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hisalian/Desktop/CDC-datathon/AirlineFinancials/"/>
    </mc:Choice>
  </mc:AlternateContent>
  <xr:revisionPtr revIDLastSave="0" documentId="13_ncr:1_{7B479EB7-7C50-D04E-A9E4-5ED9AC49FE40}" xr6:coauthVersionLast="47" xr6:coauthVersionMax="47" xr10:uidLastSave="{00000000-0000-0000-0000-000000000000}"/>
  <bookViews>
    <workbookView xWindow="0" yWindow="780" windowWidth="29040" windowHeight="15720" xr2:uid="{00000000-000D-0000-FFFF-FFFF00000000}"/>
  </bookViews>
  <sheets>
    <sheet name="Multiple Period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6" i="2" l="1"/>
  <c r="E260" i="2"/>
  <c r="I178" i="2"/>
  <c r="H34" i="2"/>
  <c r="H178" i="2"/>
  <c r="H124" i="2"/>
  <c r="I65" i="2"/>
  <c r="J320" i="2"/>
  <c r="J295" i="2"/>
  <c r="I132" i="2"/>
  <c r="F260" i="2"/>
  <c r="J287" i="2"/>
  <c r="I160" i="2"/>
  <c r="F296" i="2"/>
  <c r="K91" i="2"/>
  <c r="F217" i="2"/>
  <c r="F70" i="2"/>
  <c r="F114" i="2"/>
  <c r="M108" i="2"/>
  <c r="M73" i="2"/>
  <c r="M104" i="2"/>
  <c r="M222" i="2"/>
  <c r="M197" i="2"/>
  <c r="G151" i="2"/>
  <c r="K295" i="2"/>
  <c r="G119" i="2"/>
  <c r="K333" i="2"/>
  <c r="J78" i="2"/>
  <c r="K287" i="2"/>
  <c r="J211" i="2"/>
  <c r="M374" i="2"/>
  <c r="K320" i="2"/>
  <c r="J184" i="2"/>
  <c r="M359" i="2"/>
  <c r="E229" i="2"/>
  <c r="M240" i="2"/>
  <c r="E204" i="2"/>
  <c r="F368" i="2"/>
  <c r="F276" i="2"/>
  <c r="F253" i="2"/>
  <c r="G301" i="2"/>
  <c r="L143" i="2"/>
  <c r="G70" i="2"/>
  <c r="K234" i="2"/>
  <c r="H198" i="2"/>
  <c r="I307" i="2"/>
  <c r="N137" i="2"/>
  <c r="H119" i="2"/>
  <c r="I34" i="2"/>
  <c r="H151" i="2"/>
  <c r="I271" i="2"/>
  <c r="J132" i="2"/>
  <c r="J160" i="2"/>
  <c r="I265" i="2"/>
  <c r="G217" i="2"/>
  <c r="K78" i="2"/>
  <c r="G253" i="2"/>
  <c r="G139" i="2"/>
  <c r="K65" i="2"/>
  <c r="G114" i="2"/>
  <c r="K348" i="2"/>
  <c r="M74" i="2"/>
  <c r="M143" i="2"/>
  <c r="M259" i="2"/>
  <c r="L259" i="2"/>
  <c r="F109" i="2"/>
  <c r="F204" i="2"/>
  <c r="L332" i="2"/>
  <c r="F229" i="2"/>
  <c r="L281" i="2"/>
  <c r="L124" i="2"/>
  <c r="E44" i="2"/>
  <c r="E190" i="2"/>
  <c r="L212" i="2"/>
  <c r="L234" i="2"/>
  <c r="H354" i="2"/>
  <c r="L91" i="2"/>
  <c r="H327" i="2"/>
  <c r="K184" i="2"/>
  <c r="N340" i="2"/>
  <c r="N240" i="2"/>
  <c r="N295" i="2"/>
  <c r="N104" i="2"/>
  <c r="N359" i="2"/>
  <c r="N349" i="2"/>
  <c r="E266" i="2"/>
  <c r="N374" i="2"/>
  <c r="E223" i="2"/>
  <c r="J307" i="2"/>
  <c r="J34" i="2"/>
  <c r="G260" i="2"/>
  <c r="L78" i="2"/>
  <c r="G296" i="2"/>
  <c r="L271" i="2"/>
  <c r="L65" i="2"/>
  <c r="M91" i="2"/>
  <c r="M349" i="2"/>
  <c r="M281" i="2"/>
  <c r="G110" i="2"/>
  <c r="G75" i="2"/>
  <c r="G368" i="2"/>
  <c r="I327" i="2"/>
  <c r="K132" i="2"/>
  <c r="K160" i="2"/>
  <c r="I354" i="2"/>
  <c r="F44" i="2"/>
  <c r="F190" i="2"/>
  <c r="F105" i="2"/>
  <c r="F341" i="2"/>
  <c r="N259" i="2"/>
  <c r="N281" i="2"/>
  <c r="N143" i="2"/>
  <c r="H277" i="2"/>
  <c r="H192" i="2"/>
  <c r="H296" i="2"/>
  <c r="N151" i="2"/>
  <c r="H272" i="2"/>
  <c r="H70" i="2"/>
  <c r="H301" i="2"/>
  <c r="J223" i="2"/>
  <c r="I119" i="2"/>
  <c r="I277" i="2"/>
  <c r="I139" i="2"/>
  <c r="I198" i="2"/>
  <c r="H253" i="2"/>
  <c r="H217" i="2"/>
  <c r="H114" i="2"/>
  <c r="G341" i="2"/>
  <c r="H229" i="2"/>
  <c r="G204" i="2"/>
  <c r="G44" i="2"/>
  <c r="G190" i="2"/>
  <c r="G180" i="2"/>
  <c r="M124" i="2"/>
  <c r="G316" i="2"/>
  <c r="M234" i="2"/>
  <c r="M212" i="2"/>
  <c r="F288" i="2"/>
  <c r="M248" i="2"/>
  <c r="I146" i="2"/>
  <c r="M271" i="2"/>
  <c r="F375" i="2"/>
  <c r="I229" i="2"/>
  <c r="F80" i="2"/>
  <c r="I253" i="2"/>
  <c r="N91" i="2"/>
  <c r="I114" i="2"/>
  <c r="J354" i="2"/>
  <c r="J327" i="2"/>
  <c r="L184" i="2"/>
  <c r="L333" i="2"/>
  <c r="L360" i="2"/>
  <c r="L320" i="2"/>
  <c r="F266" i="2"/>
  <c r="E241" i="2"/>
  <c r="H105" i="2"/>
  <c r="H110" i="2"/>
  <c r="L160" i="2"/>
  <c r="H368" i="2"/>
  <c r="L283" i="2"/>
  <c r="L132" i="2"/>
  <c r="H75" i="2"/>
  <c r="I70" i="2"/>
  <c r="I301" i="2"/>
  <c r="E3" i="2"/>
  <c r="K119" i="2"/>
  <c r="K307" i="2"/>
  <c r="H204" i="2"/>
  <c r="K34" i="2"/>
  <c r="M132" i="2"/>
  <c r="H180" i="2"/>
  <c r="M360" i="2"/>
  <c r="J139" i="2"/>
  <c r="M333" i="2"/>
  <c r="J277" i="2"/>
  <c r="F92" i="2"/>
  <c r="J198" i="2"/>
  <c r="L119" i="2"/>
  <c r="G126" i="2"/>
  <c r="L110" i="2"/>
  <c r="G288" i="2"/>
  <c r="G266" i="2"/>
  <c r="L307" i="2"/>
  <c r="L34" i="2"/>
  <c r="M65" i="2"/>
  <c r="J301" i="2"/>
  <c r="K223" i="2"/>
  <c r="E213" i="2"/>
  <c r="J70" i="2"/>
  <c r="F219" i="2"/>
  <c r="E235" i="2"/>
  <c r="I341" i="2"/>
  <c r="F241" i="2"/>
  <c r="M184" i="2"/>
  <c r="E249" i="2"/>
  <c r="I75" i="2"/>
  <c r="I105" i="2"/>
  <c r="E272" i="2"/>
  <c r="N271" i="2"/>
  <c r="I368" i="2"/>
  <c r="I204" i="2"/>
  <c r="N212" i="2"/>
  <c r="N115" i="2"/>
  <c r="I180" i="2"/>
  <c r="N234" i="2"/>
  <c r="N65" i="2"/>
  <c r="N248" i="2"/>
  <c r="L223" i="2"/>
  <c r="F3" i="2"/>
  <c r="N333" i="2"/>
  <c r="L301" i="2"/>
  <c r="F350" i="2"/>
  <c r="N132" i="2"/>
  <c r="H288" i="2"/>
  <c r="E321" i="2"/>
  <c r="N360" i="2"/>
  <c r="H266" i="2"/>
  <c r="H126" i="2"/>
  <c r="H80" i="2"/>
  <c r="J146" i="2"/>
  <c r="J229" i="2"/>
  <c r="H356" i="2"/>
  <c r="I80" i="2"/>
  <c r="H316" i="2"/>
  <c r="M283" i="2"/>
  <c r="I356" i="2"/>
  <c r="G375" i="2"/>
  <c r="M307" i="2"/>
  <c r="I126" i="2"/>
  <c r="M160" i="2"/>
  <c r="I83" i="2"/>
  <c r="I30" i="2"/>
  <c r="G219" i="2"/>
  <c r="M110" i="2"/>
  <c r="G241" i="2"/>
  <c r="M34" i="2"/>
  <c r="G255" i="2"/>
  <c r="K277" i="2"/>
  <c r="K327" i="2"/>
  <c r="K186" i="2"/>
  <c r="G92" i="2"/>
  <c r="K316" i="2"/>
  <c r="K75" i="2"/>
  <c r="K198" i="2"/>
  <c r="K322" i="2"/>
  <c r="K139" i="2"/>
  <c r="K70" i="2"/>
  <c r="E116" i="2"/>
  <c r="E66" i="2"/>
  <c r="G350" i="2"/>
  <c r="F249" i="2"/>
  <c r="G3" i="2"/>
  <c r="F225" i="2"/>
  <c r="G51" i="2"/>
  <c r="G13" i="2"/>
  <c r="F272" i="2"/>
  <c r="G140" i="2"/>
  <c r="F235" i="2"/>
  <c r="H375" i="2"/>
  <c r="H255" i="2"/>
  <c r="J341" i="2"/>
  <c r="H219" i="2"/>
  <c r="H278" i="2"/>
  <c r="J105" i="2"/>
  <c r="H241" i="2"/>
  <c r="J368" i="2"/>
  <c r="N146" i="2"/>
  <c r="L327" i="2"/>
  <c r="N283" i="2"/>
  <c r="N160" i="2"/>
  <c r="I266" i="2"/>
  <c r="L198" i="2"/>
  <c r="L186" i="2"/>
  <c r="F66" i="2"/>
  <c r="F120" i="2"/>
  <c r="L316" i="2"/>
  <c r="F134" i="2"/>
  <c r="L322" i="2"/>
  <c r="F362" i="2"/>
  <c r="L213" i="2"/>
  <c r="F116" i="2"/>
  <c r="F148" i="2"/>
  <c r="J204" i="2"/>
  <c r="F163" i="2"/>
  <c r="J180" i="2"/>
  <c r="K368" i="2"/>
  <c r="K105" i="2"/>
  <c r="M301" i="2"/>
  <c r="J356" i="2"/>
  <c r="J126" i="2"/>
  <c r="M327" i="2"/>
  <c r="E308" i="2"/>
  <c r="K229" i="2"/>
  <c r="E71" i="2"/>
  <c r="J80" i="2"/>
  <c r="E334" i="2"/>
  <c r="H92" i="2"/>
  <c r="M350" i="2"/>
  <c r="M341" i="2"/>
  <c r="I278" i="2"/>
  <c r="I255" i="2"/>
  <c r="M93" i="2"/>
  <c r="I219" i="2"/>
  <c r="N34" i="2"/>
  <c r="I241" i="2"/>
  <c r="F71" i="2"/>
  <c r="F262" i="2"/>
  <c r="N110" i="2"/>
  <c r="F284" i="2"/>
  <c r="I375" i="2"/>
  <c r="F334" i="2"/>
  <c r="F298" i="2"/>
  <c r="H140" i="2"/>
  <c r="N350" i="2"/>
  <c r="K329" i="2"/>
  <c r="F236" i="2"/>
  <c r="H3" i="2"/>
  <c r="K180" i="2"/>
  <c r="N341" i="2"/>
  <c r="K204" i="2"/>
  <c r="H169" i="2"/>
  <c r="F308" i="2"/>
  <c r="N98" i="2"/>
  <c r="N8" i="2"/>
  <c r="F175" i="2"/>
  <c r="H51" i="2"/>
  <c r="H13" i="2"/>
  <c r="M322" i="2"/>
  <c r="N375" i="2"/>
  <c r="H121" i="2"/>
  <c r="M186" i="2"/>
  <c r="M316" i="2"/>
  <c r="N368" i="2"/>
  <c r="M213" i="2"/>
  <c r="G249" i="2"/>
  <c r="K80" i="2"/>
  <c r="J302" i="2"/>
  <c r="G225" i="2"/>
  <c r="K44" i="2"/>
  <c r="K190" i="2"/>
  <c r="J266" i="2"/>
  <c r="N198" i="2"/>
  <c r="N235" i="2"/>
  <c r="K356" i="2"/>
  <c r="E284" i="2"/>
  <c r="E262" i="2"/>
  <c r="K126" i="2"/>
  <c r="I3" i="2"/>
  <c r="I140" i="2"/>
  <c r="L75" i="2"/>
  <c r="I169" i="2"/>
  <c r="J231" i="2"/>
  <c r="I121" i="2"/>
  <c r="J219" i="2"/>
  <c r="M75" i="2"/>
  <c r="L229" i="2"/>
  <c r="J241" i="2"/>
  <c r="M164" i="2"/>
  <c r="J255" i="2"/>
  <c r="G148" i="2"/>
  <c r="G134" i="2"/>
  <c r="G66" i="2"/>
  <c r="G362" i="2"/>
  <c r="I192" i="2"/>
  <c r="I272" i="2"/>
  <c r="K302" i="2"/>
  <c r="K266" i="2"/>
  <c r="K278" i="2"/>
  <c r="N186" i="2"/>
  <c r="N316" i="2"/>
  <c r="E376" i="2"/>
  <c r="N322" i="2"/>
  <c r="H116" i="2"/>
  <c r="E351" i="2"/>
  <c r="N213" i="2"/>
  <c r="E342" i="2"/>
  <c r="L105" i="2"/>
  <c r="E99" i="2"/>
  <c r="E9" i="2"/>
  <c r="N289" i="2"/>
  <c r="N244" i="2"/>
  <c r="E61" i="2"/>
  <c r="E25" i="2"/>
  <c r="G284" i="2"/>
  <c r="I128" i="2"/>
  <c r="L180" i="2"/>
  <c r="G262" i="2"/>
  <c r="I116" i="2"/>
  <c r="G298" i="2"/>
  <c r="L204" i="2"/>
  <c r="G236" i="2"/>
  <c r="K169" i="2"/>
  <c r="K219" i="2"/>
  <c r="H199" i="2"/>
  <c r="N93" i="2"/>
  <c r="K255" i="2"/>
  <c r="H225" i="2"/>
  <c r="G334" i="2"/>
  <c r="K231" i="2"/>
  <c r="G71" i="2"/>
  <c r="H249" i="2"/>
  <c r="K241" i="2"/>
  <c r="J121" i="2"/>
  <c r="G308" i="2"/>
  <c r="J370" i="2"/>
  <c r="G175" i="2"/>
  <c r="J362" i="2"/>
  <c r="J140" i="2"/>
  <c r="K67" i="2"/>
  <c r="K3" i="2"/>
  <c r="F106" i="2"/>
  <c r="F102" i="2"/>
  <c r="F61" i="2"/>
  <c r="F25" i="2"/>
  <c r="F376" i="2"/>
  <c r="L80" i="2"/>
  <c r="F342" i="2"/>
  <c r="L356" i="2"/>
  <c r="F351" i="2"/>
  <c r="L329" i="2"/>
  <c r="L44" i="2"/>
  <c r="L190" i="2"/>
  <c r="H148" i="2"/>
  <c r="H298" i="2"/>
  <c r="H262" i="2"/>
  <c r="H134" i="2"/>
  <c r="H284" i="2"/>
  <c r="N75" i="2"/>
  <c r="N164" i="2"/>
  <c r="E290" i="2"/>
  <c r="E245" i="2"/>
  <c r="J116" i="2"/>
  <c r="E317" i="2"/>
  <c r="J128" i="2"/>
  <c r="L278" i="2"/>
  <c r="E338" i="2"/>
  <c r="E76" i="2"/>
  <c r="L200" i="2"/>
  <c r="L302" i="2"/>
  <c r="I225" i="2"/>
  <c r="I249" i="2"/>
  <c r="I268" i="2"/>
  <c r="M180" i="2"/>
  <c r="M204" i="2"/>
  <c r="M192" i="2"/>
  <c r="L231" i="2"/>
  <c r="H175" i="2"/>
  <c r="L241" i="2"/>
  <c r="H308" i="2"/>
  <c r="G106" i="2"/>
  <c r="L255" i="2"/>
  <c r="F187" i="2"/>
  <c r="G61" i="2"/>
  <c r="G25" i="2"/>
  <c r="N225" i="2"/>
  <c r="F214" i="2"/>
  <c r="G323" i="2"/>
  <c r="N204" i="2"/>
  <c r="K362" i="2"/>
  <c r="N219" i="2"/>
  <c r="K370" i="2"/>
  <c r="K140" i="2"/>
  <c r="N180" i="2"/>
  <c r="M356" i="2"/>
  <c r="N303" i="2"/>
  <c r="M329" i="2"/>
  <c r="N192" i="2"/>
  <c r="M44" i="2"/>
  <c r="M190" i="2"/>
  <c r="J272" i="2"/>
  <c r="M80" i="2"/>
  <c r="F94" i="2"/>
  <c r="L3" i="2"/>
  <c r="L67" i="2"/>
  <c r="L121" i="2"/>
  <c r="M200" i="2"/>
  <c r="M278" i="2"/>
  <c r="F76" i="2"/>
  <c r="M170" i="2"/>
  <c r="F338" i="2"/>
  <c r="F317" i="2"/>
  <c r="F363" i="2"/>
  <c r="H71" i="2"/>
  <c r="I134" i="2"/>
  <c r="I99" i="2"/>
  <c r="I9" i="2"/>
  <c r="I262" i="2"/>
  <c r="I274" i="2"/>
  <c r="I284" i="2"/>
  <c r="N80" i="2"/>
  <c r="I298" i="2"/>
  <c r="N329" i="2"/>
  <c r="J249" i="2"/>
  <c r="H106" i="2"/>
  <c r="J268" i="2"/>
  <c r="H323" i="2"/>
  <c r="H61" i="2"/>
  <c r="H25" i="2"/>
  <c r="I351" i="2"/>
  <c r="J314" i="2"/>
  <c r="J111" i="2"/>
  <c r="J377" i="2"/>
  <c r="G214" i="2"/>
  <c r="G237" i="2"/>
  <c r="I72" i="2"/>
  <c r="G187" i="2"/>
  <c r="I175" i="2"/>
  <c r="K116" i="2"/>
  <c r="K128" i="2"/>
  <c r="E357" i="2"/>
  <c r="E84" i="2"/>
  <c r="E31" i="2"/>
  <c r="E53" i="2"/>
  <c r="E15" i="2"/>
  <c r="I148" i="2"/>
  <c r="I308" i="2"/>
  <c r="K156" i="2"/>
  <c r="G94" i="2"/>
  <c r="K272" i="2"/>
  <c r="G102" i="2"/>
  <c r="M121" i="2"/>
  <c r="M67" i="2"/>
  <c r="G342" i="2"/>
  <c r="M3" i="2"/>
  <c r="G338" i="2"/>
  <c r="G4" i="2"/>
  <c r="G76" i="2"/>
  <c r="J308" i="2"/>
  <c r="J148" i="2"/>
  <c r="J175" i="2"/>
  <c r="J72" i="2"/>
  <c r="H187" i="2"/>
  <c r="J351" i="2"/>
  <c r="H214" i="2"/>
  <c r="H237" i="2"/>
  <c r="L317" i="2"/>
  <c r="L116" i="2"/>
  <c r="L140" i="2"/>
  <c r="L156" i="2"/>
  <c r="K377" i="2"/>
  <c r="L209" i="2"/>
  <c r="K314" i="2"/>
  <c r="K111" i="2"/>
  <c r="L370" i="2"/>
  <c r="L181" i="2"/>
  <c r="N278" i="2"/>
  <c r="K99" i="2"/>
  <c r="K9" i="2"/>
  <c r="N170" i="2"/>
  <c r="K107" i="2"/>
  <c r="M231" i="2"/>
  <c r="E81" i="2"/>
  <c r="M255" i="2"/>
  <c r="F201" i="2"/>
  <c r="E347" i="2"/>
  <c r="F220" i="2"/>
  <c r="E330" i="2"/>
  <c r="F250" i="2"/>
  <c r="F226" i="2"/>
  <c r="H89" i="2"/>
  <c r="H56" i="2"/>
  <c r="H19" i="2"/>
  <c r="K268" i="2"/>
  <c r="H338" i="2"/>
  <c r="H363" i="2"/>
  <c r="G242" i="2"/>
  <c r="H4" i="2"/>
  <c r="H102" i="2"/>
  <c r="G136" i="2"/>
  <c r="N57" i="2"/>
  <c r="N20" i="2"/>
  <c r="F357" i="2"/>
  <c r="K323" i="2"/>
  <c r="E304" i="2"/>
  <c r="L237" i="2"/>
  <c r="F53" i="2"/>
  <c r="F15" i="2"/>
  <c r="L268" i="2"/>
  <c r="K77" i="2"/>
  <c r="F84" i="2"/>
  <c r="F31" i="2"/>
  <c r="L128" i="2"/>
  <c r="K142" i="2"/>
  <c r="K284" i="2"/>
  <c r="K351" i="2"/>
  <c r="K274" i="2"/>
  <c r="H94" i="2"/>
  <c r="K298" i="2"/>
  <c r="K72" i="2"/>
  <c r="M209" i="2"/>
  <c r="F371" i="2"/>
  <c r="M181" i="2"/>
  <c r="F304" i="2"/>
  <c r="M140" i="2"/>
  <c r="M156" i="2"/>
  <c r="F347" i="2"/>
  <c r="N67" i="2"/>
  <c r="N231" i="2"/>
  <c r="N121" i="2"/>
  <c r="F81" i="2"/>
  <c r="M370" i="2"/>
  <c r="N255" i="2"/>
  <c r="F330" i="2"/>
  <c r="I323" i="2"/>
  <c r="J284" i="2"/>
  <c r="J262" i="2"/>
  <c r="I363" i="2"/>
  <c r="J274" i="2"/>
  <c r="I102" i="2"/>
  <c r="G226" i="2"/>
  <c r="G201" i="2"/>
  <c r="I89" i="2"/>
  <c r="I56" i="2"/>
  <c r="I19" i="2"/>
  <c r="J298" i="2"/>
  <c r="G220" i="2"/>
  <c r="K148" i="2"/>
  <c r="L377" i="2"/>
  <c r="K243" i="2"/>
  <c r="I214" i="2"/>
  <c r="L107" i="2"/>
  <c r="I187" i="2"/>
  <c r="I177" i="2"/>
  <c r="I94" i="2"/>
  <c r="F279" i="2"/>
  <c r="I136" i="2"/>
  <c r="F39" i="2"/>
  <c r="F171" i="2"/>
  <c r="I250" i="2"/>
  <c r="E122" i="2"/>
  <c r="M128" i="2"/>
  <c r="H177" i="2"/>
  <c r="M268" i="2"/>
  <c r="M237" i="2"/>
  <c r="E68" i="2"/>
  <c r="H136" i="2"/>
  <c r="M262" i="2"/>
  <c r="H250" i="2"/>
  <c r="I338" i="2"/>
  <c r="M280" i="2"/>
  <c r="M116" i="2"/>
  <c r="I313" i="2"/>
  <c r="I154" i="2"/>
  <c r="I122" i="2"/>
  <c r="M317" i="2"/>
  <c r="I4" i="2"/>
  <c r="N209" i="2"/>
  <c r="G357" i="2"/>
  <c r="N181" i="2"/>
  <c r="N317" i="2"/>
  <c r="N156" i="2"/>
  <c r="G53" i="2"/>
  <c r="G15" i="2"/>
  <c r="N116" i="2"/>
  <c r="M107" i="2"/>
  <c r="M377" i="2"/>
  <c r="L323" i="2"/>
  <c r="G39" i="2"/>
  <c r="G171" i="2"/>
  <c r="L72" i="2"/>
  <c r="G216" i="2"/>
  <c r="L77" i="2"/>
  <c r="G81" i="2"/>
  <c r="G330" i="2"/>
  <c r="F232" i="2"/>
  <c r="F257" i="2"/>
  <c r="G347" i="2"/>
  <c r="G371" i="2"/>
  <c r="L298" i="2"/>
  <c r="L148" i="2"/>
  <c r="L243" i="2"/>
  <c r="G353" i="2"/>
  <c r="L142" i="2"/>
  <c r="J187" i="2"/>
  <c r="J201" i="2"/>
  <c r="G304" i="2"/>
  <c r="L274" i="2"/>
  <c r="E157" i="2"/>
  <c r="E129" i="2"/>
  <c r="I238" i="2"/>
  <c r="H226" i="2"/>
  <c r="H220" i="2"/>
  <c r="I220" i="2"/>
  <c r="J136" i="2"/>
  <c r="H357" i="2"/>
  <c r="J177" i="2"/>
  <c r="H113" i="2"/>
  <c r="N268" i="2"/>
  <c r="H53" i="2"/>
  <c r="H15" i="2"/>
  <c r="J94" i="2"/>
  <c r="N262" i="2"/>
  <c r="E58" i="2"/>
  <c r="E21" i="2"/>
  <c r="N280" i="2"/>
  <c r="J363" i="2"/>
  <c r="K226" i="2"/>
  <c r="J102" i="2"/>
  <c r="K187" i="2"/>
  <c r="F68" i="2"/>
  <c r="K201" i="2"/>
  <c r="K251" i="2"/>
  <c r="M148" i="2"/>
  <c r="M243" i="2"/>
  <c r="J313" i="2"/>
  <c r="J154" i="2"/>
  <c r="J338" i="2"/>
  <c r="M39" i="2"/>
  <c r="M171" i="2"/>
  <c r="J4" i="2"/>
  <c r="F210" i="2"/>
  <c r="K94" i="2"/>
  <c r="G319" i="2"/>
  <c r="F183" i="2"/>
  <c r="G68" i="2"/>
  <c r="F285" i="2"/>
  <c r="N304" i="2"/>
  <c r="G257" i="2"/>
  <c r="N107" i="2"/>
  <c r="N39" i="2"/>
  <c r="N171" i="2"/>
  <c r="G232" i="2"/>
  <c r="H353" i="2"/>
  <c r="M274" i="2"/>
  <c r="H378" i="2"/>
  <c r="H371" i="2"/>
  <c r="M298" i="2"/>
  <c r="M142" i="2"/>
  <c r="H330" i="2"/>
  <c r="H347" i="2"/>
  <c r="F129" i="2"/>
  <c r="L82" i="2"/>
  <c r="F269" i="2"/>
  <c r="L62" i="2"/>
  <c r="L26" i="2"/>
  <c r="F157" i="2"/>
  <c r="L102" i="2"/>
  <c r="H216" i="2"/>
  <c r="F281" i="2"/>
  <c r="I53" i="2"/>
  <c r="I15" i="2"/>
  <c r="F293" i="2"/>
  <c r="I113" i="2"/>
  <c r="J122" i="2"/>
  <c r="I357" i="2"/>
  <c r="J263" i="2"/>
  <c r="M77" i="2"/>
  <c r="M323" i="2"/>
  <c r="J286" i="2"/>
  <c r="F73" i="2"/>
  <c r="J238" i="2"/>
  <c r="F117" i="2"/>
  <c r="H232" i="2"/>
  <c r="H257" i="2"/>
  <c r="L251" i="2"/>
  <c r="K313" i="2"/>
  <c r="K154" i="2"/>
  <c r="K53" i="2"/>
  <c r="K15" i="2"/>
  <c r="L201" i="2"/>
  <c r="K353" i="2"/>
  <c r="K338" i="2"/>
  <c r="L187" i="2"/>
  <c r="K363" i="2"/>
  <c r="L226" i="2"/>
  <c r="L94" i="2"/>
  <c r="K136" i="2"/>
  <c r="I6" i="2"/>
  <c r="I193" i="2"/>
  <c r="K177" i="2"/>
  <c r="I371" i="2"/>
  <c r="L53" i="2"/>
  <c r="L15" i="2"/>
  <c r="L338" i="2"/>
  <c r="K150" i="2"/>
  <c r="I378" i="2"/>
  <c r="L313" i="2"/>
  <c r="L154" i="2"/>
  <c r="I347" i="2"/>
  <c r="I319" i="2"/>
  <c r="L378" i="2"/>
  <c r="G222" i="2"/>
  <c r="L326" i="2"/>
  <c r="E108" i="2"/>
  <c r="G210" i="2"/>
  <c r="L353" i="2"/>
  <c r="G183" i="2"/>
  <c r="L63" i="2"/>
  <c r="L27" i="2"/>
  <c r="L363" i="2"/>
  <c r="L50" i="2"/>
  <c r="L12" i="2"/>
  <c r="M82" i="2"/>
  <c r="M102" i="2"/>
  <c r="G157" i="2"/>
  <c r="J113" i="2"/>
  <c r="I88" i="2"/>
  <c r="I55" i="2"/>
  <c r="I18" i="2"/>
  <c r="I216" i="2"/>
  <c r="G281" i="2"/>
  <c r="F305" i="2"/>
  <c r="I68" i="2"/>
  <c r="G269" i="2"/>
  <c r="F63" i="2"/>
  <c r="F27" i="2"/>
  <c r="G129" i="2"/>
  <c r="N77" i="2"/>
  <c r="M53" i="2"/>
  <c r="M15" i="2"/>
  <c r="K238" i="2"/>
  <c r="M338" i="2"/>
  <c r="N323" i="2"/>
  <c r="K286" i="2"/>
  <c r="M326" i="2"/>
  <c r="M353" i="2"/>
  <c r="K118" i="2"/>
  <c r="N33" i="2"/>
  <c r="N298" i="2"/>
  <c r="K263" i="2"/>
  <c r="N82" i="2"/>
  <c r="H68" i="2"/>
  <c r="K122" i="2"/>
  <c r="G73" i="2"/>
  <c r="G331" i="2"/>
  <c r="L136" i="2"/>
  <c r="G359" i="2"/>
  <c r="J319" i="2"/>
  <c r="L177" i="2"/>
  <c r="J347" i="2"/>
  <c r="L150" i="2"/>
  <c r="G63" i="2"/>
  <c r="G27" i="2"/>
  <c r="J216" i="2"/>
  <c r="H129" i="2"/>
  <c r="G42" i="2"/>
  <c r="G174" i="2"/>
  <c r="I232" i="2"/>
  <c r="G305" i="2"/>
  <c r="I183" i="2"/>
  <c r="I210" i="2"/>
  <c r="H293" i="2"/>
  <c r="I108" i="2"/>
  <c r="H183" i="2"/>
  <c r="I228" i="2"/>
  <c r="H222" i="2"/>
  <c r="I222" i="2"/>
  <c r="M226" i="2"/>
  <c r="M94" i="2"/>
  <c r="M201" i="2"/>
  <c r="L263" i="2"/>
  <c r="M251" i="2"/>
  <c r="L122" i="2"/>
  <c r="L238" i="2"/>
  <c r="M50" i="2"/>
  <c r="M12" i="2"/>
  <c r="E40" i="2"/>
  <c r="E172" i="2"/>
  <c r="L216" i="2"/>
  <c r="M63" i="2"/>
  <c r="M27" i="2"/>
  <c r="N274" i="2"/>
  <c r="L118" i="2"/>
  <c r="M363" i="2"/>
  <c r="N142" i="2"/>
  <c r="H359" i="2"/>
  <c r="N251" i="2"/>
  <c r="H331" i="2"/>
  <c r="F259" i="2"/>
  <c r="N201" i="2"/>
  <c r="H73" i="2"/>
  <c r="E160" i="2"/>
  <c r="E143" i="2"/>
  <c r="E137" i="2"/>
  <c r="M150" i="2"/>
  <c r="M177" i="2"/>
  <c r="K371" i="2"/>
  <c r="L90" i="2"/>
  <c r="E78" i="2"/>
  <c r="F103" i="2"/>
  <c r="F265" i="2"/>
  <c r="F40" i="2"/>
  <c r="F172" i="2"/>
  <c r="F379" i="2"/>
  <c r="F295" i="2"/>
  <c r="F34" i="2"/>
  <c r="J269" i="2"/>
  <c r="N294" i="2"/>
  <c r="J210" i="2"/>
  <c r="N378" i="2"/>
  <c r="J232" i="2"/>
  <c r="N50" i="2"/>
  <c r="N12" i="2"/>
  <c r="H305" i="2"/>
  <c r="H63" i="2"/>
  <c r="H27" i="2"/>
  <c r="H42" i="2"/>
  <c r="H174" i="2"/>
  <c r="K113" i="2"/>
  <c r="H281" i="2"/>
  <c r="J60" i="2"/>
  <c r="J23" i="2"/>
  <c r="I129" i="2"/>
  <c r="K347" i="2"/>
  <c r="I73" i="2"/>
  <c r="K367" i="2"/>
  <c r="K88" i="2"/>
  <c r="K55" i="2"/>
  <c r="K18" i="2"/>
  <c r="K319" i="2"/>
  <c r="F275" i="2"/>
  <c r="F65" i="2"/>
  <c r="F299" i="2"/>
  <c r="I58" i="2"/>
  <c r="I21" i="2"/>
  <c r="G259" i="2"/>
  <c r="E178" i="2"/>
  <c r="I331" i="2"/>
  <c r="E124" i="2"/>
  <c r="I359" i="2"/>
  <c r="E202" i="2"/>
  <c r="M216" i="2"/>
  <c r="M238" i="2"/>
  <c r="L371" i="2"/>
  <c r="M118" i="2"/>
  <c r="L286" i="2"/>
  <c r="F184" i="2"/>
  <c r="F137" i="2"/>
  <c r="F78" i="2"/>
  <c r="F160" i="2"/>
  <c r="F143" i="2"/>
  <c r="N94" i="2"/>
  <c r="M90" i="2"/>
  <c r="N353" i="2"/>
  <c r="J228" i="2"/>
  <c r="E34" i="2"/>
  <c r="N326" i="2"/>
  <c r="J108" i="2"/>
  <c r="N338" i="2"/>
  <c r="J68" i="2"/>
  <c r="J222" i="2"/>
  <c r="J197" i="2"/>
  <c r="I296" i="2"/>
  <c r="G265" i="2"/>
  <c r="J359" i="2"/>
  <c r="I379" i="2"/>
  <c r="G379" i="2"/>
  <c r="J58" i="2"/>
  <c r="J21" i="2"/>
  <c r="G295" i="2"/>
  <c r="I293" i="2"/>
  <c r="M286" i="2"/>
  <c r="K232" i="2"/>
  <c r="M371" i="2"/>
  <c r="J129" i="2"/>
  <c r="K210" i="2"/>
  <c r="I332" i="2"/>
  <c r="F202" i="2"/>
  <c r="F178" i="2"/>
  <c r="I281" i="2"/>
  <c r="I305" i="2"/>
  <c r="F124" i="2"/>
  <c r="I42" i="2"/>
  <c r="I174" i="2"/>
  <c r="K73" i="2"/>
  <c r="I63" i="2"/>
  <c r="I27" i="2"/>
  <c r="K222" i="2"/>
  <c r="K60" i="2"/>
  <c r="K23" i="2"/>
  <c r="N150" i="2"/>
  <c r="K108" i="2"/>
  <c r="G320" i="2"/>
  <c r="K197" i="2"/>
  <c r="G275" i="2"/>
  <c r="G160" i="2"/>
  <c r="G299" i="2"/>
  <c r="L113" i="2"/>
  <c r="L347" i="2"/>
  <c r="G65" i="2"/>
  <c r="G143" i="2"/>
  <c r="L367" i="2"/>
  <c r="H78" i="2"/>
  <c r="L38" i="2"/>
  <c r="L168" i="2"/>
  <c r="H184" i="2"/>
  <c r="K252" i="2"/>
  <c r="H103" i="2"/>
  <c r="K269" i="2"/>
  <c r="G103" i="2"/>
  <c r="H211" i="2"/>
  <c r="N216" i="2"/>
  <c r="N68" i="2"/>
  <c r="N118" i="2"/>
  <c r="J332" i="2"/>
  <c r="I295" i="2"/>
  <c r="L137" i="2"/>
  <c r="J281" i="2"/>
  <c r="L88" i="2"/>
  <c r="L55" i="2"/>
  <c r="L18" i="2"/>
  <c r="I348" i="2"/>
  <c r="J305" i="2"/>
  <c r="E151" i="2"/>
  <c r="I314" i="2"/>
  <c r="I111" i="2"/>
  <c r="J374" i="2"/>
  <c r="E51" i="2"/>
  <c r="E13" i="2"/>
  <c r="I320" i="2"/>
  <c r="I287" i="2"/>
  <c r="H259" i="2"/>
  <c r="I211" i="2"/>
  <c r="N90" i="2"/>
  <c r="N6" i="2"/>
  <c r="N193" i="2"/>
  <c r="N300" i="2"/>
  <c r="N238" i="2"/>
  <c r="H132" i="2"/>
  <c r="M113" i="2"/>
  <c r="H65" i="2"/>
  <c r="H143" i="2"/>
  <c r="H160" i="2"/>
  <c r="L275" i="2"/>
  <c r="G178" i="2"/>
  <c r="L269" i="2"/>
  <c r="G124" i="2"/>
  <c r="L252" i="2"/>
  <c r="G34" i="2"/>
  <c r="L289" i="2"/>
  <c r="L244" i="2"/>
  <c r="N43" i="2"/>
  <c r="N189" i="2"/>
  <c r="N58" i="2"/>
  <c r="N21" i="2"/>
  <c r="N113" i="2"/>
  <c r="M367" i="2"/>
  <c r="M228" i="2"/>
  <c r="H320" i="2"/>
  <c r="H348" i="2"/>
  <c r="H287" i="2"/>
  <c r="F327" i="2"/>
  <c r="L108" i="2"/>
  <c r="L197" i="2"/>
  <c r="F354" i="2"/>
  <c r="L73" i="2"/>
  <c r="F339" i="2"/>
  <c r="J91" i="2"/>
  <c r="K359" i="2"/>
  <c r="I78" i="2"/>
  <c r="I259" i="2"/>
  <c r="I184" i="2"/>
  <c r="I234" i="2"/>
  <c r="I103" i="2"/>
  <c r="K63" i="2"/>
  <c r="K27" i="2"/>
  <c r="K50" i="2"/>
  <c r="K12" i="2"/>
  <c r="F119" i="2"/>
  <c r="M275" i="2"/>
  <c r="M289" i="2"/>
  <c r="M244" i="2"/>
  <c r="F51" i="2"/>
  <c r="F13" i="2"/>
  <c r="M340" i="2"/>
  <c r="F151" i="2"/>
  <c r="E217" i="2"/>
  <c r="J42" i="2"/>
  <c r="J174" i="2"/>
  <c r="E253" i="2"/>
  <c r="L374" i="2"/>
  <c r="J296" i="2"/>
  <c r="J376" i="2"/>
  <c r="E239" i="2"/>
  <c r="L359" i="2"/>
  <c r="J379" i="2"/>
  <c r="J373" i="2"/>
  <c r="H84" i="2"/>
  <c r="H31" i="2"/>
  <c r="H66" i="2"/>
  <c r="H76" i="2"/>
  <c r="E70" i="2"/>
  <c r="M137" i="2"/>
  <c r="H81" i="2"/>
  <c r="H379" i="2"/>
  <c r="J234" i="2"/>
  <c r="J259" i="2"/>
  <c r="G327" i="2"/>
  <c r="G354" i="2"/>
  <c r="H265" i="2"/>
  <c r="H271" i="2"/>
  <c r="N228" i="2"/>
  <c r="E95" i="2"/>
  <c r="N203" i="2"/>
  <c r="N367" i="2"/>
  <c r="K332" i="2"/>
  <c r="N63" i="2"/>
  <c r="N27" i="2"/>
  <c r="N73" i="2"/>
  <c r="K281" i="2"/>
  <c r="K305" i="2"/>
  <c r="M99" i="2"/>
  <c r="M9" i="2"/>
  <c r="K175" i="2"/>
  <c r="K129" i="2"/>
  <c r="M103" i="2"/>
  <c r="M37" i="2"/>
  <c r="M167" i="2"/>
  <c r="J114" i="2"/>
  <c r="M78" i="2"/>
  <c r="J134" i="2"/>
  <c r="K42" i="2"/>
  <c r="K174" i="2"/>
  <c r="J178" i="2"/>
  <c r="L222" i="2"/>
  <c r="I61" i="2"/>
  <c r="I25" i="2"/>
  <c r="F301" i="2"/>
  <c r="I71" i="2"/>
  <c r="I51" i="2"/>
  <c r="I13" i="2"/>
  <c r="N44" i="2"/>
  <c r="N190" i="2"/>
  <c r="N184" i="2"/>
  <c r="E59" i="2"/>
  <c r="E22" i="2"/>
  <c r="E69" i="2"/>
  <c r="N148" i="2"/>
  <c r="E49" i="2"/>
  <c r="E11" i="2"/>
  <c r="N140" i="2"/>
  <c r="G40" i="2"/>
  <c r="G172" i="2"/>
  <c r="N122" i="2"/>
  <c r="G54" i="2"/>
  <c r="G16" i="2"/>
  <c r="E182" i="2"/>
  <c r="I92" i="2"/>
  <c r="I106" i="2"/>
  <c r="K376" i="2"/>
  <c r="I199" i="2"/>
  <c r="K379" i="2"/>
  <c r="H163" i="2"/>
  <c r="H36" i="2"/>
  <c r="H166" i="2"/>
  <c r="K296" i="2"/>
  <c r="K373" i="2"/>
  <c r="H157" i="2"/>
  <c r="G120" i="2"/>
  <c r="G109" i="2"/>
  <c r="G202" i="2"/>
  <c r="G117" i="2"/>
  <c r="L126" i="2"/>
  <c r="L169" i="2"/>
  <c r="F138" i="2"/>
  <c r="F145" i="2"/>
  <c r="I217" i="2"/>
  <c r="I257" i="2"/>
  <c r="I288" i="2"/>
  <c r="M269" i="2"/>
  <c r="H299" i="2"/>
  <c r="M229" i="2"/>
  <c r="M187" i="2"/>
  <c r="H342" i="2"/>
  <c r="M223" i="2"/>
  <c r="L272" i="2"/>
  <c r="H339" i="2"/>
  <c r="L266" i="2"/>
  <c r="H334" i="2"/>
  <c r="L232" i="2"/>
  <c r="G285" i="2"/>
  <c r="G279" i="2"/>
  <c r="G276" i="2"/>
  <c r="J253" i="2"/>
  <c r="L348" i="2"/>
  <c r="J250" i="2"/>
  <c r="J220" i="2"/>
  <c r="F239" i="2"/>
  <c r="L314" i="2"/>
  <c r="L111" i="2"/>
  <c r="L351" i="2"/>
  <c r="F208" i="2"/>
  <c r="L305" i="2"/>
  <c r="H260" i="2"/>
  <c r="H236" i="2"/>
  <c r="J357" i="2"/>
  <c r="H242" i="2"/>
  <c r="J331" i="2"/>
  <c r="K214" i="2"/>
  <c r="G376" i="2"/>
  <c r="K211" i="2"/>
  <c r="E64" i="2"/>
  <c r="E28" i="2"/>
  <c r="E74" i="2"/>
  <c r="E282" i="2"/>
  <c r="E361" i="2"/>
  <c r="I76" i="2"/>
  <c r="N226" i="2"/>
  <c r="I84" i="2"/>
  <c r="I31" i="2"/>
  <c r="E369" i="2"/>
  <c r="N263" i="2"/>
  <c r="I66" i="2"/>
  <c r="N371" i="2"/>
  <c r="I35" i="2"/>
  <c r="I165" i="2"/>
  <c r="F95" i="2"/>
  <c r="N327" i="2"/>
  <c r="H40" i="2"/>
  <c r="H172" i="2"/>
  <c r="N363" i="2"/>
  <c r="H54" i="2"/>
  <c r="H16" i="2"/>
  <c r="H109" i="2"/>
  <c r="F318" i="2"/>
  <c r="K61" i="2"/>
  <c r="K25" i="2"/>
  <c r="F325" i="2"/>
  <c r="G182" i="2"/>
  <c r="K51" i="2"/>
  <c r="K13" i="2"/>
  <c r="G145" i="2"/>
  <c r="F321" i="2"/>
  <c r="K71" i="2"/>
  <c r="G138" i="2"/>
  <c r="L129" i="2"/>
  <c r="K4" i="2"/>
  <c r="N78" i="2"/>
  <c r="K308" i="2"/>
  <c r="K354" i="2"/>
  <c r="N103" i="2"/>
  <c r="L175" i="2"/>
  <c r="M302" i="2"/>
  <c r="N99" i="2"/>
  <c r="N9" i="2"/>
  <c r="N37" i="2"/>
  <c r="N167" i="2"/>
  <c r="H7" i="2"/>
  <c r="H194" i="2"/>
  <c r="F49" i="2"/>
  <c r="F11" i="2"/>
  <c r="H120" i="2"/>
  <c r="F59" i="2"/>
  <c r="F22" i="2"/>
  <c r="F69" i="2"/>
  <c r="H135" i="2"/>
  <c r="J92" i="2"/>
  <c r="H117" i="2"/>
  <c r="H202" i="2"/>
  <c r="K253" i="2"/>
  <c r="L42" i="2"/>
  <c r="L174" i="2"/>
  <c r="K257" i="2"/>
  <c r="K290" i="2"/>
  <c r="K245" i="2"/>
  <c r="I157" i="2"/>
  <c r="F261" i="2"/>
  <c r="I163" i="2"/>
  <c r="F282" i="2"/>
  <c r="J106" i="2"/>
  <c r="I149" i="2"/>
  <c r="F221" i="2"/>
  <c r="M169" i="2"/>
  <c r="H273" i="2"/>
  <c r="M36" i="2"/>
  <c r="M166" i="2"/>
  <c r="M81" i="2"/>
  <c r="H276" i="2"/>
  <c r="F185" i="2"/>
  <c r="H279" i="2"/>
  <c r="F179" i="2"/>
  <c r="N269" i="2"/>
  <c r="F123" i="2"/>
  <c r="N229" i="2"/>
  <c r="J199" i="2"/>
  <c r="N223" i="2"/>
  <c r="J191" i="2"/>
  <c r="L211" i="2"/>
  <c r="N187" i="2"/>
  <c r="L217" i="2"/>
  <c r="N126" i="2"/>
  <c r="L214" i="2"/>
  <c r="N208" i="2"/>
  <c r="L285" i="2"/>
  <c r="E141" i="2"/>
  <c r="K114" i="2"/>
  <c r="E227" i="2"/>
  <c r="E264" i="2"/>
  <c r="J288" i="2"/>
  <c r="L373" i="2"/>
  <c r="L379" i="2"/>
  <c r="L296" i="2"/>
  <c r="I242" i="2"/>
  <c r="J233" i="2"/>
  <c r="I236" i="2"/>
  <c r="M266" i="2"/>
  <c r="M250" i="2"/>
  <c r="G239" i="2"/>
  <c r="F369" i="2"/>
  <c r="L293" i="2"/>
  <c r="L354" i="2"/>
  <c r="L4" i="2"/>
  <c r="L308" i="2"/>
  <c r="F366" i="2"/>
  <c r="N299" i="2"/>
  <c r="N305" i="2"/>
  <c r="N302" i="2"/>
  <c r="G361" i="2"/>
  <c r="G321" i="2"/>
  <c r="G318" i="2"/>
  <c r="E104" i="2"/>
  <c r="G325" i="2"/>
  <c r="E38" i="2"/>
  <c r="E168" i="2"/>
  <c r="K331" i="2"/>
  <c r="K328" i="2"/>
  <c r="E79" i="2"/>
  <c r="K339" i="2"/>
  <c r="K35" i="2"/>
  <c r="K165" i="2"/>
  <c r="K106" i="2"/>
  <c r="L51" i="2"/>
  <c r="L13" i="2"/>
  <c r="L61" i="2"/>
  <c r="L25" i="2"/>
  <c r="M348" i="2"/>
  <c r="M342" i="2"/>
  <c r="L114" i="2"/>
  <c r="M351" i="2"/>
  <c r="L71" i="2"/>
  <c r="G49" i="2"/>
  <c r="G11" i="2"/>
  <c r="M129" i="2"/>
  <c r="G69" i="2"/>
  <c r="M211" i="2"/>
  <c r="H358" i="2"/>
  <c r="G59" i="2"/>
  <c r="G22" i="2"/>
  <c r="M117" i="2"/>
  <c r="I334" i="2"/>
  <c r="F64" i="2"/>
  <c r="F28" i="2"/>
  <c r="H138" i="2"/>
  <c r="F74" i="2"/>
  <c r="H145" i="2"/>
  <c r="F101" i="2"/>
  <c r="I109" i="2"/>
  <c r="H182" i="2"/>
  <c r="I40" i="2"/>
  <c r="I172" i="2"/>
  <c r="I135" i="2"/>
  <c r="K92" i="2"/>
  <c r="I202" i="2"/>
  <c r="M89" i="2"/>
  <c r="M56" i="2"/>
  <c r="M19" i="2"/>
  <c r="I120" i="2"/>
  <c r="M66" i="2"/>
  <c r="I7" i="2"/>
  <c r="I194" i="2"/>
  <c r="N81" i="2"/>
  <c r="J84" i="2"/>
  <c r="J31" i="2"/>
  <c r="E188" i="2"/>
  <c r="J76" i="2"/>
  <c r="E209" i="2"/>
  <c r="E90" i="2"/>
  <c r="E127" i="2"/>
  <c r="G95" i="2"/>
  <c r="K191" i="2"/>
  <c r="K199" i="2"/>
  <c r="M288" i="2"/>
  <c r="N36" i="2"/>
  <c r="N166" i="2"/>
  <c r="M296" i="2"/>
  <c r="N175" i="2"/>
  <c r="M233" i="2"/>
  <c r="N169" i="2"/>
  <c r="G261" i="2"/>
  <c r="G282" i="2"/>
  <c r="G185" i="2"/>
  <c r="G221" i="2"/>
  <c r="G227" i="2"/>
  <c r="G123" i="2"/>
  <c r="G179" i="2"/>
  <c r="F224" i="2"/>
  <c r="J163" i="2"/>
  <c r="F230" i="2"/>
  <c r="G366" i="2"/>
  <c r="F264" i="2"/>
  <c r="J157" i="2"/>
  <c r="I273" i="2"/>
  <c r="G369" i="2"/>
  <c r="J149" i="2"/>
  <c r="I279" i="2"/>
  <c r="L331" i="2"/>
  <c r="N250" i="2"/>
  <c r="N266" i="2"/>
  <c r="L339" i="2"/>
  <c r="L253" i="2"/>
  <c r="F141" i="2"/>
  <c r="L290" i="2"/>
  <c r="L245" i="2"/>
  <c r="L35" i="2"/>
  <c r="L165" i="2"/>
  <c r="L257" i="2"/>
  <c r="H321" i="2"/>
  <c r="K288" i="2"/>
  <c r="K233" i="2"/>
  <c r="H318" i="2"/>
  <c r="H361" i="2"/>
  <c r="M214" i="2"/>
  <c r="M217" i="2"/>
  <c r="H325" i="2"/>
  <c r="M293" i="2"/>
  <c r="M285" i="2"/>
  <c r="M328" i="2"/>
  <c r="M308" i="2"/>
  <c r="M4" i="2"/>
  <c r="J242" i="2"/>
  <c r="J276" i="2"/>
  <c r="J236" i="2"/>
  <c r="E306" i="2"/>
  <c r="E300" i="2"/>
  <c r="N348" i="2"/>
  <c r="E270" i="2"/>
  <c r="N351" i="2"/>
  <c r="H239" i="2"/>
  <c r="N342" i="2"/>
  <c r="N354" i="2"/>
  <c r="M61" i="2"/>
  <c r="M25" i="2"/>
  <c r="M71" i="2"/>
  <c r="M114" i="2"/>
  <c r="F38" i="2"/>
  <c r="F168" i="2"/>
  <c r="F52" i="2"/>
  <c r="F14" i="2"/>
  <c r="F104" i="2"/>
  <c r="F79" i="2"/>
  <c r="J101" i="2"/>
  <c r="J109" i="2"/>
  <c r="J40" i="2"/>
  <c r="J172" i="2"/>
  <c r="J334" i="2"/>
  <c r="G74" i="2"/>
  <c r="G64" i="2"/>
  <c r="G28" i="2"/>
  <c r="H95" i="2"/>
  <c r="K84" i="2"/>
  <c r="K31" i="2"/>
  <c r="K76" i="2"/>
  <c r="L92" i="2"/>
  <c r="I358" i="2"/>
  <c r="H49" i="2"/>
  <c r="H11" i="2"/>
  <c r="H59" i="2"/>
  <c r="H22" i="2"/>
  <c r="H69" i="2"/>
  <c r="F303" i="2"/>
  <c r="N89" i="2"/>
  <c r="N56" i="2"/>
  <c r="N19" i="2"/>
  <c r="N66" i="2"/>
  <c r="N117" i="2"/>
  <c r="K276" i="2"/>
  <c r="N129" i="2"/>
  <c r="N211" i="2"/>
  <c r="K242" i="2"/>
  <c r="I138" i="2"/>
  <c r="F90" i="2"/>
  <c r="I145" i="2"/>
  <c r="K236" i="2"/>
  <c r="I182" i="2"/>
  <c r="H221" i="2"/>
  <c r="J202" i="2"/>
  <c r="H227" i="2"/>
  <c r="J179" i="2"/>
  <c r="J135" i="2"/>
  <c r="J120" i="2"/>
  <c r="H261" i="2"/>
  <c r="J141" i="2"/>
  <c r="J7" i="2"/>
  <c r="J194" i="2"/>
  <c r="H267" i="2"/>
  <c r="H282" i="2"/>
  <c r="M290" i="2"/>
  <c r="M245" i="2"/>
  <c r="M253" i="2"/>
  <c r="L106" i="2"/>
  <c r="M257" i="2"/>
  <c r="K149" i="2"/>
  <c r="N293" i="2"/>
  <c r="E82" i="2"/>
  <c r="K157" i="2"/>
  <c r="N217" i="2"/>
  <c r="K163" i="2"/>
  <c r="H188" i="2"/>
  <c r="H185" i="2"/>
  <c r="N285" i="2"/>
  <c r="H123" i="2"/>
  <c r="N214" i="2"/>
  <c r="F37" i="2"/>
  <c r="F167" i="2"/>
  <c r="F209" i="2"/>
  <c r="F127" i="2"/>
  <c r="F41" i="2"/>
  <c r="F173" i="2"/>
  <c r="L191" i="2"/>
  <c r="L199" i="2"/>
  <c r="E170" i="2"/>
  <c r="E176" i="2"/>
  <c r="L233" i="2"/>
  <c r="L288" i="2"/>
  <c r="I239" i="2"/>
  <c r="I224" i="2"/>
  <c r="G270" i="2"/>
  <c r="G264" i="2"/>
  <c r="G230" i="2"/>
  <c r="M331" i="2"/>
  <c r="J279" i="2"/>
  <c r="M376" i="2"/>
  <c r="M35" i="2"/>
  <c r="M165" i="2"/>
  <c r="J273" i="2"/>
  <c r="M339" i="2"/>
  <c r="H369" i="2"/>
  <c r="K179" i="2"/>
  <c r="H366" i="2"/>
  <c r="K141" i="2"/>
  <c r="H33" i="2"/>
  <c r="K202" i="2"/>
  <c r="H300" i="2"/>
  <c r="E251" i="2"/>
  <c r="K7" i="2"/>
  <c r="K194" i="2"/>
  <c r="K135" i="2"/>
  <c r="G90" i="2"/>
  <c r="H315" i="2"/>
  <c r="H112" i="2"/>
  <c r="H64" i="2"/>
  <c r="H28" i="2"/>
  <c r="F212" i="2"/>
  <c r="I318" i="2"/>
  <c r="H74" i="2"/>
  <c r="F218" i="2"/>
  <c r="N61" i="2"/>
  <c r="N25" i="2"/>
  <c r="I325" i="2"/>
  <c r="N114" i="2"/>
  <c r="F170" i="2"/>
  <c r="I361" i="2"/>
  <c r="N106" i="2"/>
  <c r="N71" i="2"/>
  <c r="F346" i="2"/>
  <c r="F306" i="2"/>
  <c r="F176" i="2"/>
  <c r="F131" i="2"/>
  <c r="F352" i="2"/>
  <c r="G349" i="2"/>
  <c r="K95" i="2"/>
  <c r="G303" i="2"/>
  <c r="I69" i="2"/>
  <c r="J145" i="2"/>
  <c r="J321" i="2"/>
  <c r="I59" i="2"/>
  <c r="I22" i="2"/>
  <c r="I49" i="2"/>
  <c r="I11" i="2"/>
  <c r="J138" i="2"/>
  <c r="J358" i="2"/>
  <c r="E67" i="2"/>
  <c r="N4" i="2"/>
  <c r="E57" i="2"/>
  <c r="E20" i="2"/>
  <c r="J182" i="2"/>
  <c r="E118" i="2"/>
  <c r="N328" i="2"/>
  <c r="J188" i="2"/>
  <c r="M92" i="2"/>
  <c r="K334" i="2"/>
  <c r="G104" i="2"/>
  <c r="L120" i="2"/>
  <c r="L84" i="2"/>
  <c r="L31" i="2"/>
  <c r="L109" i="2"/>
  <c r="G52" i="2"/>
  <c r="G14" i="2"/>
  <c r="L76" i="2"/>
  <c r="G209" i="2"/>
  <c r="G127" i="2"/>
  <c r="E355" i="2"/>
  <c r="G41" i="2"/>
  <c r="G173" i="2"/>
  <c r="I221" i="2"/>
  <c r="I227" i="2"/>
  <c r="I300" i="2"/>
  <c r="F82" i="2"/>
  <c r="I261" i="2"/>
  <c r="I282" i="2"/>
  <c r="K101" i="2"/>
  <c r="I267" i="2"/>
  <c r="M149" i="2"/>
  <c r="M199" i="2"/>
  <c r="M191" i="2"/>
  <c r="J79" i="2"/>
  <c r="I185" i="2"/>
  <c r="E294" i="2"/>
  <c r="I123" i="2"/>
  <c r="E286" i="2"/>
  <c r="L163" i="2"/>
  <c r="L236" i="2"/>
  <c r="L157" i="2"/>
  <c r="L242" i="2"/>
  <c r="L276" i="2"/>
  <c r="N290" i="2"/>
  <c r="N245" i="2"/>
  <c r="E215" i="2"/>
  <c r="N253" i="2"/>
  <c r="N257" i="2"/>
  <c r="H270" i="2"/>
  <c r="H230" i="2"/>
  <c r="H264" i="2"/>
  <c r="J224" i="2"/>
  <c r="M373" i="2"/>
  <c r="M379" i="2"/>
  <c r="J239" i="2"/>
  <c r="N376" i="2"/>
  <c r="N35" i="2"/>
  <c r="N165" i="2"/>
  <c r="N339" i="2"/>
  <c r="N331" i="2"/>
  <c r="K273" i="2"/>
  <c r="F107" i="2"/>
  <c r="K279" i="2"/>
  <c r="F118" i="2"/>
  <c r="F67" i="2"/>
  <c r="I74" i="2"/>
  <c r="F251" i="2"/>
  <c r="I315" i="2"/>
  <c r="I112" i="2"/>
  <c r="M84" i="2"/>
  <c r="M31" i="2"/>
  <c r="M76" i="2"/>
  <c r="H41" i="2"/>
  <c r="H173" i="2"/>
  <c r="M131" i="2"/>
  <c r="F355" i="2"/>
  <c r="H203" i="2"/>
  <c r="F329" i="2"/>
  <c r="M109" i="2"/>
  <c r="F57" i="2"/>
  <c r="F20" i="2"/>
  <c r="H209" i="2"/>
  <c r="M120" i="2"/>
  <c r="L54" i="2"/>
  <c r="L16" i="2"/>
  <c r="J325" i="2"/>
  <c r="L334" i="2"/>
  <c r="H127" i="2"/>
  <c r="K176" i="2"/>
  <c r="J318" i="2"/>
  <c r="H104" i="2"/>
  <c r="J369" i="2"/>
  <c r="J361" i="2"/>
  <c r="K218" i="2"/>
  <c r="H82" i="2"/>
  <c r="L95" i="2"/>
  <c r="K138" i="2"/>
  <c r="K321" i="2"/>
  <c r="K49" i="2"/>
  <c r="K11" i="2"/>
  <c r="E72" i="2"/>
  <c r="K358" i="2"/>
  <c r="K182" i="2"/>
  <c r="G346" i="2"/>
  <c r="E62" i="2"/>
  <c r="E26" i="2"/>
  <c r="G352" i="2"/>
  <c r="H90" i="2"/>
  <c r="G306" i="2"/>
  <c r="K224" i="2"/>
  <c r="L101" i="2"/>
  <c r="G150" i="2"/>
  <c r="L79" i="2"/>
  <c r="H349" i="2"/>
  <c r="G212" i="2"/>
  <c r="L64" i="2"/>
  <c r="L28" i="2"/>
  <c r="H303" i="2"/>
  <c r="N92" i="2"/>
  <c r="G170" i="2"/>
  <c r="K69" i="2"/>
  <c r="J221" i="2"/>
  <c r="K59" i="2"/>
  <c r="K22" i="2"/>
  <c r="I33" i="2"/>
  <c r="I366" i="2"/>
  <c r="J185" i="2"/>
  <c r="J115" i="2"/>
  <c r="J123" i="2"/>
  <c r="J227" i="2"/>
  <c r="K57" i="2"/>
  <c r="K20" i="2"/>
  <c r="N233" i="2"/>
  <c r="K33" i="2"/>
  <c r="N239" i="2"/>
  <c r="E146" i="2"/>
  <c r="K361" i="2"/>
  <c r="N288" i="2"/>
  <c r="K98" i="2"/>
  <c r="K8" i="2"/>
  <c r="N273" i="2"/>
  <c r="L135" i="2"/>
  <c r="F294" i="2"/>
  <c r="L179" i="2"/>
  <c r="F254" i="2"/>
  <c r="L141" i="2"/>
  <c r="F286" i="2"/>
  <c r="J300" i="2"/>
  <c r="F197" i="2"/>
  <c r="J261" i="2"/>
  <c r="F215" i="2"/>
  <c r="J267" i="2"/>
  <c r="J297" i="2"/>
  <c r="F43" i="2"/>
  <c r="F189" i="2"/>
  <c r="N191" i="2"/>
  <c r="M236" i="2"/>
  <c r="N199" i="2"/>
  <c r="M270" i="2"/>
  <c r="M312" i="2"/>
  <c r="M153" i="2"/>
  <c r="I38" i="2"/>
  <c r="I168" i="2"/>
  <c r="I164" i="2"/>
  <c r="M276" i="2"/>
  <c r="I349" i="2"/>
  <c r="M157" i="2"/>
  <c r="G243" i="2"/>
  <c r="I340" i="2"/>
  <c r="G248" i="2"/>
  <c r="N379" i="2"/>
  <c r="G251" i="2"/>
  <c r="N373" i="2"/>
  <c r="H283" i="2"/>
  <c r="L358" i="2"/>
  <c r="F72" i="2"/>
  <c r="F62" i="2"/>
  <c r="F26" i="2"/>
  <c r="H306" i="2"/>
  <c r="L52" i="2"/>
  <c r="L14" i="2"/>
  <c r="K258" i="2"/>
  <c r="L366" i="2"/>
  <c r="E231" i="2"/>
  <c r="L321" i="2"/>
  <c r="I303" i="2"/>
  <c r="E332" i="2"/>
  <c r="I104" i="2"/>
  <c r="I264" i="2"/>
  <c r="I82" i="2"/>
  <c r="E60" i="2"/>
  <c r="E23" i="2"/>
  <c r="E326" i="2"/>
  <c r="M355" i="2"/>
  <c r="M318" i="2"/>
  <c r="M334" i="2"/>
  <c r="L279" i="2"/>
  <c r="F377" i="2"/>
  <c r="F6" i="2"/>
  <c r="F193" i="2"/>
  <c r="F370" i="2"/>
  <c r="H346" i="2"/>
  <c r="J74" i="2"/>
  <c r="H352" i="2"/>
  <c r="J315" i="2"/>
  <c r="J112" i="2"/>
  <c r="G329" i="2"/>
  <c r="M40" i="2"/>
  <c r="M172" i="2"/>
  <c r="M79" i="2"/>
  <c r="M54" i="2"/>
  <c r="M16" i="2"/>
  <c r="M64" i="2"/>
  <c r="M28" i="2"/>
  <c r="M101" i="2"/>
  <c r="E93" i="2"/>
  <c r="N84" i="2"/>
  <c r="N31" i="2"/>
  <c r="N76" i="2"/>
  <c r="N109" i="2"/>
  <c r="G118" i="2"/>
  <c r="L176" i="2"/>
  <c r="G67" i="2"/>
  <c r="L138" i="2"/>
  <c r="G57" i="2"/>
  <c r="G20" i="2"/>
  <c r="G107" i="2"/>
  <c r="L182" i="2"/>
  <c r="G98" i="2"/>
  <c r="G8" i="2"/>
  <c r="G197" i="2"/>
  <c r="I90" i="2"/>
  <c r="G43" i="2"/>
  <c r="G189" i="2"/>
  <c r="L59" i="2"/>
  <c r="L22" i="2"/>
  <c r="K300" i="2"/>
  <c r="G215" i="2"/>
  <c r="L69" i="2"/>
  <c r="K221" i="2"/>
  <c r="J164" i="2"/>
  <c r="K261" i="2"/>
  <c r="N157" i="2"/>
  <c r="K227" i="2"/>
  <c r="N131" i="2"/>
  <c r="K267" i="2"/>
  <c r="N120" i="2"/>
  <c r="K297" i="2"/>
  <c r="I209" i="2"/>
  <c r="E50" i="2"/>
  <c r="E12" i="2"/>
  <c r="I203" i="2"/>
  <c r="K115" i="2"/>
  <c r="I127" i="2"/>
  <c r="M135" i="2"/>
  <c r="M179" i="2"/>
  <c r="M141" i="2"/>
  <c r="M218" i="2"/>
  <c r="E374" i="2"/>
  <c r="E380" i="2"/>
  <c r="E192" i="2"/>
  <c r="E200" i="2"/>
  <c r="H150" i="2"/>
  <c r="G286" i="2"/>
  <c r="H170" i="2"/>
  <c r="H212" i="2"/>
  <c r="G254" i="2"/>
  <c r="G294" i="2"/>
  <c r="F146" i="2"/>
  <c r="N236" i="2"/>
  <c r="N270" i="2"/>
  <c r="N276" i="2"/>
  <c r="F326" i="2"/>
  <c r="H248" i="2"/>
  <c r="F332" i="2"/>
  <c r="H243" i="2"/>
  <c r="H251" i="2"/>
  <c r="J349" i="2"/>
  <c r="K185" i="2"/>
  <c r="K123" i="2"/>
  <c r="J346" i="2"/>
  <c r="K315" i="2"/>
  <c r="K112" i="2"/>
  <c r="J340" i="2"/>
  <c r="K74" i="2"/>
  <c r="H329" i="2"/>
  <c r="L224" i="2"/>
  <c r="M366" i="2"/>
  <c r="L258" i="2"/>
  <c r="F50" i="2"/>
  <c r="F12" i="2"/>
  <c r="N296" i="2"/>
  <c r="M321" i="2"/>
  <c r="F240" i="2"/>
  <c r="N267" i="2"/>
  <c r="F60" i="2"/>
  <c r="F23" i="2"/>
  <c r="M358" i="2"/>
  <c r="F234" i="2"/>
  <c r="N306" i="2"/>
  <c r="M52" i="2"/>
  <c r="M14" i="2"/>
  <c r="F231" i="2"/>
  <c r="F93" i="2"/>
  <c r="I306" i="2"/>
  <c r="N301" i="2"/>
  <c r="N54" i="2"/>
  <c r="N16" i="2"/>
  <c r="I352" i="2"/>
  <c r="J264" i="2"/>
  <c r="N312" i="2"/>
  <c r="N153" i="2"/>
  <c r="N101" i="2"/>
  <c r="J303" i="2"/>
  <c r="N318" i="2"/>
  <c r="N40" i="2"/>
  <c r="N172" i="2"/>
  <c r="N334" i="2"/>
  <c r="E274" i="2"/>
  <c r="N79" i="2"/>
  <c r="N355" i="2"/>
  <c r="L57" i="2"/>
  <c r="L20" i="2"/>
  <c r="H98" i="2"/>
  <c r="H8" i="2"/>
  <c r="L361" i="2"/>
  <c r="H107" i="2"/>
  <c r="F192" i="2"/>
  <c r="L98" i="2"/>
  <c r="L8" i="2"/>
  <c r="F121" i="2"/>
  <c r="G88" i="2"/>
  <c r="G55" i="2"/>
  <c r="G18" i="2"/>
  <c r="H57" i="2"/>
  <c r="H20" i="2"/>
  <c r="F200" i="2"/>
  <c r="G370" i="2"/>
  <c r="M279" i="2"/>
  <c r="F132" i="2"/>
  <c r="H67" i="2"/>
  <c r="G377" i="2"/>
  <c r="M176" i="2"/>
  <c r="I283" i="2"/>
  <c r="G6" i="2"/>
  <c r="G193" i="2"/>
  <c r="H77" i="2"/>
  <c r="M182" i="2"/>
  <c r="M138" i="2"/>
  <c r="G62" i="2"/>
  <c r="G26" i="2"/>
  <c r="M123" i="2"/>
  <c r="G72" i="2"/>
  <c r="G83" i="2"/>
  <c r="G30" i="2"/>
  <c r="J90" i="2"/>
  <c r="J82" i="2"/>
  <c r="J104" i="2"/>
  <c r="J38" i="2"/>
  <c r="J168" i="2"/>
  <c r="M59" i="2"/>
  <c r="M22" i="2"/>
  <c r="M69" i="2"/>
  <c r="G146" i="2"/>
  <c r="G159" i="2"/>
  <c r="J127" i="2"/>
  <c r="E110" i="2"/>
  <c r="J209" i="2"/>
  <c r="N179" i="2"/>
  <c r="L33" i="2"/>
  <c r="N135" i="2"/>
  <c r="H6" i="2"/>
  <c r="H193" i="2"/>
  <c r="N141" i="2"/>
  <c r="H370" i="2"/>
  <c r="H197" i="2"/>
  <c r="H374" i="2"/>
  <c r="H43" i="2"/>
  <c r="H189" i="2"/>
  <c r="H118" i="2"/>
  <c r="H294" i="2"/>
  <c r="K164" i="2"/>
  <c r="H377" i="2"/>
  <c r="K170" i="2"/>
  <c r="M224" i="2"/>
  <c r="M261" i="2"/>
  <c r="K37" i="2"/>
  <c r="K167" i="2"/>
  <c r="M258" i="2"/>
  <c r="L203" i="2"/>
  <c r="L115" i="2"/>
  <c r="L185" i="2"/>
  <c r="N138" i="2"/>
  <c r="I150" i="2"/>
  <c r="N182" i="2"/>
  <c r="N176" i="2"/>
  <c r="N123" i="2"/>
  <c r="H254" i="2"/>
  <c r="H286" i="2"/>
  <c r="F313" i="2"/>
  <c r="F154" i="2"/>
  <c r="L267" i="2"/>
  <c r="L227" i="2"/>
  <c r="F380" i="2"/>
  <c r="L221" i="2"/>
  <c r="F271" i="2"/>
  <c r="F356" i="2"/>
  <c r="F274" i="2"/>
  <c r="F277" i="2"/>
  <c r="J306" i="2"/>
  <c r="G234" i="2"/>
  <c r="I251" i="2"/>
  <c r="I243" i="2"/>
  <c r="J352" i="2"/>
  <c r="G240" i="2"/>
  <c r="L297" i="2"/>
  <c r="G231" i="2"/>
  <c r="K248" i="2"/>
  <c r="L300" i="2"/>
  <c r="K82" i="2"/>
  <c r="K264" i="2"/>
  <c r="K52" i="2"/>
  <c r="K14" i="2"/>
  <c r="J212" i="2"/>
  <c r="I326" i="2"/>
  <c r="J289" i="2"/>
  <c r="J244" i="2"/>
  <c r="K38" i="2"/>
  <c r="K168" i="2"/>
  <c r="I329" i="2"/>
  <c r="J283" i="2"/>
  <c r="J215" i="2"/>
  <c r="K62" i="2"/>
  <c r="K26" i="2"/>
  <c r="I337" i="2"/>
  <c r="N218" i="2"/>
  <c r="H83" i="2"/>
  <c r="H30" i="2"/>
  <c r="N279" i="2"/>
  <c r="K349" i="2"/>
  <c r="H88" i="2"/>
  <c r="H55" i="2"/>
  <c r="H18" i="2"/>
  <c r="H72" i="2"/>
  <c r="K303" i="2"/>
  <c r="N69" i="2"/>
  <c r="K340" i="2"/>
  <c r="E237" i="2"/>
  <c r="N59" i="2"/>
  <c r="N22" i="2"/>
  <c r="K346" i="2"/>
  <c r="N52" i="2"/>
  <c r="N14" i="2"/>
  <c r="N321" i="2"/>
  <c r="F88" i="2"/>
  <c r="F55" i="2"/>
  <c r="F18" i="2"/>
  <c r="N366" i="2"/>
  <c r="I67" i="2"/>
  <c r="I98" i="2"/>
  <c r="I8" i="2"/>
  <c r="N358" i="2"/>
  <c r="I57" i="2"/>
  <c r="I20" i="2"/>
  <c r="I77" i="2"/>
  <c r="E319" i="2"/>
  <c r="K90" i="2"/>
  <c r="E80" i="2"/>
  <c r="E65" i="2"/>
  <c r="G332" i="2"/>
  <c r="G121" i="2"/>
  <c r="E88" i="2"/>
  <c r="E55" i="2"/>
  <c r="E18" i="2"/>
  <c r="M361" i="2"/>
  <c r="G132" i="2"/>
  <c r="M98" i="2"/>
  <c r="M8" i="2"/>
  <c r="M33" i="2"/>
  <c r="M57" i="2"/>
  <c r="M20" i="2"/>
  <c r="I93" i="2"/>
  <c r="J150" i="2"/>
  <c r="J107" i="2"/>
  <c r="J118" i="2"/>
  <c r="K127" i="2"/>
  <c r="G36" i="2"/>
  <c r="G166" i="2"/>
  <c r="K104" i="2"/>
  <c r="L74" i="2"/>
  <c r="F113" i="2"/>
  <c r="F142" i="2"/>
  <c r="F180" i="2"/>
  <c r="F136" i="2"/>
  <c r="F110" i="2"/>
  <c r="H146" i="2"/>
  <c r="J50" i="2"/>
  <c r="J12" i="2"/>
  <c r="H313" i="2"/>
  <c r="H154" i="2"/>
  <c r="H159" i="2"/>
  <c r="L164" i="2"/>
  <c r="M303" i="2"/>
  <c r="L170" i="2"/>
  <c r="L37" i="2"/>
  <c r="L167" i="2"/>
  <c r="M297" i="2"/>
  <c r="M300" i="2"/>
  <c r="I286" i="2"/>
  <c r="I294" i="2"/>
  <c r="K306" i="2"/>
  <c r="K352" i="2"/>
  <c r="N258" i="2"/>
  <c r="N261" i="2"/>
  <c r="N224" i="2"/>
  <c r="K289" i="2"/>
  <c r="K244" i="2"/>
  <c r="K215" i="2"/>
  <c r="K212" i="2"/>
  <c r="M115" i="2"/>
  <c r="K283" i="2"/>
  <c r="K209" i="2"/>
  <c r="I231" i="2"/>
  <c r="I197" i="2"/>
  <c r="J329" i="2"/>
  <c r="I43" i="2"/>
  <c r="I189" i="2"/>
  <c r="I151" i="2"/>
  <c r="M203" i="2"/>
  <c r="J326" i="2"/>
  <c r="M221" i="2"/>
  <c r="I36" i="2"/>
  <c r="I166" i="2"/>
  <c r="M185" i="2"/>
  <c r="J337" i="2"/>
  <c r="E102" i="2"/>
  <c r="I159" i="2"/>
  <c r="M227" i="2"/>
  <c r="M267" i="2"/>
  <c r="G274" i="2"/>
  <c r="I370" i="2"/>
  <c r="L248" i="2"/>
  <c r="L264" i="2"/>
  <c r="G356" i="2"/>
  <c r="I374" i="2"/>
  <c r="J243" i="2"/>
  <c r="J251" i="2"/>
  <c r="G271" i="2"/>
  <c r="I377" i="2"/>
  <c r="J254" i="2"/>
  <c r="G192" i="2"/>
  <c r="G200" i="2"/>
  <c r="G313" i="2"/>
  <c r="G154" i="2"/>
  <c r="G277" i="2"/>
  <c r="G380" i="2"/>
  <c r="H234" i="2"/>
  <c r="G142" i="2"/>
  <c r="H240" i="2"/>
  <c r="G131" i="2"/>
  <c r="F316" i="2"/>
  <c r="E219" i="2"/>
  <c r="G176" i="2"/>
  <c r="F319" i="2"/>
  <c r="F237" i="2"/>
  <c r="F322" i="2"/>
  <c r="L346" i="2"/>
  <c r="K145" i="2"/>
  <c r="K178" i="2"/>
  <c r="L349" i="2"/>
  <c r="E164" i="2"/>
  <c r="L340" i="2"/>
  <c r="E367" i="2"/>
  <c r="E149" i="2"/>
  <c r="F181" i="2"/>
  <c r="F359" i="2"/>
  <c r="M38" i="2"/>
  <c r="M168" i="2"/>
  <c r="H332" i="2"/>
  <c r="N197" i="2"/>
  <c r="N227" i="2"/>
  <c r="M313" i="2"/>
  <c r="M154" i="2"/>
  <c r="E280" i="2"/>
  <c r="N237" i="2"/>
  <c r="M41" i="2"/>
  <c r="M173" i="2"/>
  <c r="H200" i="2"/>
  <c r="M134" i="2"/>
  <c r="H213" i="2"/>
  <c r="H208" i="2"/>
  <c r="L139" i="2"/>
  <c r="L202" i="2"/>
  <c r="L127" i="2"/>
  <c r="L210" i="2"/>
  <c r="L215" i="2"/>
  <c r="F263" i="2"/>
  <c r="K249" i="2"/>
  <c r="F280" i="2"/>
  <c r="K188" i="2"/>
  <c r="K220" i="2"/>
  <c r="K254" i="2"/>
  <c r="F290" i="2"/>
  <c r="F245" i="2"/>
  <c r="J265" i="2"/>
  <c r="I230" i="2"/>
  <c r="H137" i="2"/>
  <c r="I235" i="2"/>
  <c r="J294" i="2"/>
  <c r="N361" i="2"/>
  <c r="I240" i="2"/>
  <c r="I312" i="2"/>
  <c r="I153" i="2"/>
  <c r="F252" i="2"/>
  <c r="F186" i="2"/>
  <c r="I299" i="2"/>
  <c r="F191" i="2"/>
  <c r="I270" i="2"/>
  <c r="F223" i="2"/>
  <c r="K260" i="2"/>
  <c r="M242" i="2"/>
  <c r="M232" i="2"/>
  <c r="K325" i="2"/>
  <c r="J225" i="2"/>
  <c r="H285" i="2"/>
  <c r="J183" i="2"/>
  <c r="H275" i="2"/>
  <c r="H317" i="2"/>
  <c r="H304" i="2"/>
  <c r="F373" i="2"/>
  <c r="F367" i="2"/>
  <c r="F99" i="2"/>
  <c r="F9" i="2"/>
  <c r="L287" i="2"/>
  <c r="L319" i="2"/>
  <c r="L277" i="2"/>
  <c r="G218" i="2"/>
  <c r="M282" i="2"/>
  <c r="K58" i="2"/>
  <c r="K21" i="2"/>
  <c r="M272" i="2"/>
  <c r="L60" i="2"/>
  <c r="L23" i="2"/>
  <c r="K369" i="2"/>
  <c r="K337" i="2"/>
  <c r="L49" i="2"/>
  <c r="L11" i="2"/>
  <c r="K357" i="2"/>
  <c r="L70" i="2"/>
  <c r="H380" i="2"/>
  <c r="H350" i="2"/>
  <c r="I54" i="2"/>
  <c r="I16" i="2"/>
  <c r="E258" i="2"/>
  <c r="H360" i="2"/>
  <c r="H52" i="2"/>
  <c r="H14" i="2"/>
  <c r="I64" i="2"/>
  <c r="I28" i="2"/>
  <c r="I81" i="2"/>
  <c r="I41" i="2"/>
  <c r="I173" i="2"/>
  <c r="M51" i="2"/>
  <c r="M13" i="2"/>
  <c r="M62" i="2"/>
  <c r="M26" i="2"/>
  <c r="G322" i="2"/>
  <c r="M72" i="2"/>
  <c r="N377" i="2"/>
  <c r="N3" i="2"/>
  <c r="N64" i="2"/>
  <c r="N28" i="2"/>
  <c r="G355" i="2"/>
  <c r="G50" i="2"/>
  <c r="G12" i="2"/>
  <c r="M95" i="2"/>
  <c r="N74" i="2"/>
  <c r="G333" i="2"/>
  <c r="I330" i="2"/>
  <c r="N53" i="2"/>
  <c r="N15" i="2"/>
  <c r="I342" i="2"/>
  <c r="M347" i="2"/>
  <c r="M352" i="2"/>
  <c r="F35" i="2"/>
  <c r="F165" i="2"/>
  <c r="E328" i="2"/>
  <c r="F108" i="2"/>
  <c r="E340" i="2"/>
  <c r="F58" i="2"/>
  <c r="F21" i="2"/>
  <c r="E7" i="2"/>
  <c r="E194" i="2"/>
  <c r="F149" i="2"/>
  <c r="K43" i="2"/>
  <c r="K189" i="2"/>
  <c r="F115" i="2"/>
  <c r="J375" i="2"/>
  <c r="K68" i="2"/>
  <c r="F122" i="2"/>
  <c r="L315" i="2"/>
  <c r="L112" i="2"/>
  <c r="L145" i="2"/>
  <c r="J66" i="2"/>
  <c r="J93" i="2"/>
  <c r="J89" i="2"/>
  <c r="J56" i="2"/>
  <c r="J19" i="2"/>
  <c r="I110" i="2"/>
  <c r="G37" i="2"/>
  <c r="G167" i="2"/>
  <c r="I137" i="2"/>
  <c r="G60" i="2"/>
  <c r="G23" i="2"/>
  <c r="I124" i="2"/>
  <c r="H39" i="2"/>
  <c r="H171" i="2"/>
  <c r="M139" i="2"/>
  <c r="L362" i="2"/>
  <c r="M105" i="2"/>
  <c r="H62" i="2"/>
  <c r="H26" i="2"/>
  <c r="M127" i="2"/>
  <c r="M88" i="2"/>
  <c r="M55" i="2"/>
  <c r="M18" i="2"/>
  <c r="M119" i="2"/>
  <c r="H131" i="2"/>
  <c r="H142" i="2"/>
  <c r="E33" i="2"/>
  <c r="F91" i="2"/>
  <c r="E77" i="2"/>
  <c r="J103" i="2"/>
  <c r="L220" i="2"/>
  <c r="L188" i="2"/>
  <c r="J117" i="2"/>
  <c r="L178" i="2"/>
  <c r="G79" i="2"/>
  <c r="G101" i="2"/>
  <c r="N134" i="2"/>
  <c r="J36" i="2"/>
  <c r="J166" i="2"/>
  <c r="J159" i="2"/>
  <c r="J151" i="2"/>
  <c r="G191" i="2"/>
  <c r="G223" i="2"/>
  <c r="G186" i="2"/>
  <c r="G181" i="2"/>
  <c r="K83" i="2"/>
  <c r="K30" i="2"/>
  <c r="N38" i="2"/>
  <c r="N168" i="2"/>
  <c r="N41" i="2"/>
  <c r="N173" i="2"/>
  <c r="I208" i="2"/>
  <c r="I200" i="2"/>
  <c r="I213" i="2"/>
  <c r="M215" i="2"/>
  <c r="M210" i="2"/>
  <c r="M202" i="2"/>
  <c r="G280" i="2"/>
  <c r="F164" i="2"/>
  <c r="G252" i="2"/>
  <c r="F156" i="2"/>
  <c r="G263" i="2"/>
  <c r="H218" i="2"/>
  <c r="H176" i="2"/>
  <c r="G290" i="2"/>
  <c r="G245" i="2"/>
  <c r="F228" i="2"/>
  <c r="F307" i="2"/>
  <c r="F268" i="2"/>
  <c r="F238" i="2"/>
  <c r="F297" i="2"/>
  <c r="F340" i="2"/>
  <c r="E198" i="2"/>
  <c r="K183" i="2"/>
  <c r="K6" i="2"/>
  <c r="K193" i="2"/>
  <c r="F258" i="2"/>
  <c r="F328" i="2"/>
  <c r="N232" i="2"/>
  <c r="N242" i="2"/>
  <c r="N347" i="2"/>
  <c r="N282" i="2"/>
  <c r="N352" i="2"/>
  <c r="N272" i="2"/>
  <c r="L357" i="2"/>
  <c r="K225" i="2"/>
  <c r="N314" i="2"/>
  <c r="N111" i="2"/>
  <c r="K265" i="2"/>
  <c r="L325" i="2"/>
  <c r="K235" i="2"/>
  <c r="L337" i="2"/>
  <c r="L249" i="2"/>
  <c r="K299" i="2"/>
  <c r="L260" i="2"/>
  <c r="K294" i="2"/>
  <c r="L254" i="2"/>
  <c r="I52" i="2"/>
  <c r="I14" i="2"/>
  <c r="M362" i="2"/>
  <c r="J270" i="2"/>
  <c r="M319" i="2"/>
  <c r="I39" i="2"/>
  <c r="I171" i="2"/>
  <c r="J240" i="2"/>
  <c r="J330" i="2"/>
  <c r="J230" i="2"/>
  <c r="I380" i="2"/>
  <c r="I285" i="2"/>
  <c r="J342" i="2"/>
  <c r="G373" i="2"/>
  <c r="G99" i="2"/>
  <c r="G9" i="2"/>
  <c r="G35" i="2"/>
  <c r="G165" i="2"/>
  <c r="I275" i="2"/>
  <c r="H322" i="2"/>
  <c r="J312" i="2"/>
  <c r="J153" i="2"/>
  <c r="H333" i="2"/>
  <c r="H355" i="2"/>
  <c r="I304" i="2"/>
  <c r="G367" i="2"/>
  <c r="K41" i="2"/>
  <c r="K173" i="2"/>
  <c r="M287" i="2"/>
  <c r="I317" i="2"/>
  <c r="M277" i="2"/>
  <c r="I350" i="2"/>
  <c r="K89" i="2"/>
  <c r="K56" i="2"/>
  <c r="K19" i="2"/>
  <c r="I360" i="2"/>
  <c r="K375" i="2"/>
  <c r="L58" i="2"/>
  <c r="L21" i="2"/>
  <c r="L369" i="2"/>
  <c r="L43" i="2"/>
  <c r="L189" i="2"/>
  <c r="N51" i="2"/>
  <c r="N13" i="2"/>
  <c r="E302" i="2"/>
  <c r="N62" i="2"/>
  <c r="N26" i="2"/>
  <c r="E378" i="2"/>
  <c r="E83" i="2"/>
  <c r="E30" i="2"/>
  <c r="E4" i="2"/>
  <c r="M60" i="2"/>
  <c r="M23" i="2"/>
  <c r="M49" i="2"/>
  <c r="M11" i="2"/>
  <c r="H91" i="2"/>
  <c r="N95" i="2"/>
  <c r="G115" i="2"/>
  <c r="G58" i="2"/>
  <c r="G21" i="2"/>
  <c r="H37" i="2"/>
  <c r="H167" i="2"/>
  <c r="G108" i="2"/>
  <c r="H101" i="2"/>
  <c r="H60" i="2"/>
  <c r="H23" i="2"/>
  <c r="H50" i="2"/>
  <c r="H12" i="2"/>
  <c r="H79" i="2"/>
  <c r="N72" i="2"/>
  <c r="N105" i="2"/>
  <c r="F33" i="2"/>
  <c r="M315" i="2"/>
  <c r="M112" i="2"/>
  <c r="M70" i="2"/>
  <c r="F7" i="2"/>
  <c r="F194" i="2"/>
  <c r="L83" i="2"/>
  <c r="L30" i="2"/>
  <c r="L68" i="2"/>
  <c r="K93" i="2"/>
  <c r="K103" i="2"/>
  <c r="K66" i="2"/>
  <c r="J81" i="2"/>
  <c r="J54" i="2"/>
  <c r="J16" i="2"/>
  <c r="J64" i="2"/>
  <c r="J28" i="2"/>
  <c r="J110" i="2"/>
  <c r="E89" i="2"/>
  <c r="E56" i="2"/>
  <c r="E19" i="2"/>
  <c r="E75" i="2"/>
  <c r="M159" i="2"/>
  <c r="M188" i="2"/>
  <c r="E54" i="2"/>
  <c r="E16" i="2"/>
  <c r="M178" i="2"/>
  <c r="M145" i="2"/>
  <c r="K131" i="2"/>
  <c r="K117" i="2"/>
  <c r="K36" i="2"/>
  <c r="K166" i="2"/>
  <c r="I62" i="2"/>
  <c r="I26" i="2"/>
  <c r="K151" i="2"/>
  <c r="E135" i="2"/>
  <c r="E42" i="2"/>
  <c r="E174" i="2"/>
  <c r="J137" i="2"/>
  <c r="J124" i="2"/>
  <c r="F77" i="2"/>
  <c r="G164" i="2"/>
  <c r="G156" i="2"/>
  <c r="G122" i="2"/>
  <c r="G149" i="2"/>
  <c r="N119" i="2"/>
  <c r="I142" i="2"/>
  <c r="I186" i="2"/>
  <c r="I176" i="2"/>
  <c r="N183" i="2"/>
  <c r="H181" i="2"/>
  <c r="N139" i="2"/>
  <c r="N127" i="2"/>
  <c r="L304" i="2"/>
  <c r="L265" i="2"/>
  <c r="L294" i="2"/>
  <c r="L299" i="2"/>
  <c r="E315" i="2"/>
  <c r="E112" i="2"/>
  <c r="L225" i="2"/>
  <c r="L235" i="2"/>
  <c r="L6" i="2"/>
  <c r="L193" i="2"/>
  <c r="G307" i="2"/>
  <c r="G297" i="2"/>
  <c r="G268" i="2"/>
  <c r="M249" i="2"/>
  <c r="J200" i="2"/>
  <c r="M254" i="2"/>
  <c r="J213" i="2"/>
  <c r="J208" i="2"/>
  <c r="F169" i="2"/>
  <c r="J275" i="2"/>
  <c r="G328" i="2"/>
  <c r="M260" i="2"/>
  <c r="I252" i="2"/>
  <c r="I258" i="2"/>
  <c r="I218" i="2"/>
  <c r="J285" i="2"/>
  <c r="N202" i="2"/>
  <c r="N215" i="2"/>
  <c r="J280" i="2"/>
  <c r="N220" i="2"/>
  <c r="J380" i="2"/>
  <c r="G228" i="2"/>
  <c r="J350" i="2"/>
  <c r="J317" i="2"/>
  <c r="G233" i="2"/>
  <c r="J52" i="2"/>
  <c r="J14" i="2"/>
  <c r="G238" i="2"/>
  <c r="H290" i="2"/>
  <c r="H245" i="2"/>
  <c r="H191" i="2"/>
  <c r="J360" i="2"/>
  <c r="H223" i="2"/>
  <c r="F211" i="2"/>
  <c r="H263" i="2"/>
  <c r="F198" i="2"/>
  <c r="F273" i="2"/>
  <c r="H373" i="2"/>
  <c r="H99" i="2"/>
  <c r="H9" i="2"/>
  <c r="F302" i="2"/>
  <c r="F283" i="2"/>
  <c r="N287" i="2"/>
  <c r="G340" i="2"/>
  <c r="E243" i="2"/>
  <c r="K240" i="2"/>
  <c r="G7" i="2"/>
  <c r="G194" i="2"/>
  <c r="N319" i="2"/>
  <c r="K230" i="2"/>
  <c r="M369" i="2"/>
  <c r="L89" i="2"/>
  <c r="L56" i="2"/>
  <c r="L19" i="2"/>
  <c r="L375" i="2"/>
  <c r="N277" i="2"/>
  <c r="K312" i="2"/>
  <c r="K153" i="2"/>
  <c r="L93" i="2"/>
  <c r="M337" i="2"/>
  <c r="I91" i="2"/>
  <c r="K270" i="2"/>
  <c r="N330" i="2"/>
  <c r="M43" i="2"/>
  <c r="M189" i="2"/>
  <c r="N362" i="2"/>
  <c r="M68" i="2"/>
  <c r="I367" i="2"/>
  <c r="M58" i="2"/>
  <c r="M21" i="2"/>
  <c r="I355" i="2"/>
  <c r="F83" i="2"/>
  <c r="F30" i="2"/>
  <c r="I50" i="2"/>
  <c r="I12" i="2"/>
  <c r="F89" i="2"/>
  <c r="F56" i="2"/>
  <c r="F19" i="2"/>
  <c r="I333" i="2"/>
  <c r="F75" i="2"/>
  <c r="F54" i="2"/>
  <c r="F16" i="2"/>
  <c r="K54" i="2"/>
  <c r="K16" i="2"/>
  <c r="E73" i="2"/>
  <c r="M325" i="2"/>
  <c r="K342" i="2"/>
  <c r="E52" i="2"/>
  <c r="E14" i="2"/>
  <c r="F4" i="2"/>
  <c r="I322" i="2"/>
  <c r="E63" i="2"/>
  <c r="E27" i="2"/>
  <c r="F140" i="2"/>
  <c r="F348" i="2"/>
  <c r="N70" i="2"/>
  <c r="F98" i="2"/>
  <c r="F8" i="2"/>
  <c r="F358" i="2"/>
  <c r="N60" i="2"/>
  <c r="N23" i="2"/>
  <c r="F128" i="2"/>
  <c r="F378" i="2"/>
  <c r="N49" i="2"/>
  <c r="N11" i="2"/>
  <c r="N83" i="2"/>
  <c r="N30" i="2"/>
  <c r="E353" i="2"/>
  <c r="L131" i="2"/>
  <c r="K81" i="2"/>
  <c r="L117" i="2"/>
  <c r="K64" i="2"/>
  <c r="K28" i="2"/>
  <c r="I79" i="2"/>
  <c r="L103" i="2"/>
  <c r="L151" i="2"/>
  <c r="L36" i="2"/>
  <c r="L166" i="2"/>
  <c r="N315" i="2"/>
  <c r="N112" i="2"/>
  <c r="I60" i="2"/>
  <c r="I23" i="2"/>
  <c r="J62" i="2"/>
  <c r="J26" i="2"/>
  <c r="N159" i="2"/>
  <c r="N145" i="2"/>
  <c r="H58" i="2"/>
  <c r="H21" i="2"/>
  <c r="H156" i="2"/>
  <c r="H164" i="2"/>
  <c r="G33" i="2"/>
  <c r="H122" i="2"/>
  <c r="G77" i="2"/>
  <c r="H149" i="2"/>
  <c r="H108" i="2"/>
  <c r="L66" i="2"/>
  <c r="N188" i="2"/>
  <c r="E120" i="2"/>
  <c r="N178" i="2"/>
  <c r="F216" i="2"/>
  <c r="E106" i="2"/>
  <c r="K137" i="2"/>
  <c r="K124" i="2"/>
  <c r="F42" i="2"/>
  <c r="F174" i="2"/>
  <c r="K110" i="2"/>
  <c r="I115" i="2"/>
  <c r="I181" i="2"/>
  <c r="I101" i="2"/>
  <c r="I191" i="2"/>
  <c r="I223" i="2"/>
  <c r="G211" i="2"/>
  <c r="G198" i="2"/>
  <c r="G203" i="2"/>
  <c r="G169" i="2"/>
  <c r="J176" i="2"/>
  <c r="M265" i="2"/>
  <c r="J218" i="2"/>
  <c r="M299" i="2"/>
  <c r="M235" i="2"/>
  <c r="G135" i="2"/>
  <c r="J186" i="2"/>
  <c r="M294" i="2"/>
  <c r="K200" i="2"/>
  <c r="K208" i="2"/>
  <c r="K213" i="2"/>
  <c r="J142" i="2"/>
  <c r="H228" i="2"/>
  <c r="J258" i="2"/>
  <c r="H233" i="2"/>
  <c r="J252" i="2"/>
  <c r="E221" i="2"/>
  <c r="J290" i="2"/>
  <c r="J245" i="2"/>
  <c r="H297" i="2"/>
  <c r="E184" i="2"/>
  <c r="H238" i="2"/>
  <c r="M225" i="2"/>
  <c r="H268" i="2"/>
  <c r="M6" i="2"/>
  <c r="M193" i="2"/>
  <c r="I263" i="2"/>
  <c r="I290" i="2"/>
  <c r="I245" i="2"/>
  <c r="E278" i="2"/>
  <c r="E288" i="2"/>
  <c r="L39" i="2"/>
  <c r="L171" i="2"/>
  <c r="L270" i="2"/>
  <c r="L240" i="2"/>
  <c r="L230" i="2"/>
  <c r="L280" i="2"/>
  <c r="N260" i="2"/>
  <c r="N254" i="2"/>
  <c r="N249" i="2"/>
  <c r="G283" i="2"/>
  <c r="G273" i="2"/>
  <c r="L284" i="2"/>
  <c r="L295" i="2"/>
  <c r="L273" i="2"/>
  <c r="G128" i="2"/>
  <c r="F243" i="2"/>
  <c r="G141" i="2"/>
  <c r="G378" i="2"/>
  <c r="K285" i="2"/>
  <c r="G38" i="2"/>
  <c r="G168" i="2"/>
  <c r="K275" i="2"/>
  <c r="G312" i="2"/>
  <c r="G153" i="2"/>
  <c r="F320" i="2"/>
  <c r="F331" i="2"/>
  <c r="K228" i="2"/>
  <c r="G302" i="2"/>
  <c r="F353" i="2"/>
  <c r="M163" i="2"/>
  <c r="K239" i="2"/>
  <c r="G358" i="2"/>
  <c r="M375" i="2"/>
  <c r="G315" i="2"/>
  <c r="G112" i="2"/>
  <c r="G348" i="2"/>
  <c r="I373" i="2"/>
  <c r="N185" i="2"/>
  <c r="M42" i="2"/>
  <c r="M174" i="2"/>
  <c r="M136" i="2"/>
  <c r="N325" i="2"/>
  <c r="N210" i="2"/>
  <c r="K40" i="2"/>
  <c r="K172" i="2"/>
  <c r="N369" i="2"/>
  <c r="N337" i="2"/>
  <c r="K159" i="2"/>
  <c r="N221" i="2"/>
  <c r="M304" i="2"/>
  <c r="J355" i="2"/>
  <c r="K134" i="2"/>
  <c r="J333" i="2"/>
  <c r="N241" i="2"/>
  <c r="K380" i="2"/>
  <c r="J367" i="2"/>
  <c r="L146" i="2"/>
  <c r="J322" i="2"/>
  <c r="F199" i="2"/>
  <c r="F177" i="2"/>
  <c r="H328" i="2"/>
  <c r="H307" i="2"/>
  <c r="F188" i="2"/>
  <c r="H340" i="2"/>
  <c r="I131" i="2"/>
  <c r="K360" i="2"/>
  <c r="K317" i="2"/>
  <c r="I143" i="2"/>
  <c r="F213" i="2"/>
  <c r="I170" i="2"/>
  <c r="J203" i="2"/>
  <c r="L312" i="2"/>
  <c r="L153" i="2"/>
  <c r="I156" i="2"/>
  <c r="L350" i="2"/>
  <c r="N124" i="2"/>
  <c r="L342" i="2"/>
  <c r="J217" i="2"/>
  <c r="N149" i="2"/>
  <c r="J192" i="2"/>
  <c r="E363" i="2"/>
  <c r="E36" i="2"/>
  <c r="E166" i="2"/>
  <c r="E139" i="2"/>
  <c r="I226" i="2"/>
  <c r="I237" i="2"/>
  <c r="M230" i="2"/>
  <c r="M7" i="2"/>
  <c r="M194" i="2"/>
  <c r="G224" i="2"/>
  <c r="G235" i="2"/>
  <c r="L183" i="2"/>
  <c r="J181" i="2"/>
  <c r="L219" i="2"/>
  <c r="L208" i="2"/>
  <c r="H44" i="2"/>
  <c r="H190" i="2"/>
  <c r="H215" i="2"/>
  <c r="H201" i="2"/>
  <c r="F287" i="2"/>
  <c r="F267" i="2"/>
  <c r="H179" i="2"/>
  <c r="F300" i="2"/>
  <c r="F278" i="2"/>
  <c r="E233" i="2"/>
  <c r="J304" i="2"/>
  <c r="F374" i="2"/>
  <c r="J282" i="2"/>
  <c r="J6" i="2"/>
  <c r="J193" i="2"/>
  <c r="J293" i="2"/>
  <c r="J61" i="2"/>
  <c r="J25" i="2"/>
  <c r="J271" i="2"/>
  <c r="J39" i="2"/>
  <c r="J171" i="2"/>
  <c r="J37" i="2"/>
  <c r="J167" i="2"/>
  <c r="J43" i="2"/>
  <c r="J189" i="2"/>
  <c r="J49" i="2"/>
  <c r="J11" i="2"/>
  <c r="G337" i="2"/>
  <c r="H280" i="2"/>
  <c r="G326" i="2"/>
  <c r="J51" i="2"/>
  <c r="J13" i="2"/>
  <c r="H302" i="2"/>
  <c r="J3" i="2"/>
  <c r="G351" i="2"/>
  <c r="J98" i="2"/>
  <c r="J8" i="2"/>
  <c r="H269" i="2"/>
  <c r="M252" i="2"/>
  <c r="G314" i="2"/>
  <c r="G111" i="2"/>
  <c r="J57" i="2"/>
  <c r="J20" i="2"/>
  <c r="M264" i="2"/>
  <c r="J378" i="2"/>
  <c r="J88" i="2"/>
  <c r="J55" i="2"/>
  <c r="J18" i="2"/>
  <c r="J53" i="2"/>
  <c r="J15" i="2"/>
  <c r="J41" i="2"/>
  <c r="J173" i="2"/>
  <c r="N275" i="2"/>
  <c r="G258" i="2"/>
  <c r="G289" i="2"/>
  <c r="G244" i="2"/>
  <c r="N297" i="2"/>
  <c r="I328" i="2"/>
  <c r="J67" i="2"/>
  <c r="E255" i="2"/>
  <c r="I316" i="2"/>
  <c r="J65" i="2"/>
  <c r="K250" i="2"/>
  <c r="I353" i="2"/>
  <c r="J83" i="2"/>
  <c r="J30" i="2"/>
  <c r="K262" i="2"/>
  <c r="I339" i="2"/>
  <c r="J33" i="2"/>
  <c r="I260" i="2"/>
  <c r="J35" i="2"/>
  <c r="J165" i="2"/>
  <c r="I248" i="2"/>
  <c r="J63" i="2"/>
  <c r="J27" i="2"/>
  <c r="J59" i="2"/>
  <c r="J22" i="2"/>
  <c r="L306" i="2"/>
  <c r="J69" i="2"/>
  <c r="L368" i="2"/>
  <c r="M357" i="2"/>
  <c r="M320" i="2"/>
  <c r="M346" i="2"/>
  <c r="M332" i="2"/>
  <c r="K355" i="2"/>
  <c r="K341" i="2"/>
  <c r="K318" i="2"/>
  <c r="K330" i="2"/>
  <c r="E349" i="2"/>
  <c r="E323" i="2"/>
  <c r="G93" i="2"/>
  <c r="N308" i="2"/>
  <c r="N370" i="2"/>
  <c r="J77" i="2"/>
  <c r="J71" i="2"/>
  <c r="H376" i="2"/>
  <c r="J75" i="2"/>
  <c r="J131" i="2"/>
  <c r="J73" i="2"/>
  <c r="J366" i="2"/>
  <c r="J95" i="2"/>
  <c r="H362" i="2"/>
  <c r="M314" i="2"/>
  <c r="M111" i="2"/>
  <c r="F360" i="2"/>
  <c r="L380" i="2"/>
  <c r="M83" i="2"/>
  <c r="M30" i="2"/>
  <c r="M122" i="2"/>
  <c r="N136" i="2"/>
  <c r="E91" i="2"/>
  <c r="N163" i="2"/>
  <c r="I107" i="2"/>
  <c r="N42" i="2"/>
  <c r="N174" i="2"/>
  <c r="I118" i="2"/>
  <c r="N7" i="2"/>
  <c r="N194" i="2"/>
  <c r="M295" i="2"/>
  <c r="M306" i="2"/>
  <c r="M273" i="2"/>
  <c r="K120" i="2"/>
  <c r="K143" i="2"/>
  <c r="K109" i="2"/>
  <c r="K181" i="2"/>
  <c r="L99" i="2"/>
  <c r="L9" i="2"/>
  <c r="L81" i="2"/>
  <c r="N88" i="2"/>
  <c r="N55" i="2"/>
  <c r="N18" i="2"/>
  <c r="K79" i="2"/>
  <c r="H38" i="2"/>
  <c r="H168" i="2"/>
  <c r="F139" i="2"/>
  <c r="H312" i="2"/>
  <c r="H153" i="2"/>
  <c r="H141" i="2"/>
  <c r="F150" i="2"/>
  <c r="N102" i="2"/>
  <c r="F36" i="2"/>
  <c r="F166" i="2"/>
  <c r="G116" i="2"/>
  <c r="G188" i="2"/>
  <c r="G105" i="2"/>
  <c r="G177" i="2"/>
  <c r="E114" i="2"/>
  <c r="J156" i="2"/>
  <c r="H128" i="2"/>
  <c r="J170" i="2"/>
  <c r="F126" i="2"/>
  <c r="M183" i="2"/>
  <c r="M146" i="2"/>
  <c r="L40" i="2"/>
  <c r="L172" i="2"/>
  <c r="L134" i="2"/>
  <c r="H258" i="2"/>
  <c r="H224" i="2"/>
  <c r="H289" i="2"/>
  <c r="H244" i="2"/>
  <c r="L159" i="2"/>
  <c r="H235" i="2"/>
  <c r="F233" i="2"/>
  <c r="L192" i="2"/>
  <c r="F255" i="2"/>
  <c r="F242" i="2"/>
  <c r="I44" i="2"/>
  <c r="I190" i="2"/>
  <c r="F222" i="2"/>
  <c r="E298" i="2"/>
  <c r="I179" i="2"/>
  <c r="K217" i="2"/>
  <c r="E276" i="2"/>
  <c r="K203" i="2"/>
  <c r="M208" i="2"/>
  <c r="M239" i="2"/>
  <c r="M219" i="2"/>
  <c r="G300" i="2"/>
  <c r="E186" i="2"/>
  <c r="I201" i="2"/>
  <c r="G287" i="2"/>
  <c r="I215" i="2"/>
  <c r="G267" i="2"/>
  <c r="J248" i="2"/>
  <c r="G278" i="2"/>
  <c r="J237" i="2"/>
  <c r="K282" i="2"/>
  <c r="G78" i="2"/>
  <c r="K304" i="2"/>
  <c r="G374" i="2"/>
  <c r="J226" i="2"/>
  <c r="G360" i="2"/>
  <c r="K271" i="2"/>
  <c r="N230" i="2"/>
  <c r="N252" i="2"/>
  <c r="K293" i="2"/>
  <c r="L228" i="2"/>
  <c r="L250" i="2"/>
  <c r="I269" i="2"/>
  <c r="I289" i="2"/>
  <c r="I244" i="2"/>
  <c r="I280" i="2"/>
  <c r="I302" i="2"/>
  <c r="E211" i="2"/>
  <c r="I376" i="2"/>
  <c r="I362" i="2"/>
  <c r="G199" i="2"/>
  <c r="G213" i="2"/>
  <c r="N264" i="2"/>
  <c r="M368" i="2"/>
  <c r="N284" i="2"/>
  <c r="M380" i="2"/>
  <c r="H326" i="2"/>
  <c r="H314" i="2"/>
  <c r="H111" i="2"/>
  <c r="J99" i="2"/>
  <c r="J9" i="2"/>
  <c r="H337" i="2"/>
  <c r="J119" i="2"/>
  <c r="L318" i="2"/>
  <c r="H351" i="2"/>
  <c r="N108" i="2"/>
  <c r="L262" i="2"/>
  <c r="L355" i="2"/>
  <c r="L330" i="2"/>
  <c r="N128" i="2"/>
  <c r="J260" i="2"/>
  <c r="J316" i="2"/>
  <c r="G91" i="2"/>
  <c r="L341" i="2"/>
  <c r="G80" i="2"/>
  <c r="F349" i="2"/>
  <c r="F333" i="2"/>
  <c r="G137" i="2"/>
  <c r="J328" i="2"/>
  <c r="F323" i="2"/>
  <c r="J353" i="2"/>
  <c r="G113" i="2"/>
  <c r="G82" i="2"/>
  <c r="G89" i="2"/>
  <c r="G56" i="2"/>
  <c r="G19" i="2"/>
  <c r="J339" i="2"/>
  <c r="N346" i="2"/>
  <c r="G84" i="2"/>
  <c r="G31" i="2"/>
  <c r="F312" i="2"/>
  <c r="F153" i="2"/>
  <c r="N357" i="2"/>
  <c r="N320" i="2"/>
  <c r="I95" i="2"/>
  <c r="K366" i="2"/>
  <c r="K378" i="2"/>
  <c r="E132" i="2"/>
  <c r="H93" i="2"/>
  <c r="K102" i="2"/>
  <c r="M175" i="2"/>
  <c r="K121" i="2"/>
  <c r="M198" i="2"/>
  <c r="F314" i="2"/>
  <c r="F111" i="2"/>
  <c r="M151" i="2"/>
  <c r="F135" i="2"/>
  <c r="N313" i="2"/>
  <c r="N154" i="2"/>
  <c r="M126" i="2"/>
  <c r="N177" i="2"/>
  <c r="E371" i="2"/>
  <c r="M106" i="2"/>
  <c r="F159" i="2"/>
  <c r="F182" i="2"/>
  <c r="N200" i="2"/>
  <c r="L104" i="2"/>
  <c r="H139" i="2"/>
  <c r="L123" i="2"/>
  <c r="H115" i="2"/>
  <c r="L41" i="2"/>
  <c r="L173" i="2"/>
  <c r="L7" i="2"/>
  <c r="L194" i="2"/>
  <c r="L149" i="2"/>
  <c r="J44" i="2"/>
  <c r="J190" i="2"/>
  <c r="J169" i="2"/>
  <c r="J143" i="2"/>
  <c r="K146" i="2"/>
  <c r="K192" i="2"/>
  <c r="K39" i="2"/>
  <c r="K171" i="2"/>
  <c r="I117" i="2"/>
  <c r="G184" i="2"/>
  <c r="H186" i="2"/>
  <c r="H35" i="2"/>
  <c r="H165" i="2"/>
  <c r="G163" i="2"/>
  <c r="I37" i="2"/>
  <c r="I167" i="2"/>
  <c r="H295" i="2"/>
  <c r="H274" i="2"/>
  <c r="K237" i="2"/>
  <c r="I188" i="2"/>
  <c r="K216" i="2"/>
  <c r="I141" i="2"/>
  <c r="K259" i="2"/>
  <c r="F227" i="2"/>
  <c r="F203" i="2"/>
  <c r="F248" i="2"/>
  <c r="H231" i="2"/>
  <c r="H210" i="2"/>
  <c r="H252" i="2"/>
  <c r="N243" i="2"/>
  <c r="E180" i="2"/>
  <c r="N222" i="2"/>
  <c r="G208" i="2"/>
  <c r="G250" i="2"/>
  <c r="G229" i="2"/>
  <c r="M241" i="2"/>
  <c r="M220" i="2"/>
  <c r="L239" i="2"/>
  <c r="L218" i="2"/>
  <c r="J214" i="2"/>
  <c r="J235" i="2"/>
  <c r="G293" i="2"/>
  <c r="J257" i="2"/>
  <c r="G317" i="2"/>
  <c r="I212" i="2"/>
  <c r="G272" i="2"/>
  <c r="I254" i="2"/>
  <c r="J278" i="2"/>
  <c r="I233" i="2"/>
  <c r="E131" i="2"/>
  <c r="E113" i="2"/>
  <c r="J299" i="2"/>
  <c r="E140" i="2"/>
  <c r="I297" i="2"/>
  <c r="I276" i="2"/>
  <c r="E98" i="2"/>
  <c r="E8" i="2"/>
  <c r="E313" i="2"/>
  <c r="E154" i="2"/>
  <c r="E109" i="2"/>
  <c r="E105" i="2"/>
  <c r="E268" i="2"/>
  <c r="K326" i="2"/>
  <c r="K374" i="2"/>
  <c r="K350" i="2"/>
  <c r="E101" i="2"/>
  <c r="E136" i="2"/>
  <c r="E128" i="2"/>
  <c r="E138" i="2"/>
  <c r="F270" i="2"/>
  <c r="F315" i="2"/>
  <c r="F112" i="2"/>
  <c r="F289" i="2"/>
  <c r="F244" i="2"/>
  <c r="L328" i="2"/>
  <c r="L376" i="2"/>
  <c r="L352" i="2"/>
  <c r="E225" i="2"/>
  <c r="K301" i="2"/>
  <c r="E103" i="2"/>
  <c r="E115" i="2"/>
  <c r="E126" i="2"/>
  <c r="M263" i="2"/>
  <c r="K280" i="2"/>
  <c r="I321" i="2"/>
  <c r="I346" i="2"/>
  <c r="E117" i="2"/>
  <c r="M305" i="2"/>
  <c r="I369" i="2"/>
  <c r="M284" i="2"/>
  <c r="E121" i="2"/>
  <c r="H367" i="2"/>
  <c r="E107" i="2"/>
  <c r="E299" i="2"/>
  <c r="N265" i="2"/>
  <c r="E289" i="2"/>
  <c r="E244" i="2"/>
  <c r="H341" i="2"/>
  <c r="E318" i="2"/>
  <c r="E134" i="2"/>
  <c r="N286" i="2"/>
  <c r="E271" i="2"/>
  <c r="E123" i="2"/>
  <c r="H319" i="2"/>
  <c r="N307" i="2"/>
  <c r="E297" i="2"/>
  <c r="E314" i="2"/>
  <c r="E111" i="2"/>
  <c r="M330" i="2"/>
  <c r="E119" i="2"/>
  <c r="L282" i="2"/>
  <c r="E269" i="2"/>
  <c r="M354" i="2"/>
  <c r="E148" i="2"/>
  <c r="E273" i="2"/>
  <c r="L261" i="2"/>
  <c r="E303" i="2"/>
  <c r="E142" i="2"/>
  <c r="M378" i="2"/>
  <c r="L303" i="2"/>
  <c r="E293" i="2"/>
  <c r="E285" i="2"/>
  <c r="E145" i="2"/>
  <c r="J371" i="2"/>
  <c r="E277" i="2"/>
  <c r="J348" i="2"/>
  <c r="E279" i="2"/>
  <c r="E281" i="2"/>
  <c r="J323" i="2"/>
  <c r="E312" i="2"/>
  <c r="E153" i="2"/>
  <c r="E287" i="2"/>
  <c r="E305" i="2"/>
  <c r="E283" i="2"/>
  <c r="E316" i="2"/>
  <c r="E275" i="2"/>
  <c r="E267" i="2"/>
  <c r="G363" i="2"/>
  <c r="E187" i="2"/>
  <c r="G339" i="2"/>
  <c r="F361" i="2"/>
  <c r="E43" i="2"/>
  <c r="E189" i="2"/>
  <c r="E6" i="2"/>
  <c r="E193" i="2"/>
  <c r="E295" i="2"/>
  <c r="F337" i="2"/>
  <c r="E307" i="2"/>
  <c r="E179" i="2"/>
  <c r="E320" i="2"/>
  <c r="E301" i="2"/>
  <c r="E203" i="2"/>
  <c r="E175" i="2"/>
  <c r="E41" i="2"/>
  <c r="E173" i="2"/>
  <c r="E169" i="2"/>
  <c r="E183" i="2"/>
  <c r="E331" i="2"/>
  <c r="N356" i="2"/>
  <c r="E185" i="2"/>
  <c r="E352" i="2"/>
  <c r="N332" i="2"/>
  <c r="E94" i="2"/>
  <c r="E208" i="2"/>
  <c r="E379" i="2"/>
  <c r="E359" i="2"/>
  <c r="E163" i="2"/>
  <c r="E37" i="2"/>
  <c r="E167" i="2"/>
  <c r="E346" i="2"/>
  <c r="E191" i="2"/>
  <c r="E348" i="2"/>
  <c r="E181" i="2"/>
  <c r="E362" i="2"/>
  <c r="E177" i="2"/>
  <c r="E39" i="2"/>
  <c r="E171" i="2"/>
  <c r="E199" i="2"/>
  <c r="E341" i="2"/>
  <c r="E360" i="2"/>
  <c r="E92" i="2"/>
  <c r="E156" i="2"/>
  <c r="E354" i="2"/>
  <c r="E325" i="2"/>
  <c r="E201" i="2"/>
  <c r="E197" i="2"/>
  <c r="E150" i="2"/>
  <c r="E159" i="2"/>
  <c r="E327" i="2"/>
  <c r="N380" i="2"/>
  <c r="E35" i="2"/>
  <c r="E165" i="2"/>
  <c r="E377" i="2"/>
  <c r="E210" i="2"/>
  <c r="E337" i="2"/>
  <c r="E373" i="2"/>
  <c r="E356" i="2"/>
  <c r="E375" i="2"/>
  <c r="E214" i="2"/>
  <c r="E322" i="2"/>
  <c r="E242" i="2"/>
  <c r="E261" i="2"/>
  <c r="E350" i="2"/>
  <c r="E212" i="2"/>
  <c r="E329" i="2"/>
  <c r="E216" i="2"/>
  <c r="E240" i="2"/>
  <c r="E368" i="2"/>
  <c r="E236" i="2"/>
  <c r="E228" i="2"/>
  <c r="E339" i="2"/>
  <c r="E370" i="2"/>
  <c r="E218" i="2"/>
  <c r="E230" i="2"/>
  <c r="E333" i="2"/>
  <c r="E224" i="2"/>
  <c r="E366" i="2"/>
  <c r="E238" i="2"/>
  <c r="E358" i="2"/>
  <c r="E248" i="2"/>
  <c r="E254" i="2"/>
  <c r="E220" i="2"/>
  <c r="E222" i="2"/>
  <c r="E257" i="2"/>
  <c r="E252" i="2"/>
  <c r="E226" i="2"/>
  <c r="E234" i="2"/>
  <c r="E265" i="2"/>
  <c r="E232" i="2"/>
  <c r="E250" i="2"/>
  <c r="E259" i="2"/>
  <c r="E263" i="2"/>
</calcChain>
</file>

<file path=xl/sharedStrings.xml><?xml version="1.0" encoding="utf-8"?>
<sst xmlns="http://schemas.openxmlformats.org/spreadsheetml/2006/main" count="941" uniqueCount="418">
  <si>
    <t>Spirit Airlines Inc- Company Financial (Multiple Periods)</t>
  </si>
  <si>
    <t>SAVE US Equity    Periodicity:A    Currency:USD    Estimate Source:BST    Actual Source:Bloomberg</t>
  </si>
  <si>
    <t>In Millions of USD</t>
  </si>
  <si>
    <t>12 Months Ending</t>
  </si>
  <si>
    <t>Field Expression</t>
  </si>
  <si>
    <t>Calcrt Field</t>
  </si>
  <si>
    <t>Segment Id</t>
  </si>
  <si>
    <t xml:space="preserve">  Highlights</t>
  </si>
  <si>
    <t>Highlights</t>
  </si>
  <si>
    <t xml:space="preserve">  Adjusted Diluted EPS</t>
  </si>
  <si>
    <t>IS_COMP_EPS_ADJUSTED_OLD</t>
  </si>
  <si>
    <t>Non-GAAP Diluted EPS</t>
  </si>
  <si>
    <t xml:space="preserve">    YOY Growth</t>
  </si>
  <si>
    <t xml:space="preserve">  Revenue</t>
  </si>
  <si>
    <t>IS_COMP_SALES</t>
  </si>
  <si>
    <t>Revenue</t>
  </si>
  <si>
    <t xml:space="preserve">  </t>
  </si>
  <si>
    <t>REV_PASS_MILES_KM</t>
  </si>
  <si>
    <t>Revenue Passenger Miles (RPMs)</t>
  </si>
  <si>
    <t xml:space="preserve">  Available Seat Miles (Km)</t>
  </si>
  <si>
    <t>AVAIL_SEAT_MILES_KM</t>
  </si>
  <si>
    <t>Available Seat Miles (ASMs)</t>
  </si>
  <si>
    <t xml:space="preserve">  Load Factor (%)</t>
  </si>
  <si>
    <t>LOAD_FACTOR</t>
  </si>
  <si>
    <t>Passenger Load Factor (%)</t>
  </si>
  <si>
    <t xml:space="preserve">  Passenger Revenue</t>
  </si>
  <si>
    <t>TOTAL_PASSENGER_REVENUE</t>
  </si>
  <si>
    <t xml:space="preserve">  Passenger Revenue per ASM (ASK)</t>
  </si>
  <si>
    <t>PASSENGER_REVENUE_PER_ASM</t>
  </si>
  <si>
    <t xml:space="preserve">  Yield</t>
  </si>
  <si>
    <t>YIELD_PER_PASS_MILES_KM</t>
  </si>
  <si>
    <t xml:space="preserve">  Cost per ASM (ASK)</t>
  </si>
  <si>
    <t>OP_EXP_PER_ASM_ASK</t>
  </si>
  <si>
    <t xml:space="preserve">  Cost per ASM (ASK) - Ex-Fuel</t>
  </si>
  <si>
    <t>CONS_COST_PER_ASM_EX_FUEL</t>
  </si>
  <si>
    <t xml:space="preserve">  Size of Fleet</t>
  </si>
  <si>
    <t>SIZE_OF_FLEET</t>
  </si>
  <si>
    <t xml:space="preserve">  Adjusted Operating Expenses</t>
  </si>
  <si>
    <t>IS_OPERATING_EXPN</t>
  </si>
  <si>
    <t xml:space="preserve">  Adjusted Operating Income</t>
  </si>
  <si>
    <t>IS_COMPARABLE_EBIT</t>
  </si>
  <si>
    <t>Adjusted Operating Income</t>
  </si>
  <si>
    <t xml:space="preserve">    Operating Margin (%)</t>
  </si>
  <si>
    <t>CB_IS_ADJ_OPERATING_MARGIN</t>
  </si>
  <si>
    <t xml:space="preserve">      YOY Growth</t>
  </si>
  <si>
    <t xml:space="preserve">  Adjusted EBITDA</t>
  </si>
  <si>
    <t>IS_COMPARABLE_EBITDA</t>
  </si>
  <si>
    <t xml:space="preserve">    EBITDA Margin (%)</t>
  </si>
  <si>
    <t>EBITDA_TO_REVENUE</t>
  </si>
  <si>
    <t xml:space="preserve">  Adjusted Net Income</t>
  </si>
  <si>
    <t>IS_COMP_NET_INCOME_ADJUST_OLD</t>
  </si>
  <si>
    <t xml:space="preserve">  Company Operating Metrics</t>
  </si>
  <si>
    <t>Company Operating Metrics</t>
  </si>
  <si>
    <t xml:space="preserve">  Company-Level Industry Statistics</t>
  </si>
  <si>
    <t>Company-Level Industry Statistics</t>
  </si>
  <si>
    <t xml:space="preserve">  Revenue Passenger Miles</t>
  </si>
  <si>
    <t>Revenue Passenger Miles (RPM)</t>
  </si>
  <si>
    <t xml:space="preserve">  Available Seat Miles</t>
  </si>
  <si>
    <t>Available Seat Miles (ASM)</t>
  </si>
  <si>
    <t xml:space="preserve">  Passenger Load Factor (%)</t>
  </si>
  <si>
    <t xml:space="preserve">  Passenger Revenue per Available Seat Mile (%)</t>
  </si>
  <si>
    <t xml:space="preserve">  Yield per Passenger Mile/Kms</t>
  </si>
  <si>
    <t xml:space="preserve">  Cost per Available Seat Mile (%)</t>
  </si>
  <si>
    <t xml:space="preserve">  Cost per Available Seat Mile ex-Fuel (%)</t>
  </si>
  <si>
    <t xml:space="preserve">  Cost per Available Seat Mile/Km Ex-Fuel</t>
  </si>
  <si>
    <t>COST_PER_SEAT_EXCL_ABN_ITMS</t>
  </si>
  <si>
    <t xml:space="preserve">  Fuel Price per Gallon</t>
  </si>
  <si>
    <t>FUEL_PRICE_PER_GALLON_LITRE</t>
  </si>
  <si>
    <t xml:space="preserve">  Fuel Gallons</t>
  </si>
  <si>
    <t>FUEL_GALLONS_LITRES</t>
  </si>
  <si>
    <t>Fuel Consumption</t>
  </si>
  <si>
    <t xml:space="preserve">  Available Seat Miles/Kilometers per Gallon/Liter</t>
  </si>
  <si>
    <t>ASM_PER_GALLON_LITER</t>
  </si>
  <si>
    <t>Efficiency (ASMs / Gallon)</t>
  </si>
  <si>
    <t xml:space="preserve">  Avg. Aircraft Length</t>
  </si>
  <si>
    <t>AVG_AIRCRAFT_FLIGHT_LEN</t>
  </si>
  <si>
    <t xml:space="preserve">  Avg. Passenger Fare</t>
  </si>
  <si>
    <t>AVERAGE_PASSENGER_FARE</t>
  </si>
  <si>
    <t xml:space="preserve">  Avg Aircraft Utilization</t>
  </si>
  <si>
    <t>AVG_AIRCRAFT_UTIL</t>
  </si>
  <si>
    <t xml:space="preserve">  Number of Departures</t>
  </si>
  <si>
    <t>NUMBER_OF_DEPARTURES</t>
  </si>
  <si>
    <t xml:space="preserve">  Passengers Carried</t>
  </si>
  <si>
    <t>REV_PASS_CARRIED</t>
  </si>
  <si>
    <t>Passenger Flight Segments</t>
  </si>
  <si>
    <t xml:space="preserve">  Business Breakdown</t>
  </si>
  <si>
    <t>Business Breakdown</t>
  </si>
  <si>
    <t xml:space="preserve">    Passenger</t>
  </si>
  <si>
    <t xml:space="preserve">      Fare</t>
  </si>
  <si>
    <t>SALES_REV_TURN</t>
  </si>
  <si>
    <t>Fare</t>
  </si>
  <si>
    <t>SEG0000063570 Segment</t>
  </si>
  <si>
    <t xml:space="preserve">        YOY Growth</t>
  </si>
  <si>
    <t xml:space="preserve">      Non-Fare</t>
  </si>
  <si>
    <t>Non-Fare</t>
  </si>
  <si>
    <t>SEG0000063571 Segment</t>
  </si>
  <si>
    <t xml:space="preserve">    Other</t>
  </si>
  <si>
    <t>SEG0000061722 Segment</t>
  </si>
  <si>
    <t xml:space="preserve">  Income Statement</t>
  </si>
  <si>
    <t>Income Statement</t>
  </si>
  <si>
    <t xml:space="preserve">  Total Operating Expenses</t>
  </si>
  <si>
    <t>IS_TOT_OPER_EXP</t>
  </si>
  <si>
    <t>Total Operating Expenses</t>
  </si>
  <si>
    <t xml:space="preserve">    Aircraft Fuel</t>
  </si>
  <si>
    <t>FUEL_EXPENSES</t>
  </si>
  <si>
    <t xml:space="preserve">    Personnel</t>
  </si>
  <si>
    <t>IS_PERSONNEL_EXP</t>
  </si>
  <si>
    <t>Salaries, Wages &amp; Benefits</t>
  </si>
  <si>
    <t xml:space="preserve">      As % of Revenue</t>
  </si>
  <si>
    <t>PERSONNEL_EXPN_PCT_SALES</t>
  </si>
  <si>
    <t xml:space="preserve">    Landing Fees &amp; Other Rents</t>
  </si>
  <si>
    <t>OTHER_RENTALS_LANDING_FEES</t>
  </si>
  <si>
    <t xml:space="preserve">    Depreciation &amp; Amortization</t>
  </si>
  <si>
    <t>CF_DEPR_AMORT</t>
  </si>
  <si>
    <t xml:space="preserve">    Aircraft Rent</t>
  </si>
  <si>
    <t>AIRCRAFT_RENTALS</t>
  </si>
  <si>
    <t xml:space="preserve">    Maintenance, Materials &amp; Repairs</t>
  </si>
  <si>
    <t>MAINTENANCE_MATERIALS_REPAIRS</t>
  </si>
  <si>
    <t xml:space="preserve">    Distribution</t>
  </si>
  <si>
    <t>IS_SELLING_EXPENSES</t>
  </si>
  <si>
    <t>Distribution</t>
  </si>
  <si>
    <t xml:space="preserve">    Special Charges (Credits)</t>
  </si>
  <si>
    <t>CB_IS_OTHER_ONE_TIME_CHARGES</t>
  </si>
  <si>
    <t xml:space="preserve">    Loss on Disposal of Assets</t>
  </si>
  <si>
    <t>CB_IS_GAIN_LOSS_ON_DISPOSAL_ASSETS</t>
  </si>
  <si>
    <t>CB_IS_OTHER_OPEX</t>
  </si>
  <si>
    <t>Other Operating Expenses</t>
  </si>
  <si>
    <t xml:space="preserve">  Operating Income</t>
  </si>
  <si>
    <t>IS_EBIT_AS_REPORTED</t>
  </si>
  <si>
    <t>Operating Income</t>
  </si>
  <si>
    <t>OPER_MARGIN</t>
  </si>
  <si>
    <t xml:space="preserve">  EBITDAR</t>
  </si>
  <si>
    <t>AIRLINES_EBITDAR_RATIO</t>
  </si>
  <si>
    <t xml:space="preserve">  Total Non-Operating Expense/(Income)</t>
  </si>
  <si>
    <t>IS_NON_OPERATING_INC_LOSS_GAAP</t>
  </si>
  <si>
    <t>Total Non-Operating Expense/(Income)</t>
  </si>
  <si>
    <t xml:space="preserve">    Interest Income</t>
  </si>
  <si>
    <t>IS_INT_INC</t>
  </si>
  <si>
    <t>Interest Income</t>
  </si>
  <si>
    <t xml:space="preserve">    Capitalized Interest</t>
  </si>
  <si>
    <t>IS_CAP_INT_EXP</t>
  </si>
  <si>
    <t>Capitalized Interest</t>
  </si>
  <si>
    <t xml:space="preserve">    Interest Expense</t>
  </si>
  <si>
    <t>CB_IS_INTEREST_EXPENSE</t>
  </si>
  <si>
    <t>Interest Expense</t>
  </si>
  <si>
    <t xml:space="preserve">    Other Expense/(Income)</t>
  </si>
  <si>
    <t>CB_IS_OTHER_NON_OPEX</t>
  </si>
  <si>
    <t>Other Expense/(Income)</t>
  </si>
  <si>
    <t xml:space="preserve">  Pre-Tax Income</t>
  </si>
  <si>
    <t>PRETAX_INC</t>
  </si>
  <si>
    <t>Pre-Tax Income</t>
  </si>
  <si>
    <t xml:space="preserve">  Income Tax Expense</t>
  </si>
  <si>
    <t>IS_INC_TAX_EXP</t>
  </si>
  <si>
    <t>Income Tax Expense</t>
  </si>
  <si>
    <t xml:space="preserve">    Tax Rate (%)</t>
  </si>
  <si>
    <t>EFF_TAX_RATE</t>
  </si>
  <si>
    <t xml:space="preserve">  Net Income</t>
  </si>
  <si>
    <t>IS_COMP_NET_INCOME_GAAP</t>
  </si>
  <si>
    <t xml:space="preserve">  Basic Weighted Avg. Shares</t>
  </si>
  <si>
    <t>IS_AVG_NUM_SH_FOR_EPS</t>
  </si>
  <si>
    <t>Basic Weighted Avg. Shares</t>
  </si>
  <si>
    <t xml:space="preserve">  Diluted EPS</t>
  </si>
  <si>
    <t>IS_COMP_EPS_GAAP</t>
  </si>
  <si>
    <t xml:space="preserve">  Adjusted Results</t>
  </si>
  <si>
    <t>Non-GAAP Results</t>
  </si>
  <si>
    <t xml:space="preserve">    Total Operating Expenses</t>
  </si>
  <si>
    <t>CB_IS_ADJUSTED_OPEX</t>
  </si>
  <si>
    <t xml:space="preserve">    Operating Income</t>
  </si>
  <si>
    <t xml:space="preserve">      Operating Margin (%)</t>
  </si>
  <si>
    <t>Operating Margin (%)</t>
  </si>
  <si>
    <t>IS_D_AND_A_GAAP</t>
  </si>
  <si>
    <t>Depreciation &amp; Amortization</t>
  </si>
  <si>
    <t xml:space="preserve">    EBITDA</t>
  </si>
  <si>
    <t xml:space="preserve">      EBITDA Margin (%)</t>
  </si>
  <si>
    <t xml:space="preserve">    EBITDAR</t>
  </si>
  <si>
    <t>CB_IS_ADJUSTED_EBITDAR</t>
  </si>
  <si>
    <t>EBITDAR</t>
  </si>
  <si>
    <t xml:space="preserve">      EBITDAR Margin (%)</t>
  </si>
  <si>
    <t>EBITDAR_MARGIN</t>
  </si>
  <si>
    <t>EBITDAR Margin (%)</t>
  </si>
  <si>
    <t xml:space="preserve">    Pre-Tax Income</t>
  </si>
  <si>
    <t>IS_COMP_PTP_EX_STK_BASED_COMP</t>
  </si>
  <si>
    <t xml:space="preserve">      Pre-Tax Margin (%)</t>
  </si>
  <si>
    <t>PRETAX_MARGIN</t>
  </si>
  <si>
    <t>Pre-Tax Margin (%)</t>
  </si>
  <si>
    <t xml:space="preserve">    Income Tax Expense</t>
  </si>
  <si>
    <t>CB_IS_INCOME_TAX_EXP</t>
  </si>
  <si>
    <t xml:space="preserve">      Tax Rate (%)</t>
  </si>
  <si>
    <t>CB_IS_ETR_PCT</t>
  </si>
  <si>
    <t>Tax Rate (%)</t>
  </si>
  <si>
    <t xml:space="preserve">    Current Income Tax</t>
  </si>
  <si>
    <t>IS_CURRENT_INCOME_TAX_BENEFIT</t>
  </si>
  <si>
    <t>Net Income</t>
  </si>
  <si>
    <t xml:space="preserve">    Net Income</t>
  </si>
  <si>
    <t xml:space="preserve">    Diluted Weighted Avg. Shares</t>
  </si>
  <si>
    <t>IS_SH_FOR_DILUTED_EPS</t>
  </si>
  <si>
    <t>Diluted Weighted Avg. Shares</t>
  </si>
  <si>
    <t xml:space="preserve">    Diluted EPS</t>
  </si>
  <si>
    <t>Diluted EPS</t>
  </si>
  <si>
    <t xml:space="preserve">  Company-Specific Adjustments</t>
  </si>
  <si>
    <t xml:space="preserve">    Pretax Income Adjustment</t>
  </si>
  <si>
    <t>IS_ABNORMAL_ITEM</t>
  </si>
  <si>
    <t xml:space="preserve">      Tax Effects on Abnormal Items</t>
  </si>
  <si>
    <t>IS_TAX_EFF_ON_ABNORMAL_ITEM</t>
  </si>
  <si>
    <t xml:space="preserve">    Income Tax Effect of Adjustments</t>
  </si>
  <si>
    <t>IS_INC_TAX_EFFECT_NONGAAP_REC</t>
  </si>
  <si>
    <t xml:space="preserve">    Net Income Adjustment</t>
  </si>
  <si>
    <t>IS_NET_ABNORMAL_ITEMS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</si>
  <si>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</si>
  <si>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</si>
  <si>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</si>
  <si>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</si>
  <si>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</si>
  <si>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</si>
  <si>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</si>
  <si>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 &amp; Cash Equivalents</t>
  </si>
  <si>
    <t>BS_CASH_NEAR_CASH_ITEM</t>
  </si>
  <si>
    <t>Cash &amp; Cash Equivalents</t>
  </si>
  <si>
    <t xml:space="preserve">      Cash, Cash Equivalents &amp; Short-Term Investments</t>
  </si>
  <si>
    <t>BS_CASH_CASH_EQUIVALENTS_AND_STI</t>
  </si>
  <si>
    <t xml:space="preserve">      Short-Term Investments</t>
  </si>
  <si>
    <t>BS_MKT_SEC_OTHER_ST_INVEST</t>
  </si>
  <si>
    <t>Accounts Receivable</t>
  </si>
  <si>
    <t xml:space="preserve">      Accounts Receivable</t>
  </si>
  <si>
    <t>BS_ACCTS_REC_EXCL_NOTES_REC</t>
  </si>
  <si>
    <t xml:space="preserve">      Taxes Receivable</t>
  </si>
  <si>
    <t>CB_BS_TAXES_RECEIVABLE_ST</t>
  </si>
  <si>
    <t xml:space="preserve">      Restricted Cash</t>
  </si>
  <si>
    <t>BS_RESTRICTED_CASH</t>
  </si>
  <si>
    <t xml:space="preserve">      Maintenance Deposits</t>
  </si>
  <si>
    <t>CB_BS_OTHER_CURRENT_ASSETS</t>
  </si>
  <si>
    <t>Other Current Assets</t>
  </si>
  <si>
    <t xml:space="preserve">      Other</t>
  </si>
  <si>
    <t>BS_OTHER_CUR_ASSET</t>
  </si>
  <si>
    <t xml:space="preserve">    Non-Current Assets</t>
  </si>
  <si>
    <t>BS_TOTAL_NON_CURRENT_ASSETS</t>
  </si>
  <si>
    <t>Non-Current Assets</t>
  </si>
  <si>
    <t xml:space="preserve">      Property, Plant &amp; Equipment</t>
  </si>
  <si>
    <t>CB_BS_PP_AND_E_NET</t>
  </si>
  <si>
    <t>Property, Plant &amp; Equipment</t>
  </si>
  <si>
    <t xml:space="preserve">        Other PPE Gross</t>
  </si>
  <si>
    <t>BS_OTHER_PPE_GROSS</t>
  </si>
  <si>
    <t xml:space="preserve">          YOY Growth</t>
  </si>
  <si>
    <t xml:space="preserve">        Accumulated Depreciation</t>
  </si>
  <si>
    <t>CB_BS_ACCUMULATED_DEPRECIATION</t>
  </si>
  <si>
    <t xml:space="preserve">      Operating Lease Right-of-Use Assets</t>
  </si>
  <si>
    <t>TOT_OPER_LEA_RT_OF_USE_ASSETS</t>
  </si>
  <si>
    <t>Operating Lease Right-of-Use Assets</t>
  </si>
  <si>
    <t xml:space="preserve">      Deposits on Flight Equipment Contracts</t>
  </si>
  <si>
    <t>BS_PV_OF_CAPITAL_LEASE_YR_4</t>
  </si>
  <si>
    <t>Deposits on Flight Equipment Contracts</t>
  </si>
  <si>
    <t xml:space="preserve">      Aircraft Maintenance Deposits</t>
  </si>
  <si>
    <t>BS_PREPAID_EXPENSE_LT</t>
  </si>
  <si>
    <t>Aircraft Maintenance Deposits</t>
  </si>
  <si>
    <t xml:space="preserve">      Deferred Heavy Maintenance</t>
  </si>
  <si>
    <t>CB_BS_DEFERRED_COST_LT</t>
  </si>
  <si>
    <t>Deferred Heavy Maintenance</t>
  </si>
  <si>
    <t xml:space="preserve">      Other Long-Term Assets</t>
  </si>
  <si>
    <t>CB_BS_OTHER_NONCURRENT_ASSETS</t>
  </si>
  <si>
    <t>Other Long-Term Assets</t>
  </si>
  <si>
    <t xml:space="preserve">    Total Assets</t>
  </si>
  <si>
    <t>BS_TOT_ASSET</t>
  </si>
  <si>
    <t>Total Assets</t>
  </si>
  <si>
    <t xml:space="preserve">  Liabilities &amp; Equity</t>
  </si>
  <si>
    <t>Liabilities &amp; Equity</t>
  </si>
  <si>
    <t xml:space="preserve">    Current Liabilities</t>
  </si>
  <si>
    <t>BS_CUR_LIAB</t>
  </si>
  <si>
    <t>Current Liabilities</t>
  </si>
  <si>
    <t xml:space="preserve">    Accounts Payable</t>
  </si>
  <si>
    <t>BS_ACCT_PAYABLE</t>
  </si>
  <si>
    <t>Accounts Payable</t>
  </si>
  <si>
    <t xml:space="preserve">      Short-Term Debt</t>
  </si>
  <si>
    <t>BS_CURR_PORTION_LT_DEBT</t>
  </si>
  <si>
    <t>Short-Term Debt</t>
  </si>
  <si>
    <t xml:space="preserve">      Air Traffic Liability</t>
  </si>
  <si>
    <t>ST_DEFERRED_REVENUE</t>
  </si>
  <si>
    <t>Air Traffic Liability</t>
  </si>
  <si>
    <t xml:space="preserve">      Short Term Leases</t>
  </si>
  <si>
    <t xml:space="preserve">        Operating Lease Liabilities</t>
  </si>
  <si>
    <t>BS_ST_OPERATING_LEASE_LIABS</t>
  </si>
  <si>
    <t>Current Maturities of Operating Leases</t>
  </si>
  <si>
    <t xml:space="preserve">      Pre-Paid Expenses &amp; Other</t>
  </si>
  <si>
    <t>PREPAID_EXPNSS_AND_OTHR</t>
  </si>
  <si>
    <t>Other Current Liabilities</t>
  </si>
  <si>
    <t>BS_OTHER_CUR_LIAB</t>
  </si>
  <si>
    <t xml:space="preserve">    Non-Current Liabilities</t>
  </si>
  <si>
    <t>BS_ADJ_TOTAL_LT_LIABILITIES</t>
  </si>
  <si>
    <t>Non-Current Liabilities</t>
  </si>
  <si>
    <t xml:space="preserve">      Long-Term Borrowings</t>
  </si>
  <si>
    <t>BS_LONG_TERM_BORROWINGS</t>
  </si>
  <si>
    <t>Long-Term Debt</t>
  </si>
  <si>
    <t xml:space="preserve">      Deferred Income Taxes</t>
  </si>
  <si>
    <t>BS_DEFERRED_TAX_LIABILITIES_LT</t>
  </si>
  <si>
    <t>Deferred Income Taxes</t>
  </si>
  <si>
    <t xml:space="preserve">      Deferred Gains &amp; Other Long-Term Liabilities</t>
  </si>
  <si>
    <t>CB_BS_OTHER_NONCURRENT_LIABS</t>
  </si>
  <si>
    <t>Deferred Gains &amp; Other Long-Term Liabilities</t>
  </si>
  <si>
    <t xml:space="preserve">      Long-Term Leases</t>
  </si>
  <si>
    <t>BS_TOT_CPTL_LEA_AND_OP_LEA_LIABS</t>
  </si>
  <si>
    <t>BS_LT_OPERATING_LEASE_LIABS</t>
  </si>
  <si>
    <t>Operating Leases</t>
  </si>
  <si>
    <t xml:space="preserve">      Other Long-Term Liabilities</t>
  </si>
  <si>
    <t>BS_OTHER_LT_LIABILITIES</t>
  </si>
  <si>
    <t>Other Long-Term Liabilities</t>
  </si>
  <si>
    <t xml:space="preserve">    Total Liabilities</t>
  </si>
  <si>
    <t>BS_TOTAL_LIABILITIES</t>
  </si>
  <si>
    <t>Total Liabilities</t>
  </si>
  <si>
    <t xml:space="preserve">    Total Shareholders' Equity</t>
  </si>
  <si>
    <t>BS_EQTY_BEFORE_MINORITY_INT</t>
  </si>
  <si>
    <t>Total Shareholders' Equity</t>
  </si>
  <si>
    <t xml:space="preserve">      Additional Paid in Capital</t>
  </si>
  <si>
    <t>CB_BS_APIC</t>
  </si>
  <si>
    <t xml:space="preserve">      Treasury Stock</t>
  </si>
  <si>
    <t>BS_AMT_OF_TSY_STOCK</t>
  </si>
  <si>
    <t xml:space="preserve">      Retained Earnings</t>
  </si>
  <si>
    <t>BS_PURE_RETAINED_EARNINGS</t>
  </si>
  <si>
    <t xml:space="preserve">      Accumulated Other Comprehensive Loss</t>
  </si>
  <si>
    <t>BS_ACCUMULATED_OTHER_COMP_INC</t>
  </si>
  <si>
    <t xml:space="preserve">    Total Liabilities &amp; Shareholders' Equity</t>
  </si>
  <si>
    <t>Total Liabilities &amp; Shareholders' Equity</t>
  </si>
  <si>
    <t xml:space="preserve">  Special Company Reference Items</t>
  </si>
  <si>
    <t>Special Company Reference Items</t>
  </si>
  <si>
    <t xml:space="preserve">    Net Debt</t>
  </si>
  <si>
    <t>NET_DEBT</t>
  </si>
  <si>
    <t>Net Debt</t>
  </si>
  <si>
    <t xml:space="preserve">    Total Debt / Capitalization</t>
  </si>
  <si>
    <t>TOT_DEBT_AND_PFD_EQTY_TO_TOT_CPTL</t>
  </si>
  <si>
    <t>Total Debt / Capitalization</t>
  </si>
  <si>
    <t xml:space="preserve">    Annualized Days Sales Outstanding</t>
  </si>
  <si>
    <t>ANNUALIZED_DAYS_SALES_OUTSTDG</t>
  </si>
  <si>
    <t xml:space="preserve">    Working Capital</t>
  </si>
  <si>
    <t>WORKING_CAPITAL</t>
  </si>
  <si>
    <t xml:space="preserve">    Book Value per Share</t>
  </si>
  <si>
    <t>BOOK_VAL_PER_SH</t>
  </si>
  <si>
    <t xml:space="preserve">    Flight Equipment</t>
  </si>
  <si>
    <t>BS_FLIGHT_EQUIPMNT</t>
  </si>
  <si>
    <t xml:space="preserve">    Number of Shares Repurchased</t>
  </si>
  <si>
    <t>BS_SHARES_REPURCHASED_NUMBER</t>
  </si>
  <si>
    <t xml:space="preserve">    Average Price Paid for Repurchase</t>
  </si>
  <si>
    <t>BS_AVG_PX_PAID_FOR_REPURCHASE</t>
  </si>
  <si>
    <t xml:space="preserve">  Condensed Cash Flow Statement</t>
  </si>
  <si>
    <t>Condensed Cash Flow Statement</t>
  </si>
  <si>
    <t xml:space="preserve">  Cash from Operating Activities</t>
  </si>
  <si>
    <t>Cash from Operating Activities</t>
  </si>
  <si>
    <t xml:space="preserve">    Amortization of Deferred Compensation</t>
  </si>
  <si>
    <t>CF_AMORTIZATN_OF_DEFRRD_COMPNSTN</t>
  </si>
  <si>
    <t xml:space="preserve">    Stock-Based Compensation</t>
  </si>
  <si>
    <t>CF_STOCK_BASED_COMPENSATION</t>
  </si>
  <si>
    <t>Stock-Based Compensation</t>
  </si>
  <si>
    <t xml:space="preserve">    Deferred Income Tax Expense</t>
  </si>
  <si>
    <t>CF_DEF_INC_TAX</t>
  </si>
  <si>
    <t>Deferred Income Tax Expense</t>
  </si>
  <si>
    <t xml:space="preserve">    Allowance for Doubtful Accounts (Recoveries)</t>
  </si>
  <si>
    <t>CB_CF_PROVISION_FOR_DOUBTFUL_DEBT</t>
  </si>
  <si>
    <t xml:space="preserve">    Change in Non-Cash Working Capital</t>
  </si>
  <si>
    <t>CB_CF_CHANGE_IN_ACCOUNTS_RECEIVABLE</t>
  </si>
  <si>
    <t xml:space="preserve">      Accounts Payable</t>
  </si>
  <si>
    <t>CF_CHANGE_IN_ACCOUNTS_PAYABLE</t>
  </si>
  <si>
    <t xml:space="preserve">      Air Traffic Liabilities</t>
  </si>
  <si>
    <t>CB_CF_CHG_IN_AIR_TRAFFIC_LIAB</t>
  </si>
  <si>
    <t xml:space="preserve">      Other Liabilities</t>
  </si>
  <si>
    <t>CF_CHANGE_IN_OTHR_LIBLTS</t>
  </si>
  <si>
    <t xml:space="preserve">  Cash Flow from Operations</t>
  </si>
  <si>
    <t>CB_CF_NET_CASH_OPERATING_ACT</t>
  </si>
  <si>
    <t>Cash Flow from Operations</t>
  </si>
  <si>
    <t xml:space="preserve">  Cash from Investing Activities</t>
  </si>
  <si>
    <t>Cash from Investing Activities</t>
  </si>
  <si>
    <t xml:space="preserve">    Capital Expenditures</t>
  </si>
  <si>
    <t>HEADLINE_CAPEX</t>
  </si>
  <si>
    <t xml:space="preserve">    Proceeds from Short-Term Investments</t>
  </si>
  <si>
    <t>CB_CF_PROCEEDS_FROM_ST_INV</t>
  </si>
  <si>
    <t xml:space="preserve">  Cash Flow from Investing</t>
  </si>
  <si>
    <t>CB_CF_NET_CASH_INVESTING_ACT</t>
  </si>
  <si>
    <t>Cash Flow from Investing</t>
  </si>
  <si>
    <t xml:space="preserve">  Cash from Financing Activities</t>
  </si>
  <si>
    <t>Cash from Financing Activities</t>
  </si>
  <si>
    <t xml:space="preserve">    Increase/Decrease in Long-Term Borrowings</t>
  </si>
  <si>
    <t xml:space="preserve">      Increase in Long-Term Borrowings</t>
  </si>
  <si>
    <t>CB_CF_DEBT_ISSUANCE_COSTS</t>
  </si>
  <si>
    <t>Debt Repayments</t>
  </si>
  <si>
    <t xml:space="preserve">      Proceeds from Long Term Debt and Capital Lease</t>
  </si>
  <si>
    <t>CF_PROC_LT_DEBT_AND_CAPITAL_LEASE</t>
  </si>
  <si>
    <t>Debt Insurance</t>
  </si>
  <si>
    <t xml:space="preserve">      Repayment Of Long Term Debt - Company Basis</t>
  </si>
  <si>
    <t>CB_CF_REPAYMENT_LT_DEBT</t>
  </si>
  <si>
    <t xml:space="preserve">      Decrease in Long-Term Borrowings</t>
  </si>
  <si>
    <t>CF_PYMT_LT_DEBT_AND_CAPITAL_LEASE</t>
  </si>
  <si>
    <t xml:space="preserve">      Purchases of Short-Term Investments</t>
  </si>
  <si>
    <t>CB_CF_PURCHASES_OF_ST_INV</t>
  </si>
  <si>
    <t xml:space="preserve">      Sales (Purchases) of Short-Term Investments</t>
  </si>
  <si>
    <t>CF_NET_CHG_ST_INVEST</t>
  </si>
  <si>
    <t xml:space="preserve">    Increase in Equity</t>
  </si>
  <si>
    <t>CF_INCR_CAP_STOCK</t>
  </si>
  <si>
    <t xml:space="preserve">    Decrease in Equity</t>
  </si>
  <si>
    <t>CF_DECR_CAP_STOCK</t>
  </si>
  <si>
    <t>Change in Equity</t>
  </si>
  <si>
    <t xml:space="preserve">  Cash Flow from Financing</t>
  </si>
  <si>
    <t>CB_CF_NET_CASH_FINANCING_ACT</t>
  </si>
  <si>
    <t>Cash Flow from Financing</t>
  </si>
  <si>
    <t xml:space="preserve">    Net Change in Cash</t>
  </si>
  <si>
    <t>CF_NET_CHNG_CASH</t>
  </si>
  <si>
    <t>Net Change in Cash</t>
  </si>
  <si>
    <t xml:space="preserve">      Cash &amp; Cash Equivalents (BOP)</t>
  </si>
  <si>
    <t>CF_CASH_AND_CASH_EQUIV_BEG_BAL</t>
  </si>
  <si>
    <t>Cash &amp; Cash Equivalents (BOP)</t>
  </si>
  <si>
    <t xml:space="preserve">      Cash &amp; Cash Equivalents (EOP)</t>
  </si>
  <si>
    <t>CF_CASH_AND_CASH_EQUIV_END_BAL</t>
  </si>
  <si>
    <t>Cash &amp; Cash Equivalents (EOP)</t>
  </si>
  <si>
    <t xml:space="preserve">    Free Cash Flow</t>
  </si>
  <si>
    <t>HEADLINE_FCF</t>
  </si>
  <si>
    <t xml:space="preserve">    Free Cash Flow per Diluted Share</t>
  </si>
  <si>
    <t>FCF_PER_DIL_SHR</t>
  </si>
  <si>
    <t xml:space="preserve">    CFO per Basic Share</t>
  </si>
  <si>
    <t>CASH_FLOW_PER_SH</t>
  </si>
  <si>
    <t xml:space="preserve">    Capital Expenditures/Revenue (%)</t>
  </si>
  <si>
    <t>CAP_EXPEND_TO_SALES</t>
  </si>
  <si>
    <t>Source: Bloomberg</t>
  </si>
  <si>
    <t xml:space="preserve"> 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</si>
</sst>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14" fontId="5" fillId="33" borderId="1" xfId="48" applyNumberFormat="1">
      <alignment horizontal="left"/>
    </xf>
    <xf numFmtId="0" fontId="3" fillId="0" borderId="0" xfId="32"/>
    <xf numFmtId="0" fontId="5" fillId="33" borderId="3" xfId="29">
      <alignment horizontal="left"/>
    </xf>
    <xf numFmtId="4" fontId="1" fillId="34" borderId="2" xfId="30"/>
    <xf numFmtId="0" fontId="7" fillId="35" borderId="4" xfId="31"/>
    <xf numFmtId="0" fontId="4" fillId="33" borderId="15" xfId="47">
      <alignment horizontal="left" vertical="center" readingOrder="1"/>
    </xf>
    <xf numFmtId="0" fontId="5" fillId="33" borderId="1" xfId="48">
      <alignment horizontal="left"/>
    </xf>
    <xf numFmtId="0" fontId="2" fillId="34" borderId="5" xfId="33" applyFont="1"/>
    <xf numFmtId="4" fontId="1" fillId="34" borderId="2" xfId="49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1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1" max="1" width="34.33203125" customWidth="1"/>
    <col min="2" max="4" width="0" hidden="1" customWidth="1"/>
    <col min="5" max="14" width="19" customWidth="1"/>
  </cols>
  <sheetData>
    <row r="1" spans="1:14" ht="20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">
      <c r="A3" s="3" t="s">
        <v>2</v>
      </c>
      <c r="B3" s="3"/>
      <c r="C3" s="3"/>
      <c r="D3" s="3"/>
      <c r="E3" s="3" t="str">
        <f>_xll.BQL("SAVE US Equity", "FISCAL_PERIOD", "FPT=A", "FPO=5A", "ACT_EST_MAPPING=PRECISE", "FS=MRC", "CURRENCY=USD", "XLFILL=b")</f>
        <v>2028 A (Fwd)</v>
      </c>
      <c r="F3" s="3" t="str">
        <f>_xll.BQL("SAVE US Equity", "FISCAL_PERIOD", "FPT=A", "FPO=4A", "ACT_EST_MAPPING=PRECISE", "FS=MRC", "CURRENCY=USD", "XLFILL=b")</f>
        <v>2027 A (Fwd)</v>
      </c>
      <c r="G3" s="3" t="str">
        <f>_xll.BQL("SAVE US Equity", "FISCAL_PERIOD", "FPT=A", "FPO=3A", "ACT_EST_MAPPING=PRECISE", "FS=MRC", "CURRENCY=USD", "XLFILL=b")</f>
        <v>2026 A (Fwd)</v>
      </c>
      <c r="H3" s="3" t="str">
        <f>_xll.BQL("SAVE US Equity", "FISCAL_PERIOD", "FPT=A", "FPO=2A", "ACT_EST_MAPPING=PRECISE", "FS=MRC", "CURRENCY=USD", "XLFILL=b")</f>
        <v>2025 A (Fwd)</v>
      </c>
      <c r="I3" s="3" t="str">
        <f>_xll.BQL("SAVE US Equity", "FISCAL_PERIOD", "FPT=A", "FPO=1A", "ACT_EST_MAPPING=PRECISE", "FS=MRC", "CURRENCY=USD", "XLFILL=b")</f>
        <v>2024 A (Fwd)</v>
      </c>
      <c r="J3" s="3" t="str">
        <f>_xll.BQL("SAVE US Equity", "FISCAL_PERIOD", "FPT=A", "FPO=0A", "ACT_EST_MAPPING=PRECISE", "FS=MRC", "CURRENCY=USD", "XLFILL=b")</f>
        <v>2023 A (Rep)</v>
      </c>
      <c r="K3" s="3" t="str">
        <f>_xll.BQL("SAVE US Equity", "FISCAL_PERIOD", "FPT=A", "FPO=-1A", "ACT_EST_MAPPING=PRECISE", "FS=MRC", "CURRENCY=USD", "XLFILL=b")</f>
        <v>2022 A (Rep)</v>
      </c>
      <c r="L3" s="3" t="str">
        <f>_xll.BQL("SAVE US Equity", "FISCAL_PERIOD", "FPT=A", "FPO=-2A", "ACT_EST_MAPPING=PRECISE", "FS=MRC", "CURRENCY=USD", "XLFILL=b")</f>
        <v>2021 A (Rep)</v>
      </c>
      <c r="M3" s="3" t="str">
        <f>_xll.BQL("SAVE US Equity", "FISCAL_PERIOD", "FPT=A", "FPO=-3A", "ACT_EST_MAPPING=PRECISE", "FS=MRC", "CURRENCY=USD", "XLFILL=b")</f>
        <v>2020 A (Rep)</v>
      </c>
      <c r="N3" s="3" t="str">
        <f>_xll.BQL("SAVE US Equity", "FISCAL_PERIOD", "FPT=A", "FPO=-4A", "ACT_EST_MAPPING=PRECISE", "FS=MRC", "CURRENCY=USD", "XLFILL=b")</f>
        <v>2019 A (Rep)</v>
      </c>
    </row>
    <row r="4" spans="1:14" x14ac:dyDescent="0.2">
      <c r="A4" s="7" t="s">
        <v>3</v>
      </c>
      <c r="B4" s="7" t="s">
        <v>4</v>
      </c>
      <c r="C4" s="7" t="s">
        <v>5</v>
      </c>
      <c r="D4" s="7" t="s">
        <v>6</v>
      </c>
      <c r="E4" s="1">
        <f>_xll.BQL("SAVE US Equity", "IS_COMP_SALES().period_end_date", "FPT=A", "FPO=5A", "ACT_EST_MAPPING=PRECISE", "FS=MRC", "CURRENCY=USD", "XLFILL=b")</f>
        <v>47118</v>
      </c>
      <c r="F4" s="1">
        <f>_xll.BQL("SAVE US Equity", "IS_COMP_SALES().period_end_date", "FPT=A", "FPO=4A", "ACT_EST_MAPPING=PRECISE", "FS=MRC", "CURRENCY=USD", "XLFILL=b")</f>
        <v>46752</v>
      </c>
      <c r="G4" s="1">
        <f>_xll.BQL("SAVE US Equity", "IS_COMP_SALES().period_end_date", "FPT=A", "FPO=3A", "ACT_EST_MAPPING=PRECISE", "FS=MRC", "CURRENCY=USD", "XLFILL=b")</f>
        <v>46387</v>
      </c>
      <c r="H4" s="1">
        <f>_xll.BQL("SAVE US Equity", "IS_COMP_SALES().period_end_date", "FPT=A", "FPO=2A", "ACT_EST_MAPPING=PRECISE", "FS=MRC", "CURRENCY=USD", "XLFILL=b")</f>
        <v>46022</v>
      </c>
      <c r="I4" s="1">
        <f>_xll.BQL("SAVE US Equity", "IS_COMP_SALES().period_end_date", "FPT=A", "FPO=1A", "ACT_EST_MAPPING=PRECISE", "FS=MRC", "CURRENCY=USD", "XLFILL=b")</f>
        <v>45657</v>
      </c>
      <c r="J4" s="1">
        <f>_xll.BQL("SAVE US Equity", "IS_COMP_SALES().period_end_date", "FPT=A", "FPO=0A", "ACT_EST_MAPPING=PRECISE", "FS=MRC", "CURRENCY=USD", "XLFILL=b")</f>
        <v>45291</v>
      </c>
      <c r="K4" s="1">
        <f>_xll.BQL("SAVE US Equity", "IS_COMP_SALES().period_end_date", "FPT=A", "FPO=-1A", "ACT_EST_MAPPING=PRECISE", "FS=MRC", "CURRENCY=USD", "XLFILL=b")</f>
        <v>44926</v>
      </c>
      <c r="L4" s="1">
        <f>_xll.BQL("SAVE US Equity", "IS_COMP_SALES().period_end_date", "FPT=A", "FPO=-2A", "ACT_EST_MAPPING=PRECISE", "FS=MRC", "CURRENCY=USD", "XLFILL=b")</f>
        <v>44561</v>
      </c>
      <c r="M4" s="1">
        <f>_xll.BQL("SAVE US Equity", "IS_COMP_SALES().period_end_date", "FPT=A", "FPO=-3A", "ACT_EST_MAPPING=PRECISE", "FS=MRC", "CURRENCY=USD", "XLFILL=b")</f>
        <v>44196</v>
      </c>
      <c r="N4" s="1">
        <f>_xll.BQL("SAVE US Equity", "IS_COMP_SALES().period_end_date", "FPT=A", "FPO=-4A", "ACT_EST_MAPPING=PRECISE", "FS=MRC", "CURRENCY=USD", "XLFILL=b")</f>
        <v>43830</v>
      </c>
    </row>
    <row r="5" spans="1:14" x14ac:dyDescent="0.2">
      <c r="A5" s="8" t="s">
        <v>7</v>
      </c>
      <c r="B5" s="4"/>
      <c r="C5" s="4" t="s">
        <v>8</v>
      </c>
      <c r="D5" s="4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8" t="s">
        <v>9</v>
      </c>
      <c r="B6" s="4" t="s">
        <v>10</v>
      </c>
      <c r="C6" s="4" t="s">
        <v>11</v>
      </c>
      <c r="D6" s="4"/>
      <c r="E6" s="9">
        <f>_xll.BQL("SAVE US Equity", "IS_COMP_EPS_ADJUSTED_OLD", "FPT=A", "FPO=5A", "ACT_EST_MAPPING=PRECISE", "FS=MRC", "CURRENCY=USD", "XLFILL=b")</f>
        <v>0.99</v>
      </c>
      <c r="F6" s="9">
        <f>_xll.BQL("SAVE US Equity", "IS_COMP_EPS_ADJUSTED_OLD", "FPT=A", "FPO=4A", "ACT_EST_MAPPING=PRECISE", "FS=MRC", "CURRENCY=USD", "XLFILL=b")</f>
        <v>-0.92</v>
      </c>
      <c r="G6" s="9">
        <f>_xll.BQL("SAVE US Equity", "IS_COMP_EPS_ADJUSTED_OLD", "FPT=A", "FPO=3A", "ACT_EST_MAPPING=PRECISE", "FS=MRC", "CURRENCY=USD", "XLFILL=b")</f>
        <v>-1.8171428571428572</v>
      </c>
      <c r="H6" s="9">
        <f>_xll.BQL("SAVE US Equity", "IS_COMP_EPS_ADJUSTED_OLD", "FPT=A", "FPO=2A", "ACT_EST_MAPPING=PRECISE", "FS=MRC", "CURRENCY=USD", "XLFILL=b")</f>
        <v>-4.5049999999999999</v>
      </c>
      <c r="I6" s="9">
        <f>_xll.BQL("SAVE US Equity", "IS_COMP_EPS_ADJUSTED_OLD", "FPT=A", "FPO=1A", "ACT_EST_MAPPING=PRECISE", "FS=MRC", "CURRENCY=USD", "XLFILL=b")</f>
        <v>-7.1945454545454535</v>
      </c>
      <c r="J6" s="9">
        <f>_xll.BQL("SAVE US Equity", "IS_COMP_EPS_ADJUSTED_OLD", "FPT=A", "FPO=0A", "ACT_EST_MAPPING=PRECISE", "FS=MRC", "CURRENCY=USD", "XLFILL=b")</f>
        <v>-3.29</v>
      </c>
      <c r="K6" s="9">
        <f>_xll.BQL("SAVE US Equity", "IS_COMP_EPS_ADJUSTED_OLD", "FPT=A", "FPO=-1A", "ACT_EST_MAPPING=PRECISE", "FS=MRC", "CURRENCY=USD", "XLFILL=b")</f>
        <v>-1.74</v>
      </c>
      <c r="L6" s="9">
        <f>_xll.BQL("SAVE US Equity", "IS_COMP_EPS_ADJUSTED_OLD", "FPT=A", "FPO=-2A", "ACT_EST_MAPPING=PRECISE", "FS=MRC", "CURRENCY=USD", "XLFILL=b")</f>
        <v>-4.2</v>
      </c>
      <c r="M6" s="9">
        <f>_xll.BQL("SAVE US Equity", "IS_COMP_EPS_ADJUSTED_OLD", "FPT=A", "FPO=-3A", "ACT_EST_MAPPING=PRECISE", "FS=MRC", "CURRENCY=USD", "XLFILL=b")</f>
        <v>-8.48</v>
      </c>
      <c r="N6" s="9">
        <f>_xll.BQL("SAVE US Equity", "IS_COMP_EPS_ADJUSTED_OLD", "FPT=A", "FPO=-4A", "ACT_EST_MAPPING=PRECISE", "FS=MRC", "CURRENCY=USD", "XLFILL=b")</f>
        <v>5.09</v>
      </c>
    </row>
    <row r="7" spans="1:14" x14ac:dyDescent="0.2">
      <c r="A7" s="8" t="s">
        <v>12</v>
      </c>
      <c r="B7" s="4" t="s">
        <v>10</v>
      </c>
      <c r="C7" s="4" t="s">
        <v>11</v>
      </c>
      <c r="D7" s="4"/>
      <c r="E7" s="9">
        <f>_xll.BQL("SAVE US Equity", "FA_GROWTH(IS_COMP_EPS_ADJUSTED_OLD, YOY)", "FPT=A", "FPO=5A", "ACT_EST_MAPPING=PRECISE", "FS=MRC", "CURRENCY=USD", "XLFILL=b")</f>
        <v>207.60869565217391</v>
      </c>
      <c r="F7" s="9">
        <f>_xll.BQL("SAVE US Equity", "FA_GROWTH(IS_COMP_EPS_ADJUSTED_OLD, YOY)", "FPT=A", "FPO=4A", "ACT_EST_MAPPING=PRECISE", "FS=MRC", "CURRENCY=USD", "XLFILL=b")</f>
        <v>49.371069182389931</v>
      </c>
      <c r="G7" s="9">
        <f>_xll.BQL("SAVE US Equity", "FA_GROWTH(IS_COMP_EPS_ADJUSTED_OLD, YOY)", "FPT=A", "FPO=3A", "ACT_EST_MAPPING=PRECISE", "FS=MRC", "CURRENCY=USD", "XLFILL=b")</f>
        <v>59.663865546218489</v>
      </c>
      <c r="H7" s="9">
        <f>_xll.BQL("SAVE US Equity", "FA_GROWTH(IS_COMP_EPS_ADJUSTED_OLD, YOY)", "FPT=A", "FPO=2A", "ACT_EST_MAPPING=PRECISE", "FS=MRC", "CURRENCY=USD", "XLFILL=b")</f>
        <v>37.383118524134439</v>
      </c>
      <c r="I7" s="9">
        <f>_xll.BQL("SAVE US Equity", "FA_GROWTH(IS_COMP_EPS_ADJUSTED_OLD, YOY)", "FPT=A", "FPO=1A", "ACT_EST_MAPPING=PRECISE", "FS=MRC", "CURRENCY=USD", "XLFILL=b")</f>
        <v>-118.67919314727821</v>
      </c>
      <c r="J7" s="9">
        <f>_xll.BQL("SAVE US Equity", "FA_GROWTH(IS_COMP_EPS_ADJUSTED_OLD, YOY)", "FPT=A", "FPO=0A", "ACT_EST_MAPPING=PRECISE", "FS=MRC", "CURRENCY=USD", "XLFILL=b")</f>
        <v>-89.080459770114942</v>
      </c>
      <c r="K7" s="9">
        <f>_xll.BQL("SAVE US Equity", "FA_GROWTH(IS_COMP_EPS_ADJUSTED_OLD, YOY)", "FPT=A", "FPO=-1A", "ACT_EST_MAPPING=PRECISE", "FS=MRC", "CURRENCY=USD", "XLFILL=b")</f>
        <v>58.571428571428569</v>
      </c>
      <c r="L7" s="9">
        <f>_xll.BQL("SAVE US Equity", "FA_GROWTH(IS_COMP_EPS_ADJUSTED_OLD, YOY)", "FPT=A", "FPO=-2A", "ACT_EST_MAPPING=PRECISE", "FS=MRC", "CURRENCY=USD", "XLFILL=b")</f>
        <v>50.471698113207545</v>
      </c>
      <c r="M7" s="9">
        <f>_xll.BQL("SAVE US Equity", "FA_GROWTH(IS_COMP_EPS_ADJUSTED_OLD, YOY)", "FPT=A", "FPO=-3A", "ACT_EST_MAPPING=PRECISE", "FS=MRC", "CURRENCY=USD", "XLFILL=b")</f>
        <v>-266.60117878192534</v>
      </c>
      <c r="N7" s="9">
        <f>_xll.BQL("SAVE US Equity", "FA_GROWTH(IS_COMP_EPS_ADJUSTED_OLD, YOY)", "FPT=A", "FPO=-4A", "ACT_EST_MAPPING=PRECISE", "FS=MRC", "CURRENCY=USD", "XLFILL=b")</f>
        <v>15.681818181818167</v>
      </c>
    </row>
    <row r="8" spans="1:14" x14ac:dyDescent="0.2">
      <c r="A8" s="8" t="s">
        <v>13</v>
      </c>
      <c r="B8" s="4" t="s">
        <v>14</v>
      </c>
      <c r="C8" s="4" t="s">
        <v>15</v>
      </c>
      <c r="D8" s="4"/>
      <c r="E8" s="9">
        <f>_xll.BQL("SAVE US Equity", "IS_COMP_SALES/1M", "FPT=A", "FPO=5A", "ACT_EST_MAPPING=PRECISE", "FS=MRC", "CURRENCY=USD", "XLFILL=b")</f>
        <v>7037</v>
      </c>
      <c r="F8" s="9">
        <f>_xll.BQL("SAVE US Equity", "IS_COMP_SALES/1M", "FPT=A", "FPO=4A", "ACT_EST_MAPPING=PRECISE", "FS=MRC", "CURRENCY=USD", "XLFILL=b")</f>
        <v>6222</v>
      </c>
      <c r="G8" s="9">
        <f>_xll.BQL("SAVE US Equity", "IS_COMP_SALES/1M", "FPT=A", "FPO=3A", "ACT_EST_MAPPING=PRECISE", "FS=MRC", "CURRENCY=USD", "XLFILL=b")</f>
        <v>5556.2857142857138</v>
      </c>
      <c r="H8" s="9">
        <f>_xll.BQL("SAVE US Equity", "IS_COMP_SALES/1M", "FPT=A", "FPO=2A", "ACT_EST_MAPPING=PRECISE", "FS=MRC", "CURRENCY=USD", "XLFILL=b")</f>
        <v>4982.75</v>
      </c>
      <c r="I8" s="9">
        <f>_xll.BQL("SAVE US Equity", "IS_COMP_SALES/1M", "FPT=A", "FPO=1A", "ACT_EST_MAPPING=PRECISE", "FS=MRC", "CURRENCY=USD", "XLFILL=b")</f>
        <v>4937</v>
      </c>
      <c r="J8" s="9">
        <f>_xll.BQL("SAVE US Equity", "IS_COMP_SALES/1M", "FPT=A", "FPO=0A", "ACT_EST_MAPPING=PRECISE", "FS=MRC", "CURRENCY=USD", "XLFILL=b")</f>
        <v>5362.549</v>
      </c>
      <c r="K8" s="9">
        <f>_xll.BQL("SAVE US Equity", "IS_COMP_SALES/1M", "FPT=A", "FPO=-1A", "ACT_EST_MAPPING=PRECISE", "FS=MRC", "CURRENCY=USD", "XLFILL=b")</f>
        <v>5068.4470000000001</v>
      </c>
      <c r="L8" s="9">
        <f>_xll.BQL("SAVE US Equity", "IS_COMP_SALES/1M", "FPT=A", "FPO=-2A", "ACT_EST_MAPPING=PRECISE", "FS=MRC", "CURRENCY=USD", "XLFILL=b")</f>
        <v>3230.7750000000001</v>
      </c>
      <c r="M8" s="9">
        <f>_xll.BQL("SAVE US Equity", "IS_COMP_SALES/1M", "FPT=A", "FPO=-3A", "ACT_EST_MAPPING=PRECISE", "FS=MRC", "CURRENCY=USD", "XLFILL=b")</f>
        <v>1810.0219999999999</v>
      </c>
      <c r="N8" s="9">
        <f>_xll.BQL("SAVE US Equity", "IS_COMP_SALES/1M", "FPT=A", "FPO=-4A", "ACT_EST_MAPPING=PRECISE", "FS=MRC", "CURRENCY=USD", "XLFILL=b")</f>
        <v>3830.5360000000001</v>
      </c>
    </row>
    <row r="9" spans="1:14" x14ac:dyDescent="0.2">
      <c r="A9" s="8" t="s">
        <v>12</v>
      </c>
      <c r="B9" s="4" t="s">
        <v>14</v>
      </c>
      <c r="C9" s="4" t="s">
        <v>15</v>
      </c>
      <c r="D9" s="4"/>
      <c r="E9" s="9">
        <f>_xll.BQL("SAVE US Equity", "FA_GROWTH(IS_COMP_SALES, YOY)", "FPT=A", "FPO=5A", "ACT_EST_MAPPING=PRECISE", "FS=MRC", "CURRENCY=USD", "XLFILL=b")</f>
        <v>13.098682095789135</v>
      </c>
      <c r="F9" s="9">
        <f>_xll.BQL("SAVE US Equity", "FA_GROWTH(IS_COMP_SALES, YOY)", "FPT=A", "FPO=4A", "ACT_EST_MAPPING=PRECISE", "FS=MRC", "CURRENCY=USD", "XLFILL=b")</f>
        <v>11.981282460019544</v>
      </c>
      <c r="G9" s="9">
        <f>_xll.BQL("SAVE US Equity", "FA_GROWTH(IS_COMP_SALES, YOY)", "FPT=A", "FPO=3A", "ACT_EST_MAPPING=PRECISE", "FS=MRC", "CURRENCY=USD", "XLFILL=b")</f>
        <v>11.510425252836569</v>
      </c>
      <c r="H9" s="9">
        <f>_xll.BQL("SAVE US Equity", "FA_GROWTH(IS_COMP_SALES, YOY)", "FPT=A", "FPO=2A", "ACT_EST_MAPPING=PRECISE", "FS=MRC", "CURRENCY=USD", "XLFILL=b")</f>
        <v>0.92667611910066838</v>
      </c>
      <c r="I9" s="9">
        <f>_xll.BQL("SAVE US Equity", "FA_GROWTH(IS_COMP_SALES, YOY)", "FPT=A", "FPO=1A", "ACT_EST_MAPPING=PRECISE", "FS=MRC", "CURRENCY=USD", "XLFILL=b")</f>
        <v>-7.935573176114568</v>
      </c>
      <c r="J9" s="9">
        <f>_xll.BQL("SAVE US Equity", "FA_GROWTH(IS_COMP_SALES, YOY)", "FPT=A", "FPO=0A", "ACT_EST_MAPPING=PRECISE", "FS=MRC", "CURRENCY=USD", "XLFILL=b")</f>
        <v>5.802605808051263</v>
      </c>
      <c r="K9" s="9">
        <f>_xll.BQL("SAVE US Equity", "FA_GROWTH(IS_COMP_SALES, YOY)", "FPT=A", "FPO=-1A", "ACT_EST_MAPPING=PRECISE", "FS=MRC", "CURRENCY=USD", "XLFILL=b")</f>
        <v>56.880222237698383</v>
      </c>
      <c r="L9" s="9">
        <f>_xll.BQL("SAVE US Equity", "FA_GROWTH(IS_COMP_SALES, YOY)", "FPT=A", "FPO=-2A", "ACT_EST_MAPPING=PRECISE", "FS=MRC", "CURRENCY=USD", "XLFILL=b")</f>
        <v>78.493686817066319</v>
      </c>
      <c r="M9" s="9">
        <f>_xll.BQL("SAVE US Equity", "FA_GROWTH(IS_COMP_SALES, YOY)", "FPT=A", "FPO=-3A", "ACT_EST_MAPPING=PRECISE", "FS=MRC", "CURRENCY=USD", "XLFILL=b")</f>
        <v>-52.747552822894761</v>
      </c>
      <c r="N9" s="9">
        <f>_xll.BQL("SAVE US Equity", "FA_GROWTH(IS_COMP_SALES, YOY)", "FPT=A", "FPO=-4A", "ACT_EST_MAPPING=PRECISE", "FS=MRC", "CURRENCY=USD", "XLFILL=b")</f>
        <v>15.272248192465078</v>
      </c>
    </row>
    <row r="10" spans="1:14" x14ac:dyDescent="0.2">
      <c r="A10" s="8" t="s">
        <v>16</v>
      </c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8" t="s">
        <v>417</v>
      </c>
      <c r="B11" s="4" t="s">
        <v>17</v>
      </c>
      <c r="C11" s="4" t="s">
        <v>18</v>
      </c>
      <c r="D11" s="4"/>
      <c r="E11" s="9">
        <f>_xll.BQL("SAVE US Equity", "REV_PASS_MILES_KM/1M", "FPT=A", "FPO=5A", "ACT_EST_MAPPING=PRECISE", "FS=MRC", "CURRENCY=USD", "XLFILL=b")</f>
        <v>47901.965644002477</v>
      </c>
      <c r="F11" s="9">
        <f>_xll.BQL("SAVE US Equity", "REV_PASS_MILES_KM/1M", "FPT=A", "FPO=4A", "ACT_EST_MAPPING=PRECISE", "FS=MRC", "CURRENCY=USD", "XLFILL=b")</f>
        <v>43547.241494547699</v>
      </c>
      <c r="G11" s="9">
        <f>_xll.BQL("SAVE US Equity", "REV_PASS_MILES_KM/1M", "FPT=A", "FPO=3A", "ACT_EST_MAPPING=PRECISE", "FS=MRC", "CURRENCY=USD", "XLFILL=b")</f>
        <v>44235.385385924128</v>
      </c>
      <c r="H11" s="9">
        <f>_xll.BQL("SAVE US Equity", "REV_PASS_MILES_KM/1M", "FPT=A", "FPO=2A", "ACT_EST_MAPPING=PRECISE", "FS=MRC", "CURRENCY=USD", "XLFILL=b")</f>
        <v>41986.096458610045</v>
      </c>
      <c r="I11" s="9">
        <f>_xll.BQL("SAVE US Equity", "REV_PASS_MILES_KM/1M", "FPT=A", "FPO=1A", "ACT_EST_MAPPING=PRECISE", "FS=MRC", "CURRENCY=USD", "XLFILL=b")</f>
        <v>45086.95250672078</v>
      </c>
      <c r="J11" s="9">
        <f>_xll.BQL("SAVE US Equity", "REV_PASS_MILES_KM/1M", "FPT=A", "FPO=0A", "ACT_EST_MAPPING=PRECISE", "FS=MRC", "CURRENCY=USD", "XLFILL=b")</f>
        <v>45243.786999999997</v>
      </c>
      <c r="K11" s="9">
        <f>_xll.BQL("SAVE US Equity", "REV_PASS_MILES_KM/1M", "FPT=A", "FPO=-1A", "ACT_EST_MAPPING=PRECISE", "FS=MRC", "CURRENCY=USD", "XLFILL=b")</f>
        <v>39775.252999999997</v>
      </c>
      <c r="L11" s="9">
        <f>_xll.BQL("SAVE US Equity", "REV_PASS_MILES_KM/1M", "FPT=A", "FPO=-2A", "ACT_EST_MAPPING=PRECISE", "FS=MRC", "CURRENCY=USD", "XLFILL=b")</f>
        <v>32124.2</v>
      </c>
      <c r="M11" s="9">
        <f>_xll.BQL("SAVE US Equity", "REV_PASS_MILES_KM/1M", "FPT=A", "FPO=-3A", "ACT_EST_MAPPING=PRECISE", "FS=MRC", "CURRENCY=USD", "XLFILL=b")</f>
        <v>19319.41</v>
      </c>
      <c r="N11" s="9">
        <f>_xll.BQL("SAVE US Equity", "REV_PASS_MILES_KM/1M", "FPT=A", "FPO=-4A", "ACT_EST_MAPPING=PRECISE", "FS=MRC", "CURRENCY=USD", "XLFILL=b")</f>
        <v>35245.285000000003</v>
      </c>
    </row>
    <row r="12" spans="1:14" x14ac:dyDescent="0.2">
      <c r="A12" s="8" t="s">
        <v>12</v>
      </c>
      <c r="B12" s="4" t="s">
        <v>17</v>
      </c>
      <c r="C12" s="4" t="s">
        <v>18</v>
      </c>
      <c r="D12" s="4"/>
      <c r="E12" s="9">
        <f>_xll.BQL("SAVE US Equity", "FA_GROWTH(REV_PASS_MILES_KM, YOY)", "FPT=A", "FPO=5A", "ACT_EST_MAPPING=PRECISE", "FS=MRC", "CURRENCY=USD", "XLFILL=b")</f>
        <v>10.000000000000023</v>
      </c>
      <c r="F12" s="9">
        <f>_xll.BQL("SAVE US Equity", "FA_GROWTH(REV_PASS_MILES_KM, YOY)", "FPT=A", "FPO=4A", "ACT_EST_MAPPING=PRECISE", "FS=MRC", "CURRENCY=USD", "XLFILL=b")</f>
        <v>-1.555641225622501</v>
      </c>
      <c r="G12" s="9">
        <f>_xll.BQL("SAVE US Equity", "FA_GROWTH(REV_PASS_MILES_KM, YOY)", "FPT=A", "FPO=3A", "ACT_EST_MAPPING=PRECISE", "FS=MRC", "CURRENCY=USD", "XLFILL=b")</f>
        <v>5.3572232644476285</v>
      </c>
      <c r="H12" s="9">
        <f>_xll.BQL("SAVE US Equity", "FA_GROWTH(REV_PASS_MILES_KM, YOY)", "FPT=A", "FPO=2A", "ACT_EST_MAPPING=PRECISE", "FS=MRC", "CURRENCY=USD", "XLFILL=b")</f>
        <v>-6.8775019727680888</v>
      </c>
      <c r="I12" s="9">
        <f>_xll.BQL("SAVE US Equity", "FA_GROWTH(REV_PASS_MILES_KM, YOY)", "FPT=A", "FPO=1A", "ACT_EST_MAPPING=PRECISE", "FS=MRC", "CURRENCY=USD", "XLFILL=b")</f>
        <v>-0.34664316070451967</v>
      </c>
      <c r="J12" s="9">
        <f>_xll.BQL("SAVE US Equity", "FA_GROWTH(REV_PASS_MILES_KM, YOY)", "FPT=A", "FPO=0A", "ACT_EST_MAPPING=PRECISE", "FS=MRC", "CURRENCY=USD", "XLFILL=b")</f>
        <v>13.748583824218541</v>
      </c>
      <c r="K12" s="9">
        <f>_xll.BQL("SAVE US Equity", "FA_GROWTH(REV_PASS_MILES_KM, YOY)", "FPT=A", "FPO=-1A", "ACT_EST_MAPPING=PRECISE", "FS=MRC", "CURRENCY=USD", "XLFILL=b")</f>
        <v>23.81710050367013</v>
      </c>
      <c r="L12" s="9">
        <f>_xll.BQL("SAVE US Equity", "FA_GROWTH(REV_PASS_MILES_KM, YOY)", "FPT=A", "FPO=-2A", "ACT_EST_MAPPING=PRECISE", "FS=MRC", "CURRENCY=USD", "XLFILL=b")</f>
        <v>66.279405012886002</v>
      </c>
      <c r="M12" s="9">
        <f>_xll.BQL("SAVE US Equity", "FA_GROWTH(REV_PASS_MILES_KM, YOY)", "FPT=A", "FPO=-3A", "ACT_EST_MAPPING=PRECISE", "FS=MRC", "CURRENCY=USD", "XLFILL=b")</f>
        <v>-45.185831239554453</v>
      </c>
      <c r="N12" s="9">
        <f>_xll.BQL("SAVE US Equity", "FA_GROWTH(REV_PASS_MILES_KM, YOY)", "FPT=A", "FPO=-4A", "ACT_EST_MAPPING=PRECISE", "FS=MRC", "CURRENCY=USD", "XLFILL=b")</f>
        <v>15.092736826984376</v>
      </c>
    </row>
    <row r="13" spans="1:14" x14ac:dyDescent="0.2">
      <c r="A13" s="8" t="s">
        <v>19</v>
      </c>
      <c r="B13" s="4" t="s">
        <v>20</v>
      </c>
      <c r="C13" s="4" t="s">
        <v>21</v>
      </c>
      <c r="D13" s="4"/>
      <c r="E13" s="9">
        <f>_xll.BQL("SAVE US Equity", "AVAIL_SEAT_MILES_KM/1M", "FPT=A", "FPO=5A", "ACT_EST_MAPPING=PRECISE", "FS=MRC", "CURRENCY=USD", "XLFILL=b")</f>
        <v>59877.457055003091</v>
      </c>
      <c r="F13" s="9">
        <f>_xll.BQL("SAVE US Equity", "AVAIL_SEAT_MILES_KM/1M", "FPT=A", "FPO=4A", "ACT_EST_MAPPING=PRECISE", "FS=MRC", "CURRENCY=USD", "XLFILL=b")</f>
        <v>54434.051868184622</v>
      </c>
      <c r="G13" s="9">
        <f>_xll.BQL("SAVE US Equity", "AVAIL_SEAT_MILES_KM/1M", "FPT=A", "FPO=3A", "ACT_EST_MAPPING=PRECISE", "FS=MRC", "CURRENCY=USD", "XLFILL=b")</f>
        <v>53445.582318189052</v>
      </c>
      <c r="H13" s="9">
        <f>_xll.BQL("SAVE US Equity", "AVAIL_SEAT_MILES_KM/1M", "FPT=A", "FPO=2A", "ACT_EST_MAPPING=PRECISE", "FS=MRC", "CURRENCY=USD", "XLFILL=b")</f>
        <v>51135.868054618339</v>
      </c>
      <c r="I13" s="9">
        <f>_xll.BQL("SAVE US Equity", "AVAIL_SEAT_MILES_KM/1M", "FPT=A", "FPO=1A", "ACT_EST_MAPPING=PRECISE", "FS=MRC", "CURRENCY=USD", "XLFILL=b")</f>
        <v>55240.956942222219</v>
      </c>
      <c r="J13" s="9">
        <f>_xll.BQL("SAVE US Equity", "AVAIL_SEAT_MILES_KM/1M", "FPT=A", "FPO=0A", "ACT_EST_MAPPING=PRECISE", "FS=MRC", "CURRENCY=USD", "XLFILL=b")</f>
        <v>55665.561000000002</v>
      </c>
      <c r="K13" s="9">
        <f>_xll.BQL("SAVE US Equity", "AVAIL_SEAT_MILES_KM/1M", "FPT=A", "FPO=-1A", "ACT_EST_MAPPING=PRECISE", "FS=MRC", "CURRENCY=USD", "XLFILL=b")</f>
        <v>48567.978000000003</v>
      </c>
      <c r="L13" s="9">
        <f>_xll.BQL("SAVE US Equity", "AVAIL_SEAT_MILES_KM/1M", "FPT=A", "FPO=-2A", "ACT_EST_MAPPING=PRECISE", "FS=MRC", "CURRENCY=USD", "XLFILL=b")</f>
        <v>40749.334000000003</v>
      </c>
      <c r="M13" s="9">
        <f>_xll.BQL("SAVE US Equity", "AVAIL_SEAT_MILES_KM/1M", "FPT=A", "FPO=-3A", "ACT_EST_MAPPING=PRECISE", "FS=MRC", "CURRENCY=USD", "XLFILL=b")</f>
        <v>27718.386999999999</v>
      </c>
      <c r="N13" s="9">
        <f>_xll.BQL("SAVE US Equity", "AVAIL_SEAT_MILES_KM/1M", "FPT=A", "FPO=-4A", "ACT_EST_MAPPING=PRECISE", "FS=MRC", "CURRENCY=USD", "XLFILL=b")</f>
        <v>41783.000999999997</v>
      </c>
    </row>
    <row r="14" spans="1:14" x14ac:dyDescent="0.2">
      <c r="A14" s="8" t="s">
        <v>12</v>
      </c>
      <c r="B14" s="4" t="s">
        <v>20</v>
      </c>
      <c r="C14" s="4" t="s">
        <v>21</v>
      </c>
      <c r="D14" s="4"/>
      <c r="E14" s="9">
        <f>_xll.BQL("SAVE US Equity", "FA_GROWTH(AVAIL_SEAT_MILES_KM, YOY)", "FPT=A", "FPO=5A", "ACT_EST_MAPPING=PRECISE", "FS=MRC", "CURRENCY=USD", "XLFILL=b")</f>
        <v>10.000000000000007</v>
      </c>
      <c r="F14" s="9">
        <f>_xll.BQL("SAVE US Equity", "FA_GROWTH(AVAIL_SEAT_MILES_KM, YOY)", "FPT=A", "FPO=4A", "ACT_EST_MAPPING=PRECISE", "FS=MRC", "CURRENCY=USD", "XLFILL=b")</f>
        <v>1.8494878474907563</v>
      </c>
      <c r="G14" s="9">
        <f>_xll.BQL("SAVE US Equity", "FA_GROWTH(AVAIL_SEAT_MILES_KM, YOY)", "FPT=A", "FPO=3A", "ACT_EST_MAPPING=PRECISE", "FS=MRC", "CURRENCY=USD", "XLFILL=b")</f>
        <v>4.5168183340580006</v>
      </c>
      <c r="H14" s="9">
        <f>_xll.BQL("SAVE US Equity", "FA_GROWTH(AVAIL_SEAT_MILES_KM, YOY)", "FPT=A", "FPO=2A", "ACT_EST_MAPPING=PRECISE", "FS=MRC", "CURRENCY=USD", "XLFILL=b")</f>
        <v>-7.4312414462651111</v>
      </c>
      <c r="I14" s="9">
        <f>_xll.BQL("SAVE US Equity", "FA_GROWTH(AVAIL_SEAT_MILES_KM, YOY)", "FPT=A", "FPO=1A", "ACT_EST_MAPPING=PRECISE", "FS=MRC", "CURRENCY=USD", "XLFILL=b")</f>
        <v>-0.7627769309246315</v>
      </c>
      <c r="J14" s="9">
        <f>_xll.BQL("SAVE US Equity", "FA_GROWTH(AVAIL_SEAT_MILES_KM, YOY)", "FPT=A", "FPO=0A", "ACT_EST_MAPPING=PRECISE", "FS=MRC", "CURRENCY=USD", "XLFILL=b")</f>
        <v>14.61370905743698</v>
      </c>
      <c r="K14" s="9">
        <f>_xll.BQL("SAVE US Equity", "FA_GROWTH(AVAIL_SEAT_MILES_KM, YOY)", "FPT=A", "FPO=-1A", "ACT_EST_MAPPING=PRECISE", "FS=MRC", "CURRENCY=USD", "XLFILL=b")</f>
        <v>19.187170028349421</v>
      </c>
      <c r="L14" s="9">
        <f>_xll.BQL("SAVE US Equity", "FA_GROWTH(AVAIL_SEAT_MILES_KM, YOY)", "FPT=A", "FPO=-2A", "ACT_EST_MAPPING=PRECISE", "FS=MRC", "CURRENCY=USD", "XLFILL=b")</f>
        <v>47.011923890087836</v>
      </c>
      <c r="M14" s="9">
        <f>_xll.BQL("SAVE US Equity", "FA_GROWTH(AVAIL_SEAT_MILES_KM, YOY)", "FPT=A", "FPO=-3A", "ACT_EST_MAPPING=PRECISE", "FS=MRC", "CURRENCY=USD", "XLFILL=b")</f>
        <v>-33.661091025989251</v>
      </c>
      <c r="N14" s="9">
        <f>_xll.BQL("SAVE US Equity", "FA_GROWTH(AVAIL_SEAT_MILES_KM, YOY)", "FPT=A", "FPO=-4A", "ACT_EST_MAPPING=PRECISE", "FS=MRC", "CURRENCY=USD", "XLFILL=b")</f>
        <v>14.46462373950709</v>
      </c>
    </row>
    <row r="15" spans="1:14" x14ac:dyDescent="0.2">
      <c r="A15" s="8" t="s">
        <v>22</v>
      </c>
      <c r="B15" s="4" t="s">
        <v>23</v>
      </c>
      <c r="C15" s="4" t="s">
        <v>24</v>
      </c>
      <c r="D15" s="4"/>
      <c r="E15" s="9">
        <f>_xll.BQL("SAVE US Equity", "LOAD_FACTOR", "FPT=A", "FPO=5A", "ACT_EST_MAPPING=PRECISE", "FS=MRC", "CURRENCY=USD", "XLFILL=b")</f>
        <v>80.000000000000014</v>
      </c>
      <c r="F15" s="9">
        <f>_xll.BQL("SAVE US Equity", "LOAD_FACTOR", "FPT=A", "FPO=4A", "ACT_EST_MAPPING=PRECISE", "FS=MRC", "CURRENCY=USD", "XLFILL=b")</f>
        <v>80</v>
      </c>
      <c r="G15" s="9">
        <f>_xll.BQL("SAVE US Equity", "LOAD_FACTOR", "FPT=A", "FPO=3A", "ACT_EST_MAPPING=PRECISE", "FS=MRC", "CURRENCY=USD", "XLFILL=b")</f>
        <v>82.68706904098417</v>
      </c>
      <c r="H15" s="9">
        <f>_xll.BQL("SAVE US Equity", "LOAD_FACTOR", "FPT=A", "FPO=2A", "ACT_EST_MAPPING=PRECISE", "FS=MRC", "CURRENCY=USD", "XLFILL=b")</f>
        <v>82.093799156702659</v>
      </c>
      <c r="I15" s="9">
        <f>_xll.BQL("SAVE US Equity", "LOAD_FACTOR", "FPT=A", "FPO=1A", "ACT_EST_MAPPING=PRECISE", "FS=MRC", "CURRENCY=USD", "XLFILL=b")</f>
        <v>81.62018501217446</v>
      </c>
      <c r="J15" s="9">
        <f>_xll.BQL("SAVE US Equity", "LOAD_FACTOR", "FPT=A", "FPO=0A", "ACT_EST_MAPPING=PRECISE", "FS=MRC", "CURRENCY=USD", "XLFILL=b")</f>
        <v>81.3</v>
      </c>
      <c r="K15" s="9">
        <f>_xll.BQL("SAVE US Equity", "LOAD_FACTOR", "FPT=A", "FPO=-1A", "ACT_EST_MAPPING=PRECISE", "FS=MRC", "CURRENCY=USD", "XLFILL=b")</f>
        <v>81.900000000000006</v>
      </c>
      <c r="L15" s="9">
        <f>_xll.BQL("SAVE US Equity", "LOAD_FACTOR", "FPT=A", "FPO=-2A", "ACT_EST_MAPPING=PRECISE", "FS=MRC", "CURRENCY=USD", "XLFILL=b")</f>
        <v>78.8</v>
      </c>
      <c r="M15" s="9">
        <f>_xll.BQL("SAVE US Equity", "LOAD_FACTOR", "FPT=A", "FPO=-3A", "ACT_EST_MAPPING=PRECISE", "FS=MRC", "CURRENCY=USD", "XLFILL=b")</f>
        <v>69.7</v>
      </c>
      <c r="N15" s="9">
        <f>_xll.BQL("SAVE US Equity", "LOAD_FACTOR", "FPT=A", "FPO=-4A", "ACT_EST_MAPPING=PRECISE", "FS=MRC", "CURRENCY=USD", "XLFILL=b")</f>
        <v>84.4</v>
      </c>
    </row>
    <row r="16" spans="1:14" x14ac:dyDescent="0.2">
      <c r="A16" s="8" t="s">
        <v>12</v>
      </c>
      <c r="B16" s="4" t="s">
        <v>23</v>
      </c>
      <c r="C16" s="4" t="s">
        <v>24</v>
      </c>
      <c r="D16" s="4"/>
      <c r="E16" s="9">
        <f>_xll.BQL("SAVE US Equity", "FA_GROWTH(LOAD_FACTOR, YOY)", "FPT=A", "FPO=5A", "ACT_EST_MAPPING=PRECISE", "FS=MRC", "CURRENCY=USD", "XLFILL=b")</f>
        <v>1.7763568394002505E-14</v>
      </c>
      <c r="F16" s="9">
        <f>_xll.BQL("SAVE US Equity", "FA_GROWTH(LOAD_FACTOR, YOY)", "FPT=A", "FPO=4A", "ACT_EST_MAPPING=PRECISE", "FS=MRC", "CURRENCY=USD", "XLFILL=b")</f>
        <v>-3.2496847114659655</v>
      </c>
      <c r="G16" s="9">
        <f>_xll.BQL("SAVE US Equity", "FA_GROWTH(LOAD_FACTOR, YOY)", "FPT=A", "FPO=3A", "ACT_EST_MAPPING=PRECISE", "FS=MRC", "CURRENCY=USD", "XLFILL=b")</f>
        <v>0.72267319867736091</v>
      </c>
      <c r="H16" s="9">
        <f>_xll.BQL("SAVE US Equity", "FA_GROWTH(LOAD_FACTOR, YOY)", "FPT=A", "FPO=2A", "ACT_EST_MAPPING=PRECISE", "FS=MRC", "CURRENCY=USD", "XLFILL=b")</f>
        <v>0.58026595315552698</v>
      </c>
      <c r="I16" s="9">
        <f>_xll.BQL("SAVE US Equity", "FA_GROWTH(LOAD_FACTOR, YOY)", "FPT=A", "FPO=1A", "ACT_EST_MAPPING=PRECISE", "FS=MRC", "CURRENCY=USD", "XLFILL=b")</f>
        <v>0.39383150328962202</v>
      </c>
      <c r="J16" s="9">
        <f>_xll.BQL("SAVE US Equity", "FA_GROWTH(LOAD_FACTOR, YOY)", "FPT=A", "FPO=0A", "ACT_EST_MAPPING=PRECISE", "FS=MRC", "CURRENCY=USD", "XLFILL=b")</f>
        <v>-0.73260073260074299</v>
      </c>
      <c r="K16" s="9">
        <f>_xll.BQL("SAVE US Equity", "FA_GROWTH(LOAD_FACTOR, YOY)", "FPT=A", "FPO=-1A", "ACT_EST_MAPPING=PRECISE", "FS=MRC", "CURRENCY=USD", "XLFILL=b")</f>
        <v>3.9340101522842748</v>
      </c>
      <c r="L16" s="9">
        <f>_xll.BQL("SAVE US Equity", "FA_GROWTH(LOAD_FACTOR, YOY)", "FPT=A", "FPO=-2A", "ACT_EST_MAPPING=PRECISE", "FS=MRC", "CURRENCY=USD", "XLFILL=b")</f>
        <v>13.055954088952646</v>
      </c>
      <c r="M16" s="9">
        <f>_xll.BQL("SAVE US Equity", "FA_GROWTH(LOAD_FACTOR, YOY)", "FPT=A", "FPO=-3A", "ACT_EST_MAPPING=PRECISE", "FS=MRC", "CURRENCY=USD", "XLFILL=b")</f>
        <v>-17.417061611374407</v>
      </c>
      <c r="N16" s="9">
        <f>_xll.BQL("SAVE US Equity", "FA_GROWTH(LOAD_FACTOR, YOY)", "FPT=A", "FPO=-4A", "ACT_EST_MAPPING=PRECISE", "FS=MRC", "CURRENCY=USD", "XLFILL=b")</f>
        <v>0.59594755661501786</v>
      </c>
    </row>
    <row r="17" spans="1:14" x14ac:dyDescent="0.2">
      <c r="A17" s="8" t="s">
        <v>16</v>
      </c>
      <c r="B17" s="4"/>
      <c r="C17" s="4"/>
      <c r="D17" s="4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8" t="s">
        <v>25</v>
      </c>
      <c r="B18" s="4" t="s">
        <v>26</v>
      </c>
      <c r="C18" s="4"/>
      <c r="D18" s="4"/>
      <c r="E18" s="9">
        <f>_xll.BQL("SAVE US Equity", "TOTAL_PASSENGER_REVENUE/1M", "FPT=A", "FPO=5A", "ACT_EST_MAPPING=PRECISE", "FS=MRC", "CURRENCY=USD", "XLFILL=b")</f>
        <v>6879.3419182325742</v>
      </c>
      <c r="F18" s="9">
        <f>_xll.BQL("SAVE US Equity", "TOTAL_PASSENGER_REVENUE/1M", "FPT=A", "FPO=4A", "ACT_EST_MAPPING=PRECISE", "FS=MRC", "CURRENCY=USD", "XLFILL=b")</f>
        <v>6071.7933964983004</v>
      </c>
      <c r="G18" s="9">
        <f>_xll.BQL("SAVE US Equity", "TOTAL_PASSENGER_REVENUE/1M", "FPT=A", "FPO=3A", "ACT_EST_MAPPING=PRECISE", "FS=MRC", "CURRENCY=USD", "XLFILL=b")</f>
        <v>5387.1269278602504</v>
      </c>
      <c r="H18" s="9">
        <f>_xll.BQL("SAVE US Equity", "TOTAL_PASSENGER_REVENUE/1M", "FPT=A", "FPO=2A", "ACT_EST_MAPPING=PRECISE", "FS=MRC", "CURRENCY=USD", "XLFILL=b")</f>
        <v>4892.1968685869224</v>
      </c>
      <c r="I18" s="9">
        <f>_xll.BQL("SAVE US Equity", "TOTAL_PASSENGER_REVENUE/1M", "FPT=A", "FPO=1A", "ACT_EST_MAPPING=PRECISE", "FS=MRC", "CURRENCY=USD", "XLFILL=b")</f>
        <v>4816.9063142730265</v>
      </c>
      <c r="J18" s="9">
        <f>_xll.BQL("SAVE US Equity", "TOTAL_PASSENGER_REVENUE/1M", "FPT=A", "FPO=0A", "ACT_EST_MAPPING=PRECISE", "FS=MRC", "CURRENCY=USD", "XLFILL=b")</f>
        <v>5268.1610000000001</v>
      </c>
      <c r="K18" s="9">
        <f>_xll.BQL("SAVE US Equity", "TOTAL_PASSENGER_REVENUE/1M", "FPT=A", "FPO=-1A", "ACT_EST_MAPPING=PRECISE", "FS=MRC", "CURRENCY=USD", "XLFILL=b")</f>
        <v>4989.3649999999998</v>
      </c>
      <c r="L18" s="9">
        <f>_xll.BQL("SAVE US Equity", "TOTAL_PASSENGER_REVENUE/1M", "FPT=A", "FPO=-2A", "ACT_EST_MAPPING=PRECISE", "FS=MRC", "CURRENCY=USD", "XLFILL=b")</f>
        <v>3175.8020000000001</v>
      </c>
      <c r="M18" s="9">
        <f>_xll.BQL("SAVE US Equity", "TOTAL_PASSENGER_REVENUE/1M", "FPT=A", "FPO=-3A", "ACT_EST_MAPPING=PRECISE", "FS=MRC", "CURRENCY=USD", "XLFILL=b")</f>
        <v>1765.5329999999999</v>
      </c>
      <c r="N18" s="9">
        <f>_xll.BQL("SAVE US Equity", "TOTAL_PASSENGER_REVENUE/1M", "FPT=A", "FPO=-4A", "ACT_EST_MAPPING=PRECISE", "FS=MRC", "CURRENCY=USD", "XLFILL=b")</f>
        <v>3757.605</v>
      </c>
    </row>
    <row r="19" spans="1:14" x14ac:dyDescent="0.2">
      <c r="A19" s="8" t="s">
        <v>12</v>
      </c>
      <c r="B19" s="4" t="s">
        <v>26</v>
      </c>
      <c r="C19" s="4"/>
      <c r="D19" s="4"/>
      <c r="E19" s="9">
        <f>_xll.BQL("SAVE US Equity", "FA_GROWTH(TOTAL_PASSENGER_REVENUE, YOY)", "FPT=A", "FPO=5A", "ACT_EST_MAPPING=PRECISE", "FS=MRC", "CURRENCY=USD", "XLFILL=b")</f>
        <v>13.3</v>
      </c>
      <c r="F19" s="9">
        <f>_xll.BQL("SAVE US Equity", "FA_GROWTH(TOTAL_PASSENGER_REVENUE, YOY)", "FPT=A", "FPO=4A", "ACT_EST_MAPPING=PRECISE", "FS=MRC", "CURRENCY=USD", "XLFILL=b")</f>
        <v>12.709306422635143</v>
      </c>
      <c r="G19" s="9">
        <f>_xll.BQL("SAVE US Equity", "FA_GROWTH(TOTAL_PASSENGER_REVENUE, YOY)", "FPT=A", "FPO=3A", "ACT_EST_MAPPING=PRECISE", "FS=MRC", "CURRENCY=USD", "XLFILL=b")</f>
        <v>10.116724092836536</v>
      </c>
      <c r="H19" s="9">
        <f>_xll.BQL("SAVE US Equity", "FA_GROWTH(TOTAL_PASSENGER_REVENUE, YOY)", "FPT=A", "FPO=2A", "ACT_EST_MAPPING=PRECISE", "FS=MRC", "CURRENCY=USD", "XLFILL=b")</f>
        <v>1.5630479274799665</v>
      </c>
      <c r="I19" s="9">
        <f>_xll.BQL("SAVE US Equity", "FA_GROWTH(TOTAL_PASSENGER_REVENUE, YOY)", "FPT=A", "FPO=1A", "ACT_EST_MAPPING=PRECISE", "FS=MRC", "CURRENCY=USD", "XLFILL=b")</f>
        <v>-8.5656965633163757</v>
      </c>
      <c r="J19" s="9">
        <f>_xll.BQL("SAVE US Equity", "FA_GROWTH(TOTAL_PASSENGER_REVENUE, YOY)", "FPT=A", "FPO=0A", "ACT_EST_MAPPING=PRECISE", "FS=MRC", "CURRENCY=USD", "XLFILL=b")</f>
        <v>5.5878052617918312</v>
      </c>
      <c r="K19" s="9">
        <f>_xll.BQL("SAVE US Equity", "FA_GROWTH(TOTAL_PASSENGER_REVENUE, YOY)", "FPT=A", "FPO=-1A", "ACT_EST_MAPPING=PRECISE", "FS=MRC", "CURRENCY=USD", "XLFILL=b")</f>
        <v>57.105669685956492</v>
      </c>
      <c r="L19" s="9">
        <f>_xll.BQL("SAVE US Equity", "FA_GROWTH(TOTAL_PASSENGER_REVENUE, YOY)", "FPT=A", "FPO=-2A", "ACT_EST_MAPPING=PRECISE", "FS=MRC", "CURRENCY=USD", "XLFILL=b")</f>
        <v>79.877804606314356</v>
      </c>
      <c r="M19" s="9">
        <f>_xll.BQL("SAVE US Equity", "FA_GROWTH(TOTAL_PASSENGER_REVENUE, YOY)", "FPT=A", "FPO=-3A", "ACT_EST_MAPPING=PRECISE", "FS=MRC", "CURRENCY=USD", "XLFILL=b")</f>
        <v>-53.014406783043988</v>
      </c>
      <c r="N19" s="9">
        <f>_xll.BQL("SAVE US Equity", "FA_GROWTH(TOTAL_PASSENGER_REVENUE, YOY)", "FPT=A", "FPO=-4A", "ACT_EST_MAPPING=PRECISE", "FS=MRC", "CURRENCY=USD", "XLFILL=b")</f>
        <v>15.263426702024377</v>
      </c>
    </row>
    <row r="20" spans="1:14" x14ac:dyDescent="0.2">
      <c r="A20" s="8" t="s">
        <v>27</v>
      </c>
      <c r="B20" s="4" t="s">
        <v>28</v>
      </c>
      <c r="C20" s="4"/>
      <c r="D20" s="4"/>
      <c r="E20" s="9">
        <f>_xll.BQL("SAVE US Equity", "PASSENGER_REVENUE_PER_ASM", "FPT=A", "FPO=5A", "ACT_EST_MAPPING=PRECISE", "FS=MRC", "CURRENCY=USD", "XLFILL=b")</f>
        <v>11.489034866516208</v>
      </c>
      <c r="F20" s="9">
        <f>_xll.BQL("SAVE US Equity", "PASSENGER_REVENUE_PER_ASM", "FPT=A", "FPO=4A", "ACT_EST_MAPPING=PRECISE", "FS=MRC", "CURRENCY=USD", "XLFILL=b")</f>
        <v>11.154402783025445</v>
      </c>
      <c r="G20" s="9">
        <f>_xll.BQL("SAVE US Equity", "PASSENGER_REVENUE_PER_ASM", "FPT=A", "FPO=3A", "ACT_EST_MAPPING=PRECISE", "FS=MRC", "CURRENCY=USD", "XLFILL=b")</f>
        <v>10.397933980470945</v>
      </c>
      <c r="H20" s="9">
        <f>_xll.BQL("SAVE US Equity", "PASSENGER_REVENUE_PER_ASM", "FPT=A", "FPO=2A", "ACT_EST_MAPPING=PRECISE", "FS=MRC", "CURRENCY=USD", "XLFILL=b")</f>
        <v>9.7075193844535619</v>
      </c>
      <c r="I20" s="9">
        <f>_xll.BQL("SAVE US Equity", "PASSENGER_REVENUE_PER_ASM", "FPT=A", "FPO=1A", "ACT_EST_MAPPING=PRECISE", "FS=MRC", "CURRENCY=USD", "XLFILL=b")</f>
        <v>8.8132260356253163</v>
      </c>
      <c r="J20" s="9">
        <f>_xll.BQL("SAVE US Equity", "PASSENGER_REVENUE_PER_ASM", "FPT=A", "FPO=0A", "ACT_EST_MAPPING=PRECISE", "FS=MRC", "CURRENCY=USD", "XLFILL=b")</f>
        <v>9.6300000000000008</v>
      </c>
      <c r="K20" s="9">
        <f>_xll.BQL("SAVE US Equity", "PASSENGER_REVENUE_PER_ASM", "FPT=A", "FPO=-1A", "ACT_EST_MAPPING=PRECISE", "FS=MRC", "CURRENCY=USD", "XLFILL=b")</f>
        <v>10.44</v>
      </c>
      <c r="L20" s="9">
        <f>_xll.BQL("SAVE US Equity", "PASSENGER_REVENUE_PER_ASM", "FPT=A", "FPO=-2A", "ACT_EST_MAPPING=PRECISE", "FS=MRC", "CURRENCY=USD", "XLFILL=b")</f>
        <v>7.93</v>
      </c>
      <c r="M20" s="9">
        <f>_xll.BQL("SAVE US Equity", "PASSENGER_REVENUE_PER_ASM", "FPT=A", "FPO=-3A", "ACT_EST_MAPPING=PRECISE", "FS=MRC", "CURRENCY=USD", "XLFILL=b")</f>
        <v>6.53</v>
      </c>
      <c r="N20" s="9">
        <f>_xll.BQL("SAVE US Equity", "PASSENGER_REVENUE_PER_ASM", "FPT=A", "FPO=-4A", "ACT_EST_MAPPING=PRECISE", "FS=MRC", "CURRENCY=USD", "XLFILL=b")</f>
        <v>9.17</v>
      </c>
    </row>
    <row r="21" spans="1:14" x14ac:dyDescent="0.2">
      <c r="A21" s="8" t="s">
        <v>12</v>
      </c>
      <c r="B21" s="4" t="s">
        <v>28</v>
      </c>
      <c r="C21" s="4"/>
      <c r="D21" s="4"/>
      <c r="E21" s="9">
        <f>_xll.BQL("SAVE US Equity", "FA_GROWTH(PASSENGER_REVENUE_PER_ASM, YOY)", "FPT=A", "FPO=5A", "ACT_EST_MAPPING=PRECISE", "FS=MRC", "CURRENCY=USD", "XLFILL=b")</f>
        <v>3.0000000000000031</v>
      </c>
      <c r="F21" s="9">
        <f>_xll.BQL("SAVE US Equity", "FA_GROWTH(PASSENGER_REVENUE_PER_ASM, YOY)", "FPT=A", "FPO=4A", "ACT_EST_MAPPING=PRECISE", "FS=MRC", "CURRENCY=USD", "XLFILL=b")</f>
        <v>7.2751837429942707</v>
      </c>
      <c r="G21" s="9">
        <f>_xll.BQL("SAVE US Equity", "FA_GROWTH(PASSENGER_REVENUE_PER_ASM, YOY)", "FPT=A", "FPO=3A", "ACT_EST_MAPPING=PRECISE", "FS=MRC", "CURRENCY=USD", "XLFILL=b")</f>
        <v>7.112162939618452</v>
      </c>
      <c r="H21" s="9">
        <f>_xll.BQL("SAVE US Equity", "FA_GROWTH(PASSENGER_REVENUE_PER_ASM, YOY)", "FPT=A", "FPO=2A", "ACT_EST_MAPPING=PRECISE", "FS=MRC", "CURRENCY=USD", "XLFILL=b")</f>
        <v>10.147173636682901</v>
      </c>
      <c r="I21" s="9">
        <f>_xll.BQL("SAVE US Equity", "FA_GROWTH(PASSENGER_REVENUE_PER_ASM, YOY)", "FPT=A", "FPO=1A", "ACT_EST_MAPPING=PRECISE", "FS=MRC", "CURRENCY=USD", "XLFILL=b")</f>
        <v>-8.4815572624577822</v>
      </c>
      <c r="J21" s="9">
        <f>_xll.BQL("SAVE US Equity", "FA_GROWTH(PASSENGER_REVENUE_PER_ASM, YOY)", "FPT=A", "FPO=0A", "ACT_EST_MAPPING=PRECISE", "FS=MRC", "CURRENCY=USD", "XLFILL=b")</f>
        <v>-7.7586206896551602</v>
      </c>
      <c r="K21" s="9">
        <f>_xll.BQL("SAVE US Equity", "FA_GROWTH(PASSENGER_REVENUE_PER_ASM, YOY)", "FPT=A", "FPO=-1A", "ACT_EST_MAPPING=PRECISE", "FS=MRC", "CURRENCY=USD", "XLFILL=b")</f>
        <v>31.651954602774271</v>
      </c>
      <c r="L21" s="9">
        <f>_xll.BQL("SAVE US Equity", "FA_GROWTH(PASSENGER_REVENUE_PER_ASM, YOY)", "FPT=A", "FPO=-2A", "ACT_EST_MAPPING=PRECISE", "FS=MRC", "CURRENCY=USD", "XLFILL=b")</f>
        <v>21.439509954058185</v>
      </c>
      <c r="M21" s="9">
        <f>_xll.BQL("SAVE US Equity", "FA_GROWTH(PASSENGER_REVENUE_PER_ASM, YOY)", "FPT=A", "FPO=-3A", "ACT_EST_MAPPING=PRECISE", "FS=MRC", "CURRENCY=USD", "XLFILL=b")</f>
        <v>-28.789531079607411</v>
      </c>
      <c r="N21" s="9">
        <f>_xll.BQL("SAVE US Equity", "FA_GROWTH(PASSENGER_REVENUE_PER_ASM, YOY)", "FPT=A", "FPO=-4A", "ACT_EST_MAPPING=PRECISE", "FS=MRC", "CURRENCY=USD", "XLFILL=b")</f>
        <v>0.76923076923077238</v>
      </c>
    </row>
    <row r="22" spans="1:14" x14ac:dyDescent="0.2">
      <c r="A22" s="8" t="s">
        <v>29</v>
      </c>
      <c r="B22" s="4" t="s">
        <v>30</v>
      </c>
      <c r="C22" s="4"/>
      <c r="D22" s="4"/>
      <c r="E22" s="9">
        <f>_xll.BQL("SAVE US Equity", "YIELD_PER_PASS_MILES_KM", "FPT=A", "FPO=5A", "ACT_EST_MAPPING=PRECISE", "FS=MRC", "CURRENCY=USD", "XLFILL=b")</f>
        <v>14.36129358314526</v>
      </c>
      <c r="F22" s="9">
        <f>_xll.BQL("SAVE US Equity", "YIELD_PER_PASS_MILES_KM", "FPT=A", "FPO=4A", "ACT_EST_MAPPING=PRECISE", "FS=MRC", "CURRENCY=USD", "XLFILL=b")</f>
        <v>13.94300347878181</v>
      </c>
      <c r="G22" s="9">
        <f>_xll.BQL("SAVE US Equity", "YIELD_PER_PASS_MILES_KM", "FPT=A", "FPO=3A", "ACT_EST_MAPPING=PRECISE", "FS=MRC", "CURRENCY=USD", "XLFILL=b")</f>
        <v>12.800206594957903</v>
      </c>
      <c r="H22" s="9">
        <f>_xll.BQL("SAVE US Equity", "YIELD_PER_PASS_MILES_KM", "FPT=A", "FPO=2A", "ACT_EST_MAPPING=PRECISE", "FS=MRC", "CURRENCY=USD", "XLFILL=b")</f>
        <v>12.155795324013607</v>
      </c>
      <c r="I22" s="9">
        <f>_xll.BQL("SAVE US Equity", "YIELD_PER_PASS_MILES_KM", "FPT=A", "FPO=1A", "ACT_EST_MAPPING=PRECISE", "FS=MRC", "CURRENCY=USD", "XLFILL=b")</f>
        <v>10.85315994979527</v>
      </c>
      <c r="J22" s="9">
        <f>_xll.BQL("SAVE US Equity", "YIELD_PER_PASS_MILES_KM", "FPT=A", "FPO=0A", "ACT_EST_MAPPING=PRECISE", "FS=MRC", "CURRENCY=USD", "XLFILL=b")</f>
        <v>11.85</v>
      </c>
      <c r="K22" s="9">
        <f>_xll.BQL("SAVE US Equity", "YIELD_PER_PASS_MILES_KM", "FPT=A", "FPO=-1A", "ACT_EST_MAPPING=PRECISE", "FS=MRC", "CURRENCY=USD", "XLFILL=b")</f>
        <v>12.74</v>
      </c>
      <c r="L22" s="9">
        <f>_xll.BQL("SAVE US Equity", "YIELD_PER_PASS_MILES_KM", "FPT=A", "FPO=-2A", "ACT_EST_MAPPING=PRECISE", "FS=MRC", "CURRENCY=USD", "XLFILL=b")</f>
        <v>10.06</v>
      </c>
      <c r="M22" s="9">
        <f>_xll.BQL("SAVE US Equity", "YIELD_PER_PASS_MILES_KM", "FPT=A", "FPO=-3A", "ACT_EST_MAPPING=PRECISE", "FS=MRC", "CURRENCY=USD", "XLFILL=b")</f>
        <v>9.3699999999999992</v>
      </c>
      <c r="N22" s="9">
        <f>_xll.BQL("SAVE US Equity", "YIELD_PER_PASS_MILES_KM", "FPT=A", "FPO=-4A", "ACT_EST_MAPPING=PRECISE", "FS=MRC", "CURRENCY=USD", "XLFILL=b")</f>
        <v>10.87</v>
      </c>
    </row>
    <row r="23" spans="1:14" x14ac:dyDescent="0.2">
      <c r="A23" s="8" t="s">
        <v>12</v>
      </c>
      <c r="B23" s="4" t="s">
        <v>30</v>
      </c>
      <c r="C23" s="4"/>
      <c r="D23" s="4"/>
      <c r="E23" s="9">
        <f>_xll.BQL("SAVE US Equity", "FA_GROWTH(YIELD_PER_PASS_MILES_KM, YOY)", "FPT=A", "FPO=5A", "ACT_EST_MAPPING=PRECISE", "FS=MRC", "CURRENCY=USD", "XLFILL=b")</f>
        <v>2.9999999999999702</v>
      </c>
      <c r="F23" s="9">
        <f>_xll.BQL("SAVE US Equity", "FA_GROWTH(YIELD_PER_PASS_MILES_KM, YOY)", "FPT=A", "FPO=4A", "ACT_EST_MAPPING=PRECISE", "FS=MRC", "CURRENCY=USD", "XLFILL=b")</f>
        <v>8.9279565555923401</v>
      </c>
      <c r="G23" s="9">
        <f>_xll.BQL("SAVE US Equity", "FA_GROWTH(YIELD_PER_PASS_MILES_KM, YOY)", "FPT=A", "FPO=3A", "ACT_EST_MAPPING=PRECISE", "FS=MRC", "CURRENCY=USD", "XLFILL=b")</f>
        <v>5.3012678625089267</v>
      </c>
      <c r="H23" s="9">
        <f>_xll.BQL("SAVE US Equity", "FA_GROWTH(YIELD_PER_PASS_MILES_KM, YOY)", "FPT=A", "FPO=2A", "ACT_EST_MAPPING=PRECISE", "FS=MRC", "CURRENCY=USD", "XLFILL=b")</f>
        <v>12.002360420781502</v>
      </c>
      <c r="I23" s="9">
        <f>_xll.BQL("SAVE US Equity", "FA_GROWTH(YIELD_PER_PASS_MILES_KM, YOY)", "FPT=A", "FPO=1A", "ACT_EST_MAPPING=PRECISE", "FS=MRC", "CURRENCY=USD", "XLFILL=b")</f>
        <v>-8.4121523224027843</v>
      </c>
      <c r="J23" s="9">
        <f>_xll.BQL("SAVE US Equity", "FA_GROWTH(YIELD_PER_PASS_MILES_KM, YOY)", "FPT=A", "FPO=0A", "ACT_EST_MAPPING=PRECISE", "FS=MRC", "CURRENCY=USD", "XLFILL=b")</f>
        <v>-6.9858712715855615</v>
      </c>
      <c r="K23" s="9">
        <f>_xll.BQL("SAVE US Equity", "FA_GROWTH(YIELD_PER_PASS_MILES_KM, YOY)", "FPT=A", "FPO=-1A", "ACT_EST_MAPPING=PRECISE", "FS=MRC", "CURRENCY=USD", "XLFILL=b")</f>
        <v>26.640159045725646</v>
      </c>
      <c r="L23" s="9">
        <f>_xll.BQL("SAVE US Equity", "FA_GROWTH(YIELD_PER_PASS_MILES_KM, YOY)", "FPT=A", "FPO=-2A", "ACT_EST_MAPPING=PRECISE", "FS=MRC", "CURRENCY=USD", "XLFILL=b")</f>
        <v>7.3639274279615936</v>
      </c>
      <c r="M23" s="9">
        <f>_xll.BQL("SAVE US Equity", "FA_GROWTH(YIELD_PER_PASS_MILES_KM, YOY)", "FPT=A", "FPO=-3A", "ACT_EST_MAPPING=PRECISE", "FS=MRC", "CURRENCY=USD", "XLFILL=b")</f>
        <v>-13.799448022079117</v>
      </c>
      <c r="N23" s="9">
        <f>_xll.BQL("SAVE US Equity", "FA_GROWTH(YIELD_PER_PASS_MILES_KM, YOY)", "FPT=A", "FPO=-4A", "ACT_EST_MAPPING=PRECISE", "FS=MRC", "CURRENCY=USD", "XLFILL=b")</f>
        <v>0.18433179723501911</v>
      </c>
    </row>
    <row r="24" spans="1:14" x14ac:dyDescent="0.2">
      <c r="A24" s="8" t="s">
        <v>16</v>
      </c>
      <c r="B24" s="4"/>
      <c r="C24" s="4"/>
      <c r="D24" s="4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">
      <c r="A25" s="8" t="s">
        <v>31</v>
      </c>
      <c r="B25" s="4" t="s">
        <v>32</v>
      </c>
      <c r="C25" s="4"/>
      <c r="D25" s="4"/>
      <c r="E25" s="9" t="str">
        <f>_xll.BQL("SAVE US Equity", "OP_EXP_PER_ASM_ASK", "FPT=A", "FPO=5A", "ACT_EST_MAPPING=PRECISE", "FS=MRC", "CURRENCY=USD", "XLFILL=b")</f>
        <v/>
      </c>
      <c r="F25" s="9" t="str">
        <f>_xll.BQL("SAVE US Equity", "OP_EXP_PER_ASM_ASK", "FPT=A", "FPO=4A", "ACT_EST_MAPPING=PRECISE", "FS=MRC", "CURRENCY=USD", "XLFILL=b")</f>
        <v/>
      </c>
      <c r="G25" s="9">
        <f>_xll.BQL("SAVE US Equity", "OP_EXP_PER_ASM_ASK", "FPT=A", "FPO=3A", "ACT_EST_MAPPING=PRECISE", "FS=MRC", "CURRENCY=USD", "XLFILL=b")</f>
        <v>10.481462900560267</v>
      </c>
      <c r="H25" s="9">
        <f>_xll.BQL("SAVE US Equity", "OP_EXP_PER_ASM_ASK", "FPT=A", "FPO=2A", "ACT_EST_MAPPING=PRECISE", "FS=MRC", "CURRENCY=USD", "XLFILL=b")</f>
        <v>10.755530456153055</v>
      </c>
      <c r="I25" s="9">
        <f>_xll.BQL("SAVE US Equity", "OP_EXP_PER_ASM_ASK", "FPT=A", "FPO=1A", "ACT_EST_MAPPING=PRECISE", "FS=MRC", "CURRENCY=USD", "XLFILL=b")</f>
        <v>10.493149216496118</v>
      </c>
      <c r="J25" s="9">
        <f>_xll.BQL("SAVE US Equity", "OP_EXP_PER_ASM_ASK", "FPT=A", "FPO=0A", "ACT_EST_MAPPING=PRECISE", "FS=MRC", "CURRENCY=USD", "XLFILL=b")</f>
        <v>10.52</v>
      </c>
      <c r="K25" s="9">
        <f>_xll.BQL("SAVE US Equity", "OP_EXP_PER_ASM_ASK", "FPT=A", "FPO=-1A", "ACT_EST_MAPPING=PRECISE", "FS=MRC", "CURRENCY=USD", "XLFILL=b")</f>
        <v>11.67</v>
      </c>
      <c r="L25" s="9">
        <f>_xll.BQL("SAVE US Equity", "OP_EXP_PER_ASM_ASK", "FPT=A", "FPO=-2A", "ACT_EST_MAPPING=PRECISE", "FS=MRC", "CURRENCY=USD", "XLFILL=b")</f>
        <v>8.07</v>
      </c>
      <c r="M25" s="9">
        <f>_xll.BQL("SAVE US Equity", "OP_EXP_PER_ASM_ASK", "FPT=A", "FPO=-3A", "ACT_EST_MAPPING=PRECISE", "FS=MRC", "CURRENCY=USD", "XLFILL=b")</f>
        <v>8.36</v>
      </c>
      <c r="N25" s="9">
        <f>_xll.BQL("SAVE US Equity", "OP_EXP_PER_ASM_ASK", "FPT=A", "FPO=-4A", "ACT_EST_MAPPING=PRECISE", "FS=MRC", "CURRENCY=USD", "XLFILL=b")</f>
        <v>7.97</v>
      </c>
    </row>
    <row r="26" spans="1:14" x14ac:dyDescent="0.2">
      <c r="A26" s="8" t="s">
        <v>12</v>
      </c>
      <c r="B26" s="4" t="s">
        <v>32</v>
      </c>
      <c r="C26" s="4"/>
      <c r="D26" s="4"/>
      <c r="E26" s="9" t="str">
        <f>_xll.BQL("SAVE US Equity", "FA_GROWTH(OP_EXP_PER_ASM_ASK, YOY)", "FPT=A", "FPO=5A", "ACT_EST_MAPPING=PRECISE", "FS=MRC", "CURRENCY=USD", "XLFILL=b")</f>
        <v/>
      </c>
      <c r="F26" s="9" t="str">
        <f>_xll.BQL("SAVE US Equity", "FA_GROWTH(OP_EXP_PER_ASM_ASK, YOY)", "FPT=A", "FPO=4A", "ACT_EST_MAPPING=PRECISE", "FS=MRC", "CURRENCY=USD", "XLFILL=b")</f>
        <v/>
      </c>
      <c r="G26" s="9">
        <f>_xll.BQL("SAVE US Equity", "FA_GROWTH(OP_EXP_PER_ASM_ASK, YOY)", "FPT=A", "FPO=3A", "ACT_EST_MAPPING=PRECISE", "FS=MRC", "CURRENCY=USD", "XLFILL=b")</f>
        <v>-2.5481547071069741</v>
      </c>
      <c r="H26" s="9">
        <f>_xll.BQL("SAVE US Equity", "FA_GROWTH(OP_EXP_PER_ASM_ASK, YOY)", "FPT=A", "FPO=2A", "ACT_EST_MAPPING=PRECISE", "FS=MRC", "CURRENCY=USD", "XLFILL=b")</f>
        <v>2.5005004145414409</v>
      </c>
      <c r="I26" s="9">
        <f>_xll.BQL("SAVE US Equity", "FA_GROWTH(OP_EXP_PER_ASM_ASK, YOY)", "FPT=A", "FPO=1A", "ACT_EST_MAPPING=PRECISE", "FS=MRC", "CURRENCY=USD", "XLFILL=b")</f>
        <v>-0.25523558463765983</v>
      </c>
      <c r="J26" s="9">
        <f>_xll.BQL("SAVE US Equity", "FA_GROWTH(OP_EXP_PER_ASM_ASK, YOY)", "FPT=A", "FPO=0A", "ACT_EST_MAPPING=PRECISE", "FS=MRC", "CURRENCY=USD", "XLFILL=b")</f>
        <v>-9.8543273350471328</v>
      </c>
      <c r="K26" s="9">
        <f>_xll.BQL("SAVE US Equity", "FA_GROWTH(OP_EXP_PER_ASM_ASK, YOY)", "FPT=A", "FPO=-1A", "ACT_EST_MAPPING=PRECISE", "FS=MRC", "CURRENCY=USD", "XLFILL=b")</f>
        <v>44.609665427509285</v>
      </c>
      <c r="L26" s="9">
        <f>_xll.BQL("SAVE US Equity", "FA_GROWTH(OP_EXP_PER_ASM_ASK, YOY)", "FPT=A", "FPO=-2A", "ACT_EST_MAPPING=PRECISE", "FS=MRC", "CURRENCY=USD", "XLFILL=b")</f>
        <v>-3.4688995215310907</v>
      </c>
      <c r="M26" s="9">
        <f>_xll.BQL("SAVE US Equity", "FA_GROWTH(OP_EXP_PER_ASM_ASK, YOY)", "FPT=A", "FPO=-3A", "ACT_EST_MAPPING=PRECISE", "FS=MRC", "CURRENCY=USD", "XLFILL=b")</f>
        <v>4.8933500627352542</v>
      </c>
      <c r="N26" s="9">
        <f>_xll.BQL("SAVE US Equity", "FA_GROWTH(OP_EXP_PER_ASM_ASK, YOY)", "FPT=A", "FPO=-4A", "ACT_EST_MAPPING=PRECISE", "FS=MRC", "CURRENCY=USD", "XLFILL=b")</f>
        <v>-2.0884520884520983</v>
      </c>
    </row>
    <row r="27" spans="1:14" x14ac:dyDescent="0.2">
      <c r="A27" s="8" t="s">
        <v>33</v>
      </c>
      <c r="B27" s="4" t="s">
        <v>34</v>
      </c>
      <c r="C27" s="4"/>
      <c r="D27" s="4"/>
      <c r="E27" s="9" t="str">
        <f>_xll.BQL("SAVE US Equity", "CONS_COST_PER_ASM_EX_FUEL", "FPT=A", "FPO=5A", "ACT_EST_MAPPING=PRECISE", "FS=MRC", "CURRENCY=USD", "XLFILL=b")</f>
        <v/>
      </c>
      <c r="F27" s="9" t="str">
        <f>_xll.BQL("SAVE US Equity", "CONS_COST_PER_ASM_EX_FUEL", "FPT=A", "FPO=4A", "ACT_EST_MAPPING=PRECISE", "FS=MRC", "CURRENCY=USD", "XLFILL=b")</f>
        <v/>
      </c>
      <c r="G27" s="9">
        <f>_xll.BQL("SAVE US Equity", "CONS_COST_PER_ASM_EX_FUEL", "FPT=A", "FPO=3A", "ACT_EST_MAPPING=PRECISE", "FS=MRC", "CURRENCY=USD", "XLFILL=b")</f>
        <v>7.6960597511946265</v>
      </c>
      <c r="H27" s="9">
        <f>_xll.BQL("SAVE US Equity", "CONS_COST_PER_ASM_EX_FUEL", "FPT=A", "FPO=2A", "ACT_EST_MAPPING=PRECISE", "FS=MRC", "CURRENCY=USD", "XLFILL=b")</f>
        <v>7.9460945010893997</v>
      </c>
      <c r="I27" s="9">
        <f>_xll.BQL("SAVE US Equity", "CONS_COST_PER_ASM_EX_FUEL", "FPT=A", "FPO=1A", "ACT_EST_MAPPING=PRECISE", "FS=MRC", "CURRENCY=USD", "XLFILL=b")</f>
        <v>7.6485484574360596</v>
      </c>
      <c r="J27" s="9">
        <f>_xll.BQL("SAVE US Equity", "CONS_COST_PER_ASM_EX_FUEL", "FPT=A", "FPO=0A", "ACT_EST_MAPPING=PRECISE", "FS=MRC", "CURRENCY=USD", "XLFILL=b")</f>
        <v>7.25</v>
      </c>
      <c r="K27" s="9">
        <f>_xll.BQL("SAVE US Equity", "CONS_COST_PER_ASM_EX_FUEL", "FPT=A", "FPO=-1A", "ACT_EST_MAPPING=PRECISE", "FS=MRC", "CURRENCY=USD", "XLFILL=b")</f>
        <v>7.7</v>
      </c>
      <c r="L27" s="9">
        <f>_xll.BQL("SAVE US Equity", "CONS_COST_PER_ASM_EX_FUEL", "FPT=A", "FPO=-2A", "ACT_EST_MAPPING=PRECISE", "FS=MRC", "CURRENCY=USD", "XLFILL=b")</f>
        <v>5.82</v>
      </c>
      <c r="M27" s="9">
        <f>_xll.BQL("SAVE US Equity", "CONS_COST_PER_ASM_EX_FUEL", "FPT=A", "FPO=-3A", "ACT_EST_MAPPING=PRECISE", "FS=MRC", "CURRENCY=USD", "XLFILL=b")</f>
        <v>6.81</v>
      </c>
      <c r="N27" s="9">
        <f>_xll.BQL("SAVE US Equity", "CONS_COST_PER_ASM_EX_FUEL", "FPT=A", "FPO=-4A", "ACT_EST_MAPPING=PRECISE", "FS=MRC", "CURRENCY=USD", "XLFILL=b")</f>
        <v>5.59</v>
      </c>
    </row>
    <row r="28" spans="1:14" x14ac:dyDescent="0.2">
      <c r="A28" s="8" t="s">
        <v>12</v>
      </c>
      <c r="B28" s="4" t="s">
        <v>34</v>
      </c>
      <c r="C28" s="4"/>
      <c r="D28" s="4"/>
      <c r="E28" s="9" t="str">
        <f>_xll.BQL("SAVE US Equity", "FA_GROWTH(CONS_COST_PER_ASM_EX_FUEL, YOY)", "FPT=A", "FPO=5A", "ACT_EST_MAPPING=PRECISE", "FS=MRC", "CURRENCY=USD", "XLFILL=b")</f>
        <v/>
      </c>
      <c r="F28" s="9" t="str">
        <f>_xll.BQL("SAVE US Equity", "FA_GROWTH(CONS_COST_PER_ASM_EX_FUEL, YOY)", "FPT=A", "FPO=4A", "ACT_EST_MAPPING=PRECISE", "FS=MRC", "CURRENCY=USD", "XLFILL=b")</f>
        <v/>
      </c>
      <c r="G28" s="9">
        <f>_xll.BQL("SAVE US Equity", "FA_GROWTH(CONS_COST_PER_ASM_EX_FUEL, YOY)", "FPT=A", "FPO=3A", "ACT_EST_MAPPING=PRECISE", "FS=MRC", "CURRENCY=USD", "XLFILL=b")</f>
        <v>-3.1466370033793809</v>
      </c>
      <c r="H28" s="9">
        <f>_xll.BQL("SAVE US Equity", "FA_GROWTH(CONS_COST_PER_ASM_EX_FUEL, YOY)", "FPT=A", "FPO=2A", "ACT_EST_MAPPING=PRECISE", "FS=MRC", "CURRENCY=USD", "XLFILL=b")</f>
        <v>3.8902289147957272</v>
      </c>
      <c r="I28" s="9">
        <f>_xll.BQL("SAVE US Equity", "FA_GROWTH(CONS_COST_PER_ASM_EX_FUEL, YOY)", "FPT=A", "FPO=1A", "ACT_EST_MAPPING=PRECISE", "FS=MRC", "CURRENCY=USD", "XLFILL=b")</f>
        <v>5.4972201025663399</v>
      </c>
      <c r="J28" s="9">
        <f>_xll.BQL("SAVE US Equity", "FA_GROWTH(CONS_COST_PER_ASM_EX_FUEL, YOY)", "FPT=A", "FPO=0A", "ACT_EST_MAPPING=PRECISE", "FS=MRC", "CURRENCY=USD", "XLFILL=b")</f>
        <v>-5.8441558441558454</v>
      </c>
      <c r="K28" s="9">
        <f>_xll.BQL("SAVE US Equity", "FA_GROWTH(CONS_COST_PER_ASM_EX_FUEL, YOY)", "FPT=A", "FPO=-1A", "ACT_EST_MAPPING=PRECISE", "FS=MRC", "CURRENCY=USD", "XLFILL=b")</f>
        <v>32.302405498281786</v>
      </c>
      <c r="L28" s="9">
        <f>_xll.BQL("SAVE US Equity", "FA_GROWTH(CONS_COST_PER_ASM_EX_FUEL, YOY)", "FPT=A", "FPO=-2A", "ACT_EST_MAPPING=PRECISE", "FS=MRC", "CURRENCY=USD", "XLFILL=b")</f>
        <v>-14.537444933920694</v>
      </c>
      <c r="M28" s="9">
        <f>_xll.BQL("SAVE US Equity", "FA_GROWTH(CONS_COST_PER_ASM_EX_FUEL, YOY)", "FPT=A", "FPO=-3A", "ACT_EST_MAPPING=PRECISE", "FS=MRC", "CURRENCY=USD", "XLFILL=b")</f>
        <v>21.824686940966007</v>
      </c>
      <c r="N28" s="9">
        <f>_xll.BQL("SAVE US Equity", "FA_GROWTH(CONS_COST_PER_ASM_EX_FUEL, YOY)", "FPT=A", "FPO=-4A", "ACT_EST_MAPPING=PRECISE", "FS=MRC", "CURRENCY=USD", "XLFILL=b")</f>
        <v>0.35906642728904081</v>
      </c>
    </row>
    <row r="29" spans="1:14" x14ac:dyDescent="0.2">
      <c r="A29" s="8" t="s">
        <v>16</v>
      </c>
      <c r="B29" s="4"/>
      <c r="C29" s="4"/>
      <c r="D29" s="4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2">
      <c r="A30" s="8" t="s">
        <v>35</v>
      </c>
      <c r="B30" s="4" t="s">
        <v>36</v>
      </c>
      <c r="C30" s="4"/>
      <c r="D30" s="4"/>
      <c r="E30" s="9" t="str">
        <f>_xll.BQL("SAVE US Equity", "SIZE_OF_FLEET", "FPT=A", "FPO=5A", "ACT_EST_MAPPING=PRECISE", "FS=MRC", "CURRENCY=USD", "XLFILL=b")</f>
        <v/>
      </c>
      <c r="F30" s="9" t="str">
        <f>_xll.BQL("SAVE US Equity", "SIZE_OF_FLEET", "FPT=A", "FPO=4A", "ACT_EST_MAPPING=PRECISE", "FS=MRC", "CURRENCY=USD", "XLFILL=b")</f>
        <v/>
      </c>
      <c r="G30" s="9">
        <f>_xll.BQL("SAVE US Equity", "SIZE_OF_FLEET", "FPT=A", "FPO=3A", "ACT_EST_MAPPING=PRECISE", "FS=MRC", "CURRENCY=USD", "XLFILL=b")</f>
        <v>219</v>
      </c>
      <c r="H30" s="9">
        <f>_xll.BQL("SAVE US Equity", "SIZE_OF_FLEET", "FPT=A", "FPO=2A", "ACT_EST_MAPPING=PRECISE", "FS=MRC", "CURRENCY=USD", "XLFILL=b")</f>
        <v>218.875</v>
      </c>
      <c r="I30" s="9">
        <f>_xll.BQL("SAVE US Equity", "SIZE_OF_FLEET", "FPT=A", "FPO=1A", "ACT_EST_MAPPING=PRECISE", "FS=MRC", "CURRENCY=USD", "XLFILL=b")</f>
        <v>213.08333333333334</v>
      </c>
      <c r="J30" s="9">
        <f>_xll.BQL("SAVE US Equity", "SIZE_OF_FLEET", "FPT=A", "FPO=0A", "ACT_EST_MAPPING=PRECISE", "FS=MRC", "CURRENCY=USD", "XLFILL=b")</f>
        <v>205</v>
      </c>
      <c r="K30" s="9">
        <f>_xll.BQL("SAVE US Equity", "SIZE_OF_FLEET", "FPT=A", "FPO=-1A", "ACT_EST_MAPPING=PRECISE", "FS=MRC", "CURRENCY=USD", "XLFILL=b")</f>
        <v>194</v>
      </c>
      <c r="L30" s="9">
        <f>_xll.BQL("SAVE US Equity", "SIZE_OF_FLEET", "FPT=A", "FPO=-2A", "ACT_EST_MAPPING=PRECISE", "FS=MRC", "CURRENCY=USD", "XLFILL=b")</f>
        <v>173</v>
      </c>
      <c r="M30" s="9">
        <f>_xll.BQL("SAVE US Equity", "SIZE_OF_FLEET", "FPT=A", "FPO=-3A", "ACT_EST_MAPPING=PRECISE", "FS=MRC", "CURRENCY=USD", "XLFILL=b")</f>
        <v>157</v>
      </c>
      <c r="N30" s="9">
        <f>_xll.BQL("SAVE US Equity", "SIZE_OF_FLEET", "FPT=A", "FPO=-4A", "ACT_EST_MAPPING=PRECISE", "FS=MRC", "CURRENCY=USD", "XLFILL=b")</f>
        <v>145</v>
      </c>
    </row>
    <row r="31" spans="1:14" x14ac:dyDescent="0.2">
      <c r="A31" s="8" t="s">
        <v>12</v>
      </c>
      <c r="B31" s="4" t="s">
        <v>36</v>
      </c>
      <c r="C31" s="4"/>
      <c r="D31" s="4"/>
      <c r="E31" s="9" t="str">
        <f>_xll.BQL("SAVE US Equity", "FA_GROWTH(SIZE_OF_FLEET, YOY)", "FPT=A", "FPO=5A", "ACT_EST_MAPPING=PRECISE", "FS=MRC", "CURRENCY=USD", "XLFILL=b")</f>
        <v/>
      </c>
      <c r="F31" s="9" t="str">
        <f>_xll.BQL("SAVE US Equity", "FA_GROWTH(SIZE_OF_FLEET, YOY)", "FPT=A", "FPO=4A", "ACT_EST_MAPPING=PRECISE", "FS=MRC", "CURRENCY=USD", "XLFILL=b")</f>
        <v/>
      </c>
      <c r="G31" s="9">
        <f>_xll.BQL("SAVE US Equity", "FA_GROWTH(SIZE_OF_FLEET, YOY)", "FPT=A", "FPO=3A", "ACT_EST_MAPPING=PRECISE", "FS=MRC", "CURRENCY=USD", "XLFILL=b")</f>
        <v>5.7110222729868647E-2</v>
      </c>
      <c r="H31" s="9">
        <f>_xll.BQL("SAVE US Equity", "FA_GROWTH(SIZE_OF_FLEET, YOY)", "FPT=A", "FPO=2A", "ACT_EST_MAPPING=PRECISE", "FS=MRC", "CURRENCY=USD", "XLFILL=b")</f>
        <v>2.7180289401642503</v>
      </c>
      <c r="I31" s="9">
        <f>_xll.BQL("SAVE US Equity", "FA_GROWTH(SIZE_OF_FLEET, YOY)", "FPT=A", "FPO=1A", "ACT_EST_MAPPING=PRECISE", "FS=MRC", "CURRENCY=USD", "XLFILL=b")</f>
        <v>3.9430894308943136</v>
      </c>
      <c r="J31" s="9">
        <f>_xll.BQL("SAVE US Equity", "FA_GROWTH(SIZE_OF_FLEET, YOY)", "FPT=A", "FPO=0A", "ACT_EST_MAPPING=PRECISE", "FS=MRC", "CURRENCY=USD", "XLFILL=b")</f>
        <v>5.6701030927835054</v>
      </c>
      <c r="K31" s="9">
        <f>_xll.BQL("SAVE US Equity", "FA_GROWTH(SIZE_OF_FLEET, YOY)", "FPT=A", "FPO=-1A", "ACT_EST_MAPPING=PRECISE", "FS=MRC", "CURRENCY=USD", "XLFILL=b")</f>
        <v>12.138728323699421</v>
      </c>
      <c r="L31" s="9">
        <f>_xll.BQL("SAVE US Equity", "FA_GROWTH(SIZE_OF_FLEET, YOY)", "FPT=A", "FPO=-2A", "ACT_EST_MAPPING=PRECISE", "FS=MRC", "CURRENCY=USD", "XLFILL=b")</f>
        <v>10.19108280254777</v>
      </c>
      <c r="M31" s="9">
        <f>_xll.BQL("SAVE US Equity", "FA_GROWTH(SIZE_OF_FLEET, YOY)", "FPT=A", "FPO=-3A", "ACT_EST_MAPPING=PRECISE", "FS=MRC", "CURRENCY=USD", "XLFILL=b")</f>
        <v>8.2758620689655178</v>
      </c>
      <c r="N31" s="9">
        <f>_xll.BQL("SAVE US Equity", "FA_GROWTH(SIZE_OF_FLEET, YOY)", "FPT=A", "FPO=-4A", "ACT_EST_MAPPING=PRECISE", "FS=MRC", "CURRENCY=USD", "XLFILL=b")</f>
        <v>13.28125</v>
      </c>
    </row>
    <row r="32" spans="1:14" x14ac:dyDescent="0.2">
      <c r="A32" s="8" t="s">
        <v>16</v>
      </c>
      <c r="B32" s="4"/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 s="8" t="s">
        <v>37</v>
      </c>
      <c r="B33" s="4" t="s">
        <v>38</v>
      </c>
      <c r="C33" s="4"/>
      <c r="D33" s="4"/>
      <c r="E33" s="9">
        <f>_xll.BQL("SAVE US Equity", "IS_OPERATING_EXPN/1M", "FPT=A", "FPO=5A", "ACT_EST_MAPPING=PRECISE", "FS=MRC", "CURRENCY=USD", "XLFILL=b")</f>
        <v>6622.3666413275178</v>
      </c>
      <c r="F33" s="9">
        <f>_xll.BQL("SAVE US Equity", "IS_OPERATING_EXPN/1M", "FPT=A", "FPO=4A", "ACT_EST_MAPPING=PRECISE", "FS=MRC", "CURRENCY=USD", "XLFILL=b")</f>
        <v>6119.6497372911545</v>
      </c>
      <c r="G33" s="9">
        <f>_xll.BQL("SAVE US Equity", "IS_OPERATING_EXPN/1M", "FPT=A", "FPO=3A", "ACT_EST_MAPPING=PRECISE", "FS=MRC", "CURRENCY=USD", "XLFILL=b")</f>
        <v>5745.9074811080245</v>
      </c>
      <c r="H33" s="9">
        <f>_xll.BQL("SAVE US Equity", "IS_OPERATING_EXPN/1M", "FPT=A", "FPO=2A", "ACT_EST_MAPPING=PRECISE", "FS=MRC", "CURRENCY=USD", "XLFILL=b")</f>
        <v>5507.578230471755</v>
      </c>
      <c r="I33" s="9">
        <f>_xll.BQL("SAVE US Equity", "IS_OPERATING_EXPN/1M", "FPT=A", "FPO=1A", "ACT_EST_MAPPING=PRECISE", "FS=MRC", "CURRENCY=USD", "XLFILL=b")</f>
        <v>5788.9981409478669</v>
      </c>
      <c r="J33" s="9">
        <f>_xll.BQL("SAVE US Equity", "IS_OPERATING_EXPN/1M", "FPT=A", "FPO=0A", "ACT_EST_MAPPING=PRECISE", "FS=MRC", "CURRENCY=USD", "XLFILL=b")</f>
        <v>5858.3059999999996</v>
      </c>
      <c r="K33" s="9">
        <f>_xll.BQL("SAVE US Equity", "IS_OPERATING_EXPN/1M", "FPT=A", "FPO=-1A", "ACT_EST_MAPPING=PRECISE", "FS=MRC", "CURRENCY=USD", "XLFILL=b")</f>
        <v>5667.3639999999996</v>
      </c>
      <c r="L33" s="9">
        <f>_xll.BQL("SAVE US Equity", "IS_OPERATING_EXPN/1M", "FPT=A", "FPO=-2A", "ACT_EST_MAPPING=PRECISE", "FS=MRC", "CURRENCY=USD", "XLFILL=b")</f>
        <v>3287.6489999999999</v>
      </c>
      <c r="M33" s="9">
        <f>_xll.BQL("SAVE US Equity", "IS_OPERATING_EXPN/1M", "FPT=A", "FPO=-3A", "ACT_EST_MAPPING=PRECISE", "FS=MRC", "CURRENCY=USD", "XLFILL=b")</f>
        <v>2317.7840000000001</v>
      </c>
      <c r="N33" s="9">
        <f>_xll.BQL("SAVE US Equity", "IS_OPERATING_EXPN/1M", "FPT=A", "FPO=-4A", "ACT_EST_MAPPING=PRECISE", "FS=MRC", "CURRENCY=USD", "XLFILL=b")</f>
        <v>3329.489</v>
      </c>
    </row>
    <row r="34" spans="1:14" x14ac:dyDescent="0.2">
      <c r="A34" s="8" t="s">
        <v>12</v>
      </c>
      <c r="B34" s="4" t="s">
        <v>38</v>
      </c>
      <c r="C34" s="4"/>
      <c r="D34" s="4"/>
      <c r="E34" s="9">
        <f>_xll.BQL("SAVE US Equity", "FA_GROWTH(IS_OPERATING_EXPN, YOY)", "FPT=A", "FPO=5A", "ACT_EST_MAPPING=PRECISE", "FS=MRC", "CURRENCY=USD", "XLFILL=b")</f>
        <v>8.2147986505333677</v>
      </c>
      <c r="F34" s="9">
        <f>_xll.BQL("SAVE US Equity", "FA_GROWTH(IS_OPERATING_EXPN, YOY)", "FPT=A", "FPO=4A", "ACT_EST_MAPPING=PRECISE", "FS=MRC", "CURRENCY=USD", "XLFILL=b")</f>
        <v>6.5044948498032351</v>
      </c>
      <c r="G34" s="9">
        <f>_xll.BQL("SAVE US Equity", "FA_GROWTH(IS_OPERATING_EXPN, YOY)", "FPT=A", "FPO=3A", "ACT_EST_MAPPING=PRECISE", "FS=MRC", "CURRENCY=USD", "XLFILL=b")</f>
        <v>4.3272966930849268</v>
      </c>
      <c r="H34" s="9">
        <f>_xll.BQL("SAVE US Equity", "FA_GROWTH(IS_OPERATING_EXPN, YOY)", "FPT=A", "FPO=2A", "ACT_EST_MAPPING=PRECISE", "FS=MRC", "CURRENCY=USD", "XLFILL=b")</f>
        <v>-4.8612886655726735</v>
      </c>
      <c r="I34" s="9">
        <f>_xll.BQL("SAVE US Equity", "FA_GROWTH(IS_OPERATING_EXPN, YOY)", "FPT=A", "FPO=1A", "ACT_EST_MAPPING=PRECISE", "FS=MRC", "CURRENCY=USD", "XLFILL=b")</f>
        <v>-1.1830699702633076</v>
      </c>
      <c r="J34" s="9">
        <f>_xll.BQL("SAVE US Equity", "FA_GROWTH(IS_OPERATING_EXPN, YOY)", "FPT=A", "FPO=0A", "ACT_EST_MAPPING=PRECISE", "FS=MRC", "CURRENCY=USD", "XLFILL=b")</f>
        <v>3.3691501022344781</v>
      </c>
      <c r="K34" s="9">
        <f>_xll.BQL("SAVE US Equity", "FA_GROWTH(IS_OPERATING_EXPN, YOY)", "FPT=A", "FPO=-1A", "ACT_EST_MAPPING=PRECISE", "FS=MRC", "CURRENCY=USD", "XLFILL=b")</f>
        <v>72.383487410000271</v>
      </c>
      <c r="L34" s="9">
        <f>_xll.BQL("SAVE US Equity", "FA_GROWTH(IS_OPERATING_EXPN, YOY)", "FPT=A", "FPO=-2A", "ACT_EST_MAPPING=PRECISE", "FS=MRC", "CURRENCY=USD", "XLFILL=b")</f>
        <v>41.844494568950346</v>
      </c>
      <c r="M34" s="9">
        <f>_xll.BQL("SAVE US Equity", "FA_GROWTH(IS_OPERATING_EXPN, YOY)", "FPT=A", "FPO=-3A", "ACT_EST_MAPPING=PRECISE", "FS=MRC", "CURRENCY=USD", "XLFILL=b")</f>
        <v>-30.386194397999212</v>
      </c>
      <c r="N34" s="9">
        <f>_xll.BQL("SAVE US Equity", "FA_GROWTH(IS_OPERATING_EXPN, YOY)", "FPT=A", "FPO=-4A", "ACT_EST_MAPPING=PRECISE", "FS=MRC", "CURRENCY=USD", "XLFILL=b")</f>
        <v>12.02404344373713</v>
      </c>
    </row>
    <row r="35" spans="1:14" x14ac:dyDescent="0.2">
      <c r="A35" s="8" t="s">
        <v>39</v>
      </c>
      <c r="B35" s="4" t="s">
        <v>40</v>
      </c>
      <c r="C35" s="4" t="s">
        <v>41</v>
      </c>
      <c r="D35" s="4"/>
      <c r="E35" s="9">
        <f>_xll.BQL("SAVE US Equity", "IS_COMPARABLE_EBIT/1M", "FPT=A", "FPO=5A", "ACT_EST_MAPPING=PRECISE", "FS=MRC", "CURRENCY=USD", "XLFILL=b")</f>
        <v>414</v>
      </c>
      <c r="F35" s="9">
        <f>_xll.BQL("SAVE US Equity", "IS_COMPARABLE_EBIT/1M", "FPT=A", "FPO=4A", "ACT_EST_MAPPING=PRECISE", "FS=MRC", "CURRENCY=USD", "XLFILL=b")</f>
        <v>102</v>
      </c>
      <c r="G35" s="9">
        <f>_xll.BQL("SAVE US Equity", "IS_COMPARABLE_EBIT/1M", "FPT=A", "FPO=3A", "ACT_EST_MAPPING=PRECISE", "FS=MRC", "CURRENCY=USD", "XLFILL=b")</f>
        <v>-112.71250000000001</v>
      </c>
      <c r="H35" s="9">
        <f>_xll.BQL("SAVE US Equity", "IS_COMPARABLE_EBIT/1M", "FPT=A", "FPO=2A", "ACT_EST_MAPPING=PRECISE", "FS=MRC", "CURRENCY=USD", "XLFILL=b")</f>
        <v>-476.41666666666669</v>
      </c>
      <c r="I35" s="9">
        <f>_xll.BQL("SAVE US Equity", "IS_COMPARABLE_EBIT/1M", "FPT=A", "FPO=1A", "ACT_EST_MAPPING=PRECISE", "FS=MRC", "CURRENCY=USD", "XLFILL=b")</f>
        <v>-867.72727272727275</v>
      </c>
      <c r="J35" s="9">
        <f>_xll.BQL("SAVE US Equity", "IS_COMPARABLE_EBIT/1M", "FPT=A", "FPO=0A", "ACT_EST_MAPPING=PRECISE", "FS=MRC", "CURRENCY=USD", "XLFILL=b")</f>
        <v>-386.25400000000002</v>
      </c>
      <c r="K35" s="9">
        <f>_xll.BQL("SAVE US Equity", "IS_COMPARABLE_EBIT/1M", "FPT=A", "FPO=-1A", "ACT_EST_MAPPING=PRECISE", "FS=MRC", "CURRENCY=USD", "XLFILL=b")</f>
        <v>-132.12100000000001</v>
      </c>
      <c r="L35" s="9">
        <f>_xll.BQL("SAVE US Equity", "IS_COMPARABLE_EBIT/1M", "FPT=A", "FPO=-2A", "ACT_EST_MAPPING=PRECISE", "FS=MRC", "CURRENCY=USD", "XLFILL=b")</f>
        <v>-429.92399999999998</v>
      </c>
      <c r="M35" s="9">
        <f>_xll.BQL("SAVE US Equity", "IS_COMPARABLE_EBIT/1M", "FPT=A", "FPO=-3A", "ACT_EST_MAPPING=PRECISE", "FS=MRC", "CURRENCY=USD", "XLFILL=b")</f>
        <v>-808.99</v>
      </c>
      <c r="N35" s="9">
        <f>_xll.BQL("SAVE US Equity", "IS_COMPARABLE_EBIT/1M", "FPT=A", "FPO=-4A", "ACT_EST_MAPPING=PRECISE", "FS=MRC", "CURRENCY=USD", "XLFILL=b")</f>
        <v>518.58399999999995</v>
      </c>
    </row>
    <row r="36" spans="1:14" x14ac:dyDescent="0.2">
      <c r="A36" s="8" t="s">
        <v>12</v>
      </c>
      <c r="B36" s="4" t="s">
        <v>40</v>
      </c>
      <c r="C36" s="4" t="s">
        <v>41</v>
      </c>
      <c r="D36" s="4"/>
      <c r="E36" s="9">
        <f>_xll.BQL("SAVE US Equity", "FA_GROWTH(IS_COMPARABLE_EBIT, YOY)", "FPT=A", "FPO=5A", "ACT_EST_MAPPING=PRECISE", "FS=MRC", "CURRENCY=USD", "XLFILL=b")</f>
        <v>305.88235294117646</v>
      </c>
      <c r="F36" s="9">
        <f>_xll.BQL("SAVE US Equity", "FA_GROWTH(IS_COMPARABLE_EBIT, YOY)", "FPT=A", "FPO=4A", "ACT_EST_MAPPING=PRECISE", "FS=MRC", "CURRENCY=USD", "XLFILL=b")</f>
        <v>190.49573028723523</v>
      </c>
      <c r="G36" s="9">
        <f>_xll.BQL("SAVE US Equity", "FA_GROWTH(IS_COMPARABLE_EBIT, YOY)", "FPT=A", "FPO=3A", "ACT_EST_MAPPING=PRECISE", "FS=MRC", "CURRENCY=USD", "XLFILL=b")</f>
        <v>76.341612733951379</v>
      </c>
      <c r="H36" s="9">
        <f>_xll.BQL("SAVE US Equity", "FA_GROWTH(IS_COMPARABLE_EBIT, YOY)", "FPT=A", "FPO=2A", "ACT_EST_MAPPING=PRECISE", "FS=MRC", "CURRENCY=USD", "XLFILL=b")</f>
        <v>45.096036319189807</v>
      </c>
      <c r="I36" s="9">
        <f>_xll.BQL("SAVE US Equity", "FA_GROWTH(IS_COMPARABLE_EBIT, YOY)", "FPT=A", "FPO=1A", "ACT_EST_MAPPING=PRECISE", "FS=MRC", "CURRENCY=USD", "XLFILL=b")</f>
        <v>-124.65198359816927</v>
      </c>
      <c r="J36" s="9">
        <f>_xll.BQL("SAVE US Equity", "FA_GROWTH(IS_COMPARABLE_EBIT, YOY)", "FPT=A", "FPO=0A", "ACT_EST_MAPPING=PRECISE", "FS=MRC", "CURRENCY=USD", "XLFILL=b")</f>
        <v>-192.34868037632168</v>
      </c>
      <c r="K36" s="9">
        <f>_xll.BQL("SAVE US Equity", "FA_GROWTH(IS_COMPARABLE_EBIT, YOY)", "FPT=A", "FPO=-1A", "ACT_EST_MAPPING=PRECISE", "FS=MRC", "CURRENCY=USD", "XLFILL=b")</f>
        <v>69.268754477535566</v>
      </c>
      <c r="L36" s="9">
        <f>_xll.BQL("SAVE US Equity", "FA_GROWTH(IS_COMPARABLE_EBIT, YOY)", "FPT=A", "FPO=-2A", "ACT_EST_MAPPING=PRECISE", "FS=MRC", "CURRENCY=USD", "XLFILL=b")</f>
        <v>46.856697857822716</v>
      </c>
      <c r="M36" s="9">
        <f>_xll.BQL("SAVE US Equity", "FA_GROWTH(IS_COMPARABLE_EBIT, YOY)", "FPT=A", "FPO=-3A", "ACT_EST_MAPPING=PRECISE", "FS=MRC", "CURRENCY=USD", "XLFILL=b")</f>
        <v>-255.99979945389757</v>
      </c>
      <c r="N36" s="9">
        <f>_xll.BQL("SAVE US Equity", "FA_GROWTH(IS_COMPARABLE_EBIT, YOY)", "FPT=A", "FPO=-4A", "ACT_EST_MAPPING=PRECISE", "FS=MRC", "CURRENCY=USD", "XLFILL=b")</f>
        <v>15.390897055060455</v>
      </c>
    </row>
    <row r="37" spans="1:14" x14ac:dyDescent="0.2">
      <c r="A37" s="8" t="s">
        <v>42</v>
      </c>
      <c r="B37" s="4" t="s">
        <v>43</v>
      </c>
      <c r="C37" s="4"/>
      <c r="D37" s="4"/>
      <c r="E37" s="9">
        <f>_xll.BQL("SAVE US Equity", "CB_IS_ADJ_OPERATING_MARGIN", "FPT=A", "FPO=5A", "ACT_EST_MAPPING=PRECISE", "FS=MRC", "CURRENCY=USD", "XLFILL=b")</f>
        <v>5.8892693668943386</v>
      </c>
      <c r="F37" s="9">
        <f>_xll.BQL("SAVE US Equity", "CB_IS_ADJ_OPERATING_MARGIN", "FPT=A", "FPO=4A", "ACT_EST_MAPPING=PRECISE", "FS=MRC", "CURRENCY=USD", "XLFILL=b")</f>
        <v>1.6394467658600291</v>
      </c>
      <c r="G37" s="9">
        <f>_xll.BQL("SAVE US Equity", "CB_IS_ADJ_OPERATING_MARGIN", "FPT=A", "FPO=3A", "ACT_EST_MAPPING=PRECISE", "FS=MRC", "CURRENCY=USD", "XLFILL=b")</f>
        <v>-1.2491152568938471</v>
      </c>
      <c r="H37" s="9">
        <f>_xll.BQL("SAVE US Equity", "CB_IS_ADJ_OPERATING_MARGIN", "FPT=A", "FPO=2A", "ACT_EST_MAPPING=PRECISE", "FS=MRC", "CURRENCY=USD", "XLFILL=b")</f>
        <v>-9.771908087132628</v>
      </c>
      <c r="I37" s="9">
        <f>_xll.BQL("SAVE US Equity", "CB_IS_ADJ_OPERATING_MARGIN", "FPT=A", "FPO=1A", "ACT_EST_MAPPING=PRECISE", "FS=MRC", "CURRENCY=USD", "XLFILL=b")</f>
        <v>-17.347700489316537</v>
      </c>
      <c r="J37" s="9">
        <f>_xll.BQL("SAVE US Equity", "CB_IS_ADJ_OPERATING_MARGIN", "FPT=A", "FPO=0A", "ACT_EST_MAPPING=PRECISE", "FS=MRC", "CURRENCY=USD", "XLFILL=b")</f>
        <v>-7.2</v>
      </c>
      <c r="K37" s="9">
        <f>_xll.BQL("SAVE US Equity", "CB_IS_ADJ_OPERATING_MARGIN", "FPT=A", "FPO=-1A", "ACT_EST_MAPPING=PRECISE", "FS=MRC", "CURRENCY=USD", "XLFILL=b")</f>
        <v>-2.6</v>
      </c>
      <c r="L37" s="9">
        <f>_xll.BQL("SAVE US Equity", "CB_IS_ADJ_OPERATING_MARGIN", "FPT=A", "FPO=-2A", "ACT_EST_MAPPING=PRECISE", "FS=MRC", "CURRENCY=USD", "XLFILL=b")</f>
        <v>-13.3</v>
      </c>
      <c r="M37" s="9">
        <f>_xll.BQL("SAVE US Equity", "CB_IS_ADJ_OPERATING_MARGIN", "FPT=A", "FPO=-3A", "ACT_EST_MAPPING=PRECISE", "FS=MRC", "CURRENCY=USD", "XLFILL=b")</f>
        <v>-44.7</v>
      </c>
      <c r="N37" s="9">
        <f>_xll.BQL("SAVE US Equity", "CB_IS_ADJ_OPERATING_MARGIN", "FPT=A", "FPO=-4A", "ACT_EST_MAPPING=PRECISE", "FS=MRC", "CURRENCY=USD", "XLFILL=b")</f>
        <v>13.5</v>
      </c>
    </row>
    <row r="38" spans="1:14" x14ac:dyDescent="0.2">
      <c r="A38" s="8" t="s">
        <v>44</v>
      </c>
      <c r="B38" s="4" t="s">
        <v>43</v>
      </c>
      <c r="C38" s="4"/>
      <c r="D38" s="4"/>
      <c r="E38" s="9">
        <f>_xll.BQL("SAVE US Equity", "FA_GROWTH(CB_IS_ADJ_OPERATING_MARGIN, YOY)", "FPT=A", "FPO=5A", "ACT_EST_MAPPING=PRECISE", "FS=MRC", "CURRENCY=USD", "XLFILL=b")</f>
        <v>259.2229701831713</v>
      </c>
      <c r="F38" s="9">
        <f>_xll.BQL("SAVE US Equity", "FA_GROWTH(CB_IS_ADJ_OPERATING_MARGIN, YOY)", "FPT=A", "FPO=4A", "ACT_EST_MAPPING=PRECISE", "FS=MRC", "CURRENCY=USD", "XLFILL=b")</f>
        <v>231.24863833116672</v>
      </c>
      <c r="G38" s="9">
        <f>_xll.BQL("SAVE US Equity", "FA_GROWTH(CB_IS_ADJ_OPERATING_MARGIN, YOY)", "FPT=A", "FPO=3A", "ACT_EST_MAPPING=PRECISE", "FS=MRC", "CURRENCY=USD", "XLFILL=b")</f>
        <v>87.217284017042218</v>
      </c>
      <c r="H38" s="9">
        <f>_xll.BQL("SAVE US Equity", "FA_GROWTH(CB_IS_ADJ_OPERATING_MARGIN, YOY)", "FPT=A", "FPO=2A", "ACT_EST_MAPPING=PRECISE", "FS=MRC", "CURRENCY=USD", "XLFILL=b")</f>
        <v>43.670297437112254</v>
      </c>
      <c r="I38" s="9">
        <f>_xll.BQL("SAVE US Equity", "FA_GROWTH(CB_IS_ADJ_OPERATING_MARGIN, YOY)", "FPT=A", "FPO=1A", "ACT_EST_MAPPING=PRECISE", "FS=MRC", "CURRENCY=USD", "XLFILL=b")</f>
        <v>-140.94028457384081</v>
      </c>
      <c r="J38" s="9">
        <f>_xll.BQL("SAVE US Equity", "FA_GROWTH(CB_IS_ADJ_OPERATING_MARGIN, YOY)", "FPT=A", "FPO=0A", "ACT_EST_MAPPING=PRECISE", "FS=MRC", "CURRENCY=USD", "XLFILL=b")</f>
        <v>-176.92307692307691</v>
      </c>
      <c r="K38" s="9">
        <f>_xll.BQL("SAVE US Equity", "FA_GROWTH(CB_IS_ADJ_OPERATING_MARGIN, YOY)", "FPT=A", "FPO=-1A", "ACT_EST_MAPPING=PRECISE", "FS=MRC", "CURRENCY=USD", "XLFILL=b")</f>
        <v>80.451127819548873</v>
      </c>
      <c r="L38" s="9">
        <f>_xll.BQL("SAVE US Equity", "FA_GROWTH(CB_IS_ADJ_OPERATING_MARGIN, YOY)", "FPT=A", "FPO=-2A", "ACT_EST_MAPPING=PRECISE", "FS=MRC", "CURRENCY=USD", "XLFILL=b")</f>
        <v>70.246085011185684</v>
      </c>
      <c r="M38" s="9">
        <f>_xll.BQL("SAVE US Equity", "FA_GROWTH(CB_IS_ADJ_OPERATING_MARGIN, YOY)", "FPT=A", "FPO=-3A", "ACT_EST_MAPPING=PRECISE", "FS=MRC", "CURRENCY=USD", "XLFILL=b")</f>
        <v>-431.11111111111109</v>
      </c>
      <c r="N38" s="9">
        <f>_xll.BQL("SAVE US Equity", "FA_GROWTH(CB_IS_ADJ_OPERATING_MARGIN, YOY)", "FPT=A", "FPO=-4A", "ACT_EST_MAPPING=PRECISE", "FS=MRC", "CURRENCY=USD", "XLFILL=b")</f>
        <v>0</v>
      </c>
    </row>
    <row r="39" spans="1:14" x14ac:dyDescent="0.2">
      <c r="A39" s="8" t="s">
        <v>45</v>
      </c>
      <c r="B39" s="4" t="s">
        <v>46</v>
      </c>
      <c r="C39" s="4"/>
      <c r="D39" s="4"/>
      <c r="E39" s="9">
        <f>_xll.BQL("SAVE US Equity", "IS_COMPARABLE_EBITDA/1M", "FPT=A", "FPO=5A", "ACT_EST_MAPPING=PRECISE", "FS=MRC", "CURRENCY=USD", "XLFILL=b")</f>
        <v>917</v>
      </c>
      <c r="F39" s="9">
        <f>_xll.BQL("SAVE US Equity", "IS_COMPARABLE_EBITDA/1M", "FPT=A", "FPO=4A", "ACT_EST_MAPPING=PRECISE", "FS=MRC", "CURRENCY=USD", "XLFILL=b")</f>
        <v>565</v>
      </c>
      <c r="G39" s="9">
        <f>_xll.BQL("SAVE US Equity", "IS_COMPARABLE_EBITDA/1M", "FPT=A", "FPO=3A", "ACT_EST_MAPPING=PRECISE", "FS=MRC", "CURRENCY=USD", "XLFILL=b")</f>
        <v>410.48</v>
      </c>
      <c r="H39" s="9">
        <f>_xll.BQL("SAVE US Equity", "IS_COMPARABLE_EBITDA/1M", "FPT=A", "FPO=2A", "ACT_EST_MAPPING=PRECISE", "FS=MRC", "CURRENCY=USD", "XLFILL=b")</f>
        <v>-185.3</v>
      </c>
      <c r="I39" s="9">
        <f>_xll.BQL("SAVE US Equity", "IS_COMPARABLE_EBITDA/1M", "FPT=A", "FPO=1A", "ACT_EST_MAPPING=PRECISE", "FS=MRC", "CURRENCY=USD", "XLFILL=b")</f>
        <v>-499.5</v>
      </c>
      <c r="J39" s="9">
        <f>_xll.BQL("SAVE US Equity", "IS_COMPARABLE_EBITDA/1M", "FPT=A", "FPO=0A", "ACT_EST_MAPPING=PRECISE", "FS=MRC", "CURRENCY=USD", "XLFILL=b")</f>
        <v>-65.382000000000005</v>
      </c>
      <c r="K39" s="9">
        <f>_xll.BQL("SAVE US Equity", "IS_COMPARABLE_EBITDA/1M", "FPT=A", "FPO=-1A", "ACT_EST_MAPPING=PRECISE", "FS=MRC", "CURRENCY=USD", "XLFILL=b")</f>
        <v>180.96899999999999</v>
      </c>
      <c r="L39" s="9">
        <f>_xll.BQL("SAVE US Equity", "IS_COMPARABLE_EBITDA/1M", "FPT=A", "FPO=-2A", "ACT_EST_MAPPING=PRECISE", "FS=MRC", "CURRENCY=USD", "XLFILL=b")</f>
        <v>-136.255</v>
      </c>
      <c r="M39" s="9">
        <f>_xll.BQL("SAVE US Equity", "IS_COMPARABLE_EBITDA/1M", "FPT=A", "FPO=-3A", "ACT_EST_MAPPING=PRECISE", "FS=MRC", "CURRENCY=USD", "XLFILL=b")</f>
        <v>-530.40200000000004</v>
      </c>
      <c r="N39" s="9">
        <f>_xll.BQL("SAVE US Equity", "IS_COMPARABLE_EBITDA/1M", "FPT=A", "FPO=-4A", "ACT_EST_MAPPING=PRECISE", "FS=MRC", "CURRENCY=USD", "XLFILL=b")</f>
        <v>743.84799999999996</v>
      </c>
    </row>
    <row r="40" spans="1:14" x14ac:dyDescent="0.2">
      <c r="A40" s="8" t="s">
        <v>12</v>
      </c>
      <c r="B40" s="4" t="s">
        <v>46</v>
      </c>
      <c r="C40" s="4"/>
      <c r="D40" s="4"/>
      <c r="E40" s="9">
        <f>_xll.BQL("SAVE US Equity", "FA_GROWTH(IS_COMPARABLE_EBITDA, YOY)", "FPT=A", "FPO=5A", "ACT_EST_MAPPING=PRECISE", "FS=MRC", "CURRENCY=USD", "XLFILL=b")</f>
        <v>62.30088495575221</v>
      </c>
      <c r="F40" s="9">
        <f>_xll.BQL("SAVE US Equity", "FA_GROWTH(IS_COMPARABLE_EBITDA, YOY)", "FPT=A", "FPO=4A", "ACT_EST_MAPPING=PRECISE", "FS=MRC", "CURRENCY=USD", "XLFILL=b")</f>
        <v>37.643734164880144</v>
      </c>
      <c r="G40" s="9">
        <f>_xll.BQL("SAVE US Equity", "FA_GROWTH(IS_COMPARABLE_EBITDA, YOY)", "FPT=A", "FPO=3A", "ACT_EST_MAPPING=PRECISE", "FS=MRC", "CURRENCY=USD", "XLFILL=b")</f>
        <v>321.52185644900163</v>
      </c>
      <c r="H40" s="9">
        <f>_xll.BQL("SAVE US Equity", "FA_GROWTH(IS_COMPARABLE_EBITDA, YOY)", "FPT=A", "FPO=2A", "ACT_EST_MAPPING=PRECISE", "FS=MRC", "CURRENCY=USD", "XLFILL=b")</f>
        <v>62.902902902902902</v>
      </c>
      <c r="I40" s="9">
        <f>_xll.BQL("SAVE US Equity", "FA_GROWTH(IS_COMPARABLE_EBITDA, YOY)", "FPT=A", "FPO=1A", "ACT_EST_MAPPING=PRECISE", "FS=MRC", "CURRENCY=USD", "XLFILL=b")</f>
        <v>-663.97173534000171</v>
      </c>
      <c r="J40" s="9">
        <f>_xll.BQL("SAVE US Equity", "FA_GROWTH(IS_COMPARABLE_EBITDA, YOY)", "FPT=A", "FPO=0A", "ACT_EST_MAPPING=PRECISE", "FS=MRC", "CURRENCY=USD", "XLFILL=b")</f>
        <v>-136.12883974603386</v>
      </c>
      <c r="K40" s="9">
        <f>_xll.BQL("SAVE US Equity", "FA_GROWTH(IS_COMPARABLE_EBITDA, YOY)", "FPT=A", "FPO=-1A", "ACT_EST_MAPPING=PRECISE", "FS=MRC", "CURRENCY=USD", "XLFILL=b")</f>
        <v>232.81641040695754</v>
      </c>
      <c r="L40" s="9">
        <f>_xll.BQL("SAVE US Equity", "FA_GROWTH(IS_COMPARABLE_EBITDA, YOY)", "FPT=A", "FPO=-2A", "ACT_EST_MAPPING=PRECISE", "FS=MRC", "CURRENCY=USD", "XLFILL=b")</f>
        <v>74.310994302434764</v>
      </c>
      <c r="M40" s="9">
        <f>_xll.BQL("SAVE US Equity", "FA_GROWTH(IS_COMPARABLE_EBITDA, YOY)", "FPT=A", "FPO=-3A", "ACT_EST_MAPPING=PRECISE", "FS=MRC", "CURRENCY=USD", "XLFILL=b")</f>
        <v>-171.30515911852959</v>
      </c>
      <c r="N40" s="9">
        <f>_xll.BQL("SAVE US Equity", "FA_GROWTH(IS_COMPARABLE_EBITDA, YOY)", "FPT=A", "FPO=-4A", "ACT_EST_MAPPING=PRECISE", "FS=MRC", "CURRENCY=USD", "XLFILL=b")</f>
        <v>18.798611177656188</v>
      </c>
    </row>
    <row r="41" spans="1:14" x14ac:dyDescent="0.2">
      <c r="A41" s="8" t="s">
        <v>47</v>
      </c>
      <c r="B41" s="4" t="s">
        <v>48</v>
      </c>
      <c r="C41" s="4"/>
      <c r="D41" s="4"/>
      <c r="E41" s="9">
        <f>_xll.BQL("SAVE US Equity", "EBITDA_TO_REVENUE", "FPT=A", "FPO=5A", "ACT_EST_MAPPING=PRECISE", "FS=MRC", "CURRENCY=USD", "XLFILL=b")</f>
        <v>13.036627686222976</v>
      </c>
      <c r="F41" s="9">
        <f>_xll.BQL("SAVE US Equity", "EBITDA_TO_REVENUE", "FPT=A", "FPO=4A", "ACT_EST_MAPPING=PRECISE", "FS=MRC", "CURRENCY=USD", "XLFILL=b")</f>
        <v>9.0803020290211887</v>
      </c>
      <c r="G41" s="9">
        <f>_xll.BQL("SAVE US Equity", "EBITDA_TO_REVENUE", "FPT=A", "FPO=3A", "ACT_EST_MAPPING=PRECISE", "FS=MRC", "CURRENCY=USD", "XLFILL=b")</f>
        <v>4.5608242386940843</v>
      </c>
      <c r="H41" s="9">
        <f>_xll.BQL("SAVE US Equity", "EBITDA_TO_REVENUE", "FPT=A", "FPO=2A", "ACT_EST_MAPPING=PRECISE", "FS=MRC", "CURRENCY=USD", "XLFILL=b")</f>
        <v>-2.9330082630186372</v>
      </c>
      <c r="I41" s="9">
        <f>_xll.BQL("SAVE US Equity", "EBITDA_TO_REVENUE", "FPT=A", "FPO=1A", "ACT_EST_MAPPING=PRECISE", "FS=MRC", "CURRENCY=USD", "XLFILL=b")</f>
        <v>-10.547689247008259</v>
      </c>
      <c r="J41" s="9">
        <f>_xll.BQL("SAVE US Equity", "EBITDA_TO_REVENUE", "FPT=A", "FPO=0A", "ACT_EST_MAPPING=PRECISE", "FS=MRC", "CURRENCY=USD", "XLFILL=b")</f>
        <v>3.7784270129746145</v>
      </c>
      <c r="K41" s="9">
        <f>_xll.BQL("SAVE US Equity", "EBITDA_TO_REVENUE", "FPT=A", "FPO=-1A", "ACT_EST_MAPPING=PRECISE", "FS=MRC", "CURRENCY=USD", "XLFILL=b")</f>
        <v>-1.1979014479188608</v>
      </c>
      <c r="L41" s="9">
        <f>_xll.BQL("SAVE US Equity", "EBITDA_TO_REVENUE", "FPT=A", "FPO=-2A", "ACT_EST_MAPPING=PRECISE", "FS=MRC", "CURRENCY=USD", "XLFILL=b")</f>
        <v>14.25274121534307</v>
      </c>
      <c r="M41" s="9">
        <f>_xll.BQL("SAVE US Equity", "EBITDA_TO_REVENUE", "FPT=A", "FPO=-3A", "ACT_EST_MAPPING=PRECISE", "FS=MRC", "CURRENCY=USD", "XLFILL=b")</f>
        <v>-1.5303681391717885</v>
      </c>
      <c r="N41" s="9">
        <f>_xll.BQL("SAVE US Equity", "EBITDA_TO_REVENUE", "FPT=A", "FPO=-4A", "ACT_EST_MAPPING=PRECISE", "FS=MRC", "CURRENCY=USD", "XLFILL=b")</f>
        <v>23.659091051487309</v>
      </c>
    </row>
    <row r="42" spans="1:14" x14ac:dyDescent="0.2">
      <c r="A42" s="8" t="s">
        <v>44</v>
      </c>
      <c r="B42" s="4" t="s">
        <v>48</v>
      </c>
      <c r="C42" s="4"/>
      <c r="D42" s="4"/>
      <c r="E42" s="9">
        <f>_xll.BQL("SAVE US Equity", "FA_GROWTH(EBITDA_TO_REVENUE, YOY)", "FPT=A", "FPO=5A", "ACT_EST_MAPPING=PRECISE", "FS=MRC", "CURRENCY=USD", "XLFILL=b")</f>
        <v>43.57041918382378</v>
      </c>
      <c r="F42" s="9">
        <f>_xll.BQL("SAVE US Equity", "FA_GROWTH(EBITDA_TO_REVENUE, YOY)", "FPT=A", "FPO=4A", "ACT_EST_MAPPING=PRECISE", "FS=MRC", "CURRENCY=USD", "XLFILL=b")</f>
        <v>99.093443504877996</v>
      </c>
      <c r="G42" s="9">
        <f>_xll.BQL("SAVE US Equity", "FA_GROWTH(EBITDA_TO_REVENUE, YOY)", "FPT=A", "FPO=3A", "ACT_EST_MAPPING=PRECISE", "FS=MRC", "CURRENCY=USD", "XLFILL=b")</f>
        <v>255.49987690795345</v>
      </c>
      <c r="H42" s="9">
        <f>_xll.BQL("SAVE US Equity", "FA_GROWTH(EBITDA_TO_REVENUE, YOY)", "FPT=A", "FPO=2A", "ACT_EST_MAPPING=PRECISE", "FS=MRC", "CURRENCY=USD", "XLFILL=b")</f>
        <v>72.192883253073134</v>
      </c>
      <c r="I42" s="9">
        <f>_xll.BQL("SAVE US Equity", "FA_GROWTH(EBITDA_TO_REVENUE, YOY)", "FPT=A", "FPO=1A", "ACT_EST_MAPPING=PRECISE", "FS=MRC", "CURRENCY=USD", "XLFILL=b")</f>
        <v>-379.15556422788904</v>
      </c>
      <c r="J42" s="9">
        <f>_xll.BQL("SAVE US Equity", "FA_GROWTH(EBITDA_TO_REVENUE, YOY)", "FPT=A", "FPO=0A", "ACT_EST_MAPPING=PRECISE", "FS=MRC", "CURRENCY=USD", "XLFILL=b")</f>
        <v>415.42052307716585</v>
      </c>
      <c r="K42" s="9">
        <f>_xll.BQL("SAVE US Equity", "FA_GROWTH(EBITDA_TO_REVENUE, YOY)", "FPT=A", "FPO=-1A", "ACT_EST_MAPPING=PRECISE", "FS=MRC", "CURRENCY=USD", "XLFILL=b")</f>
        <v>-108.40470917011613</v>
      </c>
      <c r="L42" s="9">
        <f>_xll.BQL("SAVE US Equity", "FA_GROWTH(EBITDA_TO_REVENUE, YOY)", "FPT=A", "FPO=-2A", "ACT_EST_MAPPING=PRECISE", "FS=MRC", "CURRENCY=USD", "XLFILL=b")</f>
        <v>1031.3276231074983</v>
      </c>
      <c r="M42" s="9">
        <f>_xll.BQL("SAVE US Equity", "FA_GROWTH(EBITDA_TO_REVENUE, YOY)", "FPT=A", "FPO=-3A", "ACT_EST_MAPPING=PRECISE", "FS=MRC", "CURRENCY=USD", "XLFILL=b")</f>
        <v>-106.46841476640574</v>
      </c>
      <c r="N42" s="9">
        <f>_xll.BQL("SAVE US Equity", "FA_GROWTH(EBITDA_TO_REVENUE, YOY)", "FPT=A", "FPO=-4A", "ACT_EST_MAPPING=PRECISE", "FS=MRC", "CURRENCY=USD", "XLFILL=b")</f>
        <v>49.002757505933182</v>
      </c>
    </row>
    <row r="43" spans="1:14" x14ac:dyDescent="0.2">
      <c r="A43" s="8" t="s">
        <v>49</v>
      </c>
      <c r="B43" s="4" t="s">
        <v>50</v>
      </c>
      <c r="C43" s="4"/>
      <c r="D43" s="4"/>
      <c r="E43" s="9">
        <f>_xll.BQL("SAVE US Equity", "IS_COMP_NET_INCOME_ADJUST_OLD/1M", "FPT=A", "FPO=5A", "ACT_EST_MAPPING=PRECISE", "FS=MRC", "CURRENCY=USD", "XLFILL=b")</f>
        <v>108</v>
      </c>
      <c r="F43" s="9">
        <f>_xll.BQL("SAVE US Equity", "IS_COMP_NET_INCOME_ADJUST_OLD/1M", "FPT=A", "FPO=4A", "ACT_EST_MAPPING=PRECISE", "FS=MRC", "CURRENCY=USD", "XLFILL=b")</f>
        <v>-101</v>
      </c>
      <c r="G43" s="9">
        <f>_xll.BQL("SAVE US Equity", "IS_COMP_NET_INCOME_ADJUST_OLD/1M", "FPT=A", "FPO=3A", "ACT_EST_MAPPING=PRECISE", "FS=MRC", "CURRENCY=USD", "XLFILL=b")</f>
        <v>-206.42857142857144</v>
      </c>
      <c r="H43" s="9">
        <f>_xll.BQL("SAVE US Equity", "IS_COMP_NET_INCOME_ADJUST_OLD/1M", "FPT=A", "FPO=2A", "ACT_EST_MAPPING=PRECISE", "FS=MRC", "CURRENCY=USD", "XLFILL=b")</f>
        <v>-500.75</v>
      </c>
      <c r="I43" s="9">
        <f>_xll.BQL("SAVE US Equity", "IS_COMP_NET_INCOME_ADJUST_OLD/1M", "FPT=A", "FPO=1A", "ACT_EST_MAPPING=PRECISE", "FS=MRC", "CURRENCY=USD", "XLFILL=b")</f>
        <v>-789</v>
      </c>
      <c r="J43" s="9">
        <f>_xll.BQL("SAVE US Equity", "IS_COMP_NET_INCOME_ADJUST_OLD/1M", "FPT=A", "FPO=0A", "ACT_EST_MAPPING=PRECISE", "FS=MRC", "CURRENCY=USD", "XLFILL=b")</f>
        <v>-359.52499999999998</v>
      </c>
      <c r="K43" s="9">
        <f>_xll.BQL("SAVE US Equity", "IS_COMP_NET_INCOME_ADJUST_OLD/1M", "FPT=A", "FPO=-1A", "ACT_EST_MAPPING=PRECISE", "FS=MRC", "CURRENCY=USD", "XLFILL=b")</f>
        <v>-189.37700000000001</v>
      </c>
      <c r="L43" s="9">
        <f>_xll.BQL("SAVE US Equity", "IS_COMP_NET_INCOME_ADJUST_OLD/1M", "FPT=A", "FPO=-2A", "ACT_EST_MAPPING=PRECISE", "FS=MRC", "CURRENCY=USD", "XLFILL=b")</f>
        <v>-440.60399999999998</v>
      </c>
      <c r="M43" s="9">
        <f>_xll.BQL("SAVE US Equity", "IS_COMP_NET_INCOME_ADJUST_OLD/1M", "FPT=A", "FPO=-3A", "ACT_EST_MAPPING=PRECISE", "FS=MRC", "CURRENCY=USD", "XLFILL=b")</f>
        <v>-717.8</v>
      </c>
      <c r="N43" s="9">
        <f>_xll.BQL("SAVE US Equity", "IS_COMP_NET_INCOME_ADJUST_OLD/1M", "FPT=A", "FPO=-4A", "ACT_EST_MAPPING=PRECISE", "FS=MRC", "CURRENCY=USD", "XLFILL=b")</f>
        <v>348.74400000000003</v>
      </c>
    </row>
    <row r="44" spans="1:14" x14ac:dyDescent="0.2">
      <c r="A44" s="8" t="s">
        <v>12</v>
      </c>
      <c r="B44" s="4" t="s">
        <v>50</v>
      </c>
      <c r="C44" s="4"/>
      <c r="D44" s="4"/>
      <c r="E44" s="9">
        <f>_xll.BQL("SAVE US Equity", "FA_GROWTH(IS_COMP_NET_INCOME_ADJUST_OLD, YOY)", "FPT=A", "FPO=5A", "ACT_EST_MAPPING=PRECISE", "FS=MRC", "CURRENCY=USD", "XLFILL=b")</f>
        <v>206.93069306930693</v>
      </c>
      <c r="F44" s="9">
        <f>_xll.BQL("SAVE US Equity", "FA_GROWTH(IS_COMP_NET_INCOME_ADJUST_OLD, YOY)", "FPT=A", "FPO=4A", "ACT_EST_MAPPING=PRECISE", "FS=MRC", "CURRENCY=USD", "XLFILL=b")</f>
        <v>51.072664359861591</v>
      </c>
      <c r="G44" s="9">
        <f>_xll.BQL("SAVE US Equity", "FA_GROWTH(IS_COMP_NET_INCOME_ADJUST_OLD, YOY)", "FPT=A", "FPO=3A", "ACT_EST_MAPPING=PRECISE", "FS=MRC", "CURRENCY=USD", "XLFILL=b")</f>
        <v>58.776121531987727</v>
      </c>
      <c r="H44" s="9">
        <f>_xll.BQL("SAVE US Equity", "FA_GROWTH(IS_COMP_NET_INCOME_ADJUST_OLD, YOY)", "FPT=A", "FPO=2A", "ACT_EST_MAPPING=PRECISE", "FS=MRC", "CURRENCY=USD", "XLFILL=b")</f>
        <v>36.533586818757918</v>
      </c>
      <c r="I44" s="9">
        <f>_xll.BQL("SAVE US Equity", "FA_GROWTH(IS_COMP_NET_INCOME_ADJUST_OLD, YOY)", "FPT=A", "FPO=1A", "ACT_EST_MAPPING=PRECISE", "FS=MRC", "CURRENCY=USD", "XLFILL=b")</f>
        <v>-119.45622696613587</v>
      </c>
      <c r="J44" s="9">
        <f>_xll.BQL("SAVE US Equity", "FA_GROWTH(IS_COMP_NET_INCOME_ADJUST_OLD, YOY)", "FPT=A", "FPO=0A", "ACT_EST_MAPPING=PRECISE", "FS=MRC", "CURRENCY=USD", "XLFILL=b")</f>
        <v>-89.8461798423251</v>
      </c>
      <c r="K44" s="9">
        <f>_xll.BQL("SAVE US Equity", "FA_GROWTH(IS_COMP_NET_INCOME_ADJUST_OLD, YOY)", "FPT=A", "FPO=-1A", "ACT_EST_MAPPING=PRECISE", "FS=MRC", "CURRENCY=USD", "XLFILL=b")</f>
        <v>57.018774228105059</v>
      </c>
      <c r="L44" s="9">
        <f>_xll.BQL("SAVE US Equity", "FA_GROWTH(IS_COMP_NET_INCOME_ADJUST_OLD, YOY)", "FPT=A", "FPO=-2A", "ACT_EST_MAPPING=PRECISE", "FS=MRC", "CURRENCY=USD", "XLFILL=b")</f>
        <v>38.617442184452493</v>
      </c>
      <c r="M44" s="9">
        <f>_xll.BQL("SAVE US Equity", "FA_GROWTH(IS_COMP_NET_INCOME_ADJUST_OLD, YOY)", "FPT=A", "FPO=-3A", "ACT_EST_MAPPING=PRECISE", "FS=MRC", "CURRENCY=USD", "XLFILL=b")</f>
        <v>-305.82432959420089</v>
      </c>
      <c r="N44" s="9">
        <f>_xll.BQL("SAVE US Equity", "FA_GROWTH(IS_COMP_NET_INCOME_ADJUST_OLD, YOY)", "FPT=A", "FPO=-4A", "ACT_EST_MAPPING=PRECISE", "FS=MRC", "CURRENCY=USD", "XLFILL=b")</f>
        <v>15.894906850462258</v>
      </c>
    </row>
    <row r="45" spans="1:14" x14ac:dyDescent="0.2">
      <c r="A45" s="8" t="s">
        <v>16</v>
      </c>
      <c r="B45" s="4"/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x14ac:dyDescent="0.2">
      <c r="A46" s="8" t="s">
        <v>51</v>
      </c>
      <c r="B46" s="4"/>
      <c r="C46" s="4" t="s">
        <v>52</v>
      </c>
      <c r="D46" s="4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 x14ac:dyDescent="0.2">
      <c r="A47" s="8" t="s">
        <v>16</v>
      </c>
      <c r="B47" s="4"/>
      <c r="C47" s="4"/>
      <c r="D47" s="4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2">
      <c r="A48" s="8" t="s">
        <v>53</v>
      </c>
      <c r="B48" s="4"/>
      <c r="C48" s="4" t="s">
        <v>54</v>
      </c>
      <c r="D48" s="4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2">
      <c r="A49" s="8" t="s">
        <v>55</v>
      </c>
      <c r="B49" s="4" t="s">
        <v>17</v>
      </c>
      <c r="C49" s="4" t="s">
        <v>56</v>
      </c>
      <c r="D49" s="4"/>
      <c r="E49" s="9">
        <f>_xll.BQL("SAVE US Equity", "REV_PASS_MILES_KM/1M", "FPT=A", "FPO=5A", "ACT_EST_MAPPING=PRECISE", "FS=MRC", "CURRENCY=USD", "XLFILL=b")</f>
        <v>47901.965644002477</v>
      </c>
      <c r="F49" s="9">
        <f>_xll.BQL("SAVE US Equity", "REV_PASS_MILES_KM/1M", "FPT=A", "FPO=4A", "ACT_EST_MAPPING=PRECISE", "FS=MRC", "CURRENCY=USD", "XLFILL=b")</f>
        <v>43547.241494547699</v>
      </c>
      <c r="G49" s="9">
        <f>_xll.BQL("SAVE US Equity", "REV_PASS_MILES_KM/1M", "FPT=A", "FPO=3A", "ACT_EST_MAPPING=PRECISE", "FS=MRC", "CURRENCY=USD", "XLFILL=b")</f>
        <v>44235.385385924128</v>
      </c>
      <c r="H49" s="9">
        <f>_xll.BQL("SAVE US Equity", "REV_PASS_MILES_KM/1M", "FPT=A", "FPO=2A", "ACT_EST_MAPPING=PRECISE", "FS=MRC", "CURRENCY=USD", "XLFILL=b")</f>
        <v>41986.096458610045</v>
      </c>
      <c r="I49" s="9">
        <f>_xll.BQL("SAVE US Equity", "REV_PASS_MILES_KM/1M", "FPT=A", "FPO=1A", "ACT_EST_MAPPING=PRECISE", "FS=MRC", "CURRENCY=USD", "XLFILL=b")</f>
        <v>45086.95250672078</v>
      </c>
      <c r="J49" s="9">
        <f>_xll.BQL("SAVE US Equity", "REV_PASS_MILES_KM/1M", "FPT=A", "FPO=0A", "ACT_EST_MAPPING=PRECISE", "FS=MRC", "CURRENCY=USD", "XLFILL=b")</f>
        <v>45243.786999999997</v>
      </c>
      <c r="K49" s="9">
        <f>_xll.BQL("SAVE US Equity", "REV_PASS_MILES_KM/1M", "FPT=A", "FPO=-1A", "ACT_EST_MAPPING=PRECISE", "FS=MRC", "CURRENCY=USD", "XLFILL=b")</f>
        <v>39775.252999999997</v>
      </c>
      <c r="L49" s="9">
        <f>_xll.BQL("SAVE US Equity", "REV_PASS_MILES_KM/1M", "FPT=A", "FPO=-2A", "ACT_EST_MAPPING=PRECISE", "FS=MRC", "CURRENCY=USD", "XLFILL=b")</f>
        <v>32124.2</v>
      </c>
      <c r="M49" s="9">
        <f>_xll.BQL("SAVE US Equity", "REV_PASS_MILES_KM/1M", "FPT=A", "FPO=-3A", "ACT_EST_MAPPING=PRECISE", "FS=MRC", "CURRENCY=USD", "XLFILL=b")</f>
        <v>19319.41</v>
      </c>
      <c r="N49" s="9">
        <f>_xll.BQL("SAVE US Equity", "REV_PASS_MILES_KM/1M", "FPT=A", "FPO=-4A", "ACT_EST_MAPPING=PRECISE", "FS=MRC", "CURRENCY=USD", "XLFILL=b")</f>
        <v>35245.285000000003</v>
      </c>
    </row>
    <row r="50" spans="1:14" x14ac:dyDescent="0.2">
      <c r="A50" s="8" t="s">
        <v>12</v>
      </c>
      <c r="B50" s="4" t="s">
        <v>17</v>
      </c>
      <c r="C50" s="4" t="s">
        <v>56</v>
      </c>
      <c r="D50" s="4"/>
      <c r="E50" s="9">
        <f>_xll.BQL("SAVE US Equity", "FA_GROWTH(REV_PASS_MILES_KM, YOY)", "FPT=A", "FPO=5A", "ACT_EST_MAPPING=PRECISE", "FS=MRC", "CURRENCY=USD", "XLFILL=b")</f>
        <v>10.000000000000023</v>
      </c>
      <c r="F50" s="9">
        <f>_xll.BQL("SAVE US Equity", "FA_GROWTH(REV_PASS_MILES_KM, YOY)", "FPT=A", "FPO=4A", "ACT_EST_MAPPING=PRECISE", "FS=MRC", "CURRENCY=USD", "XLFILL=b")</f>
        <v>-1.555641225622501</v>
      </c>
      <c r="G50" s="9">
        <f>_xll.BQL("SAVE US Equity", "FA_GROWTH(REV_PASS_MILES_KM, YOY)", "FPT=A", "FPO=3A", "ACT_EST_MAPPING=PRECISE", "FS=MRC", "CURRENCY=USD", "XLFILL=b")</f>
        <v>5.3572232644476285</v>
      </c>
      <c r="H50" s="9">
        <f>_xll.BQL("SAVE US Equity", "FA_GROWTH(REV_PASS_MILES_KM, YOY)", "FPT=A", "FPO=2A", "ACT_EST_MAPPING=PRECISE", "FS=MRC", "CURRENCY=USD", "XLFILL=b")</f>
        <v>-6.8775019727680888</v>
      </c>
      <c r="I50" s="9">
        <f>_xll.BQL("SAVE US Equity", "FA_GROWTH(REV_PASS_MILES_KM, YOY)", "FPT=A", "FPO=1A", "ACT_EST_MAPPING=PRECISE", "FS=MRC", "CURRENCY=USD", "XLFILL=b")</f>
        <v>-0.34664316070451967</v>
      </c>
      <c r="J50" s="9">
        <f>_xll.BQL("SAVE US Equity", "FA_GROWTH(REV_PASS_MILES_KM, YOY)", "FPT=A", "FPO=0A", "ACT_EST_MAPPING=PRECISE", "FS=MRC", "CURRENCY=USD", "XLFILL=b")</f>
        <v>13.748583824218541</v>
      </c>
      <c r="K50" s="9">
        <f>_xll.BQL("SAVE US Equity", "FA_GROWTH(REV_PASS_MILES_KM, YOY)", "FPT=A", "FPO=-1A", "ACT_EST_MAPPING=PRECISE", "FS=MRC", "CURRENCY=USD", "XLFILL=b")</f>
        <v>23.81710050367013</v>
      </c>
      <c r="L50" s="9">
        <f>_xll.BQL("SAVE US Equity", "FA_GROWTH(REV_PASS_MILES_KM, YOY)", "FPT=A", "FPO=-2A", "ACT_EST_MAPPING=PRECISE", "FS=MRC", "CURRENCY=USD", "XLFILL=b")</f>
        <v>66.279405012886002</v>
      </c>
      <c r="M50" s="9">
        <f>_xll.BQL("SAVE US Equity", "FA_GROWTH(REV_PASS_MILES_KM, YOY)", "FPT=A", "FPO=-3A", "ACT_EST_MAPPING=PRECISE", "FS=MRC", "CURRENCY=USD", "XLFILL=b")</f>
        <v>-45.185831239554453</v>
      </c>
      <c r="N50" s="9">
        <f>_xll.BQL("SAVE US Equity", "FA_GROWTH(REV_PASS_MILES_KM, YOY)", "FPT=A", "FPO=-4A", "ACT_EST_MAPPING=PRECISE", "FS=MRC", "CURRENCY=USD", "XLFILL=b")</f>
        <v>15.092736826984376</v>
      </c>
    </row>
    <row r="51" spans="1:14" x14ac:dyDescent="0.2">
      <c r="A51" s="8" t="s">
        <v>57</v>
      </c>
      <c r="B51" s="4" t="s">
        <v>20</v>
      </c>
      <c r="C51" s="4" t="s">
        <v>58</v>
      </c>
      <c r="D51" s="4"/>
      <c r="E51" s="9">
        <f>_xll.BQL("SAVE US Equity", "AVAIL_SEAT_MILES_KM/1M", "FPT=A", "FPO=5A", "ACT_EST_MAPPING=PRECISE", "FS=MRC", "CURRENCY=USD", "XLFILL=b")</f>
        <v>59877.457055003091</v>
      </c>
      <c r="F51" s="9">
        <f>_xll.BQL("SAVE US Equity", "AVAIL_SEAT_MILES_KM/1M", "FPT=A", "FPO=4A", "ACT_EST_MAPPING=PRECISE", "FS=MRC", "CURRENCY=USD", "XLFILL=b")</f>
        <v>54434.051868184622</v>
      </c>
      <c r="G51" s="9">
        <f>_xll.BQL("SAVE US Equity", "AVAIL_SEAT_MILES_KM/1M", "FPT=A", "FPO=3A", "ACT_EST_MAPPING=PRECISE", "FS=MRC", "CURRENCY=USD", "XLFILL=b")</f>
        <v>53445.582318189052</v>
      </c>
      <c r="H51" s="9">
        <f>_xll.BQL("SAVE US Equity", "AVAIL_SEAT_MILES_KM/1M", "FPT=A", "FPO=2A", "ACT_EST_MAPPING=PRECISE", "FS=MRC", "CURRENCY=USD", "XLFILL=b")</f>
        <v>51135.868054618339</v>
      </c>
      <c r="I51" s="9">
        <f>_xll.BQL("SAVE US Equity", "AVAIL_SEAT_MILES_KM/1M", "FPT=A", "FPO=1A", "ACT_EST_MAPPING=PRECISE", "FS=MRC", "CURRENCY=USD", "XLFILL=b")</f>
        <v>55240.956942222219</v>
      </c>
      <c r="J51" s="9">
        <f>_xll.BQL("SAVE US Equity", "AVAIL_SEAT_MILES_KM/1M", "FPT=A", "FPO=0A", "ACT_EST_MAPPING=PRECISE", "FS=MRC", "CURRENCY=USD", "XLFILL=b")</f>
        <v>55665.561000000002</v>
      </c>
      <c r="K51" s="9">
        <f>_xll.BQL("SAVE US Equity", "AVAIL_SEAT_MILES_KM/1M", "FPT=A", "FPO=-1A", "ACT_EST_MAPPING=PRECISE", "FS=MRC", "CURRENCY=USD", "XLFILL=b")</f>
        <v>48567.978000000003</v>
      </c>
      <c r="L51" s="9">
        <f>_xll.BQL("SAVE US Equity", "AVAIL_SEAT_MILES_KM/1M", "FPT=A", "FPO=-2A", "ACT_EST_MAPPING=PRECISE", "FS=MRC", "CURRENCY=USD", "XLFILL=b")</f>
        <v>40749.334000000003</v>
      </c>
      <c r="M51" s="9">
        <f>_xll.BQL("SAVE US Equity", "AVAIL_SEAT_MILES_KM/1M", "FPT=A", "FPO=-3A", "ACT_EST_MAPPING=PRECISE", "FS=MRC", "CURRENCY=USD", "XLFILL=b")</f>
        <v>27718.386999999999</v>
      </c>
      <c r="N51" s="9">
        <f>_xll.BQL("SAVE US Equity", "AVAIL_SEAT_MILES_KM/1M", "FPT=A", "FPO=-4A", "ACT_EST_MAPPING=PRECISE", "FS=MRC", "CURRENCY=USD", "XLFILL=b")</f>
        <v>41783.000999999997</v>
      </c>
    </row>
    <row r="52" spans="1:14" x14ac:dyDescent="0.2">
      <c r="A52" s="8" t="s">
        <v>12</v>
      </c>
      <c r="B52" s="4" t="s">
        <v>20</v>
      </c>
      <c r="C52" s="4" t="s">
        <v>58</v>
      </c>
      <c r="D52" s="4"/>
      <c r="E52" s="9">
        <f>_xll.BQL("SAVE US Equity", "FA_GROWTH(AVAIL_SEAT_MILES_KM, YOY)", "FPT=A", "FPO=5A", "ACT_EST_MAPPING=PRECISE", "FS=MRC", "CURRENCY=USD", "XLFILL=b")</f>
        <v>10.000000000000007</v>
      </c>
      <c r="F52" s="9">
        <f>_xll.BQL("SAVE US Equity", "FA_GROWTH(AVAIL_SEAT_MILES_KM, YOY)", "FPT=A", "FPO=4A", "ACT_EST_MAPPING=PRECISE", "FS=MRC", "CURRENCY=USD", "XLFILL=b")</f>
        <v>1.8494878474907563</v>
      </c>
      <c r="G52" s="9">
        <f>_xll.BQL("SAVE US Equity", "FA_GROWTH(AVAIL_SEAT_MILES_KM, YOY)", "FPT=A", "FPO=3A", "ACT_EST_MAPPING=PRECISE", "FS=MRC", "CURRENCY=USD", "XLFILL=b")</f>
        <v>4.5168183340580006</v>
      </c>
      <c r="H52" s="9">
        <f>_xll.BQL("SAVE US Equity", "FA_GROWTH(AVAIL_SEAT_MILES_KM, YOY)", "FPT=A", "FPO=2A", "ACT_EST_MAPPING=PRECISE", "FS=MRC", "CURRENCY=USD", "XLFILL=b")</f>
        <v>-7.4312414462651111</v>
      </c>
      <c r="I52" s="9">
        <f>_xll.BQL("SAVE US Equity", "FA_GROWTH(AVAIL_SEAT_MILES_KM, YOY)", "FPT=A", "FPO=1A", "ACT_EST_MAPPING=PRECISE", "FS=MRC", "CURRENCY=USD", "XLFILL=b")</f>
        <v>-0.7627769309246315</v>
      </c>
      <c r="J52" s="9">
        <f>_xll.BQL("SAVE US Equity", "FA_GROWTH(AVAIL_SEAT_MILES_KM, YOY)", "FPT=A", "FPO=0A", "ACT_EST_MAPPING=PRECISE", "FS=MRC", "CURRENCY=USD", "XLFILL=b")</f>
        <v>14.61370905743698</v>
      </c>
      <c r="K52" s="9">
        <f>_xll.BQL("SAVE US Equity", "FA_GROWTH(AVAIL_SEAT_MILES_KM, YOY)", "FPT=A", "FPO=-1A", "ACT_EST_MAPPING=PRECISE", "FS=MRC", "CURRENCY=USD", "XLFILL=b")</f>
        <v>19.187170028349421</v>
      </c>
      <c r="L52" s="9">
        <f>_xll.BQL("SAVE US Equity", "FA_GROWTH(AVAIL_SEAT_MILES_KM, YOY)", "FPT=A", "FPO=-2A", "ACT_EST_MAPPING=PRECISE", "FS=MRC", "CURRENCY=USD", "XLFILL=b")</f>
        <v>47.011923890087836</v>
      </c>
      <c r="M52" s="9">
        <f>_xll.BQL("SAVE US Equity", "FA_GROWTH(AVAIL_SEAT_MILES_KM, YOY)", "FPT=A", "FPO=-3A", "ACT_EST_MAPPING=PRECISE", "FS=MRC", "CURRENCY=USD", "XLFILL=b")</f>
        <v>-33.661091025989251</v>
      </c>
      <c r="N52" s="9">
        <f>_xll.BQL("SAVE US Equity", "FA_GROWTH(AVAIL_SEAT_MILES_KM, YOY)", "FPT=A", "FPO=-4A", "ACT_EST_MAPPING=PRECISE", "FS=MRC", "CURRENCY=USD", "XLFILL=b")</f>
        <v>14.46462373950709</v>
      </c>
    </row>
    <row r="53" spans="1:14" x14ac:dyDescent="0.2">
      <c r="A53" s="8" t="s">
        <v>59</v>
      </c>
      <c r="B53" s="4" t="s">
        <v>23</v>
      </c>
      <c r="C53" s="4" t="s">
        <v>24</v>
      </c>
      <c r="D53" s="4"/>
      <c r="E53" s="9">
        <f>_xll.BQL("SAVE US Equity", "LOAD_FACTOR", "FPT=A", "FPO=5A", "ACT_EST_MAPPING=PRECISE", "FS=MRC", "CURRENCY=USD", "XLFILL=b")</f>
        <v>80.000000000000014</v>
      </c>
      <c r="F53" s="9">
        <f>_xll.BQL("SAVE US Equity", "LOAD_FACTOR", "FPT=A", "FPO=4A", "ACT_EST_MAPPING=PRECISE", "FS=MRC", "CURRENCY=USD", "XLFILL=b")</f>
        <v>80</v>
      </c>
      <c r="G53" s="9">
        <f>_xll.BQL("SAVE US Equity", "LOAD_FACTOR", "FPT=A", "FPO=3A", "ACT_EST_MAPPING=PRECISE", "FS=MRC", "CURRENCY=USD", "XLFILL=b")</f>
        <v>82.68706904098417</v>
      </c>
      <c r="H53" s="9">
        <f>_xll.BQL("SAVE US Equity", "LOAD_FACTOR", "FPT=A", "FPO=2A", "ACT_EST_MAPPING=PRECISE", "FS=MRC", "CURRENCY=USD", "XLFILL=b")</f>
        <v>82.093799156702659</v>
      </c>
      <c r="I53" s="9">
        <f>_xll.BQL("SAVE US Equity", "LOAD_FACTOR", "FPT=A", "FPO=1A", "ACT_EST_MAPPING=PRECISE", "FS=MRC", "CURRENCY=USD", "XLFILL=b")</f>
        <v>81.62018501217446</v>
      </c>
      <c r="J53" s="9">
        <f>_xll.BQL("SAVE US Equity", "LOAD_FACTOR", "FPT=A", "FPO=0A", "ACT_EST_MAPPING=PRECISE", "FS=MRC", "CURRENCY=USD", "XLFILL=b")</f>
        <v>81.3</v>
      </c>
      <c r="K53" s="9">
        <f>_xll.BQL("SAVE US Equity", "LOAD_FACTOR", "FPT=A", "FPO=-1A", "ACT_EST_MAPPING=PRECISE", "FS=MRC", "CURRENCY=USD", "XLFILL=b")</f>
        <v>81.900000000000006</v>
      </c>
      <c r="L53" s="9">
        <f>_xll.BQL("SAVE US Equity", "LOAD_FACTOR", "FPT=A", "FPO=-2A", "ACT_EST_MAPPING=PRECISE", "FS=MRC", "CURRENCY=USD", "XLFILL=b")</f>
        <v>78.8</v>
      </c>
      <c r="M53" s="9">
        <f>_xll.BQL("SAVE US Equity", "LOAD_FACTOR", "FPT=A", "FPO=-3A", "ACT_EST_MAPPING=PRECISE", "FS=MRC", "CURRENCY=USD", "XLFILL=b")</f>
        <v>69.7</v>
      </c>
      <c r="N53" s="9">
        <f>_xll.BQL("SAVE US Equity", "LOAD_FACTOR", "FPT=A", "FPO=-4A", "ACT_EST_MAPPING=PRECISE", "FS=MRC", "CURRENCY=USD", "XLFILL=b")</f>
        <v>84.4</v>
      </c>
    </row>
    <row r="54" spans="1:14" x14ac:dyDescent="0.2">
      <c r="A54" s="8" t="s">
        <v>12</v>
      </c>
      <c r="B54" s="4" t="s">
        <v>23</v>
      </c>
      <c r="C54" s="4" t="s">
        <v>24</v>
      </c>
      <c r="D54" s="4"/>
      <c r="E54" s="9">
        <f>_xll.BQL("SAVE US Equity", "FA_GROWTH(LOAD_FACTOR, YOY)", "FPT=A", "FPO=5A", "ACT_EST_MAPPING=PRECISE", "FS=MRC", "CURRENCY=USD", "XLFILL=b")</f>
        <v>1.7763568394002505E-14</v>
      </c>
      <c r="F54" s="9">
        <f>_xll.BQL("SAVE US Equity", "FA_GROWTH(LOAD_FACTOR, YOY)", "FPT=A", "FPO=4A", "ACT_EST_MAPPING=PRECISE", "FS=MRC", "CURRENCY=USD", "XLFILL=b")</f>
        <v>-3.2496847114659655</v>
      </c>
      <c r="G54" s="9">
        <f>_xll.BQL("SAVE US Equity", "FA_GROWTH(LOAD_FACTOR, YOY)", "FPT=A", "FPO=3A", "ACT_EST_MAPPING=PRECISE", "FS=MRC", "CURRENCY=USD", "XLFILL=b")</f>
        <v>0.72267319867736091</v>
      </c>
      <c r="H54" s="9">
        <f>_xll.BQL("SAVE US Equity", "FA_GROWTH(LOAD_FACTOR, YOY)", "FPT=A", "FPO=2A", "ACT_EST_MAPPING=PRECISE", "FS=MRC", "CURRENCY=USD", "XLFILL=b")</f>
        <v>0.58026595315552698</v>
      </c>
      <c r="I54" s="9">
        <f>_xll.BQL("SAVE US Equity", "FA_GROWTH(LOAD_FACTOR, YOY)", "FPT=A", "FPO=1A", "ACT_EST_MAPPING=PRECISE", "FS=MRC", "CURRENCY=USD", "XLFILL=b")</f>
        <v>0.39383150328962202</v>
      </c>
      <c r="J54" s="9">
        <f>_xll.BQL("SAVE US Equity", "FA_GROWTH(LOAD_FACTOR, YOY)", "FPT=A", "FPO=0A", "ACT_EST_MAPPING=PRECISE", "FS=MRC", "CURRENCY=USD", "XLFILL=b")</f>
        <v>-0.73260073260074299</v>
      </c>
      <c r="K54" s="9">
        <f>_xll.BQL("SAVE US Equity", "FA_GROWTH(LOAD_FACTOR, YOY)", "FPT=A", "FPO=-1A", "ACT_EST_MAPPING=PRECISE", "FS=MRC", "CURRENCY=USD", "XLFILL=b")</f>
        <v>3.9340101522842748</v>
      </c>
      <c r="L54" s="9">
        <f>_xll.BQL("SAVE US Equity", "FA_GROWTH(LOAD_FACTOR, YOY)", "FPT=A", "FPO=-2A", "ACT_EST_MAPPING=PRECISE", "FS=MRC", "CURRENCY=USD", "XLFILL=b")</f>
        <v>13.055954088952646</v>
      </c>
      <c r="M54" s="9">
        <f>_xll.BQL("SAVE US Equity", "FA_GROWTH(LOAD_FACTOR, YOY)", "FPT=A", "FPO=-3A", "ACT_EST_MAPPING=PRECISE", "FS=MRC", "CURRENCY=USD", "XLFILL=b")</f>
        <v>-17.417061611374407</v>
      </c>
      <c r="N54" s="9">
        <f>_xll.BQL("SAVE US Equity", "FA_GROWTH(LOAD_FACTOR, YOY)", "FPT=A", "FPO=-4A", "ACT_EST_MAPPING=PRECISE", "FS=MRC", "CURRENCY=USD", "XLFILL=b")</f>
        <v>0.59594755661501786</v>
      </c>
    </row>
    <row r="55" spans="1:14" x14ac:dyDescent="0.2">
      <c r="A55" s="8" t="s">
        <v>25</v>
      </c>
      <c r="B55" s="4" t="s">
        <v>26</v>
      </c>
      <c r="C55" s="4"/>
      <c r="D55" s="4"/>
      <c r="E55" s="9">
        <f>_xll.BQL("SAVE US Equity", "TOTAL_PASSENGER_REVENUE/1M", "FPT=A", "FPO=5A", "ACT_EST_MAPPING=PRECISE", "FS=MRC", "CURRENCY=USD", "XLFILL=b")</f>
        <v>6879.3419182325742</v>
      </c>
      <c r="F55" s="9">
        <f>_xll.BQL("SAVE US Equity", "TOTAL_PASSENGER_REVENUE/1M", "FPT=A", "FPO=4A", "ACT_EST_MAPPING=PRECISE", "FS=MRC", "CURRENCY=USD", "XLFILL=b")</f>
        <v>6071.7933964983004</v>
      </c>
      <c r="G55" s="9">
        <f>_xll.BQL("SAVE US Equity", "TOTAL_PASSENGER_REVENUE/1M", "FPT=A", "FPO=3A", "ACT_EST_MAPPING=PRECISE", "FS=MRC", "CURRENCY=USD", "XLFILL=b")</f>
        <v>5387.1269278602504</v>
      </c>
      <c r="H55" s="9">
        <f>_xll.BQL("SAVE US Equity", "TOTAL_PASSENGER_REVENUE/1M", "FPT=A", "FPO=2A", "ACT_EST_MAPPING=PRECISE", "FS=MRC", "CURRENCY=USD", "XLFILL=b")</f>
        <v>4892.1968685869224</v>
      </c>
      <c r="I55" s="9">
        <f>_xll.BQL("SAVE US Equity", "TOTAL_PASSENGER_REVENUE/1M", "FPT=A", "FPO=1A", "ACT_EST_MAPPING=PRECISE", "FS=MRC", "CURRENCY=USD", "XLFILL=b")</f>
        <v>4816.9063142730265</v>
      </c>
      <c r="J55" s="9">
        <f>_xll.BQL("SAVE US Equity", "TOTAL_PASSENGER_REVENUE/1M", "FPT=A", "FPO=0A", "ACT_EST_MAPPING=PRECISE", "FS=MRC", "CURRENCY=USD", "XLFILL=b")</f>
        <v>5268.1610000000001</v>
      </c>
      <c r="K55" s="9">
        <f>_xll.BQL("SAVE US Equity", "TOTAL_PASSENGER_REVENUE/1M", "FPT=A", "FPO=-1A", "ACT_EST_MAPPING=PRECISE", "FS=MRC", "CURRENCY=USD", "XLFILL=b")</f>
        <v>4989.3649999999998</v>
      </c>
      <c r="L55" s="9">
        <f>_xll.BQL("SAVE US Equity", "TOTAL_PASSENGER_REVENUE/1M", "FPT=A", "FPO=-2A", "ACT_EST_MAPPING=PRECISE", "FS=MRC", "CURRENCY=USD", "XLFILL=b")</f>
        <v>3175.8020000000001</v>
      </c>
      <c r="M55" s="9">
        <f>_xll.BQL("SAVE US Equity", "TOTAL_PASSENGER_REVENUE/1M", "FPT=A", "FPO=-3A", "ACT_EST_MAPPING=PRECISE", "FS=MRC", "CURRENCY=USD", "XLFILL=b")</f>
        <v>1765.5329999999999</v>
      </c>
      <c r="N55" s="9">
        <f>_xll.BQL("SAVE US Equity", "TOTAL_PASSENGER_REVENUE/1M", "FPT=A", "FPO=-4A", "ACT_EST_MAPPING=PRECISE", "FS=MRC", "CURRENCY=USD", "XLFILL=b")</f>
        <v>3757.605</v>
      </c>
    </row>
    <row r="56" spans="1:14" x14ac:dyDescent="0.2">
      <c r="A56" s="8" t="s">
        <v>12</v>
      </c>
      <c r="B56" s="4" t="s">
        <v>26</v>
      </c>
      <c r="C56" s="4"/>
      <c r="D56" s="4"/>
      <c r="E56" s="9">
        <f>_xll.BQL("SAVE US Equity", "FA_GROWTH(TOTAL_PASSENGER_REVENUE, YOY)", "FPT=A", "FPO=5A", "ACT_EST_MAPPING=PRECISE", "FS=MRC", "CURRENCY=USD", "XLFILL=b")</f>
        <v>13.3</v>
      </c>
      <c r="F56" s="9">
        <f>_xll.BQL("SAVE US Equity", "FA_GROWTH(TOTAL_PASSENGER_REVENUE, YOY)", "FPT=A", "FPO=4A", "ACT_EST_MAPPING=PRECISE", "FS=MRC", "CURRENCY=USD", "XLFILL=b")</f>
        <v>12.709306422635143</v>
      </c>
      <c r="G56" s="9">
        <f>_xll.BQL("SAVE US Equity", "FA_GROWTH(TOTAL_PASSENGER_REVENUE, YOY)", "FPT=A", "FPO=3A", "ACT_EST_MAPPING=PRECISE", "FS=MRC", "CURRENCY=USD", "XLFILL=b")</f>
        <v>10.116724092836536</v>
      </c>
      <c r="H56" s="9">
        <f>_xll.BQL("SAVE US Equity", "FA_GROWTH(TOTAL_PASSENGER_REVENUE, YOY)", "FPT=A", "FPO=2A", "ACT_EST_MAPPING=PRECISE", "FS=MRC", "CURRENCY=USD", "XLFILL=b")</f>
        <v>1.5630479274799665</v>
      </c>
      <c r="I56" s="9">
        <f>_xll.BQL("SAVE US Equity", "FA_GROWTH(TOTAL_PASSENGER_REVENUE, YOY)", "FPT=A", "FPO=1A", "ACT_EST_MAPPING=PRECISE", "FS=MRC", "CURRENCY=USD", "XLFILL=b")</f>
        <v>-8.5656965633163757</v>
      </c>
      <c r="J56" s="9">
        <f>_xll.BQL("SAVE US Equity", "FA_GROWTH(TOTAL_PASSENGER_REVENUE, YOY)", "FPT=A", "FPO=0A", "ACT_EST_MAPPING=PRECISE", "FS=MRC", "CURRENCY=USD", "XLFILL=b")</f>
        <v>5.5878052617918312</v>
      </c>
      <c r="K56" s="9">
        <f>_xll.BQL("SAVE US Equity", "FA_GROWTH(TOTAL_PASSENGER_REVENUE, YOY)", "FPT=A", "FPO=-1A", "ACT_EST_MAPPING=PRECISE", "FS=MRC", "CURRENCY=USD", "XLFILL=b")</f>
        <v>57.105669685956492</v>
      </c>
      <c r="L56" s="9">
        <f>_xll.BQL("SAVE US Equity", "FA_GROWTH(TOTAL_PASSENGER_REVENUE, YOY)", "FPT=A", "FPO=-2A", "ACT_EST_MAPPING=PRECISE", "FS=MRC", "CURRENCY=USD", "XLFILL=b")</f>
        <v>79.877804606314356</v>
      </c>
      <c r="M56" s="9">
        <f>_xll.BQL("SAVE US Equity", "FA_GROWTH(TOTAL_PASSENGER_REVENUE, YOY)", "FPT=A", "FPO=-3A", "ACT_EST_MAPPING=PRECISE", "FS=MRC", "CURRENCY=USD", "XLFILL=b")</f>
        <v>-53.014406783043988</v>
      </c>
      <c r="N56" s="9">
        <f>_xll.BQL("SAVE US Equity", "FA_GROWTH(TOTAL_PASSENGER_REVENUE, YOY)", "FPT=A", "FPO=-4A", "ACT_EST_MAPPING=PRECISE", "FS=MRC", "CURRENCY=USD", "XLFILL=b")</f>
        <v>15.263426702024377</v>
      </c>
    </row>
    <row r="57" spans="1:14" x14ac:dyDescent="0.2">
      <c r="A57" s="8" t="s">
        <v>60</v>
      </c>
      <c r="B57" s="4" t="s">
        <v>28</v>
      </c>
      <c r="C57" s="4"/>
      <c r="D57" s="4"/>
      <c r="E57" s="9">
        <f>_xll.BQL("SAVE US Equity", "PASSENGER_REVENUE_PER_ASM", "FPT=A", "FPO=5A", "ACT_EST_MAPPING=PRECISE", "FS=MRC", "CURRENCY=USD", "XLFILL=b")</f>
        <v>11.489034866516208</v>
      </c>
      <c r="F57" s="9">
        <f>_xll.BQL("SAVE US Equity", "PASSENGER_REVENUE_PER_ASM", "FPT=A", "FPO=4A", "ACT_EST_MAPPING=PRECISE", "FS=MRC", "CURRENCY=USD", "XLFILL=b")</f>
        <v>11.154402783025445</v>
      </c>
      <c r="G57" s="9">
        <f>_xll.BQL("SAVE US Equity", "PASSENGER_REVENUE_PER_ASM", "FPT=A", "FPO=3A", "ACT_EST_MAPPING=PRECISE", "FS=MRC", "CURRENCY=USD", "XLFILL=b")</f>
        <v>10.397933980470945</v>
      </c>
      <c r="H57" s="9">
        <f>_xll.BQL("SAVE US Equity", "PASSENGER_REVENUE_PER_ASM", "FPT=A", "FPO=2A", "ACT_EST_MAPPING=PRECISE", "FS=MRC", "CURRENCY=USD", "XLFILL=b")</f>
        <v>9.7075193844535619</v>
      </c>
      <c r="I57" s="9">
        <f>_xll.BQL("SAVE US Equity", "PASSENGER_REVENUE_PER_ASM", "FPT=A", "FPO=1A", "ACT_EST_MAPPING=PRECISE", "FS=MRC", "CURRENCY=USD", "XLFILL=b")</f>
        <v>8.8132260356253163</v>
      </c>
      <c r="J57" s="9">
        <f>_xll.BQL("SAVE US Equity", "PASSENGER_REVENUE_PER_ASM", "FPT=A", "FPO=0A", "ACT_EST_MAPPING=PRECISE", "FS=MRC", "CURRENCY=USD", "XLFILL=b")</f>
        <v>9.6300000000000008</v>
      </c>
      <c r="K57" s="9">
        <f>_xll.BQL("SAVE US Equity", "PASSENGER_REVENUE_PER_ASM", "FPT=A", "FPO=-1A", "ACT_EST_MAPPING=PRECISE", "FS=MRC", "CURRENCY=USD", "XLFILL=b")</f>
        <v>10.44</v>
      </c>
      <c r="L57" s="9">
        <f>_xll.BQL("SAVE US Equity", "PASSENGER_REVENUE_PER_ASM", "FPT=A", "FPO=-2A", "ACT_EST_MAPPING=PRECISE", "FS=MRC", "CURRENCY=USD", "XLFILL=b")</f>
        <v>7.93</v>
      </c>
      <c r="M57" s="9">
        <f>_xll.BQL("SAVE US Equity", "PASSENGER_REVENUE_PER_ASM", "FPT=A", "FPO=-3A", "ACT_EST_MAPPING=PRECISE", "FS=MRC", "CURRENCY=USD", "XLFILL=b")</f>
        <v>6.53</v>
      </c>
      <c r="N57" s="9">
        <f>_xll.BQL("SAVE US Equity", "PASSENGER_REVENUE_PER_ASM", "FPT=A", "FPO=-4A", "ACT_EST_MAPPING=PRECISE", "FS=MRC", "CURRENCY=USD", "XLFILL=b")</f>
        <v>9.17</v>
      </c>
    </row>
    <row r="58" spans="1:14" x14ac:dyDescent="0.2">
      <c r="A58" s="8" t="s">
        <v>12</v>
      </c>
      <c r="B58" s="4" t="s">
        <v>28</v>
      </c>
      <c r="C58" s="4"/>
      <c r="D58" s="4"/>
      <c r="E58" s="9">
        <f>_xll.BQL("SAVE US Equity", "FA_GROWTH(PASSENGER_REVENUE_PER_ASM, YOY)", "FPT=A", "FPO=5A", "ACT_EST_MAPPING=PRECISE", "FS=MRC", "CURRENCY=USD", "XLFILL=b")</f>
        <v>3.0000000000000031</v>
      </c>
      <c r="F58" s="9">
        <f>_xll.BQL("SAVE US Equity", "FA_GROWTH(PASSENGER_REVENUE_PER_ASM, YOY)", "FPT=A", "FPO=4A", "ACT_EST_MAPPING=PRECISE", "FS=MRC", "CURRENCY=USD", "XLFILL=b")</f>
        <v>7.2751837429942707</v>
      </c>
      <c r="G58" s="9">
        <f>_xll.BQL("SAVE US Equity", "FA_GROWTH(PASSENGER_REVENUE_PER_ASM, YOY)", "FPT=A", "FPO=3A", "ACT_EST_MAPPING=PRECISE", "FS=MRC", "CURRENCY=USD", "XLFILL=b")</f>
        <v>7.112162939618452</v>
      </c>
      <c r="H58" s="9">
        <f>_xll.BQL("SAVE US Equity", "FA_GROWTH(PASSENGER_REVENUE_PER_ASM, YOY)", "FPT=A", "FPO=2A", "ACT_EST_MAPPING=PRECISE", "FS=MRC", "CURRENCY=USD", "XLFILL=b")</f>
        <v>10.147173636682901</v>
      </c>
      <c r="I58" s="9">
        <f>_xll.BQL("SAVE US Equity", "FA_GROWTH(PASSENGER_REVENUE_PER_ASM, YOY)", "FPT=A", "FPO=1A", "ACT_EST_MAPPING=PRECISE", "FS=MRC", "CURRENCY=USD", "XLFILL=b")</f>
        <v>-8.4815572624577822</v>
      </c>
      <c r="J58" s="9">
        <f>_xll.BQL("SAVE US Equity", "FA_GROWTH(PASSENGER_REVENUE_PER_ASM, YOY)", "FPT=A", "FPO=0A", "ACT_EST_MAPPING=PRECISE", "FS=MRC", "CURRENCY=USD", "XLFILL=b")</f>
        <v>-7.7586206896551602</v>
      </c>
      <c r="K58" s="9">
        <f>_xll.BQL("SAVE US Equity", "FA_GROWTH(PASSENGER_REVENUE_PER_ASM, YOY)", "FPT=A", "FPO=-1A", "ACT_EST_MAPPING=PRECISE", "FS=MRC", "CURRENCY=USD", "XLFILL=b")</f>
        <v>31.651954602774271</v>
      </c>
      <c r="L58" s="9">
        <f>_xll.BQL("SAVE US Equity", "FA_GROWTH(PASSENGER_REVENUE_PER_ASM, YOY)", "FPT=A", "FPO=-2A", "ACT_EST_MAPPING=PRECISE", "FS=MRC", "CURRENCY=USD", "XLFILL=b")</f>
        <v>21.439509954058185</v>
      </c>
      <c r="M58" s="9">
        <f>_xll.BQL("SAVE US Equity", "FA_GROWTH(PASSENGER_REVENUE_PER_ASM, YOY)", "FPT=A", "FPO=-3A", "ACT_EST_MAPPING=PRECISE", "FS=MRC", "CURRENCY=USD", "XLFILL=b")</f>
        <v>-28.789531079607411</v>
      </c>
      <c r="N58" s="9">
        <f>_xll.BQL("SAVE US Equity", "FA_GROWTH(PASSENGER_REVENUE_PER_ASM, YOY)", "FPT=A", "FPO=-4A", "ACT_EST_MAPPING=PRECISE", "FS=MRC", "CURRENCY=USD", "XLFILL=b")</f>
        <v>0.76923076923077238</v>
      </c>
    </row>
    <row r="59" spans="1:14" x14ac:dyDescent="0.2">
      <c r="A59" s="8" t="s">
        <v>61</v>
      </c>
      <c r="B59" s="4" t="s">
        <v>30</v>
      </c>
      <c r="C59" s="4"/>
      <c r="D59" s="4"/>
      <c r="E59" s="9">
        <f>_xll.BQL("SAVE US Equity", "YIELD_PER_PASS_MILES_KM", "FPT=A", "FPO=5A", "ACT_EST_MAPPING=PRECISE", "FS=MRC", "CURRENCY=USD", "XLFILL=b")</f>
        <v>14.36129358314526</v>
      </c>
      <c r="F59" s="9">
        <f>_xll.BQL("SAVE US Equity", "YIELD_PER_PASS_MILES_KM", "FPT=A", "FPO=4A", "ACT_EST_MAPPING=PRECISE", "FS=MRC", "CURRENCY=USD", "XLFILL=b")</f>
        <v>13.94300347878181</v>
      </c>
      <c r="G59" s="9">
        <f>_xll.BQL("SAVE US Equity", "YIELD_PER_PASS_MILES_KM", "FPT=A", "FPO=3A", "ACT_EST_MAPPING=PRECISE", "FS=MRC", "CURRENCY=USD", "XLFILL=b")</f>
        <v>12.800206594957903</v>
      </c>
      <c r="H59" s="9">
        <f>_xll.BQL("SAVE US Equity", "YIELD_PER_PASS_MILES_KM", "FPT=A", "FPO=2A", "ACT_EST_MAPPING=PRECISE", "FS=MRC", "CURRENCY=USD", "XLFILL=b")</f>
        <v>12.155795324013607</v>
      </c>
      <c r="I59" s="9">
        <f>_xll.BQL("SAVE US Equity", "YIELD_PER_PASS_MILES_KM", "FPT=A", "FPO=1A", "ACT_EST_MAPPING=PRECISE", "FS=MRC", "CURRENCY=USD", "XLFILL=b")</f>
        <v>10.85315994979527</v>
      </c>
      <c r="J59" s="9">
        <f>_xll.BQL("SAVE US Equity", "YIELD_PER_PASS_MILES_KM", "FPT=A", "FPO=0A", "ACT_EST_MAPPING=PRECISE", "FS=MRC", "CURRENCY=USD", "XLFILL=b")</f>
        <v>11.85</v>
      </c>
      <c r="K59" s="9">
        <f>_xll.BQL("SAVE US Equity", "YIELD_PER_PASS_MILES_KM", "FPT=A", "FPO=-1A", "ACT_EST_MAPPING=PRECISE", "FS=MRC", "CURRENCY=USD", "XLFILL=b")</f>
        <v>12.74</v>
      </c>
      <c r="L59" s="9">
        <f>_xll.BQL("SAVE US Equity", "YIELD_PER_PASS_MILES_KM", "FPT=A", "FPO=-2A", "ACT_EST_MAPPING=PRECISE", "FS=MRC", "CURRENCY=USD", "XLFILL=b")</f>
        <v>10.06</v>
      </c>
      <c r="M59" s="9">
        <f>_xll.BQL("SAVE US Equity", "YIELD_PER_PASS_MILES_KM", "FPT=A", "FPO=-3A", "ACT_EST_MAPPING=PRECISE", "FS=MRC", "CURRENCY=USD", "XLFILL=b")</f>
        <v>9.3699999999999992</v>
      </c>
      <c r="N59" s="9">
        <f>_xll.BQL("SAVE US Equity", "YIELD_PER_PASS_MILES_KM", "FPT=A", "FPO=-4A", "ACT_EST_MAPPING=PRECISE", "FS=MRC", "CURRENCY=USD", "XLFILL=b")</f>
        <v>10.87</v>
      </c>
    </row>
    <row r="60" spans="1:14" x14ac:dyDescent="0.2">
      <c r="A60" s="8" t="s">
        <v>12</v>
      </c>
      <c r="B60" s="4" t="s">
        <v>30</v>
      </c>
      <c r="C60" s="4"/>
      <c r="D60" s="4"/>
      <c r="E60" s="9">
        <f>_xll.BQL("SAVE US Equity", "FA_GROWTH(YIELD_PER_PASS_MILES_KM, YOY)", "FPT=A", "FPO=5A", "ACT_EST_MAPPING=PRECISE", "FS=MRC", "CURRENCY=USD", "XLFILL=b")</f>
        <v>2.9999999999999702</v>
      </c>
      <c r="F60" s="9">
        <f>_xll.BQL("SAVE US Equity", "FA_GROWTH(YIELD_PER_PASS_MILES_KM, YOY)", "FPT=A", "FPO=4A", "ACT_EST_MAPPING=PRECISE", "FS=MRC", "CURRENCY=USD", "XLFILL=b")</f>
        <v>8.9279565555923401</v>
      </c>
      <c r="G60" s="9">
        <f>_xll.BQL("SAVE US Equity", "FA_GROWTH(YIELD_PER_PASS_MILES_KM, YOY)", "FPT=A", "FPO=3A", "ACT_EST_MAPPING=PRECISE", "FS=MRC", "CURRENCY=USD", "XLFILL=b")</f>
        <v>5.3012678625089267</v>
      </c>
      <c r="H60" s="9">
        <f>_xll.BQL("SAVE US Equity", "FA_GROWTH(YIELD_PER_PASS_MILES_KM, YOY)", "FPT=A", "FPO=2A", "ACT_EST_MAPPING=PRECISE", "FS=MRC", "CURRENCY=USD", "XLFILL=b")</f>
        <v>12.002360420781502</v>
      </c>
      <c r="I60" s="9">
        <f>_xll.BQL("SAVE US Equity", "FA_GROWTH(YIELD_PER_PASS_MILES_KM, YOY)", "FPT=A", "FPO=1A", "ACT_EST_MAPPING=PRECISE", "FS=MRC", "CURRENCY=USD", "XLFILL=b")</f>
        <v>-8.4121523224027843</v>
      </c>
      <c r="J60" s="9">
        <f>_xll.BQL("SAVE US Equity", "FA_GROWTH(YIELD_PER_PASS_MILES_KM, YOY)", "FPT=A", "FPO=0A", "ACT_EST_MAPPING=PRECISE", "FS=MRC", "CURRENCY=USD", "XLFILL=b")</f>
        <v>-6.9858712715855615</v>
      </c>
      <c r="K60" s="9">
        <f>_xll.BQL("SAVE US Equity", "FA_GROWTH(YIELD_PER_PASS_MILES_KM, YOY)", "FPT=A", "FPO=-1A", "ACT_EST_MAPPING=PRECISE", "FS=MRC", "CURRENCY=USD", "XLFILL=b")</f>
        <v>26.640159045725646</v>
      </c>
      <c r="L60" s="9">
        <f>_xll.BQL("SAVE US Equity", "FA_GROWTH(YIELD_PER_PASS_MILES_KM, YOY)", "FPT=A", "FPO=-2A", "ACT_EST_MAPPING=PRECISE", "FS=MRC", "CURRENCY=USD", "XLFILL=b")</f>
        <v>7.3639274279615936</v>
      </c>
      <c r="M60" s="9">
        <f>_xll.BQL("SAVE US Equity", "FA_GROWTH(YIELD_PER_PASS_MILES_KM, YOY)", "FPT=A", "FPO=-3A", "ACT_EST_MAPPING=PRECISE", "FS=MRC", "CURRENCY=USD", "XLFILL=b")</f>
        <v>-13.799448022079117</v>
      </c>
      <c r="N60" s="9">
        <f>_xll.BQL("SAVE US Equity", "FA_GROWTH(YIELD_PER_PASS_MILES_KM, YOY)", "FPT=A", "FPO=-4A", "ACT_EST_MAPPING=PRECISE", "FS=MRC", "CURRENCY=USD", "XLFILL=b")</f>
        <v>0.18433179723501911</v>
      </c>
    </row>
    <row r="61" spans="1:14" x14ac:dyDescent="0.2">
      <c r="A61" s="8" t="s">
        <v>62</v>
      </c>
      <c r="B61" s="4" t="s">
        <v>32</v>
      </c>
      <c r="C61" s="4"/>
      <c r="D61" s="4"/>
      <c r="E61" s="9" t="str">
        <f>_xll.BQL("SAVE US Equity", "OP_EXP_PER_ASM_ASK", "FPT=A", "FPO=5A", "ACT_EST_MAPPING=PRECISE", "FS=MRC", "CURRENCY=USD", "XLFILL=b")</f>
        <v/>
      </c>
      <c r="F61" s="9" t="str">
        <f>_xll.BQL("SAVE US Equity", "OP_EXP_PER_ASM_ASK", "FPT=A", "FPO=4A", "ACT_EST_MAPPING=PRECISE", "FS=MRC", "CURRENCY=USD", "XLFILL=b")</f>
        <v/>
      </c>
      <c r="G61" s="9">
        <f>_xll.BQL("SAVE US Equity", "OP_EXP_PER_ASM_ASK", "FPT=A", "FPO=3A", "ACT_EST_MAPPING=PRECISE", "FS=MRC", "CURRENCY=USD", "XLFILL=b")</f>
        <v>10.481462900560267</v>
      </c>
      <c r="H61" s="9">
        <f>_xll.BQL("SAVE US Equity", "OP_EXP_PER_ASM_ASK", "FPT=A", "FPO=2A", "ACT_EST_MAPPING=PRECISE", "FS=MRC", "CURRENCY=USD", "XLFILL=b")</f>
        <v>10.755530456153055</v>
      </c>
      <c r="I61" s="9">
        <f>_xll.BQL("SAVE US Equity", "OP_EXP_PER_ASM_ASK", "FPT=A", "FPO=1A", "ACT_EST_MAPPING=PRECISE", "FS=MRC", "CURRENCY=USD", "XLFILL=b")</f>
        <v>10.493149216496118</v>
      </c>
      <c r="J61" s="9">
        <f>_xll.BQL("SAVE US Equity", "OP_EXP_PER_ASM_ASK", "FPT=A", "FPO=0A", "ACT_EST_MAPPING=PRECISE", "FS=MRC", "CURRENCY=USD", "XLFILL=b")</f>
        <v>10.52</v>
      </c>
      <c r="K61" s="9">
        <f>_xll.BQL("SAVE US Equity", "OP_EXP_PER_ASM_ASK", "FPT=A", "FPO=-1A", "ACT_EST_MAPPING=PRECISE", "FS=MRC", "CURRENCY=USD", "XLFILL=b")</f>
        <v>11.67</v>
      </c>
      <c r="L61" s="9">
        <f>_xll.BQL("SAVE US Equity", "OP_EXP_PER_ASM_ASK", "FPT=A", "FPO=-2A", "ACT_EST_MAPPING=PRECISE", "FS=MRC", "CURRENCY=USD", "XLFILL=b")</f>
        <v>8.07</v>
      </c>
      <c r="M61" s="9">
        <f>_xll.BQL("SAVE US Equity", "OP_EXP_PER_ASM_ASK", "FPT=A", "FPO=-3A", "ACT_EST_MAPPING=PRECISE", "FS=MRC", "CURRENCY=USD", "XLFILL=b")</f>
        <v>8.36</v>
      </c>
      <c r="N61" s="9">
        <f>_xll.BQL("SAVE US Equity", "OP_EXP_PER_ASM_ASK", "FPT=A", "FPO=-4A", "ACT_EST_MAPPING=PRECISE", "FS=MRC", "CURRENCY=USD", "XLFILL=b")</f>
        <v>7.97</v>
      </c>
    </row>
    <row r="62" spans="1:14" x14ac:dyDescent="0.2">
      <c r="A62" s="8" t="s">
        <v>12</v>
      </c>
      <c r="B62" s="4" t="s">
        <v>32</v>
      </c>
      <c r="C62" s="4"/>
      <c r="D62" s="4"/>
      <c r="E62" s="9" t="str">
        <f>_xll.BQL("SAVE US Equity", "FA_GROWTH(OP_EXP_PER_ASM_ASK, YOY)", "FPT=A", "FPO=5A", "ACT_EST_MAPPING=PRECISE", "FS=MRC", "CURRENCY=USD", "XLFILL=b")</f>
        <v/>
      </c>
      <c r="F62" s="9" t="str">
        <f>_xll.BQL("SAVE US Equity", "FA_GROWTH(OP_EXP_PER_ASM_ASK, YOY)", "FPT=A", "FPO=4A", "ACT_EST_MAPPING=PRECISE", "FS=MRC", "CURRENCY=USD", "XLFILL=b")</f>
        <v/>
      </c>
      <c r="G62" s="9">
        <f>_xll.BQL("SAVE US Equity", "FA_GROWTH(OP_EXP_PER_ASM_ASK, YOY)", "FPT=A", "FPO=3A", "ACT_EST_MAPPING=PRECISE", "FS=MRC", "CURRENCY=USD", "XLFILL=b")</f>
        <v>-2.5481547071069741</v>
      </c>
      <c r="H62" s="9">
        <f>_xll.BQL("SAVE US Equity", "FA_GROWTH(OP_EXP_PER_ASM_ASK, YOY)", "FPT=A", "FPO=2A", "ACT_EST_MAPPING=PRECISE", "FS=MRC", "CURRENCY=USD", "XLFILL=b")</f>
        <v>2.5005004145414409</v>
      </c>
      <c r="I62" s="9">
        <f>_xll.BQL("SAVE US Equity", "FA_GROWTH(OP_EXP_PER_ASM_ASK, YOY)", "FPT=A", "FPO=1A", "ACT_EST_MAPPING=PRECISE", "FS=MRC", "CURRENCY=USD", "XLFILL=b")</f>
        <v>-0.25523558463765983</v>
      </c>
      <c r="J62" s="9">
        <f>_xll.BQL("SAVE US Equity", "FA_GROWTH(OP_EXP_PER_ASM_ASK, YOY)", "FPT=A", "FPO=0A", "ACT_EST_MAPPING=PRECISE", "FS=MRC", "CURRENCY=USD", "XLFILL=b")</f>
        <v>-9.8543273350471328</v>
      </c>
      <c r="K62" s="9">
        <f>_xll.BQL("SAVE US Equity", "FA_GROWTH(OP_EXP_PER_ASM_ASK, YOY)", "FPT=A", "FPO=-1A", "ACT_EST_MAPPING=PRECISE", "FS=MRC", "CURRENCY=USD", "XLFILL=b")</f>
        <v>44.609665427509285</v>
      </c>
      <c r="L62" s="9">
        <f>_xll.BQL("SAVE US Equity", "FA_GROWTH(OP_EXP_PER_ASM_ASK, YOY)", "FPT=A", "FPO=-2A", "ACT_EST_MAPPING=PRECISE", "FS=MRC", "CURRENCY=USD", "XLFILL=b")</f>
        <v>-3.4688995215310907</v>
      </c>
      <c r="M62" s="9">
        <f>_xll.BQL("SAVE US Equity", "FA_GROWTH(OP_EXP_PER_ASM_ASK, YOY)", "FPT=A", "FPO=-3A", "ACT_EST_MAPPING=PRECISE", "FS=MRC", "CURRENCY=USD", "XLFILL=b")</f>
        <v>4.8933500627352542</v>
      </c>
      <c r="N62" s="9">
        <f>_xll.BQL("SAVE US Equity", "FA_GROWTH(OP_EXP_PER_ASM_ASK, YOY)", "FPT=A", "FPO=-4A", "ACT_EST_MAPPING=PRECISE", "FS=MRC", "CURRENCY=USD", "XLFILL=b")</f>
        <v>-2.0884520884520983</v>
      </c>
    </row>
    <row r="63" spans="1:14" x14ac:dyDescent="0.2">
      <c r="A63" s="8" t="s">
        <v>63</v>
      </c>
      <c r="B63" s="4" t="s">
        <v>34</v>
      </c>
      <c r="C63" s="4"/>
      <c r="D63" s="4"/>
      <c r="E63" s="9" t="str">
        <f>_xll.BQL("SAVE US Equity", "CONS_COST_PER_ASM_EX_FUEL", "FPT=A", "FPO=5A", "ACT_EST_MAPPING=PRECISE", "FS=MRC", "CURRENCY=USD", "XLFILL=b")</f>
        <v/>
      </c>
      <c r="F63" s="9" t="str">
        <f>_xll.BQL("SAVE US Equity", "CONS_COST_PER_ASM_EX_FUEL", "FPT=A", "FPO=4A", "ACT_EST_MAPPING=PRECISE", "FS=MRC", "CURRENCY=USD", "XLFILL=b")</f>
        <v/>
      </c>
      <c r="G63" s="9">
        <f>_xll.BQL("SAVE US Equity", "CONS_COST_PER_ASM_EX_FUEL", "FPT=A", "FPO=3A", "ACT_EST_MAPPING=PRECISE", "FS=MRC", "CURRENCY=USD", "XLFILL=b")</f>
        <v>7.6960597511946265</v>
      </c>
      <c r="H63" s="9">
        <f>_xll.BQL("SAVE US Equity", "CONS_COST_PER_ASM_EX_FUEL", "FPT=A", "FPO=2A", "ACT_EST_MAPPING=PRECISE", "FS=MRC", "CURRENCY=USD", "XLFILL=b")</f>
        <v>7.9460945010893997</v>
      </c>
      <c r="I63" s="9">
        <f>_xll.BQL("SAVE US Equity", "CONS_COST_PER_ASM_EX_FUEL", "FPT=A", "FPO=1A", "ACT_EST_MAPPING=PRECISE", "FS=MRC", "CURRENCY=USD", "XLFILL=b")</f>
        <v>7.6485484574360596</v>
      </c>
      <c r="J63" s="9">
        <f>_xll.BQL("SAVE US Equity", "CONS_COST_PER_ASM_EX_FUEL", "FPT=A", "FPO=0A", "ACT_EST_MAPPING=PRECISE", "FS=MRC", "CURRENCY=USD", "XLFILL=b")</f>
        <v>7.25</v>
      </c>
      <c r="K63" s="9">
        <f>_xll.BQL("SAVE US Equity", "CONS_COST_PER_ASM_EX_FUEL", "FPT=A", "FPO=-1A", "ACT_EST_MAPPING=PRECISE", "FS=MRC", "CURRENCY=USD", "XLFILL=b")</f>
        <v>7.7</v>
      </c>
      <c r="L63" s="9">
        <f>_xll.BQL("SAVE US Equity", "CONS_COST_PER_ASM_EX_FUEL", "FPT=A", "FPO=-2A", "ACT_EST_MAPPING=PRECISE", "FS=MRC", "CURRENCY=USD", "XLFILL=b")</f>
        <v>5.82</v>
      </c>
      <c r="M63" s="9">
        <f>_xll.BQL("SAVE US Equity", "CONS_COST_PER_ASM_EX_FUEL", "FPT=A", "FPO=-3A", "ACT_EST_MAPPING=PRECISE", "FS=MRC", "CURRENCY=USD", "XLFILL=b")</f>
        <v>6.81</v>
      </c>
      <c r="N63" s="9">
        <f>_xll.BQL("SAVE US Equity", "CONS_COST_PER_ASM_EX_FUEL", "FPT=A", "FPO=-4A", "ACT_EST_MAPPING=PRECISE", "FS=MRC", "CURRENCY=USD", "XLFILL=b")</f>
        <v>5.59</v>
      </c>
    </row>
    <row r="64" spans="1:14" x14ac:dyDescent="0.2">
      <c r="A64" s="8" t="s">
        <v>12</v>
      </c>
      <c r="B64" s="4" t="s">
        <v>34</v>
      </c>
      <c r="C64" s="4"/>
      <c r="D64" s="4"/>
      <c r="E64" s="9" t="str">
        <f>_xll.BQL("SAVE US Equity", "FA_GROWTH(CONS_COST_PER_ASM_EX_FUEL, YOY)", "FPT=A", "FPO=5A", "ACT_EST_MAPPING=PRECISE", "FS=MRC", "CURRENCY=USD", "XLFILL=b")</f>
        <v/>
      </c>
      <c r="F64" s="9" t="str">
        <f>_xll.BQL("SAVE US Equity", "FA_GROWTH(CONS_COST_PER_ASM_EX_FUEL, YOY)", "FPT=A", "FPO=4A", "ACT_EST_MAPPING=PRECISE", "FS=MRC", "CURRENCY=USD", "XLFILL=b")</f>
        <v/>
      </c>
      <c r="G64" s="9">
        <f>_xll.BQL("SAVE US Equity", "FA_GROWTH(CONS_COST_PER_ASM_EX_FUEL, YOY)", "FPT=A", "FPO=3A", "ACT_EST_MAPPING=PRECISE", "FS=MRC", "CURRENCY=USD", "XLFILL=b")</f>
        <v>-3.1466370033793809</v>
      </c>
      <c r="H64" s="9">
        <f>_xll.BQL("SAVE US Equity", "FA_GROWTH(CONS_COST_PER_ASM_EX_FUEL, YOY)", "FPT=A", "FPO=2A", "ACT_EST_MAPPING=PRECISE", "FS=MRC", "CURRENCY=USD", "XLFILL=b")</f>
        <v>3.8902289147957272</v>
      </c>
      <c r="I64" s="9">
        <f>_xll.BQL("SAVE US Equity", "FA_GROWTH(CONS_COST_PER_ASM_EX_FUEL, YOY)", "FPT=A", "FPO=1A", "ACT_EST_MAPPING=PRECISE", "FS=MRC", "CURRENCY=USD", "XLFILL=b")</f>
        <v>5.4972201025663399</v>
      </c>
      <c r="J64" s="9">
        <f>_xll.BQL("SAVE US Equity", "FA_GROWTH(CONS_COST_PER_ASM_EX_FUEL, YOY)", "FPT=A", "FPO=0A", "ACT_EST_MAPPING=PRECISE", "FS=MRC", "CURRENCY=USD", "XLFILL=b")</f>
        <v>-5.8441558441558454</v>
      </c>
      <c r="K64" s="9">
        <f>_xll.BQL("SAVE US Equity", "FA_GROWTH(CONS_COST_PER_ASM_EX_FUEL, YOY)", "FPT=A", "FPO=-1A", "ACT_EST_MAPPING=PRECISE", "FS=MRC", "CURRENCY=USD", "XLFILL=b")</f>
        <v>32.302405498281786</v>
      </c>
      <c r="L64" s="9">
        <f>_xll.BQL("SAVE US Equity", "FA_GROWTH(CONS_COST_PER_ASM_EX_FUEL, YOY)", "FPT=A", "FPO=-2A", "ACT_EST_MAPPING=PRECISE", "FS=MRC", "CURRENCY=USD", "XLFILL=b")</f>
        <v>-14.537444933920694</v>
      </c>
      <c r="M64" s="9">
        <f>_xll.BQL("SAVE US Equity", "FA_GROWTH(CONS_COST_PER_ASM_EX_FUEL, YOY)", "FPT=A", "FPO=-3A", "ACT_EST_MAPPING=PRECISE", "FS=MRC", "CURRENCY=USD", "XLFILL=b")</f>
        <v>21.824686940966007</v>
      </c>
      <c r="N64" s="9">
        <f>_xll.BQL("SAVE US Equity", "FA_GROWTH(CONS_COST_PER_ASM_EX_FUEL, YOY)", "FPT=A", "FPO=-4A", "ACT_EST_MAPPING=PRECISE", "FS=MRC", "CURRENCY=USD", "XLFILL=b")</f>
        <v>0.35906642728904081</v>
      </c>
    </row>
    <row r="65" spans="1:14" x14ac:dyDescent="0.2">
      <c r="A65" s="8" t="s">
        <v>64</v>
      </c>
      <c r="B65" s="4" t="s">
        <v>65</v>
      </c>
      <c r="C65" s="4"/>
      <c r="D65" s="4"/>
      <c r="E65" s="9">
        <f>_xll.BQL("SAVE US Equity", "COST_PER_SEAT_EXCL_ABN_ITMS", "FPT=A", "FPO=5A", "ACT_EST_MAPPING=PRECISE", "FS=MRC", "CURRENCY=USD", "XLFILL=b")</f>
        <v>8.2017418263952973</v>
      </c>
      <c r="F65" s="9">
        <f>_xll.BQL("SAVE US Equity", "COST_PER_SEAT_EXCL_ABN_ITMS", "FPT=A", "FPO=4A", "ACT_EST_MAPPING=PRECISE", "FS=MRC", "CURRENCY=USD", "XLFILL=b")</f>
        <v>8.3827655186547254</v>
      </c>
      <c r="G65" s="9">
        <f>_xll.BQL("SAVE US Equity", "COST_PER_SEAT_EXCL_ABN_ITMS", "FPT=A", "FPO=3A", "ACT_EST_MAPPING=PRECISE", "FS=MRC", "CURRENCY=USD", "XLFILL=b")</f>
        <v>8.0471762534021209</v>
      </c>
      <c r="H65" s="9">
        <f>_xll.BQL("SAVE US Equity", "COST_PER_SEAT_EXCL_ABN_ITMS", "FPT=A", "FPO=2A", "ACT_EST_MAPPING=PRECISE", "FS=MRC", "CURRENCY=USD", "XLFILL=b")</f>
        <v>7.9441074738695621</v>
      </c>
      <c r="I65" s="9">
        <f>_xll.BQL("SAVE US Equity", "COST_PER_SEAT_EXCL_ABN_ITMS", "FPT=A", "FPO=1A", "ACT_EST_MAPPING=PRECISE", "FS=MRC", "CURRENCY=USD", "XLFILL=b")</f>
        <v>7.6122506763806896</v>
      </c>
      <c r="J65" s="9">
        <f>_xll.BQL("SAVE US Equity", "COST_PER_SEAT_EXCL_ABN_ITMS", "FPT=A", "FPO=0A", "ACT_EST_MAPPING=PRECISE", "FS=MRC", "CURRENCY=USD", "XLFILL=b")</f>
        <v>7.06</v>
      </c>
      <c r="K65" s="9">
        <f>_xll.BQL("SAVE US Equity", "COST_PER_SEAT_EXCL_ABN_ITMS", "FPT=A", "FPO=-1A", "ACT_EST_MAPPING=PRECISE", "FS=MRC", "CURRENCY=USD", "XLFILL=b")</f>
        <v>6.73</v>
      </c>
      <c r="L65" s="9">
        <f>_xll.BQL("SAVE US Equity", "COST_PER_SEAT_EXCL_ABN_ITMS", "FPT=A", "FPO=-2A", "ACT_EST_MAPPING=PRECISE", "FS=MRC", "CURRENCY=USD", "XLFILL=b")</f>
        <v>6.74</v>
      </c>
      <c r="M65" s="9">
        <f>_xll.BQL("SAVE US Equity", "COST_PER_SEAT_EXCL_ABN_ITMS", "FPT=A", "FPO=-3A", "ACT_EST_MAPPING=PRECISE", "FS=MRC", "CURRENCY=USD", "XLFILL=b")</f>
        <v>7.89</v>
      </c>
      <c r="N65" s="9">
        <f>_xll.BQL("SAVE US Equity", "COST_PER_SEAT_EXCL_ABN_ITMS", "FPT=A", "FPO=-4A", "ACT_EST_MAPPING=PRECISE", "FS=MRC", "CURRENCY=USD", "XLFILL=b")</f>
        <v>5.55</v>
      </c>
    </row>
    <row r="66" spans="1:14" x14ac:dyDescent="0.2">
      <c r="A66" s="8" t="s">
        <v>12</v>
      </c>
      <c r="B66" s="4" t="s">
        <v>65</v>
      </c>
      <c r="C66" s="4"/>
      <c r="D66" s="4"/>
      <c r="E66" s="9">
        <f>_xll.BQL("SAVE US Equity", "FA_GROWTH(COST_PER_SEAT_EXCL_ABN_ITMS, YOY)", "FPT=A", "FPO=5A", "ACT_EST_MAPPING=PRECISE", "FS=MRC", "CURRENCY=USD", "XLFILL=b")</f>
        <v>-2.1594746012707153</v>
      </c>
      <c r="F66" s="9">
        <f>_xll.BQL("SAVE US Equity", "FA_GROWTH(COST_PER_SEAT_EXCL_ABN_ITMS, YOY)", "FPT=A", "FPO=4A", "ACT_EST_MAPPING=PRECISE", "FS=MRC", "CURRENCY=USD", "XLFILL=b")</f>
        <v>4.1702735802602398</v>
      </c>
      <c r="G66" s="9">
        <f>_xll.BQL("SAVE US Equity", "FA_GROWTH(COST_PER_SEAT_EXCL_ABN_ITMS, YOY)", "FPT=A", "FPO=3A", "ACT_EST_MAPPING=PRECISE", "FS=MRC", "CURRENCY=USD", "XLFILL=b")</f>
        <v>1.2974242842456694</v>
      </c>
      <c r="H66" s="9">
        <f>_xll.BQL("SAVE US Equity", "FA_GROWTH(COST_PER_SEAT_EXCL_ABN_ITMS, YOY)", "FPT=A", "FPO=2A", "ACT_EST_MAPPING=PRECISE", "FS=MRC", "CURRENCY=USD", "XLFILL=b")</f>
        <v>4.3595095799795258</v>
      </c>
      <c r="I66" s="9">
        <f>_xll.BQL("SAVE US Equity", "FA_GROWTH(COST_PER_SEAT_EXCL_ABN_ITMS, YOY)", "FPT=A", "FPO=1A", "ACT_EST_MAPPING=PRECISE", "FS=MRC", "CURRENCY=USD", "XLFILL=b")</f>
        <v>7.8222475408029757</v>
      </c>
      <c r="J66" s="9">
        <f>_xll.BQL("SAVE US Equity", "FA_GROWTH(COST_PER_SEAT_EXCL_ABN_ITMS, YOY)", "FPT=A", "FPO=0A", "ACT_EST_MAPPING=PRECISE", "FS=MRC", "CURRENCY=USD", "XLFILL=b")</f>
        <v>4.9034175334323793</v>
      </c>
      <c r="K66" s="9">
        <f>_xll.BQL("SAVE US Equity", "FA_GROWTH(COST_PER_SEAT_EXCL_ABN_ITMS, YOY)", "FPT=A", "FPO=-1A", "ACT_EST_MAPPING=PRECISE", "FS=MRC", "CURRENCY=USD", "XLFILL=b")</f>
        <v>-0.14836795252225202</v>
      </c>
      <c r="L66" s="9">
        <f>_xll.BQL("SAVE US Equity", "FA_GROWTH(COST_PER_SEAT_EXCL_ABN_ITMS, YOY)", "FPT=A", "FPO=-2A", "ACT_EST_MAPPING=PRECISE", "FS=MRC", "CURRENCY=USD", "XLFILL=b")</f>
        <v>-14.57541191381495</v>
      </c>
      <c r="M66" s="9">
        <f>_xll.BQL("SAVE US Equity", "FA_GROWTH(COST_PER_SEAT_EXCL_ABN_ITMS, YOY)", "FPT=A", "FPO=-3A", "ACT_EST_MAPPING=PRECISE", "FS=MRC", "CURRENCY=USD", "XLFILL=b")</f>
        <v>42.162162162162161</v>
      </c>
      <c r="N66" s="9">
        <f>_xll.BQL("SAVE US Equity", "FA_GROWTH(COST_PER_SEAT_EXCL_ABN_ITMS, YOY)", "FPT=A", "FPO=-4A", "ACT_EST_MAPPING=PRECISE", "FS=MRC", "CURRENCY=USD", "XLFILL=b")</f>
        <v>4.716981132075472</v>
      </c>
    </row>
    <row r="67" spans="1:14" x14ac:dyDescent="0.2">
      <c r="A67" s="8" t="s">
        <v>66</v>
      </c>
      <c r="B67" s="4" t="s">
        <v>67</v>
      </c>
      <c r="C67" s="4"/>
      <c r="D67" s="4"/>
      <c r="E67" s="9">
        <f>_xll.BQL("SAVE US Equity", "FUEL_PRICE_PER_GALLON_LITRE", "FPT=A", "FPO=5A", "ACT_EST_MAPPING=PRECISE", "FS=MRC", "CURRENCY=USD", "XLFILL=b")</f>
        <v>2.7819999999999996</v>
      </c>
      <c r="F67" s="9">
        <f>_xll.BQL("SAVE US Equity", "FUEL_PRICE_PER_GALLON_LITRE", "FPT=A", "FPO=4A", "ACT_EST_MAPPING=PRECISE", "FS=MRC", "CURRENCY=USD", "XLFILL=b")</f>
        <v>2.7819999999999996</v>
      </c>
      <c r="G67" s="9">
        <f>_xll.BQL("SAVE US Equity", "FUEL_PRICE_PER_GALLON_LITRE", "FPT=A", "FPO=3A", "ACT_EST_MAPPING=PRECISE", "FS=MRC", "CURRENCY=USD", "XLFILL=b")</f>
        <v>2.7383293650793656</v>
      </c>
      <c r="H67" s="9">
        <f>_xll.BQL("SAVE US Equity", "FUEL_PRICE_PER_GALLON_LITRE", "FPT=A", "FPO=2A", "ACT_EST_MAPPING=PRECISE", "FS=MRC", "CURRENCY=USD", "XLFILL=b")</f>
        <v>2.742656084656085</v>
      </c>
      <c r="I67" s="9">
        <f>_xll.BQL("SAVE US Equity", "FUEL_PRICE_PER_GALLON_LITRE", "FPT=A", "FPO=1A", "ACT_EST_MAPPING=PRECISE", "FS=MRC", "CURRENCY=USD", "XLFILL=b")</f>
        <v>2.74709788098518</v>
      </c>
      <c r="J67" s="9">
        <f>_xll.BQL("SAVE US Equity", "FUEL_PRICE_PER_GALLON_LITRE", "FPT=A", "FPO=0A", "ACT_EST_MAPPING=PRECISE", "FS=MRC", "CURRENCY=USD", "XLFILL=b")</f>
        <v>3.08</v>
      </c>
      <c r="K67" s="9">
        <f>_xll.BQL("SAVE US Equity", "FUEL_PRICE_PER_GALLON_LITRE", "FPT=A", "FPO=-1A", "ACT_EST_MAPPING=PRECISE", "FS=MRC", "CURRENCY=USD", "XLFILL=b")</f>
        <v>3.66</v>
      </c>
      <c r="L67" s="9">
        <f>_xll.BQL("SAVE US Equity", "FUEL_PRICE_PER_GALLON_LITRE", "FPT=A", "FPO=-2A", "ACT_EST_MAPPING=PRECISE", "FS=MRC", "CURRENCY=USD", "XLFILL=b")</f>
        <v>2.1</v>
      </c>
      <c r="M67" s="9">
        <f>_xll.BQL("SAVE US Equity", "FUEL_PRICE_PER_GALLON_LITRE", "FPT=A", "FPO=-3A", "ACT_EST_MAPPING=PRECISE", "FS=MRC", "CURRENCY=USD", "XLFILL=b")</f>
        <v>1.49</v>
      </c>
      <c r="N67" s="9">
        <f>_xll.BQL("SAVE US Equity", "FUEL_PRICE_PER_GALLON_LITRE", "FPT=A", "FPO=-4A", "ACT_EST_MAPPING=PRECISE", "FS=MRC", "CURRENCY=USD", "XLFILL=b")</f>
        <v>2.11</v>
      </c>
    </row>
    <row r="68" spans="1:14" x14ac:dyDescent="0.2">
      <c r="A68" s="8" t="s">
        <v>12</v>
      </c>
      <c r="B68" s="4" t="s">
        <v>67</v>
      </c>
      <c r="C68" s="4"/>
      <c r="D68" s="4"/>
      <c r="E68" s="9">
        <f>_xll.BQL("SAVE US Equity", "FA_GROWTH(FUEL_PRICE_PER_GALLON_LITRE, YOY)", "FPT=A", "FPO=5A", "ACT_EST_MAPPING=PRECISE", "FS=MRC", "CURRENCY=USD", "XLFILL=b")</f>
        <v>0</v>
      </c>
      <c r="F68" s="9">
        <f>_xll.BQL("SAVE US Equity", "FA_GROWTH(FUEL_PRICE_PER_GALLON_LITRE, YOY)", "FPT=A", "FPO=4A", "ACT_EST_MAPPING=PRECISE", "FS=MRC", "CURRENCY=USD", "XLFILL=b")</f>
        <v>1.5947911700303528</v>
      </c>
      <c r="G68" s="9">
        <f>_xll.BQL("SAVE US Equity", "FA_GROWTH(FUEL_PRICE_PER_GALLON_LITRE, YOY)", "FPT=A", "FPO=3A", "ACT_EST_MAPPING=PRECISE", "FS=MRC", "CURRENCY=USD", "XLFILL=b")</f>
        <v>-0.1577565485124221</v>
      </c>
      <c r="H68" s="9">
        <f>_xll.BQL("SAVE US Equity", "FA_GROWTH(FUEL_PRICE_PER_GALLON_LITRE, YOY)", "FPT=A", "FPO=2A", "ACT_EST_MAPPING=PRECISE", "FS=MRC", "CURRENCY=USD", "XLFILL=b")</f>
        <v>-0.16169050108626215</v>
      </c>
      <c r="I68" s="9">
        <f>_xll.BQL("SAVE US Equity", "FA_GROWTH(FUEL_PRICE_PER_GALLON_LITRE, YOY)", "FPT=A", "FPO=1A", "ACT_EST_MAPPING=PRECISE", "FS=MRC", "CURRENCY=USD", "XLFILL=b")</f>
        <v>-10.808510357624026</v>
      </c>
      <c r="J68" s="9">
        <f>_xll.BQL("SAVE US Equity", "FA_GROWTH(FUEL_PRICE_PER_GALLON_LITRE, YOY)", "FPT=A", "FPO=0A", "ACT_EST_MAPPING=PRECISE", "FS=MRC", "CURRENCY=USD", "XLFILL=b")</f>
        <v>-15.846994535519126</v>
      </c>
      <c r="K68" s="9">
        <f>_xll.BQL("SAVE US Equity", "FA_GROWTH(FUEL_PRICE_PER_GALLON_LITRE, YOY)", "FPT=A", "FPO=-1A", "ACT_EST_MAPPING=PRECISE", "FS=MRC", "CURRENCY=USD", "XLFILL=b")</f>
        <v>74.285714285714278</v>
      </c>
      <c r="L68" s="9">
        <f>_xll.BQL("SAVE US Equity", "FA_GROWTH(FUEL_PRICE_PER_GALLON_LITRE, YOY)", "FPT=A", "FPO=-2A", "ACT_EST_MAPPING=PRECISE", "FS=MRC", "CURRENCY=USD", "XLFILL=b")</f>
        <v>40.939597315436245</v>
      </c>
      <c r="M68" s="9">
        <f>_xll.BQL("SAVE US Equity", "FA_GROWTH(FUEL_PRICE_PER_GALLON_LITRE, YOY)", "FPT=A", "FPO=-3A", "ACT_EST_MAPPING=PRECISE", "FS=MRC", "CURRENCY=USD", "XLFILL=b")</f>
        <v>-29.383886255924164</v>
      </c>
      <c r="N68" s="9">
        <f>_xll.BQL("SAVE US Equity", "FA_GROWTH(FUEL_PRICE_PER_GALLON_LITRE, YOY)", "FPT=A", "FPO=-4A", "ACT_EST_MAPPING=PRECISE", "FS=MRC", "CURRENCY=USD", "XLFILL=b")</f>
        <v>-7.4561403508771908</v>
      </c>
    </row>
    <row r="69" spans="1:14" x14ac:dyDescent="0.2">
      <c r="A69" s="8" t="s">
        <v>68</v>
      </c>
      <c r="B69" s="4" t="s">
        <v>69</v>
      </c>
      <c r="C69" s="4" t="s">
        <v>70</v>
      </c>
      <c r="D69" s="4"/>
      <c r="E69" s="9">
        <f>_xll.BQL("SAVE US Equity", "FUEL_GALLONS_LITRES/1M", "FPT=A", "FPO=5A", "ACT_EST_MAPPING=PRECISE", "FS=MRC", "CURRENCY=USD", "XLFILL=b")</f>
        <v>615.15895092215931</v>
      </c>
      <c r="F69" s="9">
        <f>_xll.BQL("SAVE US Equity", "FUEL_GALLONS_LITRES/1M", "FPT=A", "FPO=4A", "ACT_EST_MAPPING=PRECISE", "FS=MRC", "CURRENCY=USD", "XLFILL=b")</f>
        <v>559.51502763420035</v>
      </c>
      <c r="G69" s="9">
        <f>_xll.BQL("SAVE US Equity", "FUEL_GALLONS_LITRES/1M", "FPT=A", "FPO=3A", "ACT_EST_MAPPING=PRECISE", "FS=MRC", "CURRENCY=USD", "XLFILL=b")</f>
        <v>455.34035024484223</v>
      </c>
      <c r="H69" s="9">
        <f>_xll.BQL("SAVE US Equity", "FUEL_GALLONS_LITRES/1M", "FPT=A", "FPO=2A", "ACT_EST_MAPPING=PRECISE", "FS=MRC", "CURRENCY=USD", "XLFILL=b")</f>
        <v>526.91098628337613</v>
      </c>
      <c r="I69" s="9">
        <f>_xll.BQL("SAVE US Equity", "FUEL_GALLONS_LITRES/1M", "FPT=A", "FPO=1A", "ACT_EST_MAPPING=PRECISE", "FS=MRC", "CURRENCY=USD", "XLFILL=b")</f>
        <v>574.8538982206727</v>
      </c>
      <c r="J69" s="9">
        <f>_xll.BQL("SAVE US Equity", "FUEL_GALLONS_LITRES/1M", "FPT=A", "FPO=0A", "ACT_EST_MAPPING=PRECISE", "FS=MRC", "CURRENCY=USD", "XLFILL=b")</f>
        <v>591.79600000000005</v>
      </c>
      <c r="K69" s="9">
        <f>_xll.BQL("SAVE US Equity", "FUEL_GALLONS_LITRES/1M", "FPT=A", "FPO=-1A", "ACT_EST_MAPPING=PRECISE", "FS=MRC", "CURRENCY=USD", "XLFILL=b")</f>
        <v>527.29</v>
      </c>
      <c r="L69" s="9">
        <f>_xll.BQL("SAVE US Equity", "FUEL_GALLONS_LITRES/1M", "FPT=A", "FPO=-2A", "ACT_EST_MAPPING=PRECISE", "FS=MRC", "CURRENCY=USD", "XLFILL=b")</f>
        <v>435.17399999999998</v>
      </c>
      <c r="M69" s="9">
        <f>_xll.BQL("SAVE US Equity", "FUEL_GALLONS_LITRES/1M", "FPT=A", "FPO=-3A", "ACT_EST_MAPPING=PRECISE", "FS=MRC", "CURRENCY=USD", "XLFILL=b")</f>
        <v>289.40100000000001</v>
      </c>
      <c r="N69" s="9">
        <f>_xll.BQL("SAVE US Equity", "FUEL_GALLONS_LITRES/1M", "FPT=A", "FPO=-4A", "ACT_EST_MAPPING=PRECISE", "FS=MRC", "CURRENCY=USD", "XLFILL=b")</f>
        <v>470.93900000000002</v>
      </c>
    </row>
    <row r="70" spans="1:14" x14ac:dyDescent="0.2">
      <c r="A70" s="8" t="s">
        <v>12</v>
      </c>
      <c r="B70" s="4" t="s">
        <v>69</v>
      </c>
      <c r="C70" s="4" t="s">
        <v>70</v>
      </c>
      <c r="D70" s="4"/>
      <c r="E70" s="9">
        <f>_xll.BQL("SAVE US Equity", "FA_GROWTH(FUEL_GALLONS_LITRES, YOY)", "FPT=A", "FPO=5A", "ACT_EST_MAPPING=PRECISE", "FS=MRC", "CURRENCY=USD", "XLFILL=b")</f>
        <v>9.9450274862568762</v>
      </c>
      <c r="F70" s="9">
        <f>_xll.BQL("SAVE US Equity", "FA_GROWTH(FUEL_GALLONS_LITRES, YOY)", "FPT=A", "FPO=4A", "ACT_EST_MAPPING=PRECISE", "FS=MRC", "CURRENCY=USD", "XLFILL=b")</f>
        <v>22.87841991893362</v>
      </c>
      <c r="G70" s="9">
        <f>_xll.BQL("SAVE US Equity", "FA_GROWTH(FUEL_GALLONS_LITRES, YOY)", "FPT=A", "FPO=3A", "ACT_EST_MAPPING=PRECISE", "FS=MRC", "CURRENCY=USD", "XLFILL=b")</f>
        <v>-13.583060118629358</v>
      </c>
      <c r="H70" s="9">
        <f>_xll.BQL("SAVE US Equity", "FA_GROWTH(FUEL_GALLONS_LITRES, YOY)", "FPT=A", "FPO=2A", "ACT_EST_MAPPING=PRECISE", "FS=MRC", "CURRENCY=USD", "XLFILL=b")</f>
        <v>-8.3400168435306465</v>
      </c>
      <c r="I70" s="9">
        <f>_xll.BQL("SAVE US Equity", "FA_GROWTH(FUEL_GALLONS_LITRES, YOY)", "FPT=A", "FPO=1A", "ACT_EST_MAPPING=PRECISE", "FS=MRC", "CURRENCY=USD", "XLFILL=b")</f>
        <v>-2.8628280318432826</v>
      </c>
      <c r="J70" s="9">
        <f>_xll.BQL("SAVE US Equity", "FA_GROWTH(FUEL_GALLONS_LITRES, YOY)", "FPT=A", "FPO=0A", "ACT_EST_MAPPING=PRECISE", "FS=MRC", "CURRENCY=USD", "XLFILL=b")</f>
        <v>12.233495799275554</v>
      </c>
      <c r="K70" s="9">
        <f>_xll.BQL("SAVE US Equity", "FA_GROWTH(FUEL_GALLONS_LITRES, YOY)", "FPT=A", "FPO=-1A", "ACT_EST_MAPPING=PRECISE", "FS=MRC", "CURRENCY=USD", "XLFILL=b")</f>
        <v>21.167624904061352</v>
      </c>
      <c r="L70" s="9">
        <f>_xll.BQL("SAVE US Equity", "FA_GROWTH(FUEL_GALLONS_LITRES, YOY)", "FPT=A", "FPO=-2A", "ACT_EST_MAPPING=PRECISE", "FS=MRC", "CURRENCY=USD", "XLFILL=b")</f>
        <v>50.370593052546468</v>
      </c>
      <c r="M70" s="9">
        <f>_xll.BQL("SAVE US Equity", "FA_GROWTH(FUEL_GALLONS_LITRES, YOY)", "FPT=A", "FPO=-3A", "ACT_EST_MAPPING=PRECISE", "FS=MRC", "CURRENCY=USD", "XLFILL=b")</f>
        <v>-38.548092215764676</v>
      </c>
      <c r="N70" s="9">
        <f>_xll.BQL("SAVE US Equity", "FA_GROWTH(FUEL_GALLONS_LITRES, YOY)", "FPT=A", "FPO=-4A", "ACT_EST_MAPPING=PRECISE", "FS=MRC", "CURRENCY=USD", "XLFILL=b")</f>
        <v>14.234601800822789</v>
      </c>
    </row>
    <row r="71" spans="1:14" x14ac:dyDescent="0.2">
      <c r="A71" s="8" t="s">
        <v>71</v>
      </c>
      <c r="B71" s="4" t="s">
        <v>72</v>
      </c>
      <c r="C71" s="4" t="s">
        <v>73</v>
      </c>
      <c r="D71" s="4"/>
      <c r="E71" s="9">
        <f>_xll.BQL("SAVE US Equity", "ASM_PER_GALLON_LITER", "FPT=A", "FPO=5A", "ACT_EST_MAPPING=PRECISE", "FS=MRC", "CURRENCY=USD", "XLFILL=b")</f>
        <v>97.336561493973676</v>
      </c>
      <c r="F71" s="9">
        <f>_xll.BQL("SAVE US Equity", "ASM_PER_GALLON_LITER", "FPT=A", "FPO=4A", "ACT_EST_MAPPING=PRECISE", "FS=MRC", "CURRENCY=USD", "XLFILL=b")</f>
        <v>97.287917535206063</v>
      </c>
      <c r="G71" s="9">
        <f>_xll.BQL("SAVE US Equity", "ASM_PER_GALLON_LITER", "FPT=A", "FPO=3A", "ACT_EST_MAPPING=PRECISE", "FS=MRC", "CURRENCY=USD", "XLFILL=b")</f>
        <v>97.730582330281521</v>
      </c>
      <c r="H71" s="9">
        <f>_xll.BQL("SAVE US Equity", "ASM_PER_GALLON_LITER", "FPT=A", "FPO=2A", "ACT_EST_MAPPING=PRECISE", "FS=MRC", "CURRENCY=USD", "XLFILL=b")</f>
        <v>96.74329602474964</v>
      </c>
      <c r="I71" s="9">
        <f>_xll.BQL("SAVE US Equity", "ASM_PER_GALLON_LITER", "FPT=A", "FPO=1A", "ACT_EST_MAPPING=PRECISE", "FS=MRC", "CURRENCY=USD", "XLFILL=b")</f>
        <v>95.963686923724524</v>
      </c>
      <c r="J71" s="9">
        <f>_xll.BQL("SAVE US Equity", "ASM_PER_GALLON_LITER", "FPT=A", "FPO=0A", "ACT_EST_MAPPING=PRECISE", "FS=MRC", "CURRENCY=USD", "XLFILL=b")</f>
        <v>94.062077134688309</v>
      </c>
      <c r="K71" s="9">
        <f>_xll.BQL("SAVE US Equity", "ASM_PER_GALLON_LITER", "FPT=A", "FPO=-1A", "ACT_EST_MAPPING=PRECISE", "FS=MRC", "CURRENCY=USD", "XLFILL=b")</f>
        <v>92.108665060972157</v>
      </c>
      <c r="L71" s="9">
        <f>_xll.BQL("SAVE US Equity", "ASM_PER_GALLON_LITER", "FPT=A", "FPO=-2A", "ACT_EST_MAPPING=PRECISE", "FS=MRC", "CURRENCY=USD", "XLFILL=b")</f>
        <v>93.639174215371327</v>
      </c>
      <c r="M71" s="9">
        <f>_xll.BQL("SAVE US Equity", "ASM_PER_GALLON_LITER", "FPT=A", "FPO=-3A", "ACT_EST_MAPPING=PRECISE", "FS=MRC", "CURRENCY=USD", "XLFILL=b")</f>
        <v>95.77847692302376</v>
      </c>
      <c r="N71" s="9">
        <f>_xll.BQL("SAVE US Equity", "ASM_PER_GALLON_LITER", "FPT=A", "FPO=-4A", "ACT_EST_MAPPING=PRECISE", "FS=MRC", "CURRENCY=USD", "XLFILL=b")</f>
        <v>88.722745408641032</v>
      </c>
    </row>
    <row r="72" spans="1:14" x14ac:dyDescent="0.2">
      <c r="A72" s="8" t="s">
        <v>12</v>
      </c>
      <c r="B72" s="4" t="s">
        <v>72</v>
      </c>
      <c r="C72" s="4" t="s">
        <v>73</v>
      </c>
      <c r="D72" s="4"/>
      <c r="E72" s="9">
        <f>_xll.BQL("SAVE US Equity", "FA_GROWTH(ASM_PER_GALLON_LITER, YOY)", "FPT=A", "FPO=5A", "ACT_EST_MAPPING=PRECISE", "FS=MRC", "CURRENCY=USD", "XLFILL=b")</f>
        <v>5.0000000000010321E-2</v>
      </c>
      <c r="F72" s="9">
        <f>_xll.BQL("SAVE US Equity", "FA_GROWTH(ASM_PER_GALLON_LITER, YOY)", "FPT=A", "FPO=4A", "ACT_EST_MAPPING=PRECISE", "FS=MRC", "CURRENCY=USD", "XLFILL=b")</f>
        <v>-0.45294398592599011</v>
      </c>
      <c r="G72" s="9">
        <f>_xll.BQL("SAVE US Equity", "FA_GROWTH(ASM_PER_GALLON_LITER, YOY)", "FPT=A", "FPO=3A", "ACT_EST_MAPPING=PRECISE", "FS=MRC", "CURRENCY=USD", "XLFILL=b")</f>
        <v>1.0205216755063899</v>
      </c>
      <c r="H72" s="9">
        <f>_xll.BQL("SAVE US Equity", "FA_GROWTH(ASM_PER_GALLON_LITER, YOY)", "FPT=A", "FPO=2A", "ACT_EST_MAPPING=PRECISE", "FS=MRC", "CURRENCY=USD", "XLFILL=b")</f>
        <v>0.81240011301856097</v>
      </c>
      <c r="I72" s="9">
        <f>_xll.BQL("SAVE US Equity", "FA_GROWTH(ASM_PER_GALLON_LITER, YOY)", "FPT=A", "FPO=1A", "ACT_EST_MAPPING=PRECISE", "FS=MRC", "CURRENCY=USD", "XLFILL=b")</f>
        <v>2.0216540469474036</v>
      </c>
      <c r="J72" s="9">
        <f>_xll.BQL("SAVE US Equity", "FA_GROWTH(ASM_PER_GALLON_LITER, YOY)", "FPT=A", "FPO=0A", "ACT_EST_MAPPING=PRECISE", "FS=MRC", "CURRENCY=USD", "XLFILL=b")</f>
        <v>2.120769063825942</v>
      </c>
      <c r="K72" s="9">
        <f>_xll.BQL("SAVE US Equity", "FA_GROWTH(ASM_PER_GALLON_LITER, YOY)", "FPT=A", "FPO=-1A", "ACT_EST_MAPPING=PRECISE", "FS=MRC", "CURRENCY=USD", "XLFILL=b")</f>
        <v>-1.6344752794156197</v>
      </c>
      <c r="L72" s="9">
        <f>_xll.BQL("SAVE US Equity", "FA_GROWTH(ASM_PER_GALLON_LITER, YOY)", "FPT=A", "FPO=-2A", "ACT_EST_MAPPING=PRECISE", "FS=MRC", "CURRENCY=USD", "XLFILL=b")</f>
        <v>-2.2335944111658512</v>
      </c>
      <c r="M72" s="9">
        <f>_xll.BQL("SAVE US Equity", "FA_GROWTH(ASM_PER_GALLON_LITER, YOY)", "FPT=A", "FPO=-3A", "ACT_EST_MAPPING=PRECISE", "FS=MRC", "CURRENCY=USD", "XLFILL=b")</f>
        <v>7.9525622002399681</v>
      </c>
      <c r="N72" s="9">
        <f>_xll.BQL("SAVE US Equity", "FA_GROWTH(ASM_PER_GALLON_LITER, YOY)", "FPT=A", "FPO=-4A", "ACT_EST_MAPPING=PRECISE", "FS=MRC", "CURRENCY=USD", "XLFILL=b")</f>
        <v>0.20135925110095806</v>
      </c>
    </row>
    <row r="73" spans="1:14" x14ac:dyDescent="0.2">
      <c r="A73" s="8" t="s">
        <v>74</v>
      </c>
      <c r="B73" s="4" t="s">
        <v>75</v>
      </c>
      <c r="C73" s="4"/>
      <c r="D73" s="4"/>
      <c r="E73" s="9" t="str">
        <f>_xll.BQL("SAVE US Equity", "AVG_AIRCRAFT_FLIGHT_LEN", "FPT=A", "FPO=5A", "ACT_EST_MAPPING=PRECISE", "FS=MRC", "CURRENCY=USD", "XLFILL=b")</f>
        <v/>
      </c>
      <c r="F73" s="9" t="str">
        <f>_xll.BQL("SAVE US Equity", "AVG_AIRCRAFT_FLIGHT_LEN", "FPT=A", "FPO=4A", "ACT_EST_MAPPING=PRECISE", "FS=MRC", "CURRENCY=USD", "XLFILL=b")</f>
        <v/>
      </c>
      <c r="G73" s="9">
        <f>_xll.BQL("SAVE US Equity", "AVG_AIRCRAFT_FLIGHT_LEN", "FPT=A", "FPO=3A", "ACT_EST_MAPPING=PRECISE", "FS=MRC", "CURRENCY=USD", "XLFILL=b")</f>
        <v>1012.5019116666666</v>
      </c>
      <c r="H73" s="9">
        <f>_xll.BQL("SAVE US Equity", "AVG_AIRCRAFT_FLIGHT_LEN", "FPT=A", "FPO=2A", "ACT_EST_MAPPING=PRECISE", "FS=MRC", "CURRENCY=USD", "XLFILL=b")</f>
        <v>1000.2784016336633</v>
      </c>
      <c r="I73" s="9">
        <f>_xll.BQL("SAVE US Equity", "AVG_AIRCRAFT_FLIGHT_LEN", "FPT=A", "FPO=1A", "ACT_EST_MAPPING=PRECISE", "FS=MRC", "CURRENCY=USD", "XLFILL=b")</f>
        <v>995.26533663366331</v>
      </c>
      <c r="J73" s="9">
        <f>_xll.BQL("SAVE US Equity", "AVG_AIRCRAFT_FLIGHT_LEN", "FPT=A", "FPO=0A", "ACT_EST_MAPPING=PRECISE", "FS=MRC", "CURRENCY=USD", "XLFILL=b")</f>
        <v>1007</v>
      </c>
      <c r="K73" s="9">
        <f>_xll.BQL("SAVE US Equity", "AVG_AIRCRAFT_FLIGHT_LEN", "FPT=A", "FPO=-1A", "ACT_EST_MAPPING=PRECISE", "FS=MRC", "CURRENCY=USD", "XLFILL=b")</f>
        <v>1013</v>
      </c>
      <c r="L73" s="9">
        <f>_xll.BQL("SAVE US Equity", "AVG_AIRCRAFT_FLIGHT_LEN", "FPT=A", "FPO=-2A", "ACT_EST_MAPPING=PRECISE", "FS=MRC", "CURRENCY=USD", "XLFILL=b")</f>
        <v>1024</v>
      </c>
      <c r="M73" s="9">
        <f>_xll.BQL("SAVE US Equity", "AVG_AIRCRAFT_FLIGHT_LEN", "FPT=A", "FPO=-3A", "ACT_EST_MAPPING=PRECISE", "FS=MRC", "CURRENCY=USD", "XLFILL=b")</f>
        <v>1030</v>
      </c>
      <c r="N73" s="9">
        <f>_xll.BQL("SAVE US Equity", "AVG_AIRCRAFT_FLIGHT_LEN", "FPT=A", "FPO=-4A", "ACT_EST_MAPPING=PRECISE", "FS=MRC", "CURRENCY=USD", "XLFILL=b")</f>
        <v>1002</v>
      </c>
    </row>
    <row r="74" spans="1:14" x14ac:dyDescent="0.2">
      <c r="A74" s="8" t="s">
        <v>12</v>
      </c>
      <c r="B74" s="4" t="s">
        <v>75</v>
      </c>
      <c r="C74" s="4"/>
      <c r="D74" s="4"/>
      <c r="E74" s="9" t="str">
        <f>_xll.BQL("SAVE US Equity", "FA_GROWTH(AVG_AIRCRAFT_FLIGHT_LEN, YOY)", "FPT=A", "FPO=5A", "ACT_EST_MAPPING=PRECISE", "FS=MRC", "CURRENCY=USD", "XLFILL=b")</f>
        <v/>
      </c>
      <c r="F74" s="9" t="str">
        <f>_xll.BQL("SAVE US Equity", "FA_GROWTH(AVG_AIRCRAFT_FLIGHT_LEN, YOY)", "FPT=A", "FPO=4A", "ACT_EST_MAPPING=PRECISE", "FS=MRC", "CURRENCY=USD", "XLFILL=b")</f>
        <v/>
      </c>
      <c r="G74" s="9">
        <f>_xll.BQL("SAVE US Equity", "FA_GROWTH(AVG_AIRCRAFT_FLIGHT_LEN, YOY)", "FPT=A", "FPO=3A", "ACT_EST_MAPPING=PRECISE", "FS=MRC", "CURRENCY=USD", "XLFILL=b")</f>
        <v>1.2220107934990678</v>
      </c>
      <c r="H74" s="9">
        <f>_xll.BQL("SAVE US Equity", "FA_GROWTH(AVG_AIRCRAFT_FLIGHT_LEN, YOY)", "FPT=A", "FPO=2A", "ACT_EST_MAPPING=PRECISE", "FS=MRC", "CURRENCY=USD", "XLFILL=b")</f>
        <v>0.50369130878765744</v>
      </c>
      <c r="I74" s="9">
        <f>_xll.BQL("SAVE US Equity", "FA_GROWTH(AVG_AIRCRAFT_FLIGHT_LEN, YOY)", "FPT=A", "FPO=1A", "ACT_EST_MAPPING=PRECISE", "FS=MRC", "CURRENCY=USD", "XLFILL=b")</f>
        <v>-1.1653091724266822</v>
      </c>
      <c r="J74" s="9">
        <f>_xll.BQL("SAVE US Equity", "FA_GROWTH(AVG_AIRCRAFT_FLIGHT_LEN, YOY)", "FPT=A", "FPO=0A", "ACT_EST_MAPPING=PRECISE", "FS=MRC", "CURRENCY=USD", "XLFILL=b")</f>
        <v>-0.5923000987166831</v>
      </c>
      <c r="K74" s="9">
        <f>_xll.BQL("SAVE US Equity", "FA_GROWTH(AVG_AIRCRAFT_FLIGHT_LEN, YOY)", "FPT=A", "FPO=-1A", "ACT_EST_MAPPING=PRECISE", "FS=MRC", "CURRENCY=USD", "XLFILL=b")</f>
        <v>-1.07421875</v>
      </c>
      <c r="L74" s="9">
        <f>_xll.BQL("SAVE US Equity", "FA_GROWTH(AVG_AIRCRAFT_FLIGHT_LEN, YOY)", "FPT=A", "FPO=-2A", "ACT_EST_MAPPING=PRECISE", "FS=MRC", "CURRENCY=USD", "XLFILL=b")</f>
        <v>-0.58252427184466016</v>
      </c>
      <c r="M74" s="9">
        <f>_xll.BQL("SAVE US Equity", "FA_GROWTH(AVG_AIRCRAFT_FLIGHT_LEN, YOY)", "FPT=A", "FPO=-3A", "ACT_EST_MAPPING=PRECISE", "FS=MRC", "CURRENCY=USD", "XLFILL=b")</f>
        <v>2.7944111776447107</v>
      </c>
      <c r="N74" s="9">
        <f>_xll.BQL("SAVE US Equity", "FA_GROWTH(AVG_AIRCRAFT_FLIGHT_LEN, YOY)", "FPT=A", "FPO=-4A", "ACT_EST_MAPPING=PRECISE", "FS=MRC", "CURRENCY=USD", "XLFILL=b")</f>
        <v>-2.9069767441860463</v>
      </c>
    </row>
    <row r="75" spans="1:14" x14ac:dyDescent="0.2">
      <c r="A75" s="8" t="s">
        <v>76</v>
      </c>
      <c r="B75" s="4" t="s">
        <v>77</v>
      </c>
      <c r="C75" s="4"/>
      <c r="D75" s="4"/>
      <c r="E75" s="9" t="str">
        <f>_xll.BQL("SAVE US Equity", "AVERAGE_PASSENGER_FARE", "FPT=A", "FPO=5A", "ACT_EST_MAPPING=PRECISE", "FS=MRC", "CURRENCY=USD", "XLFILL=b")</f>
        <v/>
      </c>
      <c r="F75" s="9" t="str">
        <f>_xll.BQL("SAVE US Equity", "AVERAGE_PASSENGER_FARE", "FPT=A", "FPO=4A", "ACT_EST_MAPPING=PRECISE", "FS=MRC", "CURRENCY=USD", "XLFILL=b")</f>
        <v/>
      </c>
      <c r="G75" s="9">
        <f>_xll.BQL("SAVE US Equity", "AVERAGE_PASSENGER_FARE", "FPT=A", "FPO=3A", "ACT_EST_MAPPING=PRECISE", "FS=MRC", "CURRENCY=USD", "XLFILL=b")</f>
        <v>118.42203049545112</v>
      </c>
      <c r="H75" s="9">
        <f>_xll.BQL("SAVE US Equity", "AVERAGE_PASSENGER_FARE", "FPT=A", "FPO=2A", "ACT_EST_MAPPING=PRECISE", "FS=MRC", "CURRENCY=USD", "XLFILL=b")</f>
        <v>114.17590635321849</v>
      </c>
      <c r="I75" s="9">
        <f>_xll.BQL("SAVE US Equity", "AVERAGE_PASSENGER_FARE", "FPT=A", "FPO=1A", "ACT_EST_MAPPING=PRECISE", "FS=MRC", "CURRENCY=USD", "XLFILL=b")</f>
        <v>108.29798760423751</v>
      </c>
      <c r="J75" s="9">
        <f>_xll.BQL("SAVE US Equity", "AVERAGE_PASSENGER_FARE", "FPT=A", "FPO=0A", "ACT_EST_MAPPING=PRECISE", "FS=MRC", "CURRENCY=USD", "XLFILL=b")</f>
        <v>119.44589000000001</v>
      </c>
      <c r="K75" s="9">
        <f>_xll.BQL("SAVE US Equity", "AVERAGE_PASSENGER_FARE", "FPT=A", "FPO=-1A", "ACT_EST_MAPPING=PRECISE", "FS=MRC", "CURRENCY=USD", "XLFILL=b")</f>
        <v>129.71856099999999</v>
      </c>
      <c r="L75" s="9">
        <f>_xll.BQL("SAVE US Equity", "AVERAGE_PASSENGER_FARE", "FPT=A", "FPO=-2A", "ACT_EST_MAPPING=PRECISE", "FS=MRC", "CURRENCY=USD", "XLFILL=b")</f>
        <v>103.016803</v>
      </c>
      <c r="M75" s="9">
        <f>_xll.BQL("SAVE US Equity", "AVERAGE_PASSENGER_FARE", "FPT=A", "FPO=-3A", "ACT_EST_MAPPING=PRECISE", "FS=MRC", "CURRENCY=USD", "XLFILL=b")</f>
        <v>95.723974999999996</v>
      </c>
      <c r="N75" s="9">
        <f>_xll.BQL("SAVE US Equity", "AVERAGE_PASSENGER_FARE", "FPT=A", "FPO=-4A", "ACT_EST_MAPPING=PRECISE", "FS=MRC", "CURRENCY=USD", "XLFILL=b")</f>
        <v>108.799404</v>
      </c>
    </row>
    <row r="76" spans="1:14" x14ac:dyDescent="0.2">
      <c r="A76" s="8" t="s">
        <v>12</v>
      </c>
      <c r="B76" s="4" t="s">
        <v>77</v>
      </c>
      <c r="C76" s="4"/>
      <c r="D76" s="4"/>
      <c r="E76" s="9" t="str">
        <f>_xll.BQL("SAVE US Equity", "FA_GROWTH(AVERAGE_PASSENGER_FARE, YOY)", "FPT=A", "FPO=5A", "ACT_EST_MAPPING=PRECISE", "FS=MRC", "CURRENCY=USD", "XLFILL=b")</f>
        <v/>
      </c>
      <c r="F76" s="9" t="str">
        <f>_xll.BQL("SAVE US Equity", "FA_GROWTH(AVERAGE_PASSENGER_FARE, YOY)", "FPT=A", "FPO=4A", "ACT_EST_MAPPING=PRECISE", "FS=MRC", "CURRENCY=USD", "XLFILL=b")</f>
        <v/>
      </c>
      <c r="G76" s="9">
        <f>_xll.BQL("SAVE US Equity", "FA_GROWTH(AVERAGE_PASSENGER_FARE, YOY)", "FPT=A", "FPO=3A", "ACT_EST_MAPPING=PRECISE", "FS=MRC", "CURRENCY=USD", "XLFILL=b")</f>
        <v>3.7189318463535344</v>
      </c>
      <c r="H76" s="9">
        <f>_xll.BQL("SAVE US Equity", "FA_GROWTH(AVERAGE_PASSENGER_FARE, YOY)", "FPT=A", "FPO=2A", "ACT_EST_MAPPING=PRECISE", "FS=MRC", "CURRENCY=USD", "XLFILL=b")</f>
        <v>5.4275419876324609</v>
      </c>
      <c r="I76" s="9">
        <f>_xll.BQL("SAVE US Equity", "FA_GROWTH(AVERAGE_PASSENGER_FARE, YOY)", "FPT=A", "FPO=1A", "ACT_EST_MAPPING=PRECISE", "FS=MRC", "CURRENCY=USD", "XLFILL=b")</f>
        <v>-9.3330146359682207</v>
      </c>
      <c r="J76" s="9">
        <f>_xll.BQL("SAVE US Equity", "FA_GROWTH(AVERAGE_PASSENGER_FARE, YOY)", "FPT=A", "FPO=0A", "ACT_EST_MAPPING=PRECISE", "FS=MRC", "CURRENCY=USD", "XLFILL=b")</f>
        <v>-7.9191990111576933</v>
      </c>
      <c r="K76" s="9">
        <f>_xll.BQL("SAVE US Equity", "FA_GROWTH(AVERAGE_PASSENGER_FARE, YOY)", "FPT=A", "FPO=-1A", "ACT_EST_MAPPING=PRECISE", "FS=MRC", "CURRENCY=USD", "XLFILL=b")</f>
        <v>25.919808441347186</v>
      </c>
      <c r="L76" s="9">
        <f>_xll.BQL("SAVE US Equity", "FA_GROWTH(AVERAGE_PASSENGER_FARE, YOY)", "FPT=A", "FPO=-2A", "ACT_EST_MAPPING=PRECISE", "FS=MRC", "CURRENCY=USD", "XLFILL=b")</f>
        <v>7.6186012960702891</v>
      </c>
      <c r="M76" s="9">
        <f>_xll.BQL("SAVE US Equity", "FA_GROWTH(AVERAGE_PASSENGER_FARE, YOY)", "FPT=A", "FPO=-3A", "ACT_EST_MAPPING=PRECISE", "FS=MRC", "CURRENCY=USD", "XLFILL=b")</f>
        <v>-12.017923370241991</v>
      </c>
      <c r="N76" s="9">
        <f>_xll.BQL("SAVE US Equity", "FA_GROWTH(AVERAGE_PASSENGER_FARE, YOY)", "FPT=A", "FPO=-4A", "ACT_EST_MAPPING=PRECISE", "FS=MRC", "CURRENCY=USD", "XLFILL=b")</f>
        <v>-2.1744341715348869</v>
      </c>
    </row>
    <row r="77" spans="1:14" x14ac:dyDescent="0.2">
      <c r="A77" s="8" t="s">
        <v>78</v>
      </c>
      <c r="B77" s="4" t="s">
        <v>79</v>
      </c>
      <c r="C77" s="4"/>
      <c r="D77" s="4"/>
      <c r="E77" s="9" t="str">
        <f>_xll.BQL("SAVE US Equity", "AVG_AIRCRAFT_UTIL", "FPT=A", "FPO=5A", "ACT_EST_MAPPING=PRECISE", "FS=MRC", "CURRENCY=USD", "XLFILL=b")</f>
        <v/>
      </c>
      <c r="F77" s="9" t="str">
        <f>_xll.BQL("SAVE US Equity", "AVG_AIRCRAFT_UTIL", "FPT=A", "FPO=4A", "ACT_EST_MAPPING=PRECISE", "FS=MRC", "CURRENCY=USD", "XLFILL=b")</f>
        <v/>
      </c>
      <c r="G77" s="9">
        <f>_xll.BQL("SAVE US Equity", "AVG_AIRCRAFT_UTIL", "FPT=A", "FPO=3A", "ACT_EST_MAPPING=PRECISE", "FS=MRC", "CURRENCY=USD", "XLFILL=b")</f>
        <v>12.9</v>
      </c>
      <c r="H77" s="9">
        <f>_xll.BQL("SAVE US Equity", "AVG_AIRCRAFT_UTIL", "FPT=A", "FPO=2A", "ACT_EST_MAPPING=PRECISE", "FS=MRC", "CURRENCY=USD", "XLFILL=b")</f>
        <v>12.9</v>
      </c>
      <c r="I77" s="9">
        <f>_xll.BQL("SAVE US Equity", "AVG_AIRCRAFT_UTIL", "FPT=A", "FPO=1A", "ACT_EST_MAPPING=PRECISE", "FS=MRC", "CURRENCY=USD", "XLFILL=b")</f>
        <v>10.5</v>
      </c>
      <c r="J77" s="9">
        <f>_xll.BQL("SAVE US Equity", "AVG_AIRCRAFT_UTIL", "FPT=A", "FPO=0A", "ACT_EST_MAPPING=PRECISE", "FS=MRC", "CURRENCY=USD", "XLFILL=b")</f>
        <v>11.1</v>
      </c>
      <c r="K77" s="9">
        <f>_xll.BQL("SAVE US Equity", "AVG_AIRCRAFT_UTIL", "FPT=A", "FPO=-1A", "ACT_EST_MAPPING=PRECISE", "FS=MRC", "CURRENCY=USD", "XLFILL=b")</f>
        <v>10.7</v>
      </c>
      <c r="L77" s="9">
        <f>_xll.BQL("SAVE US Equity", "AVG_AIRCRAFT_UTIL", "FPT=A", "FPO=-2A", "ACT_EST_MAPPING=PRECISE", "FS=MRC", "CURRENCY=USD", "XLFILL=b")</f>
        <v>9.6999999999999993</v>
      </c>
      <c r="M77" s="9">
        <f>_xll.BQL("SAVE US Equity", "AVG_AIRCRAFT_UTIL", "FPT=A", "FPO=-3A", "ACT_EST_MAPPING=PRECISE", "FS=MRC", "CURRENCY=USD", "XLFILL=b")</f>
        <v>6.9</v>
      </c>
      <c r="N77" s="9">
        <f>_xll.BQL("SAVE US Equity", "AVG_AIRCRAFT_UTIL", "FPT=A", "FPO=-4A", "ACT_EST_MAPPING=PRECISE", "FS=MRC", "CURRENCY=USD", "XLFILL=b")</f>
        <v>12.3</v>
      </c>
    </row>
    <row r="78" spans="1:14" x14ac:dyDescent="0.2">
      <c r="A78" s="8" t="s">
        <v>12</v>
      </c>
      <c r="B78" s="4" t="s">
        <v>79</v>
      </c>
      <c r="C78" s="4"/>
      <c r="D78" s="4"/>
      <c r="E78" s="9" t="str">
        <f>_xll.BQL("SAVE US Equity", "FA_GROWTH(AVG_AIRCRAFT_UTIL, YOY)", "FPT=A", "FPO=5A", "ACT_EST_MAPPING=PRECISE", "FS=MRC", "CURRENCY=USD", "XLFILL=b")</f>
        <v/>
      </c>
      <c r="F78" s="9" t="str">
        <f>_xll.BQL("SAVE US Equity", "FA_GROWTH(AVG_AIRCRAFT_UTIL, YOY)", "FPT=A", "FPO=4A", "ACT_EST_MAPPING=PRECISE", "FS=MRC", "CURRENCY=USD", "XLFILL=b")</f>
        <v/>
      </c>
      <c r="G78" s="9">
        <f>_xll.BQL("SAVE US Equity", "FA_GROWTH(AVG_AIRCRAFT_UTIL, YOY)", "FPT=A", "FPO=3A", "ACT_EST_MAPPING=PRECISE", "FS=MRC", "CURRENCY=USD", "XLFILL=b")</f>
        <v>0</v>
      </c>
      <c r="H78" s="9">
        <f>_xll.BQL("SAVE US Equity", "FA_GROWTH(AVG_AIRCRAFT_UTIL, YOY)", "FPT=A", "FPO=2A", "ACT_EST_MAPPING=PRECISE", "FS=MRC", "CURRENCY=USD", "XLFILL=b")</f>
        <v>22.857142857142861</v>
      </c>
      <c r="I78" s="9">
        <f>_xll.BQL("SAVE US Equity", "FA_GROWTH(AVG_AIRCRAFT_UTIL, YOY)", "FPT=A", "FPO=1A", "ACT_EST_MAPPING=PRECISE", "FS=MRC", "CURRENCY=USD", "XLFILL=b")</f>
        <v>-5.4054054054054026</v>
      </c>
      <c r="J78" s="9">
        <f>_xll.BQL("SAVE US Equity", "FA_GROWTH(AVG_AIRCRAFT_UTIL, YOY)", "FPT=A", "FPO=0A", "ACT_EST_MAPPING=PRECISE", "FS=MRC", "CURRENCY=USD", "XLFILL=b")</f>
        <v>3.7383177570093493</v>
      </c>
      <c r="K78" s="9">
        <f>_xll.BQL("SAVE US Equity", "FA_GROWTH(AVG_AIRCRAFT_UTIL, YOY)", "FPT=A", "FPO=-1A", "ACT_EST_MAPPING=PRECISE", "FS=MRC", "CURRENCY=USD", "XLFILL=b")</f>
        <v>10.309278350515465</v>
      </c>
      <c r="L78" s="9">
        <f>_xll.BQL("SAVE US Equity", "FA_GROWTH(AVG_AIRCRAFT_UTIL, YOY)", "FPT=A", "FPO=-2A", "ACT_EST_MAPPING=PRECISE", "FS=MRC", "CURRENCY=USD", "XLFILL=b")</f>
        <v>40.579710144927517</v>
      </c>
      <c r="M78" s="9">
        <f>_xll.BQL("SAVE US Equity", "FA_GROWTH(AVG_AIRCRAFT_UTIL, YOY)", "FPT=A", "FPO=-3A", "ACT_EST_MAPPING=PRECISE", "FS=MRC", "CURRENCY=USD", "XLFILL=b")</f>
        <v>-43.90243902439024</v>
      </c>
      <c r="N78" s="9">
        <f>_xll.BQL("SAVE US Equity", "FA_GROWTH(AVG_AIRCRAFT_UTIL, YOY)", "FPT=A", "FPO=-4A", "ACT_EST_MAPPING=PRECISE", "FS=MRC", "CURRENCY=USD", "XLFILL=b")</f>
        <v>1.65289256198348</v>
      </c>
    </row>
    <row r="79" spans="1:14" x14ac:dyDescent="0.2">
      <c r="A79" s="8" t="s">
        <v>80</v>
      </c>
      <c r="B79" s="4" t="s">
        <v>81</v>
      </c>
      <c r="C79" s="4"/>
      <c r="D79" s="4"/>
      <c r="E79" s="9" t="str">
        <f>_xll.BQL("SAVE US Equity", "NUMBER_OF_DEPARTURES", "FPT=A", "FPO=5A", "ACT_EST_MAPPING=PRECISE", "FS=MRC", "CURRENCY=USD", "XLFILL=b")</f>
        <v/>
      </c>
      <c r="F79" s="9" t="str">
        <f>_xll.BQL("SAVE US Equity", "NUMBER_OF_DEPARTURES", "FPT=A", "FPO=4A", "ACT_EST_MAPPING=PRECISE", "FS=MRC", "CURRENCY=USD", "XLFILL=b")</f>
        <v/>
      </c>
      <c r="G79" s="9">
        <f>_xll.BQL("SAVE US Equity", "NUMBER_OF_DEPARTURES", "FPT=A", "FPO=3A", "ACT_EST_MAPPING=PRECISE", "FS=MRC", "CURRENCY=USD", "XLFILL=b")</f>
        <v>298204.00711585791</v>
      </c>
      <c r="H79" s="9">
        <f>_xll.BQL("SAVE US Equity", "NUMBER_OF_DEPARTURES", "FPT=A", "FPO=2A", "ACT_EST_MAPPING=PRECISE", "FS=MRC", "CURRENCY=USD", "XLFILL=b")</f>
        <v>266411.86913881969</v>
      </c>
      <c r="I79" s="9">
        <f>_xll.BQL("SAVE US Equity", "NUMBER_OF_DEPARTURES", "FPT=A", "FPO=1A", "ACT_EST_MAPPING=PRECISE", "FS=MRC", "CURRENCY=USD", "XLFILL=b")</f>
        <v>222588.68960344265</v>
      </c>
      <c r="J79" s="9">
        <f>_xll.BQL("SAVE US Equity", "NUMBER_OF_DEPARTURES", "FPT=A", "FPO=0A", "ACT_EST_MAPPING=PRECISE", "FS=MRC", "CURRENCY=USD", "XLFILL=b")</f>
        <v>297900</v>
      </c>
      <c r="K79" s="9" t="str">
        <f>_xll.BQL("SAVE US Equity", "NUMBER_OF_DEPARTURES", "FPT=A", "FPO=-1A", "ACT_EST_MAPPING=PRECISE", "FS=MRC", "CURRENCY=USD", "XLFILL=b")</f>
        <v/>
      </c>
      <c r="L79" s="9" t="str">
        <f>_xll.BQL("SAVE US Equity", "NUMBER_OF_DEPARTURES", "FPT=A", "FPO=-2A", "ACT_EST_MAPPING=PRECISE", "FS=MRC", "CURRENCY=USD", "XLFILL=b")</f>
        <v/>
      </c>
      <c r="M79" s="9" t="str">
        <f>_xll.BQL("SAVE US Equity", "NUMBER_OF_DEPARTURES", "FPT=A", "FPO=-3A", "ACT_EST_MAPPING=PRECISE", "FS=MRC", "CURRENCY=USD", "XLFILL=b")</f>
        <v/>
      </c>
      <c r="N79" s="9" t="str">
        <f>_xll.BQL("SAVE US Equity", "NUMBER_OF_DEPARTURES", "FPT=A", "FPO=-4A", "ACT_EST_MAPPING=PRECISE", "FS=MRC", "CURRENCY=USD", "XLFILL=b")</f>
        <v/>
      </c>
    </row>
    <row r="80" spans="1:14" x14ac:dyDescent="0.2">
      <c r="A80" s="8" t="s">
        <v>12</v>
      </c>
      <c r="B80" s="4" t="s">
        <v>81</v>
      </c>
      <c r="C80" s="4"/>
      <c r="D80" s="4"/>
      <c r="E80" s="9" t="str">
        <f>_xll.BQL("SAVE US Equity", "FA_GROWTH(NUMBER_OF_DEPARTURES, YOY)", "FPT=A", "FPO=5A", "ACT_EST_MAPPING=PRECISE", "FS=MRC", "CURRENCY=USD", "XLFILL=b")</f>
        <v/>
      </c>
      <c r="F80" s="9" t="str">
        <f>_xll.BQL("SAVE US Equity", "FA_GROWTH(NUMBER_OF_DEPARTURES, YOY)", "FPT=A", "FPO=4A", "ACT_EST_MAPPING=PRECISE", "FS=MRC", "CURRENCY=USD", "XLFILL=b")</f>
        <v/>
      </c>
      <c r="G80" s="9">
        <f>_xll.BQL("SAVE US Equity", "FA_GROWTH(NUMBER_OF_DEPARTURES, YOY)", "FPT=A", "FPO=3A", "ACT_EST_MAPPING=PRECISE", "FS=MRC", "CURRENCY=USD", "XLFILL=b")</f>
        <v>11.933454046100415</v>
      </c>
      <c r="H80" s="9">
        <f>_xll.BQL("SAVE US Equity", "FA_GROWTH(NUMBER_OF_DEPARTURES, YOY)", "FPT=A", "FPO=2A", "ACT_EST_MAPPING=PRECISE", "FS=MRC", "CURRENCY=USD", "XLFILL=b")</f>
        <v>19.687963307323077</v>
      </c>
      <c r="I80" s="9">
        <f>_xll.BQL("SAVE US Equity", "FA_GROWTH(NUMBER_OF_DEPARTURES, YOY)", "FPT=A", "FPO=1A", "ACT_EST_MAPPING=PRECISE", "FS=MRC", "CURRENCY=USD", "XLFILL=b")</f>
        <v>-25.280735279139765</v>
      </c>
      <c r="J80" s="9" t="str">
        <f>_xll.BQL("SAVE US Equity", "FA_GROWTH(NUMBER_OF_DEPARTURES, YOY)", "FPT=A", "FPO=0A", "ACT_EST_MAPPING=PRECISE", "FS=MRC", "CURRENCY=USD", "XLFILL=b")</f>
        <v/>
      </c>
      <c r="K80" s="9" t="str">
        <f>_xll.BQL("SAVE US Equity", "FA_GROWTH(NUMBER_OF_DEPARTURES, YOY)", "FPT=A", "FPO=-1A", "ACT_EST_MAPPING=PRECISE", "FS=MRC", "CURRENCY=USD", "XLFILL=b")</f>
        <v/>
      </c>
      <c r="L80" s="9" t="str">
        <f>_xll.BQL("SAVE US Equity", "FA_GROWTH(NUMBER_OF_DEPARTURES, YOY)", "FPT=A", "FPO=-2A", "ACT_EST_MAPPING=PRECISE", "FS=MRC", "CURRENCY=USD", "XLFILL=b")</f>
        <v/>
      </c>
      <c r="M80" s="9" t="str">
        <f>_xll.BQL("SAVE US Equity", "FA_GROWTH(NUMBER_OF_DEPARTURES, YOY)", "FPT=A", "FPO=-3A", "ACT_EST_MAPPING=PRECISE", "FS=MRC", "CURRENCY=USD", "XLFILL=b")</f>
        <v/>
      </c>
      <c r="N80" s="9" t="str">
        <f>_xll.BQL("SAVE US Equity", "FA_GROWTH(NUMBER_OF_DEPARTURES, YOY)", "FPT=A", "FPO=-4A", "ACT_EST_MAPPING=PRECISE", "FS=MRC", "CURRENCY=USD", "XLFILL=b")</f>
        <v/>
      </c>
    </row>
    <row r="81" spans="1:14" x14ac:dyDescent="0.2">
      <c r="A81" s="8" t="s">
        <v>82</v>
      </c>
      <c r="B81" s="4" t="s">
        <v>83</v>
      </c>
      <c r="C81" s="4" t="s">
        <v>84</v>
      </c>
      <c r="D81" s="4"/>
      <c r="E81" s="9">
        <f>_xll.BQL("SAVE US Equity", "REV_PASS_CARRIED/1K", "FPT=A", "FPO=5A", "ACT_EST_MAPPING=PRECISE", "FS=MRC", "CURRENCY=USD", "XLFILL=b")</f>
        <v>52468.674231199213</v>
      </c>
      <c r="F81" s="9">
        <f>_xll.BQL("SAVE US Equity", "REV_PASS_CARRIED/1K", "FPT=A", "FPO=4A", "ACT_EST_MAPPING=PRECISE", "FS=MRC", "CURRENCY=USD", "XLFILL=b")</f>
        <v>50940.460418640003</v>
      </c>
      <c r="G81" s="9">
        <f>_xll.BQL("SAVE US Equity", "REV_PASS_CARRIED/1K", "FPT=A", "FPO=3A", "ACT_EST_MAPPING=PRECISE", "FS=MRC", "CURRENCY=USD", "XLFILL=b")</f>
        <v>45935.328056388578</v>
      </c>
      <c r="H81" s="9">
        <f>_xll.BQL("SAVE US Equity", "REV_PASS_CARRIED/1K", "FPT=A", "FPO=2A", "ACT_EST_MAPPING=PRECISE", "FS=MRC", "CURRENCY=USD", "XLFILL=b")</f>
        <v>42809.169082066299</v>
      </c>
      <c r="I81" s="9">
        <f>_xll.BQL("SAVE US Equity", "REV_PASS_CARRIED/1K", "FPT=A", "FPO=1A", "ACT_EST_MAPPING=PRECISE", "FS=MRC", "CURRENCY=USD", "XLFILL=b")</f>
        <v>44788.376409151933</v>
      </c>
      <c r="J81" s="9">
        <f>_xll.BQL("SAVE US Equity", "REV_PASS_CARRIED/1K", "FPT=A", "FPO=0A", "ACT_EST_MAPPING=PRECISE", "FS=MRC", "CURRENCY=USD", "XLFILL=b")</f>
        <v>44105</v>
      </c>
      <c r="K81" s="9">
        <f>_xll.BQL("SAVE US Equity", "REV_PASS_CARRIED/1K", "FPT=A", "FPO=-1A", "ACT_EST_MAPPING=PRECISE", "FS=MRC", "CURRENCY=USD", "XLFILL=b")</f>
        <v>38463</v>
      </c>
      <c r="L81" s="9">
        <f>_xll.BQL("SAVE US Equity", "REV_PASS_CARRIED/1K", "FPT=A", "FPO=-2A", "ACT_EST_MAPPING=PRECISE", "FS=MRC", "CURRENCY=USD", "XLFILL=b")</f>
        <v>30828</v>
      </c>
      <c r="M81" s="9">
        <f>_xll.BQL("SAVE US Equity", "REV_PASS_CARRIED/1K", "FPT=A", "FPO=-3A", "ACT_EST_MAPPING=PRECISE", "FS=MRC", "CURRENCY=USD", "XLFILL=b")</f>
        <v>18444</v>
      </c>
      <c r="N81" s="9">
        <f>_xll.BQL("SAVE US Equity", "REV_PASS_CARRIED/1K", "FPT=A", "FPO=-4A", "ACT_EST_MAPPING=PRECISE", "FS=MRC", "CURRENCY=USD", "XLFILL=b")</f>
        <v>34537</v>
      </c>
    </row>
    <row r="82" spans="1:14" x14ac:dyDescent="0.2">
      <c r="A82" s="8" t="s">
        <v>12</v>
      </c>
      <c r="B82" s="4" t="s">
        <v>83</v>
      </c>
      <c r="C82" s="4" t="s">
        <v>84</v>
      </c>
      <c r="D82" s="4"/>
      <c r="E82" s="9">
        <f>_xll.BQL("SAVE US Equity", "FA_GROWTH(REV_PASS_CARRIED, YOY)", "FPT=A", "FPO=5A", "ACT_EST_MAPPING=PRECISE", "FS=MRC", "CURRENCY=USD", "XLFILL=b")</f>
        <v>3.0000000000000191</v>
      </c>
      <c r="F82" s="9">
        <f>_xll.BQL("SAVE US Equity", "FA_GROWTH(REV_PASS_CARRIED, YOY)", "FPT=A", "FPO=4A", "ACT_EST_MAPPING=PRECISE", "FS=MRC", "CURRENCY=USD", "XLFILL=b")</f>
        <v>10.896041400003284</v>
      </c>
      <c r="G82" s="9">
        <f>_xll.BQL("SAVE US Equity", "FA_GROWTH(REV_PASS_CARRIED, YOY)", "FPT=A", "FPO=3A", "ACT_EST_MAPPING=PRECISE", "FS=MRC", "CURRENCY=USD", "XLFILL=b")</f>
        <v>7.3025453223101655</v>
      </c>
      <c r="H82" s="9">
        <f>_xll.BQL("SAVE US Equity", "FA_GROWTH(REV_PASS_CARRIED, YOY)", "FPT=A", "FPO=2A", "ACT_EST_MAPPING=PRECISE", "FS=MRC", "CURRENCY=USD", "XLFILL=b")</f>
        <v>-4.4190200354778</v>
      </c>
      <c r="I82" s="9">
        <f>_xll.BQL("SAVE US Equity", "FA_GROWTH(REV_PASS_CARRIED, YOY)", "FPT=A", "FPO=1A", "ACT_EST_MAPPING=PRECISE", "FS=MRC", "CURRENCY=USD", "XLFILL=b")</f>
        <v>1.5494306975443466</v>
      </c>
      <c r="J82" s="9">
        <f>_xll.BQL("SAVE US Equity", "FA_GROWTH(REV_PASS_CARRIED, YOY)", "FPT=A", "FPO=0A", "ACT_EST_MAPPING=PRECISE", "FS=MRC", "CURRENCY=USD", "XLFILL=b")</f>
        <v>14.66864259158152</v>
      </c>
      <c r="K82" s="9">
        <f>_xll.BQL("SAVE US Equity", "FA_GROWTH(REV_PASS_CARRIED, YOY)", "FPT=A", "FPO=-1A", "ACT_EST_MAPPING=PRECISE", "FS=MRC", "CURRENCY=USD", "XLFILL=b")</f>
        <v>24.766446087971975</v>
      </c>
      <c r="L82" s="9">
        <f>_xll.BQL("SAVE US Equity", "FA_GROWTH(REV_PASS_CARRIED, YOY)", "FPT=A", "FPO=-2A", "ACT_EST_MAPPING=PRECISE", "FS=MRC", "CURRENCY=USD", "XLFILL=b")</f>
        <v>67.143786597267408</v>
      </c>
      <c r="M82" s="9">
        <f>_xll.BQL("SAVE US Equity", "FA_GROWTH(REV_PASS_CARRIED, YOY)", "FPT=A", "FPO=-3A", "ACT_EST_MAPPING=PRECISE", "FS=MRC", "CURRENCY=USD", "XLFILL=b")</f>
        <v>-46.59640385673336</v>
      </c>
      <c r="N82" s="9">
        <f>_xll.BQL("SAVE US Equity", "FA_GROWTH(REV_PASS_CARRIED, YOY)", "FPT=A", "FPO=-4A", "ACT_EST_MAPPING=PRECISE", "FS=MRC", "CURRENCY=USD", "XLFILL=b")</f>
        <v>17.825463973799128</v>
      </c>
    </row>
    <row r="83" spans="1:14" x14ac:dyDescent="0.2">
      <c r="A83" s="8" t="s">
        <v>35</v>
      </c>
      <c r="B83" s="4" t="s">
        <v>36</v>
      </c>
      <c r="C83" s="4"/>
      <c r="D83" s="4"/>
      <c r="E83" s="9" t="str">
        <f>_xll.BQL("SAVE US Equity", "SIZE_OF_FLEET", "FPT=A", "FPO=5A", "ACT_EST_MAPPING=PRECISE", "FS=MRC", "CURRENCY=USD", "XLFILL=b")</f>
        <v/>
      </c>
      <c r="F83" s="9" t="str">
        <f>_xll.BQL("SAVE US Equity", "SIZE_OF_FLEET", "FPT=A", "FPO=4A", "ACT_EST_MAPPING=PRECISE", "FS=MRC", "CURRENCY=USD", "XLFILL=b")</f>
        <v/>
      </c>
      <c r="G83" s="9">
        <f>_xll.BQL("SAVE US Equity", "SIZE_OF_FLEET", "FPT=A", "FPO=3A", "ACT_EST_MAPPING=PRECISE", "FS=MRC", "CURRENCY=USD", "XLFILL=b")</f>
        <v>219</v>
      </c>
      <c r="H83" s="9">
        <f>_xll.BQL("SAVE US Equity", "SIZE_OF_FLEET", "FPT=A", "FPO=2A", "ACT_EST_MAPPING=PRECISE", "FS=MRC", "CURRENCY=USD", "XLFILL=b")</f>
        <v>218.875</v>
      </c>
      <c r="I83" s="9">
        <f>_xll.BQL("SAVE US Equity", "SIZE_OF_FLEET", "FPT=A", "FPO=1A", "ACT_EST_MAPPING=PRECISE", "FS=MRC", "CURRENCY=USD", "XLFILL=b")</f>
        <v>213.08333333333334</v>
      </c>
      <c r="J83" s="9">
        <f>_xll.BQL("SAVE US Equity", "SIZE_OF_FLEET", "FPT=A", "FPO=0A", "ACT_EST_MAPPING=PRECISE", "FS=MRC", "CURRENCY=USD", "XLFILL=b")</f>
        <v>205</v>
      </c>
      <c r="K83" s="9">
        <f>_xll.BQL("SAVE US Equity", "SIZE_OF_FLEET", "FPT=A", "FPO=-1A", "ACT_EST_MAPPING=PRECISE", "FS=MRC", "CURRENCY=USD", "XLFILL=b")</f>
        <v>194</v>
      </c>
      <c r="L83" s="9">
        <f>_xll.BQL("SAVE US Equity", "SIZE_OF_FLEET", "FPT=A", "FPO=-2A", "ACT_EST_MAPPING=PRECISE", "FS=MRC", "CURRENCY=USD", "XLFILL=b")</f>
        <v>173</v>
      </c>
      <c r="M83" s="9">
        <f>_xll.BQL("SAVE US Equity", "SIZE_OF_FLEET", "FPT=A", "FPO=-3A", "ACT_EST_MAPPING=PRECISE", "FS=MRC", "CURRENCY=USD", "XLFILL=b")</f>
        <v>157</v>
      </c>
      <c r="N83" s="9">
        <f>_xll.BQL("SAVE US Equity", "SIZE_OF_FLEET", "FPT=A", "FPO=-4A", "ACT_EST_MAPPING=PRECISE", "FS=MRC", "CURRENCY=USD", "XLFILL=b")</f>
        <v>145</v>
      </c>
    </row>
    <row r="84" spans="1:14" x14ac:dyDescent="0.2">
      <c r="A84" s="8" t="s">
        <v>12</v>
      </c>
      <c r="B84" s="4" t="s">
        <v>36</v>
      </c>
      <c r="C84" s="4"/>
      <c r="D84" s="4"/>
      <c r="E84" s="9" t="str">
        <f>_xll.BQL("SAVE US Equity", "FA_GROWTH(SIZE_OF_FLEET, YOY)", "FPT=A", "FPO=5A", "ACT_EST_MAPPING=PRECISE", "FS=MRC", "CURRENCY=USD", "XLFILL=b")</f>
        <v/>
      </c>
      <c r="F84" s="9" t="str">
        <f>_xll.BQL("SAVE US Equity", "FA_GROWTH(SIZE_OF_FLEET, YOY)", "FPT=A", "FPO=4A", "ACT_EST_MAPPING=PRECISE", "FS=MRC", "CURRENCY=USD", "XLFILL=b")</f>
        <v/>
      </c>
      <c r="G84" s="9">
        <f>_xll.BQL("SAVE US Equity", "FA_GROWTH(SIZE_OF_FLEET, YOY)", "FPT=A", "FPO=3A", "ACT_EST_MAPPING=PRECISE", "FS=MRC", "CURRENCY=USD", "XLFILL=b")</f>
        <v>5.7110222729868647E-2</v>
      </c>
      <c r="H84" s="9">
        <f>_xll.BQL("SAVE US Equity", "FA_GROWTH(SIZE_OF_FLEET, YOY)", "FPT=A", "FPO=2A", "ACT_EST_MAPPING=PRECISE", "FS=MRC", "CURRENCY=USD", "XLFILL=b")</f>
        <v>2.7180289401642503</v>
      </c>
      <c r="I84" s="9">
        <f>_xll.BQL("SAVE US Equity", "FA_GROWTH(SIZE_OF_FLEET, YOY)", "FPT=A", "FPO=1A", "ACT_EST_MAPPING=PRECISE", "FS=MRC", "CURRENCY=USD", "XLFILL=b")</f>
        <v>3.9430894308943136</v>
      </c>
      <c r="J84" s="9">
        <f>_xll.BQL("SAVE US Equity", "FA_GROWTH(SIZE_OF_FLEET, YOY)", "FPT=A", "FPO=0A", "ACT_EST_MAPPING=PRECISE", "FS=MRC", "CURRENCY=USD", "XLFILL=b")</f>
        <v>5.6701030927835054</v>
      </c>
      <c r="K84" s="9">
        <f>_xll.BQL("SAVE US Equity", "FA_GROWTH(SIZE_OF_FLEET, YOY)", "FPT=A", "FPO=-1A", "ACT_EST_MAPPING=PRECISE", "FS=MRC", "CURRENCY=USD", "XLFILL=b")</f>
        <v>12.138728323699421</v>
      </c>
      <c r="L84" s="9">
        <f>_xll.BQL("SAVE US Equity", "FA_GROWTH(SIZE_OF_FLEET, YOY)", "FPT=A", "FPO=-2A", "ACT_EST_MAPPING=PRECISE", "FS=MRC", "CURRENCY=USD", "XLFILL=b")</f>
        <v>10.19108280254777</v>
      </c>
      <c r="M84" s="9">
        <f>_xll.BQL("SAVE US Equity", "FA_GROWTH(SIZE_OF_FLEET, YOY)", "FPT=A", "FPO=-3A", "ACT_EST_MAPPING=PRECISE", "FS=MRC", "CURRENCY=USD", "XLFILL=b")</f>
        <v>8.2758620689655178</v>
      </c>
      <c r="N84" s="9">
        <f>_xll.BQL("SAVE US Equity", "FA_GROWTH(SIZE_OF_FLEET, YOY)", "FPT=A", "FPO=-4A", "ACT_EST_MAPPING=PRECISE", "FS=MRC", "CURRENCY=USD", "XLFILL=b")</f>
        <v>13.28125</v>
      </c>
    </row>
    <row r="85" spans="1:14" x14ac:dyDescent="0.2">
      <c r="A85" s="8" t="s">
        <v>16</v>
      </c>
      <c r="B85" s="4"/>
      <c r="C85" s="4"/>
      <c r="D85" s="4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 x14ac:dyDescent="0.2">
      <c r="A86" s="8" t="s">
        <v>85</v>
      </c>
      <c r="B86" s="4"/>
      <c r="C86" s="4" t="s">
        <v>86</v>
      </c>
      <c r="D86" s="4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 x14ac:dyDescent="0.2">
      <c r="A87" s="8" t="s">
        <v>13</v>
      </c>
      <c r="B87" s="4"/>
      <c r="C87" s="4"/>
      <c r="D87" s="4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 x14ac:dyDescent="0.2">
      <c r="A88" s="8" t="s">
        <v>87</v>
      </c>
      <c r="B88" s="4" t="s">
        <v>26</v>
      </c>
      <c r="C88" s="4"/>
      <c r="D88" s="4"/>
      <c r="E88" s="9">
        <f>_xll.BQL("SAVE US Equity", "TOTAL_PASSENGER_REVENUE/1M", "FPT=A", "FPO=5A", "ACT_EST_MAPPING=PRECISE", "FS=MRC", "CURRENCY=USD", "XLFILL=b")</f>
        <v>6879.3419182325742</v>
      </c>
      <c r="F88" s="9">
        <f>_xll.BQL("SAVE US Equity", "TOTAL_PASSENGER_REVENUE/1M", "FPT=A", "FPO=4A", "ACT_EST_MAPPING=PRECISE", "FS=MRC", "CURRENCY=USD", "XLFILL=b")</f>
        <v>6071.7933964983004</v>
      </c>
      <c r="G88" s="9">
        <f>_xll.BQL("SAVE US Equity", "TOTAL_PASSENGER_REVENUE/1M", "FPT=A", "FPO=3A", "ACT_EST_MAPPING=PRECISE", "FS=MRC", "CURRENCY=USD", "XLFILL=b")</f>
        <v>5387.1269278602504</v>
      </c>
      <c r="H88" s="9">
        <f>_xll.BQL("SAVE US Equity", "TOTAL_PASSENGER_REVENUE/1M", "FPT=A", "FPO=2A", "ACT_EST_MAPPING=PRECISE", "FS=MRC", "CURRENCY=USD", "XLFILL=b")</f>
        <v>4892.1968685869224</v>
      </c>
      <c r="I88" s="9">
        <f>_xll.BQL("SAVE US Equity", "TOTAL_PASSENGER_REVENUE/1M", "FPT=A", "FPO=1A", "ACT_EST_MAPPING=PRECISE", "FS=MRC", "CURRENCY=USD", "XLFILL=b")</f>
        <v>4816.9063142730265</v>
      </c>
      <c r="J88" s="9">
        <f>_xll.BQL("SAVE US Equity", "TOTAL_PASSENGER_REVENUE/1M", "FPT=A", "FPO=0A", "ACT_EST_MAPPING=PRECISE", "FS=MRC", "CURRENCY=USD", "XLFILL=b")</f>
        <v>5268.1610000000001</v>
      </c>
      <c r="K88" s="9">
        <f>_xll.BQL("SAVE US Equity", "TOTAL_PASSENGER_REVENUE/1M", "FPT=A", "FPO=-1A", "ACT_EST_MAPPING=PRECISE", "FS=MRC", "CURRENCY=USD", "XLFILL=b")</f>
        <v>4989.3649999999998</v>
      </c>
      <c r="L88" s="9">
        <f>_xll.BQL("SAVE US Equity", "TOTAL_PASSENGER_REVENUE/1M", "FPT=A", "FPO=-2A", "ACT_EST_MAPPING=PRECISE", "FS=MRC", "CURRENCY=USD", "XLFILL=b")</f>
        <v>3175.8020000000001</v>
      </c>
      <c r="M88" s="9">
        <f>_xll.BQL("SAVE US Equity", "TOTAL_PASSENGER_REVENUE/1M", "FPT=A", "FPO=-3A", "ACT_EST_MAPPING=PRECISE", "FS=MRC", "CURRENCY=USD", "XLFILL=b")</f>
        <v>1765.5329999999999</v>
      </c>
      <c r="N88" s="9">
        <f>_xll.BQL("SAVE US Equity", "TOTAL_PASSENGER_REVENUE/1M", "FPT=A", "FPO=-4A", "ACT_EST_MAPPING=PRECISE", "FS=MRC", "CURRENCY=USD", "XLFILL=b")</f>
        <v>3757.605</v>
      </c>
    </row>
    <row r="89" spans="1:14" x14ac:dyDescent="0.2">
      <c r="A89" s="8" t="s">
        <v>44</v>
      </c>
      <c r="B89" s="4" t="s">
        <v>26</v>
      </c>
      <c r="C89" s="4"/>
      <c r="D89" s="4"/>
      <c r="E89" s="9">
        <f>_xll.BQL("SAVE US Equity", "FA_GROWTH(TOTAL_PASSENGER_REVENUE, YOY)", "FPT=A", "FPO=5A", "ACT_EST_MAPPING=PRECISE", "FS=MRC", "CURRENCY=USD", "XLFILL=b")</f>
        <v>13.3</v>
      </c>
      <c r="F89" s="9">
        <f>_xll.BQL("SAVE US Equity", "FA_GROWTH(TOTAL_PASSENGER_REVENUE, YOY)", "FPT=A", "FPO=4A", "ACT_EST_MAPPING=PRECISE", "FS=MRC", "CURRENCY=USD", "XLFILL=b")</f>
        <v>12.709306422635143</v>
      </c>
      <c r="G89" s="9">
        <f>_xll.BQL("SAVE US Equity", "FA_GROWTH(TOTAL_PASSENGER_REVENUE, YOY)", "FPT=A", "FPO=3A", "ACT_EST_MAPPING=PRECISE", "FS=MRC", "CURRENCY=USD", "XLFILL=b")</f>
        <v>10.116724092836536</v>
      </c>
      <c r="H89" s="9">
        <f>_xll.BQL("SAVE US Equity", "FA_GROWTH(TOTAL_PASSENGER_REVENUE, YOY)", "FPT=A", "FPO=2A", "ACT_EST_MAPPING=PRECISE", "FS=MRC", "CURRENCY=USD", "XLFILL=b")</f>
        <v>1.5630479274799665</v>
      </c>
      <c r="I89" s="9">
        <f>_xll.BQL("SAVE US Equity", "FA_GROWTH(TOTAL_PASSENGER_REVENUE, YOY)", "FPT=A", "FPO=1A", "ACT_EST_MAPPING=PRECISE", "FS=MRC", "CURRENCY=USD", "XLFILL=b")</f>
        <v>-8.5656965633163757</v>
      </c>
      <c r="J89" s="9">
        <f>_xll.BQL("SAVE US Equity", "FA_GROWTH(TOTAL_PASSENGER_REVENUE, YOY)", "FPT=A", "FPO=0A", "ACT_EST_MAPPING=PRECISE", "FS=MRC", "CURRENCY=USD", "XLFILL=b")</f>
        <v>5.5878052617918312</v>
      </c>
      <c r="K89" s="9">
        <f>_xll.BQL("SAVE US Equity", "FA_GROWTH(TOTAL_PASSENGER_REVENUE, YOY)", "FPT=A", "FPO=-1A", "ACT_EST_MAPPING=PRECISE", "FS=MRC", "CURRENCY=USD", "XLFILL=b")</f>
        <v>57.105669685956492</v>
      </c>
      <c r="L89" s="9">
        <f>_xll.BQL("SAVE US Equity", "FA_GROWTH(TOTAL_PASSENGER_REVENUE, YOY)", "FPT=A", "FPO=-2A", "ACT_EST_MAPPING=PRECISE", "FS=MRC", "CURRENCY=USD", "XLFILL=b")</f>
        <v>79.877804606314356</v>
      </c>
      <c r="M89" s="9">
        <f>_xll.BQL("SAVE US Equity", "FA_GROWTH(TOTAL_PASSENGER_REVENUE, YOY)", "FPT=A", "FPO=-3A", "ACT_EST_MAPPING=PRECISE", "FS=MRC", "CURRENCY=USD", "XLFILL=b")</f>
        <v>-53.014406783043988</v>
      </c>
      <c r="N89" s="9">
        <f>_xll.BQL("SAVE US Equity", "FA_GROWTH(TOTAL_PASSENGER_REVENUE, YOY)", "FPT=A", "FPO=-4A", "ACT_EST_MAPPING=PRECISE", "FS=MRC", "CURRENCY=USD", "XLFILL=b")</f>
        <v>15.263426702024377</v>
      </c>
    </row>
    <row r="90" spans="1:14" x14ac:dyDescent="0.2">
      <c r="A90" s="8" t="s">
        <v>88</v>
      </c>
      <c r="B90" s="4" t="s">
        <v>89</v>
      </c>
      <c r="C90" s="4" t="s">
        <v>90</v>
      </c>
      <c r="D90" s="4" t="s">
        <v>91</v>
      </c>
      <c r="E90" s="9" t="str">
        <f>_xll.BQL("SEG0000063570 Segment", "SALES_REV_TURN/1M", "FPT=A", "FPO=5A", "ACT_EST_MAPPING=PRECISE", "FS=MRC", "CURRENCY=USD", "XLFILL=b")</f>
        <v/>
      </c>
      <c r="F90" s="9" t="str">
        <f>_xll.BQL("SEG0000063570 Segment", "SALES_REV_TURN/1M", "FPT=A", "FPO=4A", "ACT_EST_MAPPING=PRECISE", "FS=MRC", "CURRENCY=USD", "XLFILL=b")</f>
        <v/>
      </c>
      <c r="G90" s="9">
        <f>_xll.BQL("SEG0000063570 Segment", "SALES_REV_TURN/1M", "FPT=A", "FPO=3A", "ACT_EST_MAPPING=PRECISE", "FS=MRC", "CURRENCY=USD", "XLFILL=b")</f>
        <v>2665.6797419524441</v>
      </c>
      <c r="H90" s="9">
        <f>_xll.BQL("SEG0000063570 Segment", "SALES_REV_TURN/1M", "FPT=A", "FPO=2A", "ACT_EST_MAPPING=PRECISE", "FS=MRC", "CURRENCY=USD", "XLFILL=b")</f>
        <v>2187.6443999117923</v>
      </c>
      <c r="I90" s="9">
        <f>_xll.BQL("SEG0000063570 Segment", "SALES_REV_TURN/1M", "FPT=A", "FPO=1A", "ACT_EST_MAPPING=PRECISE", "FS=MRC", "CURRENCY=USD", "XLFILL=b")</f>
        <v>2064.773473106573</v>
      </c>
      <c r="J90" s="9">
        <f>_xll.BQL("SEG0000063570 Segment", "SALES_REV_TURN/1M", "FPT=A", "FPO=0A", "ACT_EST_MAPPING=PRECISE", "FS=MRC", "CURRENCY=USD", "XLFILL=b")</f>
        <v>2338.1909999999998</v>
      </c>
      <c r="K90" s="9">
        <f>_xll.BQL("SEG0000063570 Segment", "SALES_REV_TURN/1M", "FPT=A", "FPO=-1A", "ACT_EST_MAPPING=PRECISE", "FS=MRC", "CURRENCY=USD", "XLFILL=b")</f>
        <v>2455.817</v>
      </c>
      <c r="L90" s="9">
        <f>_xll.BQL("SEG0000063570 Segment", "SALES_REV_TURN/1M", "FPT=A", "FPO=-2A", "ACT_EST_MAPPING=PRECISE", "FS=MRC", "CURRENCY=USD", "XLFILL=b")</f>
        <v>1422.9269999999999</v>
      </c>
      <c r="M90" s="9">
        <f>_xll.BQL("SEG0000063570 Segment", "SALES_REV_TURN/1M", "FPT=A", "FPO=-3A", "ACT_EST_MAPPING=PRECISE", "FS=MRC", "CURRENCY=USD", "XLFILL=b")</f>
        <v>756.22500000000002</v>
      </c>
      <c r="N90" s="9">
        <f>_xll.BQL("SEG0000063570 Segment", "SALES_REV_TURN/1M", "FPT=A", "FPO=-4A", "ACT_EST_MAPPING=PRECISE", "FS=MRC", "CURRENCY=USD", "XLFILL=b")</f>
        <v>1886.855</v>
      </c>
    </row>
    <row r="91" spans="1:14" x14ac:dyDescent="0.2">
      <c r="A91" s="8" t="s">
        <v>92</v>
      </c>
      <c r="B91" s="4" t="s">
        <v>89</v>
      </c>
      <c r="C91" s="4" t="s">
        <v>90</v>
      </c>
      <c r="D91" s="4" t="s">
        <v>91</v>
      </c>
      <c r="E91" s="9" t="str">
        <f>_xll.BQL("SEG0000063570 Segment", "FA_GROWTH(SALES_REV_TURN, YOY)", "FPT=A", "FPO=5A", "ACT_EST_MAPPING=PRECISE", "FS=MRC", "CURRENCY=USD", "XLFILL=b")</f>
        <v/>
      </c>
      <c r="F91" s="9" t="str">
        <f>_xll.BQL("SEG0000063570 Segment", "FA_GROWTH(SALES_REV_TURN, YOY)", "FPT=A", "FPO=4A", "ACT_EST_MAPPING=PRECISE", "FS=MRC", "CURRENCY=USD", "XLFILL=b")</f>
        <v/>
      </c>
      <c r="G91" s="9">
        <f>_xll.BQL("SEG0000063570 Segment", "FA_GROWTH(SALES_REV_TURN, YOY)", "FPT=A", "FPO=3A", "ACT_EST_MAPPING=PRECISE", "FS=MRC", "CURRENCY=USD", "XLFILL=b")</f>
        <v>21.851601753005497</v>
      </c>
      <c r="H91" s="9">
        <f>_xll.BQL("SEG0000063570 Segment", "FA_GROWTH(SALES_REV_TURN, YOY)", "FPT=A", "FPO=2A", "ACT_EST_MAPPING=PRECISE", "FS=MRC", "CURRENCY=USD", "XLFILL=b")</f>
        <v>5.9508187414066738</v>
      </c>
      <c r="I91" s="9">
        <f>_xll.BQL("SEG0000063570 Segment", "FA_GROWTH(SALES_REV_TURN, YOY)", "FPT=A", "FPO=1A", "ACT_EST_MAPPING=PRECISE", "FS=MRC", "CURRENCY=USD", "XLFILL=b")</f>
        <v>-11.69354970972975</v>
      </c>
      <c r="J91" s="9">
        <f>_xll.BQL("SEG0000063570 Segment", "FA_GROWTH(SALES_REV_TURN, YOY)", "FPT=A", "FPO=0A", "ACT_EST_MAPPING=PRECISE", "FS=MRC", "CURRENCY=USD", "XLFILL=b")</f>
        <v>-4.789689134003063</v>
      </c>
      <c r="K91" s="9">
        <f>_xll.BQL("SEG0000063570 Segment", "FA_GROWTH(SALES_REV_TURN, YOY)", "FPT=A", "FPO=-1A", "ACT_EST_MAPPING=PRECISE", "FS=MRC", "CURRENCY=USD", "XLFILL=b")</f>
        <v>72.589106819956328</v>
      </c>
      <c r="L91" s="9">
        <f>_xll.BQL("SEG0000063570 Segment", "FA_GROWTH(SALES_REV_TURN, YOY)", "FPT=A", "FPO=-2A", "ACT_EST_MAPPING=PRECISE", "FS=MRC", "CURRENCY=USD", "XLFILL=b")</f>
        <v>88.161856590300502</v>
      </c>
      <c r="M91" s="9">
        <f>_xll.BQL("SEG0000063570 Segment", "FA_GROWTH(SALES_REV_TURN, YOY)", "FPT=A", "FPO=-3A", "ACT_EST_MAPPING=PRECISE", "FS=MRC", "CURRENCY=USD", "XLFILL=b")</f>
        <v>-59.921403605470481</v>
      </c>
      <c r="N91" s="9">
        <f>_xll.BQL("SEG0000063570 Segment", "FA_GROWTH(SALES_REV_TURN, YOY)", "FPT=A", "FPO=-4A", "ACT_EST_MAPPING=PRECISE", "FS=MRC", "CURRENCY=USD", "XLFILL=b")</f>
        <v>10.723974492212051</v>
      </c>
    </row>
    <row r="92" spans="1:14" x14ac:dyDescent="0.2">
      <c r="A92" s="8" t="s">
        <v>93</v>
      </c>
      <c r="B92" s="4" t="s">
        <v>89</v>
      </c>
      <c r="C92" s="4" t="s">
        <v>94</v>
      </c>
      <c r="D92" s="4" t="s">
        <v>95</v>
      </c>
      <c r="E92" s="9" t="str">
        <f>_xll.BQL("SEG0000063571 Segment", "SALES_REV_TURN/1M", "FPT=A", "FPO=5A", "ACT_EST_MAPPING=PRECISE", "FS=MRC", "CURRENCY=USD", "XLFILL=b")</f>
        <v/>
      </c>
      <c r="F92" s="9" t="str">
        <f>_xll.BQL("SEG0000063571 Segment", "SALES_REV_TURN/1M", "FPT=A", "FPO=4A", "ACT_EST_MAPPING=PRECISE", "FS=MRC", "CURRENCY=USD", "XLFILL=b")</f>
        <v/>
      </c>
      <c r="G92" s="9">
        <f>_xll.BQL("SEG0000063571 Segment", "SALES_REV_TURN/1M", "FPT=A", "FPO=3A", "ACT_EST_MAPPING=PRECISE", "FS=MRC", "CURRENCY=USD", "XLFILL=b")</f>
        <v>2723.3137579096074</v>
      </c>
      <c r="H92" s="9">
        <f>_xll.BQL("SEG0000063571 Segment", "SALES_REV_TURN/1M", "FPT=A", "FPO=2A", "ACT_EST_MAPPING=PRECISE", "FS=MRC", "CURRENCY=USD", "XLFILL=b")</f>
        <v>2512.9585183059357</v>
      </c>
      <c r="I92" s="9">
        <f>_xll.BQL("SEG0000063571 Segment", "SALES_REV_TURN/1M", "FPT=A", "FPO=1A", "ACT_EST_MAPPING=PRECISE", "FS=MRC", "CURRENCY=USD", "XLFILL=b")</f>
        <v>2684.5797173884839</v>
      </c>
      <c r="J92" s="9">
        <f>_xll.BQL("SEG0000063571 Segment", "SALES_REV_TURN/1M", "FPT=A", "FPO=0A", "ACT_EST_MAPPING=PRECISE", "FS=MRC", "CURRENCY=USD", "XLFILL=b")</f>
        <v>2929.97</v>
      </c>
      <c r="K92" s="9">
        <f>_xll.BQL("SEG0000063571 Segment", "SALES_REV_TURN/1M", "FPT=A", "FPO=-1A", "ACT_EST_MAPPING=PRECISE", "FS=MRC", "CURRENCY=USD", "XLFILL=b")</f>
        <v>2533.5479999999998</v>
      </c>
      <c r="L92" s="9">
        <f>_xll.BQL("SEG0000063571 Segment", "SALES_REV_TURN/1M", "FPT=A", "FPO=-2A", "ACT_EST_MAPPING=PRECISE", "FS=MRC", "CURRENCY=USD", "XLFILL=b")</f>
        <v>1752.875</v>
      </c>
      <c r="M92" s="9">
        <f>_xll.BQL("SEG0000063571 Segment", "SALES_REV_TURN/1M", "FPT=A", "FPO=-3A", "ACT_EST_MAPPING=PRECISE", "FS=MRC", "CURRENCY=USD", "XLFILL=b")</f>
        <v>1009.308</v>
      </c>
      <c r="N92" s="9">
        <f>_xll.BQL("SEG0000063571 Segment", "SALES_REV_TURN/1M", "FPT=A", "FPO=-4A", "ACT_EST_MAPPING=PRECISE", "FS=MRC", "CURRENCY=USD", "XLFILL=b")</f>
        <v>1870.75</v>
      </c>
    </row>
    <row r="93" spans="1:14" x14ac:dyDescent="0.2">
      <c r="A93" s="8" t="s">
        <v>92</v>
      </c>
      <c r="B93" s="4" t="s">
        <v>89</v>
      </c>
      <c r="C93" s="4" t="s">
        <v>94</v>
      </c>
      <c r="D93" s="4" t="s">
        <v>95</v>
      </c>
      <c r="E93" s="9" t="str">
        <f>_xll.BQL("SEG0000063571 Segment", "FA_GROWTH(SALES_REV_TURN, YOY)", "FPT=A", "FPO=5A", "ACT_EST_MAPPING=PRECISE", "FS=MRC", "CURRENCY=USD", "XLFILL=b")</f>
        <v/>
      </c>
      <c r="F93" s="9" t="str">
        <f>_xll.BQL("SEG0000063571 Segment", "FA_GROWTH(SALES_REV_TURN, YOY)", "FPT=A", "FPO=4A", "ACT_EST_MAPPING=PRECISE", "FS=MRC", "CURRENCY=USD", "XLFILL=b")</f>
        <v/>
      </c>
      <c r="G93" s="9">
        <f>_xll.BQL("SEG0000063571 Segment", "FA_GROWTH(SALES_REV_TURN, YOY)", "FPT=A", "FPO=3A", "ACT_EST_MAPPING=PRECISE", "FS=MRC", "CURRENCY=USD", "XLFILL=b")</f>
        <v>8.3708202133586607</v>
      </c>
      <c r="H93" s="9">
        <f>_xll.BQL("SEG0000063571 Segment", "FA_GROWTH(SALES_REV_TURN, YOY)", "FPT=A", "FPO=2A", "ACT_EST_MAPPING=PRECISE", "FS=MRC", "CURRENCY=USD", "XLFILL=b")</f>
        <v>-6.3928516620656914</v>
      </c>
      <c r="I93" s="9">
        <f>_xll.BQL("SEG0000063571 Segment", "FA_GROWTH(SALES_REV_TURN, YOY)", "FPT=A", "FPO=1A", "ACT_EST_MAPPING=PRECISE", "FS=MRC", "CURRENCY=USD", "XLFILL=b")</f>
        <v>-8.3751807223799553</v>
      </c>
      <c r="J93" s="9">
        <f>_xll.BQL("SEG0000063571 Segment", "FA_GROWTH(SALES_REV_TURN, YOY)", "FPT=A", "FPO=0A", "ACT_EST_MAPPING=PRECISE", "FS=MRC", "CURRENCY=USD", "XLFILL=b")</f>
        <v>15.64691097228077</v>
      </c>
      <c r="K93" s="9">
        <f>_xll.BQL("SEG0000063571 Segment", "FA_GROWTH(SALES_REV_TURN, YOY)", "FPT=A", "FPO=-1A", "ACT_EST_MAPPING=PRECISE", "FS=MRC", "CURRENCY=USD", "XLFILL=b")</f>
        <v>44.536718248591598</v>
      </c>
      <c r="L93" s="9">
        <f>_xll.BQL("SEG0000063571 Segment", "FA_GROWTH(SALES_REV_TURN, YOY)", "FPT=A", "FPO=-2A", "ACT_EST_MAPPING=PRECISE", "FS=MRC", "CURRENCY=USD", "XLFILL=b")</f>
        <v>73.670970605603046</v>
      </c>
      <c r="M93" s="9">
        <f>_xll.BQL("SEG0000063571 Segment", "FA_GROWTH(SALES_REV_TURN, YOY)", "FPT=A", "FPO=-3A", "ACT_EST_MAPPING=PRECISE", "FS=MRC", "CURRENCY=USD", "XLFILL=b")</f>
        <v>-46.047948683683018</v>
      </c>
      <c r="N93" s="9">
        <f>_xll.BQL("SEG0000063571 Segment", "FA_GROWTH(SALES_REV_TURN, YOY)", "FPT=A", "FPO=-4A", "ACT_EST_MAPPING=PRECISE", "FS=MRC", "CURRENCY=USD", "XLFILL=b")</f>
        <v>20.235258125801781</v>
      </c>
    </row>
    <row r="94" spans="1:14" x14ac:dyDescent="0.2">
      <c r="A94" s="8" t="s">
        <v>96</v>
      </c>
      <c r="B94" s="4" t="s">
        <v>89</v>
      </c>
      <c r="C94" s="4"/>
      <c r="D94" s="4" t="s">
        <v>97</v>
      </c>
      <c r="E94" s="9">
        <f>_xll.BQL("SEG0000061722 Segment", "SALES_REV_TURN/1M", "FPT=A", "FPO=5A", "ACT_EST_MAPPING=PRECISE", "FS=MRC", "CURRENCY=USD", "XLFILL=b")</f>
        <v>157.43975031601175</v>
      </c>
      <c r="F94" s="9">
        <f>_xll.BQL("SEG0000061722 Segment", "SALES_REV_TURN/1M", "FPT=A", "FPO=4A", "ACT_EST_MAPPING=PRECISE", "FS=MRC", "CURRENCY=USD", "XLFILL=b")</f>
        <v>149.85698678470564</v>
      </c>
      <c r="G94" s="9">
        <f>_xll.BQL("SEG0000061722 Segment", "SALES_REV_TURN/1M", "FPT=A", "FPO=3A", "ACT_EST_MAPPING=PRECISE", "FS=MRC", "CURRENCY=USD", "XLFILL=b")</f>
        <v>115.15788259224169</v>
      </c>
      <c r="H94" s="9">
        <f>_xll.BQL("SEG0000061722 Segment", "SALES_REV_TURN/1M", "FPT=A", "FPO=2A", "ACT_EST_MAPPING=PRECISE", "FS=MRC", "CURRENCY=USD", "XLFILL=b")</f>
        <v>224.26320088271163</v>
      </c>
      <c r="I94" s="9">
        <f>_xll.BQL("SEG0000061722 Segment", "SALES_REV_TURN/1M", "FPT=A", "FPO=1A", "ACT_EST_MAPPING=PRECISE", "FS=MRC", "CURRENCY=USD", "XLFILL=b")</f>
        <v>150.06152882725061</v>
      </c>
      <c r="J94" s="9">
        <f>_xll.BQL("SEG0000061722 Segment", "SALES_REV_TURN/1M", "FPT=A", "FPO=0A", "ACT_EST_MAPPING=PRECISE", "FS=MRC", "CURRENCY=USD", "XLFILL=b")</f>
        <v>94.388000000000005</v>
      </c>
      <c r="K94" s="9">
        <f>_xll.BQL("SEG0000061722 Segment", "SALES_REV_TURN/1M", "FPT=A", "FPO=-1A", "ACT_EST_MAPPING=PRECISE", "FS=MRC", "CURRENCY=USD", "XLFILL=b")</f>
        <v>79.081999999999994</v>
      </c>
      <c r="L94" s="9">
        <f>_xll.BQL("SEG0000061722 Segment", "SALES_REV_TURN/1M", "FPT=A", "FPO=-2A", "ACT_EST_MAPPING=PRECISE", "FS=MRC", "CURRENCY=USD", "XLFILL=b")</f>
        <v>54.972999999999999</v>
      </c>
      <c r="M94" s="9">
        <f>_xll.BQL("SEG0000061722 Segment", "SALES_REV_TURN/1M", "FPT=A", "FPO=-3A", "ACT_EST_MAPPING=PRECISE", "FS=MRC", "CURRENCY=USD", "XLFILL=b")</f>
        <v>44.488999999999997</v>
      </c>
      <c r="N94" s="9">
        <f>_xll.BQL("SEG0000061722 Segment", "SALES_REV_TURN/1M", "FPT=A", "FPO=-4A", "ACT_EST_MAPPING=PRECISE", "FS=MRC", "CURRENCY=USD", "XLFILL=b")</f>
        <v>72.930999999999997</v>
      </c>
    </row>
    <row r="95" spans="1:14" x14ac:dyDescent="0.2">
      <c r="A95" s="8" t="s">
        <v>44</v>
      </c>
      <c r="B95" s="4" t="s">
        <v>89</v>
      </c>
      <c r="C95" s="4"/>
      <c r="D95" s="4" t="s">
        <v>97</v>
      </c>
      <c r="E95" s="9">
        <f>_xll.BQL("SEG0000061722 Segment", "FA_GROWTH(SALES_REV_TURN, YOY)", "FPT=A", "FPO=5A", "ACT_EST_MAPPING=PRECISE", "FS=MRC", "CURRENCY=USD", "XLFILL=b")</f>
        <v>5.0600000000000085</v>
      </c>
      <c r="F95" s="9">
        <f>_xll.BQL("SEG0000061722 Segment", "FA_GROWTH(SALES_REV_TURN, YOY)", "FPT=A", "FPO=4A", "ACT_EST_MAPPING=PRECISE", "FS=MRC", "CURRENCY=USD", "XLFILL=b")</f>
        <v>30.131766416137342</v>
      </c>
      <c r="G95" s="9">
        <f>_xll.BQL("SEG0000061722 Segment", "FA_GROWTH(SALES_REV_TURN, YOY)", "FPT=A", "FPO=3A", "ACT_EST_MAPPING=PRECISE", "FS=MRC", "CURRENCY=USD", "XLFILL=b")</f>
        <v>-48.650566772000815</v>
      </c>
      <c r="H95" s="9">
        <f>_xll.BQL("SEG0000061722 Segment", "FA_GROWTH(SALES_REV_TURN, YOY)", "FPT=A", "FPO=2A", "ACT_EST_MAPPING=PRECISE", "FS=MRC", "CURRENCY=USD", "XLFILL=b")</f>
        <v>49.447498393063334</v>
      </c>
      <c r="I95" s="9">
        <f>_xll.BQL("SEG0000061722 Segment", "FA_GROWTH(SALES_REV_TURN, YOY)", "FPT=A", "FPO=1A", "ACT_EST_MAPPING=PRECISE", "FS=MRC", "CURRENCY=USD", "XLFILL=b")</f>
        <v>58.983693718746657</v>
      </c>
      <c r="J95" s="9">
        <f>_xll.BQL("SEG0000061722 Segment", "FA_GROWTH(SALES_REV_TURN, YOY)", "FPT=A", "FPO=0A", "ACT_EST_MAPPING=PRECISE", "FS=MRC", "CURRENCY=USD", "XLFILL=b")</f>
        <v>19.354593965757061</v>
      </c>
      <c r="K95" s="9">
        <f>_xll.BQL("SEG0000061722 Segment", "FA_GROWTH(SALES_REV_TURN, YOY)", "FPT=A", "FPO=-1A", "ACT_EST_MAPPING=PRECISE", "FS=MRC", "CURRENCY=USD", "XLFILL=b")</f>
        <v>43.856074800356538</v>
      </c>
      <c r="L95" s="9">
        <f>_xll.BQL("SEG0000061722 Segment", "FA_GROWTH(SALES_REV_TURN, YOY)", "FPT=A", "FPO=-2A", "ACT_EST_MAPPING=PRECISE", "FS=MRC", "CURRENCY=USD", "XLFILL=b")</f>
        <v>23.565375710849874</v>
      </c>
      <c r="M95" s="9">
        <f>_xll.BQL("SEG0000061722 Segment", "FA_GROWTH(SALES_REV_TURN, YOY)", "FPT=A", "FPO=-3A", "ACT_EST_MAPPING=PRECISE", "FS=MRC", "CURRENCY=USD", "XLFILL=b")</f>
        <v>-38.998505436645594</v>
      </c>
      <c r="N95" s="9">
        <f>_xll.BQL("SEG0000061722 Segment", "FA_GROWTH(SALES_REV_TURN, YOY)", "FPT=A", "FPO=-4A", "ACT_EST_MAPPING=PRECISE", "FS=MRC", "CURRENCY=USD", "XLFILL=b")</f>
        <v>15.72858979038068</v>
      </c>
    </row>
    <row r="96" spans="1:14" x14ac:dyDescent="0.2">
      <c r="A96" s="8" t="s">
        <v>16</v>
      </c>
      <c r="B96" s="4"/>
      <c r="C96" s="4"/>
      <c r="D96" s="4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 x14ac:dyDescent="0.2">
      <c r="A97" s="8" t="s">
        <v>98</v>
      </c>
      <c r="B97" s="4"/>
      <c r="C97" s="4" t="s">
        <v>99</v>
      </c>
      <c r="D97" s="4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 x14ac:dyDescent="0.2">
      <c r="A98" s="8" t="s">
        <v>13</v>
      </c>
      <c r="B98" s="4" t="s">
        <v>14</v>
      </c>
      <c r="C98" s="4" t="s">
        <v>15</v>
      </c>
      <c r="D98" s="4"/>
      <c r="E98" s="9">
        <f>_xll.BQL("SAVE US Equity", "IS_COMP_SALES/1M", "FPT=A", "FPO=5A", "ACT_EST_MAPPING=PRECISE", "FS=MRC", "CURRENCY=USD", "XLFILL=b")</f>
        <v>7037</v>
      </c>
      <c r="F98" s="9">
        <f>_xll.BQL("SAVE US Equity", "IS_COMP_SALES/1M", "FPT=A", "FPO=4A", "ACT_EST_MAPPING=PRECISE", "FS=MRC", "CURRENCY=USD", "XLFILL=b")</f>
        <v>6222</v>
      </c>
      <c r="G98" s="9">
        <f>_xll.BQL("SAVE US Equity", "IS_COMP_SALES/1M", "FPT=A", "FPO=3A", "ACT_EST_MAPPING=PRECISE", "FS=MRC", "CURRENCY=USD", "XLFILL=b")</f>
        <v>5556.2857142857138</v>
      </c>
      <c r="H98" s="9">
        <f>_xll.BQL("SAVE US Equity", "IS_COMP_SALES/1M", "FPT=A", "FPO=2A", "ACT_EST_MAPPING=PRECISE", "FS=MRC", "CURRENCY=USD", "XLFILL=b")</f>
        <v>4982.75</v>
      </c>
      <c r="I98" s="9">
        <f>_xll.BQL("SAVE US Equity", "IS_COMP_SALES/1M", "FPT=A", "FPO=1A", "ACT_EST_MAPPING=PRECISE", "FS=MRC", "CURRENCY=USD", "XLFILL=b")</f>
        <v>4937</v>
      </c>
      <c r="J98" s="9">
        <f>_xll.BQL("SAVE US Equity", "IS_COMP_SALES/1M", "FPT=A", "FPO=0A", "ACT_EST_MAPPING=PRECISE", "FS=MRC", "CURRENCY=USD", "XLFILL=b")</f>
        <v>5362.549</v>
      </c>
      <c r="K98" s="9">
        <f>_xll.BQL("SAVE US Equity", "IS_COMP_SALES/1M", "FPT=A", "FPO=-1A", "ACT_EST_MAPPING=PRECISE", "FS=MRC", "CURRENCY=USD", "XLFILL=b")</f>
        <v>5068.4470000000001</v>
      </c>
      <c r="L98" s="9">
        <f>_xll.BQL("SAVE US Equity", "IS_COMP_SALES/1M", "FPT=A", "FPO=-2A", "ACT_EST_MAPPING=PRECISE", "FS=MRC", "CURRENCY=USD", "XLFILL=b")</f>
        <v>3230.7750000000001</v>
      </c>
      <c r="M98" s="9">
        <f>_xll.BQL("SAVE US Equity", "IS_COMP_SALES/1M", "FPT=A", "FPO=-3A", "ACT_EST_MAPPING=PRECISE", "FS=MRC", "CURRENCY=USD", "XLFILL=b")</f>
        <v>1810.0219999999999</v>
      </c>
      <c r="N98" s="9">
        <f>_xll.BQL("SAVE US Equity", "IS_COMP_SALES/1M", "FPT=A", "FPO=-4A", "ACT_EST_MAPPING=PRECISE", "FS=MRC", "CURRENCY=USD", "XLFILL=b")</f>
        <v>3830.5360000000001</v>
      </c>
    </row>
    <row r="99" spans="1:14" x14ac:dyDescent="0.2">
      <c r="A99" s="8" t="s">
        <v>12</v>
      </c>
      <c r="B99" s="4" t="s">
        <v>14</v>
      </c>
      <c r="C99" s="4" t="s">
        <v>15</v>
      </c>
      <c r="D99" s="4"/>
      <c r="E99" s="9">
        <f>_xll.BQL("SAVE US Equity", "FA_GROWTH(IS_COMP_SALES, YOY)", "FPT=A", "FPO=5A", "ACT_EST_MAPPING=PRECISE", "FS=MRC", "CURRENCY=USD", "XLFILL=b")</f>
        <v>13.098682095789135</v>
      </c>
      <c r="F99" s="9">
        <f>_xll.BQL("SAVE US Equity", "FA_GROWTH(IS_COMP_SALES, YOY)", "FPT=A", "FPO=4A", "ACT_EST_MAPPING=PRECISE", "FS=MRC", "CURRENCY=USD", "XLFILL=b")</f>
        <v>11.981282460019544</v>
      </c>
      <c r="G99" s="9">
        <f>_xll.BQL("SAVE US Equity", "FA_GROWTH(IS_COMP_SALES, YOY)", "FPT=A", "FPO=3A", "ACT_EST_MAPPING=PRECISE", "FS=MRC", "CURRENCY=USD", "XLFILL=b")</f>
        <v>11.510425252836569</v>
      </c>
      <c r="H99" s="9">
        <f>_xll.BQL("SAVE US Equity", "FA_GROWTH(IS_COMP_SALES, YOY)", "FPT=A", "FPO=2A", "ACT_EST_MAPPING=PRECISE", "FS=MRC", "CURRENCY=USD", "XLFILL=b")</f>
        <v>0.92667611910066838</v>
      </c>
      <c r="I99" s="9">
        <f>_xll.BQL("SAVE US Equity", "FA_GROWTH(IS_COMP_SALES, YOY)", "FPT=A", "FPO=1A", "ACT_EST_MAPPING=PRECISE", "FS=MRC", "CURRENCY=USD", "XLFILL=b")</f>
        <v>-7.935573176114568</v>
      </c>
      <c r="J99" s="9">
        <f>_xll.BQL("SAVE US Equity", "FA_GROWTH(IS_COMP_SALES, YOY)", "FPT=A", "FPO=0A", "ACT_EST_MAPPING=PRECISE", "FS=MRC", "CURRENCY=USD", "XLFILL=b")</f>
        <v>5.802605808051263</v>
      </c>
      <c r="K99" s="9">
        <f>_xll.BQL("SAVE US Equity", "FA_GROWTH(IS_COMP_SALES, YOY)", "FPT=A", "FPO=-1A", "ACT_EST_MAPPING=PRECISE", "FS=MRC", "CURRENCY=USD", "XLFILL=b")</f>
        <v>56.880222237698383</v>
      </c>
      <c r="L99" s="9">
        <f>_xll.BQL("SAVE US Equity", "FA_GROWTH(IS_COMP_SALES, YOY)", "FPT=A", "FPO=-2A", "ACT_EST_MAPPING=PRECISE", "FS=MRC", "CURRENCY=USD", "XLFILL=b")</f>
        <v>78.493686817066319</v>
      </c>
      <c r="M99" s="9">
        <f>_xll.BQL("SAVE US Equity", "FA_GROWTH(IS_COMP_SALES, YOY)", "FPT=A", "FPO=-3A", "ACT_EST_MAPPING=PRECISE", "FS=MRC", "CURRENCY=USD", "XLFILL=b")</f>
        <v>-52.747552822894761</v>
      </c>
      <c r="N99" s="9">
        <f>_xll.BQL("SAVE US Equity", "FA_GROWTH(IS_COMP_SALES, YOY)", "FPT=A", "FPO=-4A", "ACT_EST_MAPPING=PRECISE", "FS=MRC", "CURRENCY=USD", "XLFILL=b")</f>
        <v>15.272248192465078</v>
      </c>
    </row>
    <row r="100" spans="1:14" x14ac:dyDescent="0.2">
      <c r="A100" s="8" t="s">
        <v>16</v>
      </c>
      <c r="B100" s="4"/>
      <c r="C100" s="4"/>
      <c r="D100" s="4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 x14ac:dyDescent="0.2">
      <c r="A101" s="8" t="s">
        <v>100</v>
      </c>
      <c r="B101" s="4" t="s">
        <v>101</v>
      </c>
      <c r="C101" s="4" t="s">
        <v>102</v>
      </c>
      <c r="D101" s="4"/>
      <c r="E101" s="9" t="str">
        <f>_xll.BQL("SAVE US Equity", "IS_TOT_OPER_EXP/1M", "FPT=A", "FPO=5A", "ACT_EST_MAPPING=PRECISE", "FS=MRC", "CURRENCY=USD", "XLFILL=b")</f>
        <v/>
      </c>
      <c r="F101" s="9" t="str">
        <f>_xll.BQL("SAVE US Equity", "IS_TOT_OPER_EXP/1M", "FPT=A", "FPO=4A", "ACT_EST_MAPPING=PRECISE", "FS=MRC", "CURRENCY=USD", "XLFILL=b")</f>
        <v/>
      </c>
      <c r="G101" s="9">
        <f>_xll.BQL("SAVE US Equity", "IS_TOT_OPER_EXP/1M", "FPT=A", "FPO=3A", "ACT_EST_MAPPING=PRECISE", "FS=MRC", "CURRENCY=USD", "XLFILL=b")</f>
        <v>5494.175512487478</v>
      </c>
      <c r="H101" s="9">
        <f>_xll.BQL("SAVE US Equity", "IS_TOT_OPER_EXP/1M", "FPT=A", "FPO=2A", "ACT_EST_MAPPING=PRECISE", "FS=MRC", "CURRENCY=USD", "XLFILL=b")</f>
        <v>5454.0645158321604</v>
      </c>
      <c r="I101" s="9">
        <f>_xll.BQL("SAVE US Equity", "IS_TOT_OPER_EXP/1M", "FPT=A", "FPO=1A", "ACT_EST_MAPPING=PRECISE", "FS=MRC", "CURRENCY=USD", "XLFILL=b")</f>
        <v>5832.4406065862922</v>
      </c>
      <c r="J101" s="9">
        <f>_xll.BQL("SAVE US Equity", "IS_TOT_OPER_EXP/1M", "FPT=A", "FPO=0A", "ACT_EST_MAPPING=PRECISE", "FS=MRC", "CURRENCY=USD", "XLFILL=b")</f>
        <v>5858.3059999999996</v>
      </c>
      <c r="K101" s="9">
        <f>_xll.BQL("SAVE US Equity", "IS_TOT_OPER_EXP/1M", "FPT=A", "FPO=-1A", "ACT_EST_MAPPING=PRECISE", "FS=MRC", "CURRENCY=USD", "XLFILL=b")</f>
        <v>5667.3639999999996</v>
      </c>
      <c r="L101" s="9">
        <f>_xll.BQL("SAVE US Equity", "IS_TOT_OPER_EXP/1M", "FPT=A", "FPO=-2A", "ACT_EST_MAPPING=PRECISE", "FS=MRC", "CURRENCY=USD", "XLFILL=b")</f>
        <v>3287.6489999999999</v>
      </c>
      <c r="M101" s="9">
        <f>_xll.BQL("SAVE US Equity", "IS_TOT_OPER_EXP/1M", "FPT=A", "FPO=-3A", "ACT_EST_MAPPING=PRECISE", "FS=MRC", "CURRENCY=USD", "XLFILL=b")</f>
        <v>2317.7840000000001</v>
      </c>
      <c r="N101" s="9">
        <f>_xll.BQL("SAVE US Equity", "IS_TOT_OPER_EXP/1M", "FPT=A", "FPO=-4A", "ACT_EST_MAPPING=PRECISE", "FS=MRC", "CURRENCY=USD", "XLFILL=b")</f>
        <v>3329.489</v>
      </c>
    </row>
    <row r="102" spans="1:14" x14ac:dyDescent="0.2">
      <c r="A102" s="8" t="s">
        <v>12</v>
      </c>
      <c r="B102" s="4" t="s">
        <v>101</v>
      </c>
      <c r="C102" s="4" t="s">
        <v>102</v>
      </c>
      <c r="D102" s="4"/>
      <c r="E102" s="9" t="str">
        <f>_xll.BQL("SAVE US Equity", "FA_GROWTH(IS_TOT_OPER_EXP, YOY)", "FPT=A", "FPO=5A", "ACT_EST_MAPPING=PRECISE", "FS=MRC", "CURRENCY=USD", "XLFILL=b")</f>
        <v/>
      </c>
      <c r="F102" s="9" t="str">
        <f>_xll.BQL("SAVE US Equity", "FA_GROWTH(IS_TOT_OPER_EXP, YOY)", "FPT=A", "FPO=4A", "ACT_EST_MAPPING=PRECISE", "FS=MRC", "CURRENCY=USD", "XLFILL=b")</f>
        <v/>
      </c>
      <c r="G102" s="9">
        <f>_xll.BQL("SAVE US Equity", "FA_GROWTH(IS_TOT_OPER_EXP, YOY)", "FPT=A", "FPO=3A", "ACT_EST_MAPPING=PRECISE", "FS=MRC", "CURRENCY=USD", "XLFILL=b")</f>
        <v>0.73543311669459199</v>
      </c>
      <c r="H102" s="9">
        <f>_xll.BQL("SAVE US Equity", "FA_GROWTH(IS_TOT_OPER_EXP, YOY)", "FPT=A", "FPO=2A", "ACT_EST_MAPPING=PRECISE", "FS=MRC", "CURRENCY=USD", "XLFILL=b")</f>
        <v>-6.4874401005790006</v>
      </c>
      <c r="I102" s="9">
        <f>_xll.BQL("SAVE US Equity", "FA_GROWTH(IS_TOT_OPER_EXP, YOY)", "FPT=A", "FPO=1A", "ACT_EST_MAPPING=PRECISE", "FS=MRC", "CURRENCY=USD", "XLFILL=b")</f>
        <v>-0.44151659905965535</v>
      </c>
      <c r="J102" s="9">
        <f>_xll.BQL("SAVE US Equity", "FA_GROWTH(IS_TOT_OPER_EXP, YOY)", "FPT=A", "FPO=0A", "ACT_EST_MAPPING=PRECISE", "FS=MRC", "CURRENCY=USD", "XLFILL=b")</f>
        <v>3.3691501022344781</v>
      </c>
      <c r="K102" s="9">
        <f>_xll.BQL("SAVE US Equity", "FA_GROWTH(IS_TOT_OPER_EXP, YOY)", "FPT=A", "FPO=-1A", "ACT_EST_MAPPING=PRECISE", "FS=MRC", "CURRENCY=USD", "XLFILL=b")</f>
        <v>72.383487410000271</v>
      </c>
      <c r="L102" s="9">
        <f>_xll.BQL("SAVE US Equity", "FA_GROWTH(IS_TOT_OPER_EXP, YOY)", "FPT=A", "FPO=-2A", "ACT_EST_MAPPING=PRECISE", "FS=MRC", "CURRENCY=USD", "XLFILL=b")</f>
        <v>41.844494568950346</v>
      </c>
      <c r="M102" s="9">
        <f>_xll.BQL("SAVE US Equity", "FA_GROWTH(IS_TOT_OPER_EXP, YOY)", "FPT=A", "FPO=-3A", "ACT_EST_MAPPING=PRECISE", "FS=MRC", "CURRENCY=USD", "XLFILL=b")</f>
        <v>-30.386194397999212</v>
      </c>
      <c r="N102" s="9">
        <f>_xll.BQL("SAVE US Equity", "FA_GROWTH(IS_TOT_OPER_EXP, YOY)", "FPT=A", "FPO=-4A", "ACT_EST_MAPPING=PRECISE", "FS=MRC", "CURRENCY=USD", "XLFILL=b")</f>
        <v>12.02404344373713</v>
      </c>
    </row>
    <row r="103" spans="1:14" x14ac:dyDescent="0.2">
      <c r="A103" s="8" t="s">
        <v>103</v>
      </c>
      <c r="B103" s="4" t="s">
        <v>104</v>
      </c>
      <c r="C103" s="4"/>
      <c r="D103" s="4"/>
      <c r="E103" s="9">
        <f>_xll.BQL("SAVE US Equity", "FUEL_EXPENSES/1M", "FPT=A", "FPO=5A", "ACT_EST_MAPPING=PRECISE", "FS=MRC", "CURRENCY=USD", "XLFILL=b")</f>
        <v>1711.372201465447</v>
      </c>
      <c r="F103" s="9">
        <f>_xll.BQL("SAVE US Equity", "FUEL_EXPENSES/1M", "FPT=A", "FPO=4A", "ACT_EST_MAPPING=PRECISE", "FS=MRC", "CURRENCY=USD", "XLFILL=b")</f>
        <v>1556.5708068783451</v>
      </c>
      <c r="G103" s="9">
        <f>_xll.BQL("SAVE US Equity", "FUEL_EXPENSES/1M", "FPT=A", "FPO=3A", "ACT_EST_MAPPING=PRECISE", "FS=MRC", "CURRENCY=USD", "XLFILL=b")</f>
        <v>1475.2790348168367</v>
      </c>
      <c r="H103" s="9">
        <f>_xll.BQL("SAVE US Equity", "FUEL_EXPENSES/1M", "FPT=A", "FPO=2A", "ACT_EST_MAPPING=PRECISE", "FS=MRC", "CURRENCY=USD", "XLFILL=b")</f>
        <v>1443.1119538586897</v>
      </c>
      <c r="I103" s="9">
        <f>_xll.BQL("SAVE US Equity", "FUEL_EXPENSES/1M", "FPT=A", "FPO=1A", "ACT_EST_MAPPING=PRECISE", "FS=MRC", "CURRENCY=USD", "XLFILL=b")</f>
        <v>1578.8031469060211</v>
      </c>
      <c r="J103" s="9">
        <f>_xll.BQL("SAVE US Equity", "FUEL_EXPENSES/1M", "FPT=A", "FPO=0A", "ACT_EST_MAPPING=PRECISE", "FS=MRC", "CURRENCY=USD", "XLFILL=b")</f>
        <v>1821.165</v>
      </c>
      <c r="K103" s="9">
        <f>_xll.BQL("SAVE US Equity", "FUEL_EXPENSES/1M", "FPT=A", "FPO=-1A", "ACT_EST_MAPPING=PRECISE", "FS=MRC", "CURRENCY=USD", "XLFILL=b")</f>
        <v>1929.9690000000001</v>
      </c>
      <c r="L103" s="9">
        <f>_xll.BQL("SAVE US Equity", "FUEL_EXPENSES/1M", "FPT=A", "FPO=-2A", "ACT_EST_MAPPING=PRECISE", "FS=MRC", "CURRENCY=USD", "XLFILL=b")</f>
        <v>913.94500000000005</v>
      </c>
      <c r="M103" s="9">
        <f>_xll.BQL("SAVE US Equity", "FUEL_EXPENSES/1M", "FPT=A", "FPO=-3A", "ACT_EST_MAPPING=PRECISE", "FS=MRC", "CURRENCY=USD", "XLFILL=b")</f>
        <v>431</v>
      </c>
      <c r="N103" s="9">
        <f>_xll.BQL("SAVE US Equity", "FUEL_EXPENSES/1M", "FPT=A", "FPO=-4A", "ACT_EST_MAPPING=PRECISE", "FS=MRC", "CURRENCY=USD", "XLFILL=b")</f>
        <v>993.47799999999995</v>
      </c>
    </row>
    <row r="104" spans="1:14" x14ac:dyDescent="0.2">
      <c r="A104" s="8" t="s">
        <v>44</v>
      </c>
      <c r="B104" s="4" t="s">
        <v>104</v>
      </c>
      <c r="C104" s="4"/>
      <c r="D104" s="4"/>
      <c r="E104" s="9">
        <f>_xll.BQL("SAVE US Equity", "FA_GROWTH(FUEL_EXPENSES, YOY)", "FPT=A", "FPO=5A", "ACT_EST_MAPPING=PRECISE", "FS=MRC", "CURRENCY=USD", "XLFILL=b")</f>
        <v>9.9450274862568655</v>
      </c>
      <c r="F104" s="9">
        <f>_xll.BQL("SAVE US Equity", "FA_GROWTH(FUEL_EXPENSES, YOY)", "FPT=A", "FPO=4A", "ACT_EST_MAPPING=PRECISE", "FS=MRC", "CURRENCY=USD", "XLFILL=b")</f>
        <v>5.5102641698966082</v>
      </c>
      <c r="G104" s="9">
        <f>_xll.BQL("SAVE US Equity", "FA_GROWTH(FUEL_EXPENSES, YOY)", "FPT=A", "FPO=3A", "ACT_EST_MAPPING=PRECISE", "FS=MRC", "CURRENCY=USD", "XLFILL=b")</f>
        <v>2.2290080039969391</v>
      </c>
      <c r="H104" s="9">
        <f>_xll.BQL("SAVE US Equity", "FA_GROWTH(FUEL_EXPENSES, YOY)", "FPT=A", "FPO=2A", "ACT_EST_MAPPING=PRECISE", "FS=MRC", "CURRENCY=USD", "XLFILL=b")</f>
        <v>-8.5945605893454946</v>
      </c>
      <c r="I104" s="9">
        <f>_xll.BQL("SAVE US Equity", "FA_GROWTH(FUEL_EXPENSES, YOY)", "FPT=A", "FPO=1A", "ACT_EST_MAPPING=PRECISE", "FS=MRC", "CURRENCY=USD", "XLFILL=b")</f>
        <v>-13.308066709714874</v>
      </c>
      <c r="J104" s="9">
        <f>_xll.BQL("SAVE US Equity", "FA_GROWTH(FUEL_EXPENSES, YOY)", "FPT=A", "FPO=0A", "ACT_EST_MAPPING=PRECISE", "FS=MRC", "CURRENCY=USD", "XLFILL=b")</f>
        <v>-5.637603505548535</v>
      </c>
      <c r="K104" s="9">
        <f>_xll.BQL("SAVE US Equity", "FA_GROWTH(FUEL_EXPENSES, YOY)", "FPT=A", "FPO=-1A", "ACT_EST_MAPPING=PRECISE", "FS=MRC", "CURRENCY=USD", "XLFILL=b")</f>
        <v>111.16905284234828</v>
      </c>
      <c r="L104" s="9">
        <f>_xll.BQL("SAVE US Equity", "FA_GROWTH(FUEL_EXPENSES, YOY)", "FPT=A", "FPO=-2A", "ACT_EST_MAPPING=PRECISE", "FS=MRC", "CURRENCY=USD", "XLFILL=b")</f>
        <v>112.0522041763341</v>
      </c>
      <c r="M104" s="9">
        <f>_xll.BQL("SAVE US Equity", "FA_GROWTH(FUEL_EXPENSES, YOY)", "FPT=A", "FPO=-3A", "ACT_EST_MAPPING=PRECISE", "FS=MRC", "CURRENCY=USD", "XLFILL=b")</f>
        <v>-56.617056442115477</v>
      </c>
      <c r="N104" s="9">
        <f>_xll.BQL("SAVE US Equity", "FA_GROWTH(FUEL_EXPENSES, YOY)", "FPT=A", "FPO=-4A", "ACT_EST_MAPPING=PRECISE", "FS=MRC", "CURRENCY=USD", "XLFILL=b")</f>
        <v>5.7652098743351603</v>
      </c>
    </row>
    <row r="105" spans="1:14" x14ac:dyDescent="0.2">
      <c r="A105" s="8" t="s">
        <v>105</v>
      </c>
      <c r="B105" s="4" t="s">
        <v>106</v>
      </c>
      <c r="C105" s="4" t="s">
        <v>107</v>
      </c>
      <c r="D105" s="4"/>
      <c r="E105" s="9">
        <f>_xll.BQL("SAVE US Equity", "IS_PERSONNEL_EXP/1M", "FPT=A", "FPO=5A", "ACT_EST_MAPPING=PRECISE", "FS=MRC", "CURRENCY=USD", "XLFILL=b")</f>
        <v>1793.6357487455555</v>
      </c>
      <c r="F105" s="9">
        <f>_xll.BQL("SAVE US Equity", "IS_PERSONNEL_EXP/1M", "FPT=A", "FPO=4A", "ACT_EST_MAPPING=PRECISE", "FS=MRC", "CURRENCY=USD", "XLFILL=b")</f>
        <v>1700.8850849338342</v>
      </c>
      <c r="G105" s="9">
        <f>_xll.BQL("SAVE US Equity", "IS_PERSONNEL_EXP/1M", "FPT=A", "FPO=3A", "ACT_EST_MAPPING=PRECISE", "FS=MRC", "CURRENCY=USD", "XLFILL=b")</f>
        <v>1696.7098552546952</v>
      </c>
      <c r="H105" s="9">
        <f>_xll.BQL("SAVE US Equity", "IS_PERSONNEL_EXP/1M", "FPT=A", "FPO=2A", "ACT_EST_MAPPING=PRECISE", "FS=MRC", "CURRENCY=USD", "XLFILL=b")</f>
        <v>1634.3092062416199</v>
      </c>
      <c r="I105" s="9">
        <f>_xll.BQL("SAVE US Equity", "IS_PERSONNEL_EXP/1M", "FPT=A", "FPO=1A", "ACT_EST_MAPPING=PRECISE", "FS=MRC", "CURRENCY=USD", "XLFILL=b")</f>
        <v>1699.4200024118336</v>
      </c>
      <c r="J105" s="9">
        <f>_xll.BQL("SAVE US Equity", "IS_PERSONNEL_EXP/1M", "FPT=A", "FPO=0A", "ACT_EST_MAPPING=PRECISE", "FS=MRC", "CURRENCY=USD", "XLFILL=b")</f>
        <v>1616.8030000000001</v>
      </c>
      <c r="K105" s="9">
        <f>_xll.BQL("SAVE US Equity", "IS_PERSONNEL_EXP/1M", "FPT=A", "FPO=-1A", "ACT_EST_MAPPING=PRECISE", "FS=MRC", "CURRENCY=USD", "XLFILL=b")</f>
        <v>1251.2249999999999</v>
      </c>
      <c r="L105" s="9">
        <f>_xll.BQL("SAVE US Equity", "IS_PERSONNEL_EXP/1M", "FPT=A", "FPO=-2A", "ACT_EST_MAPPING=PRECISE", "FS=MRC", "CURRENCY=USD", "XLFILL=b")</f>
        <v>1065.461</v>
      </c>
      <c r="M105" s="9">
        <f>_xll.BQL("SAVE US Equity", "IS_PERSONNEL_EXP/1M", "FPT=A", "FPO=-3A", "ACT_EST_MAPPING=PRECISE", "FS=MRC", "CURRENCY=USD", "XLFILL=b")</f>
        <v>909.83399999999995</v>
      </c>
      <c r="N105" s="9">
        <f>_xll.BQL("SAVE US Equity", "IS_PERSONNEL_EXP/1M", "FPT=A", "FPO=-4A", "ACT_EST_MAPPING=PRECISE", "FS=MRC", "CURRENCY=USD", "XLFILL=b")</f>
        <v>865.01900000000001</v>
      </c>
    </row>
    <row r="106" spans="1:14" x14ac:dyDescent="0.2">
      <c r="A106" s="8" t="s">
        <v>44</v>
      </c>
      <c r="B106" s="4" t="s">
        <v>106</v>
      </c>
      <c r="C106" s="4" t="s">
        <v>107</v>
      </c>
      <c r="D106" s="4"/>
      <c r="E106" s="9">
        <f>_xll.BQL("SAVE US Equity", "FA_GROWTH(IS_PERSONNEL_EXP, YOY)", "FPT=A", "FPO=5A", "ACT_EST_MAPPING=PRECISE", "FS=MRC", "CURRENCY=USD", "XLFILL=b")</f>
        <v>5.4530823177469046</v>
      </c>
      <c r="F106" s="9">
        <f>_xll.BQL("SAVE US Equity", "FA_GROWTH(IS_PERSONNEL_EXP, YOY)", "FPT=A", "FPO=4A", "ACT_EST_MAPPING=PRECISE", "FS=MRC", "CURRENCY=USD", "XLFILL=b")</f>
        <v>0.24607800008989458</v>
      </c>
      <c r="G106" s="9">
        <f>_xll.BQL("SAVE US Equity", "FA_GROWTH(IS_PERSONNEL_EXP, YOY)", "FPT=A", "FPO=3A", "ACT_EST_MAPPING=PRECISE", "FS=MRC", "CURRENCY=USD", "XLFILL=b")</f>
        <v>3.8181666464803543</v>
      </c>
      <c r="H106" s="9">
        <f>_xll.BQL("SAVE US Equity", "FA_GROWTH(IS_PERSONNEL_EXP, YOY)", "FPT=A", "FPO=2A", "ACT_EST_MAPPING=PRECISE", "FS=MRC", "CURRENCY=USD", "XLFILL=b")</f>
        <v>-3.8313539959402512</v>
      </c>
      <c r="I106" s="9">
        <f>_xll.BQL("SAVE US Equity", "FA_GROWTH(IS_PERSONNEL_EXP, YOY)", "FPT=A", "FPO=1A", "ACT_EST_MAPPING=PRECISE", "FS=MRC", "CURRENCY=USD", "XLFILL=b")</f>
        <v>5.1098991288260551</v>
      </c>
      <c r="J106" s="9">
        <f>_xll.BQL("SAVE US Equity", "FA_GROWTH(IS_PERSONNEL_EXP, YOY)", "FPT=A", "FPO=0A", "ACT_EST_MAPPING=PRECISE", "FS=MRC", "CURRENCY=USD", "XLFILL=b")</f>
        <v>29.217606745389517</v>
      </c>
      <c r="K106" s="9">
        <f>_xll.BQL("SAVE US Equity", "FA_GROWTH(IS_PERSONNEL_EXP, YOY)", "FPT=A", "FPO=-1A", "ACT_EST_MAPPING=PRECISE", "FS=MRC", "CURRENCY=USD", "XLFILL=b")</f>
        <v>17.435082091226239</v>
      </c>
      <c r="L106" s="9">
        <f>_xll.BQL("SAVE US Equity", "FA_GROWTH(IS_PERSONNEL_EXP, YOY)", "FPT=A", "FPO=-2A", "ACT_EST_MAPPING=PRECISE", "FS=MRC", "CURRENCY=USD", "XLFILL=b")</f>
        <v>17.104988382496149</v>
      </c>
      <c r="M106" s="9">
        <f>_xll.BQL("SAVE US Equity", "FA_GROWTH(IS_PERSONNEL_EXP, YOY)", "FPT=A", "FPO=-3A", "ACT_EST_MAPPING=PRECISE", "FS=MRC", "CURRENCY=USD", "XLFILL=b")</f>
        <v>5.1808110573293762</v>
      </c>
      <c r="N106" s="9">
        <f>_xll.BQL("SAVE US Equity", "FA_GROWTH(IS_PERSONNEL_EXP, YOY)", "FPT=A", "FPO=-4A", "ACT_EST_MAPPING=PRECISE", "FS=MRC", "CURRENCY=USD", "XLFILL=b")</f>
        <v>20.20246374898386</v>
      </c>
    </row>
    <row r="107" spans="1:14" x14ac:dyDescent="0.2">
      <c r="A107" s="8" t="s">
        <v>108</v>
      </c>
      <c r="B107" s="4" t="s">
        <v>109</v>
      </c>
      <c r="C107" s="4"/>
      <c r="D107" s="4"/>
      <c r="E107" s="9">
        <f>_xll.BQL("SAVE US Equity", "PERSONNEL_EXPN_PCT_SALES", "FPT=A", "FPO=5A", "ACT_EST_MAPPING=PRECISE", "FS=MRC", "CURRENCY=USD", "XLFILL=b")</f>
        <v>25.489432999780888</v>
      </c>
      <c r="F107" s="9">
        <f>_xll.BQL("SAVE US Equity", "PERSONNEL_EXPN_PCT_SALES", "FPT=A", "FPO=4A", "ACT_EST_MAPPING=PRECISE", "FS=MRC", "CURRENCY=USD", "XLFILL=b")</f>
        <v>27.33816560158947</v>
      </c>
      <c r="G107" s="9">
        <f>_xll.BQL("SAVE US Equity", "PERSONNEL_EXPN_PCT_SALES", "FPT=A", "FPO=3A", "ACT_EST_MAPPING=PRECISE", "FS=MRC", "CURRENCY=USD", "XLFILL=b")</f>
        <v>30.325855274975794</v>
      </c>
      <c r="H107" s="9">
        <f>_xll.BQL("SAVE US Equity", "PERSONNEL_EXPN_PCT_SALES", "FPT=A", "FPO=2A", "ACT_EST_MAPPING=PRECISE", "FS=MRC", "CURRENCY=USD", "XLFILL=b")</f>
        <v>33.189254398272752</v>
      </c>
      <c r="I107" s="9">
        <f>_xll.BQL("SAVE US Equity", "PERSONNEL_EXPN_PCT_SALES", "FPT=A", "FPO=1A", "ACT_EST_MAPPING=PRECISE", "FS=MRC", "CURRENCY=USD", "XLFILL=b")</f>
        <v>34.502939133993642</v>
      </c>
      <c r="J107" s="9">
        <f>_xll.BQL("SAVE US Equity", "PERSONNEL_EXPN_PCT_SALES", "FPT=A", "FPO=0A", "ACT_EST_MAPPING=PRECISE", "FS=MRC", "CURRENCY=USD", "XLFILL=b")</f>
        <v>30.149896998610178</v>
      </c>
      <c r="K107" s="9">
        <f>_xll.BQL("SAVE US Equity", "PERSONNEL_EXPN_PCT_SALES", "FPT=A", "FPO=-1A", "ACT_EST_MAPPING=PRECISE", "FS=MRC", "CURRENCY=USD", "XLFILL=b")</f>
        <v>24.686555862180271</v>
      </c>
      <c r="L107" s="9">
        <f>_xll.BQL("SAVE US Equity", "PERSONNEL_EXPN_PCT_SALES", "FPT=A", "FPO=-2A", "ACT_EST_MAPPING=PRECISE", "FS=MRC", "CURRENCY=USD", "XLFILL=b")</f>
        <v>32.978495871733557</v>
      </c>
      <c r="M107" s="9">
        <f>_xll.BQL("SAVE US Equity", "PERSONNEL_EXPN_PCT_SALES", "FPT=A", "FPO=-3A", "ACT_EST_MAPPING=PRECISE", "FS=MRC", "CURRENCY=USD", "XLFILL=b")</f>
        <v>50.266460849647132</v>
      </c>
      <c r="N107" s="9">
        <f>_xll.BQL("SAVE US Equity", "PERSONNEL_EXPN_PCT_SALES", "FPT=A", "FPO=-4A", "ACT_EST_MAPPING=PRECISE", "FS=MRC", "CURRENCY=USD", "XLFILL=b")</f>
        <v>22.582192152743115</v>
      </c>
    </row>
    <row r="108" spans="1:14" x14ac:dyDescent="0.2">
      <c r="A108" s="8" t="s">
        <v>92</v>
      </c>
      <c r="B108" s="4" t="s">
        <v>109</v>
      </c>
      <c r="C108" s="4"/>
      <c r="D108" s="4"/>
      <c r="E108" s="9">
        <f>_xll.BQL("SAVE US Equity", "FA_GROWTH(PERSONNEL_EXPN_PCT_SALES, YOY)", "FPT=A", "FPO=5A", "ACT_EST_MAPPING=PRECISE", "FS=MRC", "CURRENCY=USD", "XLFILL=b")</f>
        <v>-6.7624603228721911</v>
      </c>
      <c r="F108" s="9">
        <f>_xll.BQL("SAVE US Equity", "FA_GROWTH(PERSONNEL_EXPN_PCT_SALES, YOY)", "FPT=A", "FPO=4A", "ACT_EST_MAPPING=PRECISE", "FS=MRC", "CURRENCY=USD", "XLFILL=b")</f>
        <v>-9.8519551923460433</v>
      </c>
      <c r="G108" s="9">
        <f>_xll.BQL("SAVE US Equity", "FA_GROWTH(PERSONNEL_EXPN_PCT_SALES, YOY)", "FPT=A", "FPO=3A", "ACT_EST_MAPPING=PRECISE", "FS=MRC", "CURRENCY=USD", "XLFILL=b")</f>
        <v>-8.6274885507701438</v>
      </c>
      <c r="H108" s="9">
        <f>_xll.BQL("SAVE US Equity", "FA_GROWTH(PERSONNEL_EXPN_PCT_SALES, YOY)", "FPT=A", "FPO=2A", "ACT_EST_MAPPING=PRECISE", "FS=MRC", "CURRENCY=USD", "XLFILL=b")</f>
        <v>-3.8074574766489886</v>
      </c>
      <c r="I108" s="9">
        <f>_xll.BQL("SAVE US Equity", "FA_GROWTH(PERSONNEL_EXPN_PCT_SALES, YOY)", "FPT=A", "FPO=1A", "ACT_EST_MAPPING=PRECISE", "FS=MRC", "CURRENCY=USD", "XLFILL=b")</f>
        <v>14.438000022302322</v>
      </c>
      <c r="J108" s="9">
        <f>_xll.BQL("SAVE US Equity", "FA_GROWTH(PERSONNEL_EXPN_PCT_SALES, YOY)", "FPT=A", "FPO=0A", "ACT_EST_MAPPING=PRECISE", "FS=MRC", "CURRENCY=USD", "XLFILL=b")</f>
        <v>22.130835775272036</v>
      </c>
      <c r="K108" s="9">
        <f>_xll.BQL("SAVE US Equity", "FA_GROWTH(PERSONNEL_EXPN_PCT_SALES, YOY)", "FPT=A", "FPO=-1A", "ACT_EST_MAPPING=PRECISE", "FS=MRC", "CURRENCY=USD", "XLFILL=b")</f>
        <v>-25.143475438673516</v>
      </c>
      <c r="L108" s="9">
        <f>_xll.BQL("SAVE US Equity", "FA_GROWTH(PERSONNEL_EXPN_PCT_SALES, YOY)", "FPT=A", "FPO=-2A", "ACT_EST_MAPPING=PRECISE", "FS=MRC", "CURRENCY=USD", "XLFILL=b")</f>
        <v>-34.392644092497186</v>
      </c>
      <c r="M108" s="9">
        <f>_xll.BQL("SAVE US Equity", "FA_GROWTH(PERSONNEL_EXPN_PCT_SALES, YOY)", "FPT=A", "FPO=-3A", "ACT_EST_MAPPING=PRECISE", "FS=MRC", "CURRENCY=USD", "XLFILL=b")</f>
        <v>122.59336254713935</v>
      </c>
      <c r="N108" s="9">
        <f>_xll.BQL("SAVE US Equity", "FA_GROWTH(PERSONNEL_EXPN_PCT_SALES, YOY)", "FPT=A", "FPO=-4A", "ACT_EST_MAPPING=PRECISE", "FS=MRC", "CURRENCY=USD", "XLFILL=b")</f>
        <v>4.2770186526483069</v>
      </c>
    </row>
    <row r="109" spans="1:14" x14ac:dyDescent="0.2">
      <c r="A109" s="8" t="s">
        <v>110</v>
      </c>
      <c r="B109" s="4" t="s">
        <v>111</v>
      </c>
      <c r="C109" s="4"/>
      <c r="D109" s="4"/>
      <c r="E109" s="9">
        <f>_xll.BQL("SAVE US Equity", "OTHER_RENTALS_LANDING_FEES/1M", "FPT=A", "FPO=5A", "ACT_EST_MAPPING=PRECISE", "FS=MRC", "CURRENCY=USD", "XLFILL=b")</f>
        <v>498.74457737543258</v>
      </c>
      <c r="F109" s="9">
        <f>_xll.BQL("SAVE US Equity", "OTHER_RENTALS_LANDING_FEES/1M", "FPT=A", "FPO=4A", "ACT_EST_MAPPING=PRECISE", "FS=MRC", "CURRENCY=USD", "XLFILL=b")</f>
        <v>454.31278682404127</v>
      </c>
      <c r="G109" s="9">
        <f>_xll.BQL("SAVE US Equity", "OTHER_RENTALS_LANDING_FEES/1M", "FPT=A", "FPO=3A", "ACT_EST_MAPPING=PRECISE", "FS=MRC", "CURRENCY=USD", "XLFILL=b")</f>
        <v>433.69013437691416</v>
      </c>
      <c r="H109" s="9">
        <f>_xll.BQL("SAVE US Equity", "OTHER_RENTALS_LANDING_FEES/1M", "FPT=A", "FPO=2A", "ACT_EST_MAPPING=PRECISE", "FS=MRC", "CURRENCY=USD", "XLFILL=b")</f>
        <v>430.42906232593958</v>
      </c>
      <c r="I109" s="9">
        <f>_xll.BQL("SAVE US Equity", "OTHER_RENTALS_LANDING_FEES/1M", "FPT=A", "FPO=1A", "ACT_EST_MAPPING=PRECISE", "FS=MRC", "CURRENCY=USD", "XLFILL=b")</f>
        <v>457.08376765953443</v>
      </c>
      <c r="J109" s="9">
        <f>_xll.BQL("SAVE US Equity", "OTHER_RENTALS_LANDING_FEES/1M", "FPT=A", "FPO=0A", "ACT_EST_MAPPING=PRECISE", "FS=MRC", "CURRENCY=USD", "XLFILL=b")</f>
        <v>408.262</v>
      </c>
      <c r="K109" s="9">
        <f>_xll.BQL("SAVE US Equity", "OTHER_RENTALS_LANDING_FEES/1M", "FPT=A", "FPO=-1A", "ACT_EST_MAPPING=PRECISE", "FS=MRC", "CURRENCY=USD", "XLFILL=b")</f>
        <v>347.26799999999997</v>
      </c>
      <c r="L109" s="9">
        <f>_xll.BQL("SAVE US Equity", "OTHER_RENTALS_LANDING_FEES/1M", "FPT=A", "FPO=-2A", "ACT_EST_MAPPING=PRECISE", "FS=MRC", "CURRENCY=USD", "XLFILL=b")</f>
        <v>315.99900000000002</v>
      </c>
      <c r="M109" s="9">
        <f>_xll.BQL("SAVE US Equity", "OTHER_RENTALS_LANDING_FEES/1M", "FPT=A", "FPO=-3A", "ACT_EST_MAPPING=PRECISE", "FS=MRC", "CURRENCY=USD", "XLFILL=b")</f>
        <v>251.02799999999999</v>
      </c>
      <c r="N109" s="9">
        <f>_xll.BQL("SAVE US Equity", "OTHER_RENTALS_LANDING_FEES/1M", "FPT=A", "FPO=-4A", "ACT_EST_MAPPING=PRECISE", "FS=MRC", "CURRENCY=USD", "XLFILL=b")</f>
        <v>256.27499999999998</v>
      </c>
    </row>
    <row r="110" spans="1:14" x14ac:dyDescent="0.2">
      <c r="A110" s="8" t="s">
        <v>44</v>
      </c>
      <c r="B110" s="4" t="s">
        <v>111</v>
      </c>
      <c r="C110" s="4"/>
      <c r="D110" s="4"/>
      <c r="E110" s="9">
        <f>_xll.BQL("SAVE US Equity", "FA_GROWTH(OTHER_RENTALS_LANDING_FEES, YOY)", "FPT=A", "FPO=5A", "ACT_EST_MAPPING=PRECISE", "FS=MRC", "CURRENCY=USD", "XLFILL=b")</f>
        <v>9.7800000000000278</v>
      </c>
      <c r="F110" s="9">
        <f>_xll.BQL("SAVE US Equity", "FA_GROWTH(OTHER_RENTALS_LANDING_FEES, YOY)", "FPT=A", "FPO=4A", "ACT_EST_MAPPING=PRECISE", "FS=MRC", "CURRENCY=USD", "XLFILL=b")</f>
        <v>4.7551583060001636</v>
      </c>
      <c r="G110" s="9">
        <f>_xll.BQL("SAVE US Equity", "FA_GROWTH(OTHER_RENTALS_LANDING_FEES, YOY)", "FPT=A", "FPO=3A", "ACT_EST_MAPPING=PRECISE", "FS=MRC", "CURRENCY=USD", "XLFILL=b")</f>
        <v>0.75763286831806032</v>
      </c>
      <c r="H110" s="9">
        <f>_xll.BQL("SAVE US Equity", "FA_GROWTH(OTHER_RENTALS_LANDING_FEES, YOY)", "FPT=A", "FPO=2A", "ACT_EST_MAPPING=PRECISE", "FS=MRC", "CURRENCY=USD", "XLFILL=b")</f>
        <v>-5.8314705573725396</v>
      </c>
      <c r="I110" s="9">
        <f>_xll.BQL("SAVE US Equity", "FA_GROWTH(OTHER_RENTALS_LANDING_FEES, YOY)", "FPT=A", "FPO=1A", "ACT_EST_MAPPING=PRECISE", "FS=MRC", "CURRENCY=USD", "XLFILL=b")</f>
        <v>11.958440329870145</v>
      </c>
      <c r="J110" s="9">
        <f>_xll.BQL("SAVE US Equity", "FA_GROWTH(OTHER_RENTALS_LANDING_FEES, YOY)", "FPT=A", "FPO=0A", "ACT_EST_MAPPING=PRECISE", "FS=MRC", "CURRENCY=USD", "XLFILL=b")</f>
        <v>17.563956367992443</v>
      </c>
      <c r="K110" s="9">
        <f>_xll.BQL("SAVE US Equity", "FA_GROWTH(OTHER_RENTALS_LANDING_FEES, YOY)", "FPT=A", "FPO=-1A", "ACT_EST_MAPPING=PRECISE", "FS=MRC", "CURRENCY=USD", "XLFILL=b")</f>
        <v>9.8952844787483496</v>
      </c>
      <c r="L110" s="9">
        <f>_xll.BQL("SAVE US Equity", "FA_GROWTH(OTHER_RENTALS_LANDING_FEES, YOY)", "FPT=A", "FPO=-2A", "ACT_EST_MAPPING=PRECISE", "FS=MRC", "CURRENCY=USD", "XLFILL=b")</f>
        <v>25.881973325684783</v>
      </c>
      <c r="M110" s="9">
        <f>_xll.BQL("SAVE US Equity", "FA_GROWTH(OTHER_RENTALS_LANDING_FEES, YOY)", "FPT=A", "FPO=-3A", "ACT_EST_MAPPING=PRECISE", "FS=MRC", "CURRENCY=USD", "XLFILL=b")</f>
        <v>-2.0474100087796199</v>
      </c>
      <c r="N110" s="9">
        <f>_xll.BQL("SAVE US Equity", "FA_GROWTH(OTHER_RENTALS_LANDING_FEES, YOY)", "FPT=A", "FPO=-4A", "ACT_EST_MAPPING=PRECISE", "FS=MRC", "CURRENCY=USD", "XLFILL=b")</f>
        <v>19.377017565924607</v>
      </c>
    </row>
    <row r="111" spans="1:14" x14ac:dyDescent="0.2">
      <c r="A111" s="8" t="s">
        <v>112</v>
      </c>
      <c r="B111" s="4" t="s">
        <v>113</v>
      </c>
      <c r="C111" s="4"/>
      <c r="D111" s="4"/>
      <c r="E111" s="9">
        <f>_xll.BQL("SAVE US Equity", "CF_DEPR_AMORT/1M", "FPT=A", "FPO=5A", "ACT_EST_MAPPING=PRECISE", "FS=MRC", "CURRENCY=USD", "XLFILL=b")</f>
        <v>502.94400000000002</v>
      </c>
      <c r="F111" s="9">
        <f>_xll.BQL("SAVE US Equity", "CF_DEPR_AMORT/1M", "FPT=A", "FPO=4A", "ACT_EST_MAPPING=PRECISE", "FS=MRC", "CURRENCY=USD", "XLFILL=b")</f>
        <v>462.94400000000002</v>
      </c>
      <c r="G111" s="9">
        <f>_xll.BQL("SAVE US Equity", "CF_DEPR_AMORT/1M", "FPT=A", "FPO=3A", "ACT_EST_MAPPING=PRECISE", "FS=MRC", "CURRENCY=USD", "XLFILL=b")</f>
        <v>332.10117157294803</v>
      </c>
      <c r="H111" s="9">
        <f>_xll.BQL("SAVE US Equity", "CF_DEPR_AMORT/1M", "FPT=A", "FPO=2A", "ACT_EST_MAPPING=PRECISE", "FS=MRC", "CURRENCY=USD", "XLFILL=b")</f>
        <v>335.5166214888572</v>
      </c>
      <c r="I111" s="9">
        <f>_xll.BQL("SAVE US Equity", "CF_DEPR_AMORT/1M", "FPT=A", "FPO=1A", "ACT_EST_MAPPING=PRECISE", "FS=MRC", "CURRENCY=USD", "XLFILL=b")</f>
        <v>336.28845186783337</v>
      </c>
      <c r="J111" s="9">
        <f>_xll.BQL("SAVE US Equity", "CF_DEPR_AMORT/1M", "FPT=A", "FPO=0A", "ACT_EST_MAPPING=PRECISE", "FS=MRC", "CURRENCY=USD", "XLFILL=b")</f>
        <v>320.87200000000001</v>
      </c>
      <c r="K111" s="9">
        <f>_xll.BQL("SAVE US Equity", "CF_DEPR_AMORT/1M", "FPT=A", "FPO=-1A", "ACT_EST_MAPPING=PRECISE", "FS=MRC", "CURRENCY=USD", "XLFILL=b")</f>
        <v>313.08999999999997</v>
      </c>
      <c r="L111" s="9">
        <f>_xll.BQL("SAVE US Equity", "CF_DEPR_AMORT/1M", "FPT=A", "FPO=-2A", "ACT_EST_MAPPING=PRECISE", "FS=MRC", "CURRENCY=USD", "XLFILL=b")</f>
        <v>297.21100000000001</v>
      </c>
      <c r="M111" s="9">
        <f>_xll.BQL("SAVE US Equity", "CF_DEPR_AMORT/1M", "FPT=A", "FPO=-3A", "ACT_EST_MAPPING=PRECISE", "FS=MRC", "CURRENCY=USD", "XLFILL=b")</f>
        <v>278.58800000000002</v>
      </c>
      <c r="N111" s="9">
        <f>_xll.BQL("SAVE US Equity", "CF_DEPR_AMORT/1M", "FPT=A", "FPO=-4A", "ACT_EST_MAPPING=PRECISE", "FS=MRC", "CURRENCY=USD", "XLFILL=b")</f>
        <v>225.26400000000001</v>
      </c>
    </row>
    <row r="112" spans="1:14" x14ac:dyDescent="0.2">
      <c r="A112" s="8" t="s">
        <v>44</v>
      </c>
      <c r="B112" s="4" t="s">
        <v>113</v>
      </c>
      <c r="C112" s="4"/>
      <c r="D112" s="4"/>
      <c r="E112" s="9">
        <f>_xll.BQL("SAVE US Equity", "FA_GROWTH(CF_DEPR_AMORT, YOY)", "FPT=A", "FPO=5A", "ACT_EST_MAPPING=PRECISE", "FS=MRC", "CURRENCY=USD", "XLFILL=b")</f>
        <v>8.6403539088961079</v>
      </c>
      <c r="F112" s="9">
        <f>_xll.BQL("SAVE US Equity", "FA_GROWTH(CF_DEPR_AMORT, YOY)", "FPT=A", "FPO=4A", "ACT_EST_MAPPING=PRECISE", "FS=MRC", "CURRENCY=USD", "XLFILL=b")</f>
        <v>39.398484445969963</v>
      </c>
      <c r="G112" s="9">
        <f>_xll.BQL("SAVE US Equity", "FA_GROWTH(CF_DEPR_AMORT, YOY)", "FPT=A", "FPO=3A", "ACT_EST_MAPPING=PRECISE", "FS=MRC", "CURRENCY=USD", "XLFILL=b")</f>
        <v>-1.0179674261004088</v>
      </c>
      <c r="H112" s="9">
        <f>_xll.BQL("SAVE US Equity", "FA_GROWTH(CF_DEPR_AMORT, YOY)", "FPT=A", "FPO=2A", "ACT_EST_MAPPING=PRECISE", "FS=MRC", "CURRENCY=USD", "XLFILL=b")</f>
        <v>-0.22951438703565941</v>
      </c>
      <c r="I112" s="9">
        <f>_xll.BQL("SAVE US Equity", "FA_GROWTH(CF_DEPR_AMORT, YOY)", "FPT=A", "FPO=1A", "ACT_EST_MAPPING=PRECISE", "FS=MRC", "CURRENCY=USD", "XLFILL=b")</f>
        <v>4.8045488131820093</v>
      </c>
      <c r="J112" s="9">
        <f>_xll.BQL("SAVE US Equity", "FA_GROWTH(CF_DEPR_AMORT, YOY)", "FPT=A", "FPO=0A", "ACT_EST_MAPPING=PRECISE", "FS=MRC", "CURRENCY=USD", "XLFILL=b")</f>
        <v>2.4855472867226678</v>
      </c>
      <c r="K112" s="9">
        <f>_xll.BQL("SAVE US Equity", "FA_GROWTH(CF_DEPR_AMORT, YOY)", "FPT=A", "FPO=-1A", "ACT_EST_MAPPING=PRECISE", "FS=MRC", "CURRENCY=USD", "XLFILL=b")</f>
        <v>5.3426690129234782</v>
      </c>
      <c r="L112" s="9">
        <f>_xll.BQL("SAVE US Equity", "FA_GROWTH(CF_DEPR_AMORT, YOY)", "FPT=A", "FPO=-2A", "ACT_EST_MAPPING=PRECISE", "FS=MRC", "CURRENCY=USD", "XLFILL=b")</f>
        <v>6.6847818283630307</v>
      </c>
      <c r="M112" s="9">
        <f>_xll.BQL("SAVE US Equity", "FA_GROWTH(CF_DEPR_AMORT, YOY)", "FPT=A", "FPO=-3A", "ACT_EST_MAPPING=PRECISE", "FS=MRC", "CURRENCY=USD", "XLFILL=b")</f>
        <v>23.671780666240501</v>
      </c>
      <c r="N112" s="9">
        <f>_xll.BQL("SAVE US Equity", "FA_GROWTH(CF_DEPR_AMORT, YOY)", "FPT=A", "FPO=-4A", "ACT_EST_MAPPING=PRECISE", "FS=MRC", "CURRENCY=USD", "XLFILL=b")</f>
        <v>27.46439423517629</v>
      </c>
    </row>
    <row r="113" spans="1:14" x14ac:dyDescent="0.2">
      <c r="A113" s="8" t="s">
        <v>114</v>
      </c>
      <c r="B113" s="4" t="s">
        <v>115</v>
      </c>
      <c r="C113" s="4"/>
      <c r="D113" s="4"/>
      <c r="E113" s="9">
        <f>_xll.BQL("SAVE US Equity", "AIRCRAFT_RENTALS/1M", "FPT=A", "FPO=5A", "ACT_EST_MAPPING=PRECISE", "FS=MRC", "CURRENCY=USD", "XLFILL=b")</f>
        <v>713.74775796235735</v>
      </c>
      <c r="F113" s="9">
        <f>_xll.BQL("SAVE US Equity", "AIRCRAFT_RENTALS/1M", "FPT=A", "FPO=4A", "ACT_EST_MAPPING=PRECISE", "FS=MRC", "CURRENCY=USD", "XLFILL=b")</f>
        <v>675.89749807041403</v>
      </c>
      <c r="G113" s="9">
        <f>_xll.BQL("SAVE US Equity", "AIRCRAFT_RENTALS/1M", "FPT=A", "FPO=3A", "ACT_EST_MAPPING=PRECISE", "FS=MRC", "CURRENCY=USD", "XLFILL=b")</f>
        <v>535.00125423716884</v>
      </c>
      <c r="H113" s="9">
        <f>_xll.BQL("SAVE US Equity", "AIRCRAFT_RENTALS/1M", "FPT=A", "FPO=2A", "ACT_EST_MAPPING=PRECISE", "FS=MRC", "CURRENCY=USD", "XLFILL=b")</f>
        <v>525.52008033778839</v>
      </c>
      <c r="I113" s="9">
        <f>_xll.BQL("SAVE US Equity", "AIRCRAFT_RENTALS/1M", "FPT=A", "FPO=1A", "ACT_EST_MAPPING=PRECISE", "FS=MRC", "CURRENCY=USD", "XLFILL=b")</f>
        <v>503.2714922179112</v>
      </c>
      <c r="J113" s="9">
        <f>_xll.BQL("SAVE US Equity", "AIRCRAFT_RENTALS/1M", "FPT=A", "FPO=0A", "ACT_EST_MAPPING=PRECISE", "FS=MRC", "CURRENCY=USD", "XLFILL=b")</f>
        <v>381.23899999999998</v>
      </c>
      <c r="K113" s="9">
        <f>_xll.BQL("SAVE US Equity", "AIRCRAFT_RENTALS/1M", "FPT=A", "FPO=-1A", "ACT_EST_MAPPING=PRECISE", "FS=MRC", "CURRENCY=USD", "XLFILL=b")</f>
        <v>282.428</v>
      </c>
      <c r="L113" s="9">
        <f>_xll.BQL("SAVE US Equity", "AIRCRAFT_RENTALS/1M", "FPT=A", "FPO=-2A", "ACT_EST_MAPPING=PRECISE", "FS=MRC", "CURRENCY=USD", "XLFILL=b")</f>
        <v>246.601</v>
      </c>
      <c r="M113" s="9">
        <f>_xll.BQL("SAVE US Equity", "AIRCRAFT_RENTALS/1M", "FPT=A", "FPO=-3A", "ACT_EST_MAPPING=PRECISE", "FS=MRC", "CURRENCY=USD", "XLFILL=b")</f>
        <v>196.35900000000001</v>
      </c>
      <c r="N113" s="9">
        <f>_xll.BQL("SAVE US Equity", "AIRCRAFT_RENTALS/1M", "FPT=A", "FPO=-4A", "ACT_EST_MAPPING=PRECISE", "FS=MRC", "CURRENCY=USD", "XLFILL=b")</f>
        <v>182.60900000000001</v>
      </c>
    </row>
    <row r="114" spans="1:14" x14ac:dyDescent="0.2">
      <c r="A114" s="8" t="s">
        <v>44</v>
      </c>
      <c r="B114" s="4" t="s">
        <v>115</v>
      </c>
      <c r="C114" s="4"/>
      <c r="D114" s="4"/>
      <c r="E114" s="9">
        <f>_xll.BQL("SAVE US Equity", "FA_GROWTH(AIRCRAFT_RENTALS, YOY)", "FPT=A", "FPO=5A", "ACT_EST_MAPPING=PRECISE", "FS=MRC", "CURRENCY=USD", "XLFILL=b")</f>
        <v>5.6000000000000218</v>
      </c>
      <c r="F114" s="9">
        <f>_xll.BQL("SAVE US Equity", "FA_GROWTH(AIRCRAFT_RENTALS, YOY)", "FPT=A", "FPO=4A", "ACT_EST_MAPPING=PRECISE", "FS=MRC", "CURRENCY=USD", "XLFILL=b")</f>
        <v>26.335684770336119</v>
      </c>
      <c r="G114" s="9">
        <f>_xll.BQL("SAVE US Equity", "FA_GROWTH(AIRCRAFT_RENTALS, YOY)", "FPT=A", "FPO=3A", "ACT_EST_MAPPING=PRECISE", "FS=MRC", "CURRENCY=USD", "XLFILL=b")</f>
        <v>1.804150641263077</v>
      </c>
      <c r="H114" s="9">
        <f>_xll.BQL("SAVE US Equity", "FA_GROWTH(AIRCRAFT_RENTALS, YOY)", "FPT=A", "FPO=2A", "ACT_EST_MAPPING=PRECISE", "FS=MRC", "CURRENCY=USD", "XLFILL=b")</f>
        <v>4.4207924477955043</v>
      </c>
      <c r="I114" s="9">
        <f>_xll.BQL("SAVE US Equity", "FA_GROWTH(AIRCRAFT_RENTALS, YOY)", "FPT=A", "FPO=1A", "ACT_EST_MAPPING=PRECISE", "FS=MRC", "CURRENCY=USD", "XLFILL=b")</f>
        <v>32.009446100192058</v>
      </c>
      <c r="J114" s="9">
        <f>_xll.BQL("SAVE US Equity", "FA_GROWTH(AIRCRAFT_RENTALS, YOY)", "FPT=A", "FPO=0A", "ACT_EST_MAPPING=PRECISE", "FS=MRC", "CURRENCY=USD", "XLFILL=b")</f>
        <v>34.986261985355561</v>
      </c>
      <c r="K114" s="9">
        <f>_xll.BQL("SAVE US Equity", "FA_GROWTH(AIRCRAFT_RENTALS, YOY)", "FPT=A", "FPO=-1A", "ACT_EST_MAPPING=PRECISE", "FS=MRC", "CURRENCY=USD", "XLFILL=b")</f>
        <v>14.528327135737486</v>
      </c>
      <c r="L114" s="9">
        <f>_xll.BQL("SAVE US Equity", "FA_GROWTH(AIRCRAFT_RENTALS, YOY)", "FPT=A", "FPO=-2A", "ACT_EST_MAPPING=PRECISE", "FS=MRC", "CURRENCY=USD", "XLFILL=b")</f>
        <v>25.586807836666512</v>
      </c>
      <c r="M114" s="9">
        <f>_xll.BQL("SAVE US Equity", "FA_GROWTH(AIRCRAFT_RENTALS, YOY)", "FPT=A", "FPO=-3A", "ACT_EST_MAPPING=PRECISE", "FS=MRC", "CURRENCY=USD", "XLFILL=b")</f>
        <v>7.5297493551796464</v>
      </c>
      <c r="N114" s="9">
        <f>_xll.BQL("SAVE US Equity", "FA_GROWTH(AIRCRAFT_RENTALS, YOY)", "FPT=A", "FPO=-4A", "ACT_EST_MAPPING=PRECISE", "FS=MRC", "CURRENCY=USD", "XLFILL=b")</f>
        <v>2.7966516738815925</v>
      </c>
    </row>
    <row r="115" spans="1:14" x14ac:dyDescent="0.2">
      <c r="A115" s="8" t="s">
        <v>116</v>
      </c>
      <c r="B115" s="4" t="s">
        <v>117</v>
      </c>
      <c r="C115" s="4"/>
      <c r="D115" s="4"/>
      <c r="E115" s="9">
        <f>_xll.BQL("SAVE US Equity", "MAINTENANCE_MATERIALS_REPAIRS/1M", "FPT=A", "FPO=5A", "ACT_EST_MAPPING=PRECISE", "FS=MRC", "CURRENCY=USD", "XLFILL=b")</f>
        <v>291.33556756073165</v>
      </c>
      <c r="F115" s="9">
        <f>_xll.BQL("SAVE US Equity", "MAINTENANCE_MATERIALS_REPAIRS/1M", "FPT=A", "FPO=4A", "ACT_EST_MAPPING=PRECISE", "FS=MRC", "CURRENCY=USD", "XLFILL=b")</f>
        <v>267.52577370131473</v>
      </c>
      <c r="G115" s="9">
        <f>_xll.BQL("SAVE US Equity", "MAINTENANCE_MATERIALS_REPAIRS/1M", "FPT=A", "FPO=3A", "ACT_EST_MAPPING=PRECISE", "FS=MRC", "CURRENCY=USD", "XLFILL=b")</f>
        <v>228.06177037097598</v>
      </c>
      <c r="H115" s="9">
        <f>_xll.BQL("SAVE US Equity", "MAINTENANCE_MATERIALS_REPAIRS/1M", "FPT=A", "FPO=2A", "ACT_EST_MAPPING=PRECISE", "FS=MRC", "CURRENCY=USD", "XLFILL=b")</f>
        <v>225.27085899398421</v>
      </c>
      <c r="I115" s="9">
        <f>_xll.BQL("SAVE US Equity", "MAINTENANCE_MATERIALS_REPAIRS/1M", "FPT=A", "FPO=1A", "ACT_EST_MAPPING=PRECISE", "FS=MRC", "CURRENCY=USD", "XLFILL=b")</f>
        <v>228.627897133</v>
      </c>
      <c r="J115" s="9">
        <f>_xll.BQL("SAVE US Equity", "MAINTENANCE_MATERIALS_REPAIRS/1M", "FPT=A", "FPO=0A", "ACT_EST_MAPPING=PRECISE", "FS=MRC", "CURRENCY=USD", "XLFILL=b")</f>
        <v>223.339</v>
      </c>
      <c r="K115" s="9">
        <f>_xll.BQL("SAVE US Equity", "MAINTENANCE_MATERIALS_REPAIRS/1M", "FPT=A", "FPO=-1A", "ACT_EST_MAPPING=PRECISE", "FS=MRC", "CURRENCY=USD", "XLFILL=b")</f>
        <v>187.82</v>
      </c>
      <c r="L115" s="9">
        <f>_xll.BQL("SAVE US Equity", "MAINTENANCE_MATERIALS_REPAIRS/1M", "FPT=A", "FPO=-2A", "ACT_EST_MAPPING=PRECISE", "FS=MRC", "CURRENCY=USD", "XLFILL=b")</f>
        <v>159.50200000000001</v>
      </c>
      <c r="M115" s="9">
        <f>_xll.BQL("SAVE US Equity", "MAINTENANCE_MATERIALS_REPAIRS/1M", "FPT=A", "FPO=-3A", "ACT_EST_MAPPING=PRECISE", "FS=MRC", "CURRENCY=USD", "XLFILL=b")</f>
        <v>111.227</v>
      </c>
      <c r="N115" s="9">
        <f>_xll.BQL("SAVE US Equity", "MAINTENANCE_MATERIALS_REPAIRS/1M", "FPT=A", "FPO=-4A", "ACT_EST_MAPPING=PRECISE", "FS=MRC", "CURRENCY=USD", "XLFILL=b")</f>
        <v>143.57499999999999</v>
      </c>
    </row>
    <row r="116" spans="1:14" x14ac:dyDescent="0.2">
      <c r="A116" s="8" t="s">
        <v>44</v>
      </c>
      <c r="B116" s="4" t="s">
        <v>117</v>
      </c>
      <c r="C116" s="4"/>
      <c r="D116" s="4"/>
      <c r="E116" s="9">
        <f>_xll.BQL("SAVE US Equity", "FA_GROWTH(MAINTENANCE_MATERIALS_REPAIRS, YOY)", "FPT=A", "FPO=5A", "ACT_EST_MAPPING=PRECISE", "FS=MRC", "CURRENCY=USD", "XLFILL=b")</f>
        <v>8.8999999999999595</v>
      </c>
      <c r="F116" s="9">
        <f>_xll.BQL("SAVE US Equity", "FA_GROWTH(MAINTENANCE_MATERIALS_REPAIRS, YOY)", "FPT=A", "FPO=4A", "ACT_EST_MAPPING=PRECISE", "FS=MRC", "CURRENCY=USD", "XLFILL=b")</f>
        <v>17.304085321334117</v>
      </c>
      <c r="G116" s="9">
        <f>_xll.BQL("SAVE US Equity", "FA_GROWTH(MAINTENANCE_MATERIALS_REPAIRS, YOY)", "FPT=A", "FPO=3A", "ACT_EST_MAPPING=PRECISE", "FS=MRC", "CURRENCY=USD", "XLFILL=b")</f>
        <v>1.2389136302207244</v>
      </c>
      <c r="H116" s="9">
        <f>_xll.BQL("SAVE US Equity", "FA_GROWTH(MAINTENANCE_MATERIALS_REPAIRS, YOY)", "FPT=A", "FPO=2A", "ACT_EST_MAPPING=PRECISE", "FS=MRC", "CURRENCY=USD", "XLFILL=b")</f>
        <v>-1.4683414321319368</v>
      </c>
      <c r="I116" s="9">
        <f>_xll.BQL("SAVE US Equity", "FA_GROWTH(MAINTENANCE_MATERIALS_REPAIRS, YOY)", "FPT=A", "FPO=1A", "ACT_EST_MAPPING=PRECISE", "FS=MRC", "CURRENCY=USD", "XLFILL=b")</f>
        <v>2.368102809182461</v>
      </c>
      <c r="J116" s="9">
        <f>_xll.BQL("SAVE US Equity", "FA_GROWTH(MAINTENANCE_MATERIALS_REPAIRS, YOY)", "FPT=A", "FPO=0A", "ACT_EST_MAPPING=PRECISE", "FS=MRC", "CURRENCY=USD", "XLFILL=b")</f>
        <v>18.911191566393356</v>
      </c>
      <c r="K116" s="9">
        <f>_xll.BQL("SAVE US Equity", "FA_GROWTH(MAINTENANCE_MATERIALS_REPAIRS, YOY)", "FPT=A", "FPO=-1A", "ACT_EST_MAPPING=PRECISE", "FS=MRC", "CURRENCY=USD", "XLFILL=b")</f>
        <v>17.754009354114682</v>
      </c>
      <c r="L116" s="9">
        <f>_xll.BQL("SAVE US Equity", "FA_GROWTH(MAINTENANCE_MATERIALS_REPAIRS, YOY)", "FPT=A", "FPO=-2A", "ACT_EST_MAPPING=PRECISE", "FS=MRC", "CURRENCY=USD", "XLFILL=b")</f>
        <v>43.402231472574108</v>
      </c>
      <c r="M116" s="9">
        <f>_xll.BQL("SAVE US Equity", "FA_GROWTH(MAINTENANCE_MATERIALS_REPAIRS, YOY)", "FPT=A", "FPO=-3A", "ACT_EST_MAPPING=PRECISE", "FS=MRC", "CURRENCY=USD", "XLFILL=b")</f>
        <v>-22.530384816298103</v>
      </c>
      <c r="N116" s="9">
        <f>_xll.BQL("SAVE US Equity", "FA_GROWTH(MAINTENANCE_MATERIALS_REPAIRS, YOY)", "FPT=A", "FPO=-4A", "ACT_EST_MAPPING=PRECISE", "FS=MRC", "CURRENCY=USD", "XLFILL=b")</f>
        <v>11.2311935418894</v>
      </c>
    </row>
    <row r="117" spans="1:14" x14ac:dyDescent="0.2">
      <c r="A117" s="8" t="s">
        <v>118</v>
      </c>
      <c r="B117" s="4" t="s">
        <v>119</v>
      </c>
      <c r="C117" s="4" t="s">
        <v>120</v>
      </c>
      <c r="D117" s="4"/>
      <c r="E117" s="9">
        <f>_xll.BQL("SAVE US Equity", "IS_SELLING_EXPENSES/1M", "FPT=A", "FPO=5A", "ACT_EST_MAPPING=PRECISE", "FS=MRC", "CURRENCY=USD", "XLFILL=b")</f>
        <v>190.26672547612569</v>
      </c>
      <c r="F117" s="9">
        <f>_xll.BQL("SAVE US Equity", "IS_SELLING_EXPENSES/1M", "FPT=A", "FPO=4A", "ACT_EST_MAPPING=PRECISE", "FS=MRC", "CURRENCY=USD", "XLFILL=b")</f>
        <v>173.14289332616767</v>
      </c>
      <c r="G117" s="9">
        <f>_xll.BQL("SAVE US Equity", "IS_SELLING_EXPENSES/1M", "FPT=A", "FPO=3A", "ACT_EST_MAPPING=PRECISE", "FS=MRC", "CURRENCY=USD", "XLFILL=b")</f>
        <v>194.19153744972965</v>
      </c>
      <c r="H117" s="9">
        <f>_xll.BQL("SAVE US Equity", "IS_SELLING_EXPENSES/1M", "FPT=A", "FPO=2A", "ACT_EST_MAPPING=PRECISE", "FS=MRC", "CURRENCY=USD", "XLFILL=b")</f>
        <v>181.09261132202664</v>
      </c>
      <c r="I117" s="9">
        <f>_xll.BQL("SAVE US Equity", "IS_SELLING_EXPENSES/1M", "FPT=A", "FPO=1A", "ACT_EST_MAPPING=PRECISE", "FS=MRC", "CURRENCY=USD", "XLFILL=b")</f>
        <v>181.06386515827666</v>
      </c>
      <c r="J117" s="9">
        <f>_xll.BQL("SAVE US Equity", "IS_SELLING_EXPENSES/1M", "FPT=A", "FPO=0A", "ACT_EST_MAPPING=PRECISE", "FS=MRC", "CURRENCY=USD", "XLFILL=b")</f>
        <v>190.89099999999999</v>
      </c>
      <c r="K117" s="9">
        <f>_xll.BQL("SAVE US Equity", "IS_SELLING_EXPENSES/1M", "FPT=A", "FPO=-1A", "ACT_EST_MAPPING=PRECISE", "FS=MRC", "CURRENCY=USD", "XLFILL=b")</f>
        <v>177.55699999999999</v>
      </c>
      <c r="L117" s="9">
        <f>_xll.BQL("SAVE US Equity", "IS_SELLING_EXPENSES/1M", "FPT=A", "FPO=-2A", "ACT_EST_MAPPING=PRECISE", "FS=MRC", "CURRENCY=USD", "XLFILL=b")</f>
        <v>132.499</v>
      </c>
      <c r="M117" s="9">
        <f>_xll.BQL("SAVE US Equity", "IS_SELLING_EXPENSES/1M", "FPT=A", "FPO=-3A", "ACT_EST_MAPPING=PRECISE", "FS=MRC", "CURRENCY=USD", "XLFILL=b")</f>
        <v>85.058999999999997</v>
      </c>
      <c r="N117" s="9">
        <f>_xll.BQL("SAVE US Equity", "IS_SELLING_EXPENSES/1M", "FPT=A", "FPO=-4A", "ACT_EST_MAPPING=PRECISE", "FS=MRC", "CURRENCY=USD", "XLFILL=b")</f>
        <v>153.77000000000001</v>
      </c>
    </row>
    <row r="118" spans="1:14" x14ac:dyDescent="0.2">
      <c r="A118" s="8" t="s">
        <v>44</v>
      </c>
      <c r="B118" s="4" t="s">
        <v>119</v>
      </c>
      <c r="C118" s="4" t="s">
        <v>120</v>
      </c>
      <c r="D118" s="4"/>
      <c r="E118" s="9">
        <f>_xll.BQL("SAVE US Equity", "FA_GROWTH(IS_SELLING_EXPENSES, YOY)", "FPT=A", "FPO=5A", "ACT_EST_MAPPING=PRECISE", "FS=MRC", "CURRENCY=USD", "XLFILL=b")</f>
        <v>9.8900000000000183</v>
      </c>
      <c r="F118" s="9">
        <f>_xll.BQL("SAVE US Equity", "FA_GROWTH(IS_SELLING_EXPENSES, YOY)", "FPT=A", "FPO=4A", "ACT_EST_MAPPING=PRECISE", "FS=MRC", "CURRENCY=USD", "XLFILL=b")</f>
        <v>-10.839115030442992</v>
      </c>
      <c r="G118" s="9">
        <f>_xll.BQL("SAVE US Equity", "FA_GROWTH(IS_SELLING_EXPENSES, YOY)", "FPT=A", "FPO=3A", "ACT_EST_MAPPING=PRECISE", "FS=MRC", "CURRENCY=USD", "XLFILL=b")</f>
        <v>7.2332747493545941</v>
      </c>
      <c r="H118" s="9">
        <f>_xll.BQL("SAVE US Equity", "FA_GROWTH(IS_SELLING_EXPENSES, YOY)", "FPT=A", "FPO=2A", "ACT_EST_MAPPING=PRECISE", "FS=MRC", "CURRENCY=USD", "XLFILL=b")</f>
        <v>1.5876256548961021E-2</v>
      </c>
      <c r="I118" s="9">
        <f>_xll.BQL("SAVE US Equity", "FA_GROWTH(IS_SELLING_EXPENSES, YOY)", "FPT=A", "FPO=1A", "ACT_EST_MAPPING=PRECISE", "FS=MRC", "CURRENCY=USD", "XLFILL=b")</f>
        <v>-5.1480346594251971</v>
      </c>
      <c r="J118" s="9">
        <f>_xll.BQL("SAVE US Equity", "FA_GROWTH(IS_SELLING_EXPENSES, YOY)", "FPT=A", "FPO=0A", "ACT_EST_MAPPING=PRECISE", "FS=MRC", "CURRENCY=USD", "XLFILL=b")</f>
        <v>7.5097011100660636</v>
      </c>
      <c r="K118" s="9">
        <f>_xll.BQL("SAVE US Equity", "FA_GROWTH(IS_SELLING_EXPENSES, YOY)", "FPT=A", "FPO=-1A", "ACT_EST_MAPPING=PRECISE", "FS=MRC", "CURRENCY=USD", "XLFILL=b")</f>
        <v>34.006294387127447</v>
      </c>
      <c r="L118" s="9">
        <f>_xll.BQL("SAVE US Equity", "FA_GROWTH(IS_SELLING_EXPENSES, YOY)", "FPT=A", "FPO=-2A", "ACT_EST_MAPPING=PRECISE", "FS=MRC", "CURRENCY=USD", "XLFILL=b")</f>
        <v>55.773051646504193</v>
      </c>
      <c r="M118" s="9">
        <f>_xll.BQL("SAVE US Equity", "FA_GROWTH(IS_SELLING_EXPENSES, YOY)", "FPT=A", "FPO=-3A", "ACT_EST_MAPPING=PRECISE", "FS=MRC", "CURRENCY=USD", "XLFILL=b")</f>
        <v>-44.684268713012941</v>
      </c>
      <c r="N118" s="9">
        <f>_xll.BQL("SAVE US Equity", "FA_GROWTH(IS_SELLING_EXPENSES, YOY)", "FPT=A", "FPO=-4A", "ACT_EST_MAPPING=PRECISE", "FS=MRC", "CURRENCY=USD", "XLFILL=b")</f>
        <v>12.240056641922322</v>
      </c>
    </row>
    <row r="119" spans="1:14" x14ac:dyDescent="0.2">
      <c r="A119" s="8" t="s">
        <v>121</v>
      </c>
      <c r="B119" s="4" t="s">
        <v>122</v>
      </c>
      <c r="C119" s="4"/>
      <c r="D119" s="4"/>
      <c r="E119" s="9" t="str">
        <f>_xll.BQL("SAVE US Equity", "CB_IS_OTHER_ONE_TIME_CHARGES/1M", "FPT=A", "FPO=5A", "ACT_EST_MAPPING=PRECISE", "FS=MRC", "CURRENCY=USD", "XLFILL=b")</f>
        <v/>
      </c>
      <c r="F119" s="9" t="str">
        <f>_xll.BQL("SAVE US Equity", "CB_IS_OTHER_ONE_TIME_CHARGES/1M", "FPT=A", "FPO=4A", "ACT_EST_MAPPING=PRECISE", "FS=MRC", "CURRENCY=USD", "XLFILL=b")</f>
        <v/>
      </c>
      <c r="G119" s="9">
        <f>_xll.BQL("SAVE US Equity", "CB_IS_OTHER_ONE_TIME_CHARGES/1M", "FPT=A", "FPO=3A", "ACT_EST_MAPPING=PRECISE", "FS=MRC", "CURRENCY=USD", "XLFILL=b")</f>
        <v>0</v>
      </c>
      <c r="H119" s="9">
        <f>_xll.BQL("SAVE US Equity", "CB_IS_OTHER_ONE_TIME_CHARGES/1M", "FPT=A", "FPO=2A", "ACT_EST_MAPPING=PRECISE", "FS=MRC", "CURRENCY=USD", "XLFILL=b")</f>
        <v>0</v>
      </c>
      <c r="I119" s="9">
        <f>_xll.BQL("SAVE US Equity", "CB_IS_OTHER_ONE_TIME_CHARGES/1M", "FPT=A", "FPO=1A", "ACT_EST_MAPPING=PRECISE", "FS=MRC", "CURRENCY=USD", "XLFILL=b")</f>
        <v>35.884666666666661</v>
      </c>
      <c r="J119" s="9">
        <f>_xll.BQL("SAVE US Equity", "CB_IS_OTHER_ONE_TIME_CHARGES/1M", "FPT=A", "FPO=0A", "ACT_EST_MAPPING=PRECISE", "FS=MRC", "CURRENCY=USD", "XLFILL=b")</f>
        <v>75.537000000000006</v>
      </c>
      <c r="K119" s="9">
        <f>_xll.BQL("SAVE US Equity", "CB_IS_OTHER_ONE_TIME_CHARGES/1M", "FPT=A", "FPO=-1A", "ACT_EST_MAPPING=PRECISE", "FS=MRC", "CURRENCY=USD", "XLFILL=b")</f>
        <v>420.17200000000003</v>
      </c>
      <c r="L119" s="9">
        <f>_xll.BQL("SAVE US Equity", "CB_IS_OTHER_ONE_TIME_CHARGES/1M", "FPT=A", "FPO=-2A", "ACT_EST_MAPPING=PRECISE", "FS=MRC", "CURRENCY=USD", "XLFILL=b")</f>
        <v>-377.71499999999997</v>
      </c>
      <c r="M119" s="9">
        <f>_xll.BQL("SAVE US Equity", "CB_IS_OTHER_ONE_TIME_CHARGES/1M", "FPT=A", "FPO=-3A", "ACT_EST_MAPPING=PRECISE", "FS=MRC", "CURRENCY=USD", "XLFILL=b")</f>
        <v>-302.76100000000002</v>
      </c>
      <c r="N119" s="9">
        <f>_xll.BQL("SAVE US Equity", "CB_IS_OTHER_ONE_TIME_CHARGES/1M", "FPT=A", "FPO=-4A", "ACT_EST_MAPPING=PRECISE", "FS=MRC", "CURRENCY=USD", "XLFILL=b")</f>
        <v>0.71699999999999997</v>
      </c>
    </row>
    <row r="120" spans="1:14" x14ac:dyDescent="0.2">
      <c r="A120" s="8" t="s">
        <v>44</v>
      </c>
      <c r="B120" s="4" t="s">
        <v>122</v>
      </c>
      <c r="C120" s="4"/>
      <c r="D120" s="4"/>
      <c r="E120" s="9" t="str">
        <f>_xll.BQL("SAVE US Equity", "FA_GROWTH(CB_IS_OTHER_ONE_TIME_CHARGES, YOY)", "FPT=A", "FPO=5A", "ACT_EST_MAPPING=PRECISE", "FS=MRC", "CURRENCY=USD", "XLFILL=b")</f>
        <v/>
      </c>
      <c r="F120" s="9" t="str">
        <f>_xll.BQL("SAVE US Equity", "FA_GROWTH(CB_IS_OTHER_ONE_TIME_CHARGES, YOY)", "FPT=A", "FPO=4A", "ACT_EST_MAPPING=PRECISE", "FS=MRC", "CURRENCY=USD", "XLFILL=b")</f>
        <v/>
      </c>
      <c r="G120" s="9" t="str">
        <f>_xll.BQL("SAVE US Equity", "FA_GROWTH(CB_IS_OTHER_ONE_TIME_CHARGES, YOY)", "FPT=A", "FPO=3A", "ACT_EST_MAPPING=PRECISE", "FS=MRC", "CURRENCY=USD", "XLFILL=b")</f>
        <v/>
      </c>
      <c r="H120" s="9">
        <f>_xll.BQL("SAVE US Equity", "FA_GROWTH(CB_IS_OTHER_ONE_TIME_CHARGES, YOY)", "FPT=A", "FPO=2A", "ACT_EST_MAPPING=PRECISE", "FS=MRC", "CURRENCY=USD", "XLFILL=b")</f>
        <v>-100</v>
      </c>
      <c r="I120" s="9">
        <f>_xll.BQL("SAVE US Equity", "FA_GROWTH(CB_IS_OTHER_ONE_TIME_CHARGES, YOY)", "FPT=A", "FPO=1A", "ACT_EST_MAPPING=PRECISE", "FS=MRC", "CURRENCY=USD", "XLFILL=b")</f>
        <v>-52.493921301260755</v>
      </c>
      <c r="J120" s="9">
        <f>_xll.BQL("SAVE US Equity", "FA_GROWTH(CB_IS_OTHER_ONE_TIME_CHARGES, YOY)", "FPT=A", "FPO=0A", "ACT_EST_MAPPING=PRECISE", "FS=MRC", "CURRENCY=USD", "XLFILL=b")</f>
        <v>-82.022362270689143</v>
      </c>
      <c r="K120" s="9">
        <f>_xll.BQL("SAVE US Equity", "FA_GROWTH(CB_IS_OTHER_ONE_TIME_CHARGES, YOY)", "FPT=A", "FPO=-1A", "ACT_EST_MAPPING=PRECISE", "FS=MRC", "CURRENCY=USD", "XLFILL=b")</f>
        <v>211.24048555127544</v>
      </c>
      <c r="L120" s="9">
        <f>_xll.BQL("SAVE US Equity", "FA_GROWTH(CB_IS_OTHER_ONE_TIME_CHARGES, YOY)", "FPT=A", "FPO=-2A", "ACT_EST_MAPPING=PRECISE", "FS=MRC", "CURRENCY=USD", "XLFILL=b")</f>
        <v>-24.756821387166774</v>
      </c>
      <c r="M120" s="9">
        <f>_xll.BQL("SAVE US Equity", "FA_GROWTH(CB_IS_OTHER_ONE_TIME_CHARGES, YOY)", "FPT=A", "FPO=-3A", "ACT_EST_MAPPING=PRECISE", "FS=MRC", "CURRENCY=USD", "XLFILL=b")</f>
        <v>-42326.080892608086</v>
      </c>
      <c r="N120" s="9">
        <f>_xll.BQL("SAVE US Equity", "FA_GROWTH(CB_IS_OTHER_ONE_TIME_CHARGES, YOY)", "FPT=A", "FPO=-4A", "ACT_EST_MAPPING=PRECISE", "FS=MRC", "CURRENCY=USD", "XLFILL=b")</f>
        <v>-99.193666288053436</v>
      </c>
    </row>
    <row r="121" spans="1:14" x14ac:dyDescent="0.2">
      <c r="A121" s="8" t="s">
        <v>123</v>
      </c>
      <c r="B121" s="4" t="s">
        <v>124</v>
      </c>
      <c r="C121" s="4"/>
      <c r="D121" s="4"/>
      <c r="E121" s="9" t="str">
        <f>_xll.BQL("SAVE US Equity", "CB_IS_GAIN_LOSS_ON_DISPOSAL_ASSETS/1M", "FPT=A", "FPO=5A", "ACT_EST_MAPPING=PRECISE", "FS=MRC", "CURRENCY=USD", "XLFILL=b")</f>
        <v/>
      </c>
      <c r="F121" s="9" t="str">
        <f>_xll.BQL("SAVE US Equity", "CB_IS_GAIN_LOSS_ON_DISPOSAL_ASSETS/1M", "FPT=A", "FPO=4A", "ACT_EST_MAPPING=PRECISE", "FS=MRC", "CURRENCY=USD", "XLFILL=b")</f>
        <v/>
      </c>
      <c r="G121" s="9">
        <f>_xll.BQL("SAVE US Equity", "CB_IS_GAIN_LOSS_ON_DISPOSAL_ASSETS/1M", "FPT=A", "FPO=3A", "ACT_EST_MAPPING=PRECISE", "FS=MRC", "CURRENCY=USD", "XLFILL=b")</f>
        <v>0</v>
      </c>
      <c r="H121" s="9">
        <f>_xll.BQL("SAVE US Equity", "CB_IS_GAIN_LOSS_ON_DISPOSAL_ASSETS/1M", "FPT=A", "FPO=2A", "ACT_EST_MAPPING=PRECISE", "FS=MRC", "CURRENCY=USD", "XLFILL=b")</f>
        <v>0</v>
      </c>
      <c r="I121" s="9">
        <f>_xll.BQL("SAVE US Equity", "CB_IS_GAIN_LOSS_ON_DISPOSAL_ASSETS/1M", "FPT=A", "FPO=1A", "ACT_EST_MAPPING=PRECISE", "FS=MRC", "CURRENCY=USD", "XLFILL=b")</f>
        <v>-17.084</v>
      </c>
      <c r="J121" s="9">
        <f>_xll.BQL("SAVE US Equity", "CB_IS_GAIN_LOSS_ON_DISPOSAL_ASSETS/1M", "FPT=A", "FPO=0A", "ACT_EST_MAPPING=PRECISE", "FS=MRC", "CURRENCY=USD", "XLFILL=b")</f>
        <v>33.966000000000001</v>
      </c>
      <c r="K121" s="9">
        <f>_xll.BQL("SAVE US Equity", "CB_IS_GAIN_LOSS_ON_DISPOSAL_ASSETS/1M", "FPT=A", "FPO=-1A", "ACT_EST_MAPPING=PRECISE", "FS=MRC", "CURRENCY=USD", "XLFILL=b")</f>
        <v>46.624000000000002</v>
      </c>
      <c r="L121" s="9">
        <f>_xll.BQL("SAVE US Equity", "CB_IS_GAIN_LOSS_ON_DISPOSAL_ASSETS/1M", "FPT=A", "FPO=-2A", "ACT_EST_MAPPING=PRECISE", "FS=MRC", "CURRENCY=USD", "XLFILL=b")</f>
        <v>3.32</v>
      </c>
      <c r="M121" s="9">
        <f>_xll.BQL("SAVE US Equity", "CB_IS_GAIN_LOSS_ON_DISPOSAL_ASSETS/1M", "FPT=A", "FPO=-3A", "ACT_EST_MAPPING=PRECISE", "FS=MRC", "CURRENCY=USD", "XLFILL=b")</f>
        <v>2.2639999999999998</v>
      </c>
      <c r="N121" s="9">
        <f>_xll.BQL("SAVE US Equity", "CB_IS_GAIN_LOSS_ON_DISPOSAL_ASSETS/1M", "FPT=A", "FPO=-4A", "ACT_EST_MAPPING=PRECISE", "FS=MRC", "CURRENCY=USD", "XLFILL=b")</f>
        <v>17.350000000000001</v>
      </c>
    </row>
    <row r="122" spans="1:14" x14ac:dyDescent="0.2">
      <c r="A122" s="8" t="s">
        <v>44</v>
      </c>
      <c r="B122" s="4" t="s">
        <v>124</v>
      </c>
      <c r="C122" s="4"/>
      <c r="D122" s="4"/>
      <c r="E122" s="9" t="str">
        <f>_xll.BQL("SAVE US Equity", "FA_GROWTH(CB_IS_GAIN_LOSS_ON_DISPOSAL_ASSETS, YOY)", "FPT=A", "FPO=5A", "ACT_EST_MAPPING=PRECISE", "FS=MRC", "CURRENCY=USD", "XLFILL=b")</f>
        <v/>
      </c>
      <c r="F122" s="9" t="str">
        <f>_xll.BQL("SAVE US Equity", "FA_GROWTH(CB_IS_GAIN_LOSS_ON_DISPOSAL_ASSETS, YOY)", "FPT=A", "FPO=4A", "ACT_EST_MAPPING=PRECISE", "FS=MRC", "CURRENCY=USD", "XLFILL=b")</f>
        <v/>
      </c>
      <c r="G122" s="9" t="str">
        <f>_xll.BQL("SAVE US Equity", "FA_GROWTH(CB_IS_GAIN_LOSS_ON_DISPOSAL_ASSETS, YOY)", "FPT=A", "FPO=3A", "ACT_EST_MAPPING=PRECISE", "FS=MRC", "CURRENCY=USD", "XLFILL=b")</f>
        <v/>
      </c>
      <c r="H122" s="9">
        <f>_xll.BQL("SAVE US Equity", "FA_GROWTH(CB_IS_GAIN_LOSS_ON_DISPOSAL_ASSETS, YOY)", "FPT=A", "FPO=2A", "ACT_EST_MAPPING=PRECISE", "FS=MRC", "CURRENCY=USD", "XLFILL=b")</f>
        <v>100</v>
      </c>
      <c r="I122" s="9">
        <f>_xll.BQL("SAVE US Equity", "FA_GROWTH(CB_IS_GAIN_LOSS_ON_DISPOSAL_ASSETS, YOY)", "FPT=A", "FPO=1A", "ACT_EST_MAPPING=PRECISE", "FS=MRC", "CURRENCY=USD", "XLFILL=b")</f>
        <v>-150.29735617970911</v>
      </c>
      <c r="J122" s="9">
        <f>_xll.BQL("SAVE US Equity", "FA_GROWTH(CB_IS_GAIN_LOSS_ON_DISPOSAL_ASSETS, YOY)", "FPT=A", "FPO=0A", "ACT_EST_MAPPING=PRECISE", "FS=MRC", "CURRENCY=USD", "XLFILL=b")</f>
        <v>-27.149107755662321</v>
      </c>
      <c r="K122" s="9">
        <f>_xll.BQL("SAVE US Equity", "FA_GROWTH(CB_IS_GAIN_LOSS_ON_DISPOSAL_ASSETS, YOY)", "FPT=A", "FPO=-1A", "ACT_EST_MAPPING=PRECISE", "FS=MRC", "CURRENCY=USD", "XLFILL=b")</f>
        <v>1304.3373493975903</v>
      </c>
      <c r="L122" s="9">
        <f>_xll.BQL("SAVE US Equity", "FA_GROWTH(CB_IS_GAIN_LOSS_ON_DISPOSAL_ASSETS, YOY)", "FPT=A", "FPO=-2A", "ACT_EST_MAPPING=PRECISE", "FS=MRC", "CURRENCY=USD", "XLFILL=b")</f>
        <v>46.64310954063604</v>
      </c>
      <c r="M122" s="9">
        <f>_xll.BQL("SAVE US Equity", "FA_GROWTH(CB_IS_GAIN_LOSS_ON_DISPOSAL_ASSETS, YOY)", "FPT=A", "FPO=-3A", "ACT_EST_MAPPING=PRECISE", "FS=MRC", "CURRENCY=USD", "XLFILL=b")</f>
        <v>-86.951008645533136</v>
      </c>
      <c r="N122" s="9">
        <f>_xll.BQL("SAVE US Equity", "FA_GROWTH(CB_IS_GAIN_LOSS_ON_DISPOSAL_ASSETS, YOY)", "FPT=A", "FPO=-4A", "ACT_EST_MAPPING=PRECISE", "FS=MRC", "CURRENCY=USD", "XLFILL=b")</f>
        <v>81.106471816283928</v>
      </c>
    </row>
    <row r="123" spans="1:14" x14ac:dyDescent="0.2">
      <c r="A123" s="8" t="s">
        <v>96</v>
      </c>
      <c r="B123" s="4" t="s">
        <v>125</v>
      </c>
      <c r="C123" s="4" t="s">
        <v>126</v>
      </c>
      <c r="D123" s="4"/>
      <c r="E123" s="9">
        <f>_xll.BQL("SAVE US Equity", "CB_IS_OTHER_OPEX/1M", "FPT=A", "FPO=5A", "ACT_EST_MAPPING=PRECISE", "FS=MRC", "CURRENCY=USD", "XLFILL=b")</f>
        <v>920.32006274186813</v>
      </c>
      <c r="F123" s="9">
        <f>_xll.BQL("SAVE US Equity", "CB_IS_OTHER_OPEX/1M", "FPT=A", "FPO=4A", "ACT_EST_MAPPING=PRECISE", "FS=MRC", "CURRENCY=USD", "XLFILL=b")</f>
        <v>828.37089355703711</v>
      </c>
      <c r="G123" s="9">
        <f>_xll.BQL("SAVE US Equity", "CB_IS_OTHER_OPEX/1M", "FPT=A", "FPO=3A", "ACT_EST_MAPPING=PRECISE", "FS=MRC", "CURRENCY=USD", "XLFILL=b")</f>
        <v>693.76273954204635</v>
      </c>
      <c r="H123" s="9">
        <f>_xll.BQL("SAVE US Equity", "CB_IS_OTHER_OPEX/1M", "FPT=A", "FPO=2A", "ACT_EST_MAPPING=PRECISE", "FS=MRC", "CURRENCY=USD", "XLFILL=b")</f>
        <v>731.89131377818103</v>
      </c>
      <c r="I123" s="9">
        <f>_xll.BQL("SAVE US Equity", "CB_IS_OTHER_OPEX/1M", "FPT=A", "FPO=1A", "ACT_EST_MAPPING=PRECISE", "FS=MRC", "CURRENCY=USD", "XLFILL=b")</f>
        <v>818.16038777566666</v>
      </c>
      <c r="J123" s="9">
        <f>_xll.BQL("SAVE US Equity", "CB_IS_OTHER_OPEX/1M", "FPT=A", "FPO=0A", "ACT_EST_MAPPING=PRECISE", "FS=MRC", "CURRENCY=USD", "XLFILL=b")</f>
        <v>786.23199999999997</v>
      </c>
      <c r="K123" s="9">
        <f>_xll.BQL("SAVE US Equity", "CB_IS_OTHER_OPEX/1M", "FPT=A", "FPO=-1A", "ACT_EST_MAPPING=PRECISE", "FS=MRC", "CURRENCY=USD", "XLFILL=b")</f>
        <v>711.21100000000001</v>
      </c>
      <c r="L123" s="9">
        <f>_xll.BQL("SAVE US Equity", "CB_IS_OTHER_OPEX/1M", "FPT=A", "FPO=-2A", "ACT_EST_MAPPING=PRECISE", "FS=MRC", "CURRENCY=USD", "XLFILL=b")</f>
        <v>530.82600000000002</v>
      </c>
      <c r="M123" s="9">
        <f>_xll.BQL("SAVE US Equity", "CB_IS_OTHER_OPEX/1M", "FPT=A", "FPO=-3A", "ACT_EST_MAPPING=PRECISE", "FS=MRC", "CURRENCY=USD", "XLFILL=b")</f>
        <v>355.18599999999998</v>
      </c>
      <c r="N123" s="9">
        <f>_xll.BQL("SAVE US Equity", "CB_IS_OTHER_OPEX/1M", "FPT=A", "FPO=-4A", "ACT_EST_MAPPING=PRECISE", "FS=MRC", "CURRENCY=USD", "XLFILL=b")</f>
        <v>491.43200000000002</v>
      </c>
    </row>
    <row r="124" spans="1:14" x14ac:dyDescent="0.2">
      <c r="A124" s="8" t="s">
        <v>44</v>
      </c>
      <c r="B124" s="4" t="s">
        <v>125</v>
      </c>
      <c r="C124" s="4" t="s">
        <v>126</v>
      </c>
      <c r="D124" s="4"/>
      <c r="E124" s="9">
        <f>_xll.BQL("SAVE US Equity", "FA_GROWTH(CB_IS_OTHER_OPEX, YOY)", "FPT=A", "FPO=5A", "ACT_EST_MAPPING=PRECISE", "FS=MRC", "CURRENCY=USD", "XLFILL=b")</f>
        <v>11.099999999999989</v>
      </c>
      <c r="F124" s="9">
        <f>_xll.BQL("SAVE US Equity", "FA_GROWTH(CB_IS_OTHER_OPEX, YOY)", "FPT=A", "FPO=4A", "ACT_EST_MAPPING=PRECISE", "FS=MRC", "CURRENCY=USD", "XLFILL=b")</f>
        <v>19.402620859091659</v>
      </c>
      <c r="G124" s="9">
        <f>_xll.BQL("SAVE US Equity", "FA_GROWTH(CB_IS_OTHER_OPEX, YOY)", "FPT=A", "FPO=3A", "ACT_EST_MAPPING=PRECISE", "FS=MRC", "CURRENCY=USD", "XLFILL=b")</f>
        <v>-5.2095951295427776</v>
      </c>
      <c r="H124" s="9">
        <f>_xll.BQL("SAVE US Equity", "FA_GROWTH(CB_IS_OTHER_OPEX, YOY)", "FPT=A", "FPO=2A", "ACT_EST_MAPPING=PRECISE", "FS=MRC", "CURRENCY=USD", "XLFILL=b")</f>
        <v>-10.544274116231103</v>
      </c>
      <c r="I124" s="9">
        <f>_xll.BQL("SAVE US Equity", "FA_GROWTH(CB_IS_OTHER_OPEX, YOY)", "FPT=A", "FPO=1A", "ACT_EST_MAPPING=PRECISE", "FS=MRC", "CURRENCY=USD", "XLFILL=b")</f>
        <v>4.0609372011908338</v>
      </c>
      <c r="J124" s="9">
        <f>_xll.BQL("SAVE US Equity", "FA_GROWTH(CB_IS_OTHER_OPEX, YOY)", "FPT=A", "FPO=0A", "ACT_EST_MAPPING=PRECISE", "FS=MRC", "CURRENCY=USD", "XLFILL=b")</f>
        <v>10.548346411964944</v>
      </c>
      <c r="K124" s="9">
        <f>_xll.BQL("SAVE US Equity", "FA_GROWTH(CB_IS_OTHER_OPEX, YOY)", "FPT=A", "FPO=-1A", "ACT_EST_MAPPING=PRECISE", "FS=MRC", "CURRENCY=USD", "XLFILL=b")</f>
        <v>33.98194511949302</v>
      </c>
      <c r="L124" s="9">
        <f>_xll.BQL("SAVE US Equity", "FA_GROWTH(CB_IS_OTHER_OPEX, YOY)", "FPT=A", "FPO=-2A", "ACT_EST_MAPPING=PRECISE", "FS=MRC", "CURRENCY=USD", "XLFILL=b")</f>
        <v>49.450147246794636</v>
      </c>
      <c r="M124" s="9">
        <f>_xll.BQL("SAVE US Equity", "FA_GROWTH(CB_IS_OTHER_OPEX, YOY)", "FPT=A", "FPO=-3A", "ACT_EST_MAPPING=PRECISE", "FS=MRC", "CURRENCY=USD", "XLFILL=b")</f>
        <v>-27.724283318953589</v>
      </c>
      <c r="N124" s="9">
        <f>_xll.BQL("SAVE US Equity", "FA_GROWTH(CB_IS_OTHER_OPEX, YOY)", "FPT=A", "FPO=-4A", "ACT_EST_MAPPING=PRECISE", "FS=MRC", "CURRENCY=USD", "XLFILL=b")</f>
        <v>29.482315248092409</v>
      </c>
    </row>
    <row r="125" spans="1:14" x14ac:dyDescent="0.2">
      <c r="A125" s="8" t="s">
        <v>16</v>
      </c>
      <c r="B125" s="4"/>
      <c r="C125" s="4"/>
      <c r="D125" s="4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spans="1:14" x14ac:dyDescent="0.2">
      <c r="A126" s="8" t="s">
        <v>127</v>
      </c>
      <c r="B126" s="4" t="s">
        <v>128</v>
      </c>
      <c r="C126" s="4" t="s">
        <v>129</v>
      </c>
      <c r="D126" s="4"/>
      <c r="E126" s="9" t="str">
        <f>_xll.BQL("SAVE US Equity", "IS_EBIT_AS_REPORTED/1M", "FPT=A", "FPO=5A", "ACT_EST_MAPPING=PRECISE", "FS=MRC", "CURRENCY=USD", "XLFILL=b")</f>
        <v/>
      </c>
      <c r="F126" s="9" t="str">
        <f>_xll.BQL("SAVE US Equity", "IS_EBIT_AS_REPORTED/1M", "FPT=A", "FPO=4A", "ACT_EST_MAPPING=PRECISE", "FS=MRC", "CURRENCY=USD", "XLFILL=b")</f>
        <v/>
      </c>
      <c r="G126" s="9">
        <f>_xll.BQL("SAVE US Equity", "IS_EBIT_AS_REPORTED/1M", "FPT=A", "FPO=3A", "ACT_EST_MAPPING=PRECISE", "FS=MRC", "CURRENCY=USD", "XLFILL=b")</f>
        <v>2.1425574846204318</v>
      </c>
      <c r="H126" s="9">
        <f>_xll.BQL("SAVE US Equity", "IS_EBIT_AS_REPORTED/1M", "FPT=A", "FPO=2A", "ACT_EST_MAPPING=PRECISE", "FS=MRC", "CURRENCY=USD", "XLFILL=b")</f>
        <v>-540.78939878883489</v>
      </c>
      <c r="I126" s="9">
        <f>_xll.BQL("SAVE US Equity", "IS_EBIT_AS_REPORTED/1M", "FPT=A", "FPO=1A", "ACT_EST_MAPPING=PRECISE", "FS=MRC", "CURRENCY=USD", "XLFILL=b")</f>
        <v>-925.32364476272267</v>
      </c>
      <c r="J126" s="9">
        <f>_xll.BQL("SAVE US Equity", "IS_EBIT_AS_REPORTED/1M", "FPT=A", "FPO=0A", "ACT_EST_MAPPING=PRECISE", "FS=MRC", "CURRENCY=USD", "XLFILL=b")</f>
        <v>-495.75700000000001</v>
      </c>
      <c r="K126" s="9">
        <f>_xll.BQL("SAVE US Equity", "IS_EBIT_AS_REPORTED/1M", "FPT=A", "FPO=-1A", "ACT_EST_MAPPING=PRECISE", "FS=MRC", "CURRENCY=USD", "XLFILL=b")</f>
        <v>-598.91700000000003</v>
      </c>
      <c r="L126" s="9">
        <f>_xll.BQL("SAVE US Equity", "IS_EBIT_AS_REPORTED/1M", "FPT=A", "FPO=-2A", "ACT_EST_MAPPING=PRECISE", "FS=MRC", "CURRENCY=USD", "XLFILL=b")</f>
        <v>-56.874000000000002</v>
      </c>
      <c r="M126" s="9">
        <f>_xll.BQL("SAVE US Equity", "IS_EBIT_AS_REPORTED/1M", "FPT=A", "FPO=-3A", "ACT_EST_MAPPING=PRECISE", "FS=MRC", "CURRENCY=USD", "XLFILL=b")</f>
        <v>-507.762</v>
      </c>
      <c r="N126" s="9">
        <f>_xll.BQL("SAVE US Equity", "IS_EBIT_AS_REPORTED/1M", "FPT=A", "FPO=-4A", "ACT_EST_MAPPING=PRECISE", "FS=MRC", "CURRENCY=USD", "XLFILL=b")</f>
        <v>501.04700000000003</v>
      </c>
    </row>
    <row r="127" spans="1:14" x14ac:dyDescent="0.2">
      <c r="A127" s="8" t="s">
        <v>12</v>
      </c>
      <c r="B127" s="4" t="s">
        <v>128</v>
      </c>
      <c r="C127" s="4" t="s">
        <v>129</v>
      </c>
      <c r="D127" s="4"/>
      <c r="E127" s="9" t="str">
        <f>_xll.BQL("SAVE US Equity", "FA_GROWTH(IS_EBIT_AS_REPORTED, YOY)", "FPT=A", "FPO=5A", "ACT_EST_MAPPING=PRECISE", "FS=MRC", "CURRENCY=USD", "XLFILL=b")</f>
        <v/>
      </c>
      <c r="F127" s="9" t="str">
        <f>_xll.BQL("SAVE US Equity", "FA_GROWTH(IS_EBIT_AS_REPORTED, YOY)", "FPT=A", "FPO=4A", "ACT_EST_MAPPING=PRECISE", "FS=MRC", "CURRENCY=USD", "XLFILL=b")</f>
        <v/>
      </c>
      <c r="G127" s="9">
        <f>_xll.BQL("SAVE US Equity", "FA_GROWTH(IS_EBIT_AS_REPORTED, YOY)", "FPT=A", "FPO=3A", "ACT_EST_MAPPING=PRECISE", "FS=MRC", "CURRENCY=USD", "XLFILL=b")</f>
        <v>100.39619073329081</v>
      </c>
      <c r="H127" s="9">
        <f>_xll.BQL("SAVE US Equity", "FA_GROWTH(IS_EBIT_AS_REPORTED, YOY)", "FPT=A", "FPO=2A", "ACT_EST_MAPPING=PRECISE", "FS=MRC", "CURRENCY=USD", "XLFILL=b")</f>
        <v>41.556729707527623</v>
      </c>
      <c r="I127" s="9">
        <f>_xll.BQL("SAVE US Equity", "FA_GROWTH(IS_EBIT_AS_REPORTED, YOY)", "FPT=A", "FPO=1A", "ACT_EST_MAPPING=PRECISE", "FS=MRC", "CURRENCY=USD", "XLFILL=b")</f>
        <v>-86.648629220106343</v>
      </c>
      <c r="J127" s="9">
        <f>_xll.BQL("SAVE US Equity", "FA_GROWTH(IS_EBIT_AS_REPORTED, YOY)", "FPT=A", "FPO=0A", "ACT_EST_MAPPING=PRECISE", "FS=MRC", "CURRENCY=USD", "XLFILL=b")</f>
        <v>17.224423417602104</v>
      </c>
      <c r="K127" s="9">
        <f>_xll.BQL("SAVE US Equity", "FA_GROWTH(IS_EBIT_AS_REPORTED, YOY)", "FPT=A", "FPO=-1A", "ACT_EST_MAPPING=PRECISE", "FS=MRC", "CURRENCY=USD", "XLFILL=b")</f>
        <v>-953.05939445089143</v>
      </c>
      <c r="L127" s="9">
        <f>_xll.BQL("SAVE US Equity", "FA_GROWTH(IS_EBIT_AS_REPORTED, YOY)", "FPT=A", "FPO=-2A", "ACT_EST_MAPPING=PRECISE", "FS=MRC", "CURRENCY=USD", "XLFILL=b")</f>
        <v>88.799083034965207</v>
      </c>
      <c r="M127" s="9">
        <f>_xll.BQL("SAVE US Equity", "FA_GROWTH(IS_EBIT_AS_REPORTED, YOY)", "FPT=A", "FPO=-3A", "ACT_EST_MAPPING=PRECISE", "FS=MRC", "CURRENCY=USD", "XLFILL=b")</f>
        <v>-201.3401936345293</v>
      </c>
      <c r="N127" s="9">
        <f>_xll.BQL("SAVE US Equity", "FA_GROWTH(IS_EBIT_AS_REPORTED, YOY)", "FPT=A", "FPO=-4A", "ACT_EST_MAPPING=PRECISE", "FS=MRC", "CURRENCY=USD", "XLFILL=b")</f>
        <v>42.783417019554648</v>
      </c>
    </row>
    <row r="128" spans="1:14" x14ac:dyDescent="0.2">
      <c r="A128" s="8" t="s">
        <v>42</v>
      </c>
      <c r="B128" s="4" t="s">
        <v>130</v>
      </c>
      <c r="C128" s="4"/>
      <c r="D128" s="4"/>
      <c r="E128" s="9" t="str">
        <f>_xll.BQL("SAVE US Equity", "OPER_MARGIN", "FPT=A", "FPO=5A", "ACT_EST_MAPPING=PRECISE", "FS=MRC", "CURRENCY=USD", "XLFILL=b")</f>
        <v/>
      </c>
      <c r="F128" s="9" t="str">
        <f>_xll.BQL("SAVE US Equity", "OPER_MARGIN", "FPT=A", "FPO=4A", "ACT_EST_MAPPING=PRECISE", "FS=MRC", "CURRENCY=USD", "XLFILL=b")</f>
        <v/>
      </c>
      <c r="G128" s="9">
        <f>_xll.BQL("SAVE US Equity", "OPER_MARGIN", "FPT=A", "FPO=3A", "ACT_EST_MAPPING=PRECISE", "FS=MRC", "CURRENCY=USD", "XLFILL=b")</f>
        <v>0.4159158173343433</v>
      </c>
      <c r="H128" s="9">
        <f>_xll.BQL("SAVE US Equity", "OPER_MARGIN", "FPT=A", "FPO=2A", "ACT_EST_MAPPING=PRECISE", "FS=MRC", "CURRENCY=USD", "XLFILL=b")</f>
        <v>-14.67164828056581</v>
      </c>
      <c r="I128" s="9">
        <f>_xll.BQL("SAVE US Equity", "OPER_MARGIN", "FPT=A", "FPO=1A", "ACT_EST_MAPPING=PRECISE", "FS=MRC", "CURRENCY=USD", "XLFILL=b")</f>
        <v>-19.340823405336366</v>
      </c>
      <c r="J128" s="9">
        <f>_xll.BQL("SAVE US Equity", "OPER_MARGIN", "FPT=A", "FPO=0A", "ACT_EST_MAPPING=PRECISE", "FS=MRC", "CURRENCY=USD", "XLFILL=b")</f>
        <v>-9.244801306244474</v>
      </c>
      <c r="K128" s="9">
        <f>_xll.BQL("SAVE US Equity", "OPER_MARGIN", "FPT=A", "FPO=-1A", "ACT_EST_MAPPING=PRECISE", "FS=MRC", "CURRENCY=USD", "XLFILL=b")</f>
        <v>-11.816578135274968</v>
      </c>
      <c r="L128" s="9">
        <f>_xll.BQL("SAVE US Equity", "OPER_MARGIN", "FPT=A", "FPO=-2A", "ACT_EST_MAPPING=PRECISE", "FS=MRC", "CURRENCY=USD", "XLFILL=b")</f>
        <v>-1.7603825707454095</v>
      </c>
      <c r="M128" s="9">
        <f>_xll.BQL("SAVE US Equity", "OPER_MARGIN", "FPT=A", "FPO=-3A", "ACT_EST_MAPPING=PRECISE", "FS=MRC", "CURRENCY=USD", "XLFILL=b")</f>
        <v>-28.052808197911403</v>
      </c>
      <c r="N128" s="9">
        <f>_xll.BQL("SAVE US Equity", "OPER_MARGIN", "FPT=A", "FPO=-4A", "ACT_EST_MAPPING=PRECISE", "FS=MRC", "CURRENCY=USD", "XLFILL=b")</f>
        <v>13.080336537758686</v>
      </c>
    </row>
    <row r="129" spans="1:14" x14ac:dyDescent="0.2">
      <c r="A129" s="8" t="s">
        <v>44</v>
      </c>
      <c r="B129" s="4" t="s">
        <v>130</v>
      </c>
      <c r="C129" s="4"/>
      <c r="D129" s="4"/>
      <c r="E129" s="9" t="str">
        <f>_xll.BQL("SAVE US Equity", "FA_GROWTH(OPER_MARGIN, YOY)", "FPT=A", "FPO=5A", "ACT_EST_MAPPING=PRECISE", "FS=MRC", "CURRENCY=USD", "XLFILL=b")</f>
        <v/>
      </c>
      <c r="F129" s="9" t="str">
        <f>_xll.BQL("SAVE US Equity", "FA_GROWTH(OPER_MARGIN, YOY)", "FPT=A", "FPO=4A", "ACT_EST_MAPPING=PRECISE", "FS=MRC", "CURRENCY=USD", "XLFILL=b")</f>
        <v/>
      </c>
      <c r="G129" s="9">
        <f>_xll.BQL("SAVE US Equity", "FA_GROWTH(OPER_MARGIN, YOY)", "FPT=A", "FPO=3A", "ACT_EST_MAPPING=PRECISE", "FS=MRC", "CURRENCY=USD", "XLFILL=b")</f>
        <v>102.83482679914886</v>
      </c>
      <c r="H129" s="9">
        <f>_xll.BQL("SAVE US Equity", "FA_GROWTH(OPER_MARGIN, YOY)", "FPT=A", "FPO=2A", "ACT_EST_MAPPING=PRECISE", "FS=MRC", "CURRENCY=USD", "XLFILL=b")</f>
        <v>24.141552957265898</v>
      </c>
      <c r="I129" s="9">
        <f>_xll.BQL("SAVE US Equity", "FA_GROWTH(OPER_MARGIN, YOY)", "FPT=A", "FPO=1A", "ACT_EST_MAPPING=PRECISE", "FS=MRC", "CURRENCY=USD", "XLFILL=b")</f>
        <v>-109.20756179229566</v>
      </c>
      <c r="J129" s="9">
        <f>_xll.BQL("SAVE US Equity", "FA_GROWTH(OPER_MARGIN, YOY)", "FPT=A", "FPO=0A", "ACT_EST_MAPPING=PRECISE", "FS=MRC", "CURRENCY=USD", "XLFILL=b")</f>
        <v>21.764141865682756</v>
      </c>
      <c r="K129" s="9">
        <f>_xll.BQL("SAVE US Equity", "FA_GROWTH(OPER_MARGIN, YOY)", "FPT=A", "FPO=-1A", "ACT_EST_MAPPING=PRECISE", "FS=MRC", "CURRENCY=USD", "XLFILL=b")</f>
        <v>-571.25057539460875</v>
      </c>
      <c r="L129" s="9">
        <f>_xll.BQL("SAVE US Equity", "FA_GROWTH(OPER_MARGIN, YOY)", "FPT=A", "FPO=-2A", "ACT_EST_MAPPING=PRECISE", "FS=MRC", "CURRENCY=USD", "XLFILL=b")</f>
        <v>93.724754547473523</v>
      </c>
      <c r="M129" s="9">
        <f>_xll.BQL("SAVE US Equity", "FA_GROWTH(OPER_MARGIN, YOY)", "FPT=A", "FPO=-3A", "ACT_EST_MAPPING=PRECISE", "FS=MRC", "CURRENCY=USD", "XLFILL=b")</f>
        <v>-314.46549266474943</v>
      </c>
      <c r="N129" s="9">
        <f>_xll.BQL("SAVE US Equity", "FA_GROWTH(OPER_MARGIN, YOY)", "FPT=A", "FPO=-4A", "ACT_EST_MAPPING=PRECISE", "FS=MRC", "CURRENCY=USD", "XLFILL=b")</f>
        <v>23.866255112119774</v>
      </c>
    </row>
    <row r="130" spans="1:14" x14ac:dyDescent="0.2">
      <c r="A130" s="8" t="s">
        <v>16</v>
      </c>
      <c r="B130" s="4"/>
      <c r="C130" s="4"/>
      <c r="D130" s="4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 x14ac:dyDescent="0.2">
      <c r="A131" s="8" t="s">
        <v>131</v>
      </c>
      <c r="B131" s="4" t="s">
        <v>132</v>
      </c>
      <c r="C131" s="4"/>
      <c r="D131" s="4"/>
      <c r="E131" s="9" t="str">
        <f>_xll.BQL("SAVE US Equity", "AIRLINES_EBITDAR_RATIO/1M", "FPT=A", "FPO=5A", "ACT_EST_MAPPING=PRECISE", "FS=MRC", "CURRENCY=USD", "XLFILL=b")</f>
        <v/>
      </c>
      <c r="F131" s="9" t="str">
        <f>_xll.BQL("SAVE US Equity", "AIRLINES_EBITDAR_RATIO/1M", "FPT=A", "FPO=4A", "ACT_EST_MAPPING=PRECISE", "FS=MRC", "CURRENCY=USD", "XLFILL=b")</f>
        <v/>
      </c>
      <c r="G131" s="9">
        <f>_xll.BQL("SAVE US Equity", "AIRLINES_EBITDAR_RATIO/1M", "FPT=A", "FPO=3A", "ACT_EST_MAPPING=PRECISE", "FS=MRC", "CURRENCY=USD", "XLFILL=b")</f>
        <v>789.03390915894352</v>
      </c>
      <c r="H131" s="9">
        <f>_xll.BQL("SAVE US Equity", "AIRLINES_EBITDAR_RATIO/1M", "FPT=A", "FPO=2A", "ACT_EST_MAPPING=PRECISE", "FS=MRC", "CURRENCY=USD", "XLFILL=b")</f>
        <v>340.2484489773118</v>
      </c>
      <c r="I131" s="9">
        <f>_xll.BQL("SAVE US Equity", "AIRLINES_EBITDAR_RATIO/1M", "FPT=A", "FPO=1A", "ACT_EST_MAPPING=PRECISE", "FS=MRC", "CURRENCY=USD", "XLFILL=b")</f>
        <v>-31.517813395150711</v>
      </c>
      <c r="J131" s="9">
        <f>_xll.BQL("SAVE US Equity", "AIRLINES_EBITDAR_RATIO/1M", "FPT=A", "FPO=0A", "ACT_EST_MAPPING=PRECISE", "FS=MRC", "CURRENCY=USD", "XLFILL=b")</f>
        <v>202.62000000000006</v>
      </c>
      <c r="K131" s="9">
        <f>_xll.BQL("SAVE US Equity", "AIRLINES_EBITDAR_RATIO/1M", "FPT=A", "FPO=-1A", "ACT_EST_MAPPING=PRECISE", "FS=MRC", "CURRENCY=USD", "XLFILL=b")</f>
        <v>-60.71500000000006</v>
      </c>
      <c r="L131" s="9">
        <f>_xll.BQL("SAVE US Equity", "AIRLINES_EBITDAR_RATIO/1M", "FPT=A", "FPO=-2A", "ACT_EST_MAPPING=PRECISE", "FS=MRC", "CURRENCY=USD", "XLFILL=b")</f>
        <v>460.47400000000005</v>
      </c>
      <c r="M131" s="9">
        <f>_xll.BQL("SAVE US Equity", "AIRLINES_EBITDAR_RATIO/1M", "FPT=A", "FPO=-3A", "ACT_EST_MAPPING=PRECISE", "FS=MRC", "CURRENCY=USD", "XLFILL=b")</f>
        <v>-27.699999999999989</v>
      </c>
      <c r="N131" s="9">
        <f>_xll.BQL("SAVE US Equity", "AIRLINES_EBITDAR_RATIO/1M", "FPT=A", "FPO=-4A", "ACT_EST_MAPPING=PRECISE", "FS=MRC", "CURRENCY=USD", "XLFILL=b")</f>
        <v>906.27</v>
      </c>
    </row>
    <row r="132" spans="1:14" x14ac:dyDescent="0.2">
      <c r="A132" s="8" t="s">
        <v>12</v>
      </c>
      <c r="B132" s="4" t="s">
        <v>132</v>
      </c>
      <c r="C132" s="4"/>
      <c r="D132" s="4"/>
      <c r="E132" s="9" t="str">
        <f>_xll.BQL("SAVE US Equity", "FA_GROWTH(AIRLINES_EBITDAR_RATIO, YOY)", "FPT=A", "FPO=5A", "ACT_EST_MAPPING=PRECISE", "FS=MRC", "CURRENCY=USD", "XLFILL=b")</f>
        <v/>
      </c>
      <c r="F132" s="9" t="str">
        <f>_xll.BQL("SAVE US Equity", "FA_GROWTH(AIRLINES_EBITDAR_RATIO, YOY)", "FPT=A", "FPO=4A", "ACT_EST_MAPPING=PRECISE", "FS=MRC", "CURRENCY=USD", "XLFILL=b")</f>
        <v/>
      </c>
      <c r="G132" s="9">
        <f>_xll.BQL("SAVE US Equity", "FA_GROWTH(AIRLINES_EBITDAR_RATIO, YOY)", "FPT=A", "FPO=3A", "ACT_EST_MAPPING=PRECISE", "FS=MRC", "CURRENCY=USD", "XLFILL=b")</f>
        <v>131.89934047621693</v>
      </c>
      <c r="H132" s="9">
        <f>_xll.BQL("SAVE US Equity", "FA_GROWTH(AIRLINES_EBITDAR_RATIO, YOY)", "FPT=A", "FPO=2A", "ACT_EST_MAPPING=PRECISE", "FS=MRC", "CURRENCY=USD", "XLFILL=b")</f>
        <v>1179.5433195554804</v>
      </c>
      <c r="I132" s="9">
        <f>_xll.BQL("SAVE US Equity", "FA_GROWTH(AIRLINES_EBITDAR_RATIO, YOY)", "FPT=A", "FPO=1A", "ACT_EST_MAPPING=PRECISE", "FS=MRC", "CURRENCY=USD", "XLFILL=b")</f>
        <v>-115.55513443645776</v>
      </c>
      <c r="J132" s="9">
        <f>_xll.BQL("SAVE US Equity", "FA_GROWTH(AIRLINES_EBITDAR_RATIO, YOY)", "FPT=A", "FPO=0A", "ACT_EST_MAPPING=PRECISE", "FS=MRC", "CURRENCY=USD", "XLFILL=b")</f>
        <v>433.72313266902717</v>
      </c>
      <c r="K132" s="9">
        <f>_xll.BQL("SAVE US Equity", "FA_GROWTH(AIRLINES_EBITDAR_RATIO, YOY)", "FPT=A", "FPO=-1A", "ACT_EST_MAPPING=PRECISE", "FS=MRC", "CURRENCY=USD", "XLFILL=b")</f>
        <v>-113.18532642451042</v>
      </c>
      <c r="L132" s="9">
        <f>_xll.BQL("SAVE US Equity", "FA_GROWTH(AIRLINES_EBITDAR_RATIO, YOY)", "FPT=A", "FPO=-2A", "ACT_EST_MAPPING=PRECISE", "FS=MRC", "CURRENCY=USD", "XLFILL=b")</f>
        <v>1762.361010830326</v>
      </c>
      <c r="M132" s="9">
        <f>_xll.BQL("SAVE US Equity", "FA_GROWTH(AIRLINES_EBITDAR_RATIO, YOY)", "FPT=A", "FPO=-3A", "ACT_EST_MAPPING=PRECISE", "FS=MRC", "CURRENCY=USD", "XLFILL=b")</f>
        <v>-103.05648427069195</v>
      </c>
      <c r="N132" s="9" t="str">
        <f>_xll.BQL("SAVE US Equity", "FA_GROWTH(AIRLINES_EBITDAR_RATIO, YOY)", "FPT=A", "FPO=-4A", "ACT_EST_MAPPING=PRECISE", "FS=MRC", "CURRENCY=USD", "XLFILL=b")</f>
        <v/>
      </c>
    </row>
    <row r="133" spans="1:14" x14ac:dyDescent="0.2">
      <c r="A133" s="8" t="s">
        <v>16</v>
      </c>
      <c r="B133" s="4"/>
      <c r="C133" s="4"/>
      <c r="D133" s="4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spans="1:14" x14ac:dyDescent="0.2">
      <c r="A134" s="8" t="s">
        <v>133</v>
      </c>
      <c r="B134" s="4" t="s">
        <v>134</v>
      </c>
      <c r="C134" s="4" t="s">
        <v>135</v>
      </c>
      <c r="D134" s="4"/>
      <c r="E134" s="9">
        <f>_xll.BQL("SAVE US Equity", "IS_NON_OPERATING_INC_LOSS_GAAP/1M", "FPT=A", "FPO=5A", "ACT_EST_MAPPING=PRECISE", "FS=MRC", "CURRENCY=USD", "XLFILL=b")</f>
        <v>274.10081866901737</v>
      </c>
      <c r="F134" s="9">
        <f>_xll.BQL("SAVE US Equity", "IS_NON_OPERATING_INC_LOSS_GAAP/1M", "FPT=A", "FPO=4A", "ACT_EST_MAPPING=PRECISE", "FS=MRC", "CURRENCY=USD", "XLFILL=b")</f>
        <v>232.66934300426715</v>
      </c>
      <c r="G134" s="9">
        <f>_xll.BQL("SAVE US Equity", "IS_NON_OPERATING_INC_LOSS_GAAP/1M", "FPT=A", "FPO=3A", "ACT_EST_MAPPING=PRECISE", "FS=MRC", "CURRENCY=USD", "XLFILL=b")</f>
        <v>199.56092126790745</v>
      </c>
      <c r="H134" s="9">
        <f>_xll.BQL("SAVE US Equity", "IS_NON_OPERATING_INC_LOSS_GAAP/1M", "FPT=A", "FPO=2A", "ACT_EST_MAPPING=PRECISE", "FS=MRC", "CURRENCY=USD", "XLFILL=b")</f>
        <v>174.79241552410261</v>
      </c>
      <c r="I134" s="9">
        <f>_xll.BQL("SAVE US Equity", "IS_NON_OPERATING_INC_LOSS_GAAP/1M", "FPT=A", "FPO=1A", "ACT_EST_MAPPING=PRECISE", "FS=MRC", "CURRENCY=USD", "XLFILL=b")</f>
        <v>120.86386887680719</v>
      </c>
      <c r="J134" s="9">
        <f>_xll.BQL("SAVE US Equity", "IS_NON_OPERATING_INC_LOSS_GAAP/1M", "FPT=A", "FPO=0A", "ACT_EST_MAPPING=PRECISE", "FS=MRC", "CURRENCY=USD", "XLFILL=b")</f>
        <v>62.838000000000001</v>
      </c>
      <c r="K134" s="9">
        <f>_xll.BQL("SAVE US Equity", "IS_NON_OPERATING_INC_LOSS_GAAP/1M", "FPT=A", "FPO=-1A", "ACT_EST_MAPPING=PRECISE", "FS=MRC", "CURRENCY=USD", "XLFILL=b")</f>
        <v>101.822</v>
      </c>
      <c r="L134" s="9">
        <f>_xll.BQL("SAVE US Equity", "IS_NON_OPERATING_INC_LOSS_GAAP/1M", "FPT=A", "FPO=-2A", "ACT_EST_MAPPING=PRECISE", "FS=MRC", "CURRENCY=USD", "XLFILL=b")</f>
        <v>463.44600000000003</v>
      </c>
      <c r="M134" s="9">
        <f>_xll.BQL("SAVE US Equity", "IS_NON_OPERATING_INC_LOSS_GAAP/1M", "FPT=A", "FPO=-3A", "ACT_EST_MAPPING=PRECISE", "FS=MRC", "CURRENCY=USD", "XLFILL=b")</f>
        <v>112.422</v>
      </c>
      <c r="N134" s="9">
        <f>_xll.BQL("SAVE US Equity", "IS_NON_OPERATING_INC_LOSS_GAAP/1M", "FPT=A", "FPO=-4A", "ACT_EST_MAPPING=PRECISE", "FS=MRC", "CURRENCY=USD", "XLFILL=b")</f>
        <v>64.620999999999995</v>
      </c>
    </row>
    <row r="135" spans="1:14" x14ac:dyDescent="0.2">
      <c r="A135" s="8" t="s">
        <v>12</v>
      </c>
      <c r="B135" s="4" t="s">
        <v>134</v>
      </c>
      <c r="C135" s="4" t="s">
        <v>135</v>
      </c>
      <c r="D135" s="4"/>
      <c r="E135" s="9">
        <f>_xll.BQL("SAVE US Equity", "FA_GROWTH(IS_NON_OPERATING_INC_LOSS_GAAP, YOY)", "FPT=A", "FPO=5A", "ACT_EST_MAPPING=PRECISE", "FS=MRC", "CURRENCY=USD", "XLFILL=b")</f>
        <v>17.807019665667926</v>
      </c>
      <c r="F135" s="9">
        <f>_xll.BQL("SAVE US Equity", "FA_GROWTH(IS_NON_OPERATING_INC_LOSS_GAAP, YOY)", "FPT=A", "FPO=4A", "ACT_EST_MAPPING=PRECISE", "FS=MRC", "CURRENCY=USD", "XLFILL=b")</f>
        <v>16.59063384053643</v>
      </c>
      <c r="G135" s="9">
        <f>_xll.BQL("SAVE US Equity", "FA_GROWTH(IS_NON_OPERATING_INC_LOSS_GAAP, YOY)", "FPT=A", "FPO=3A", "ACT_EST_MAPPING=PRECISE", "FS=MRC", "CURRENCY=USD", "XLFILL=b")</f>
        <v>14.170240550505719</v>
      </c>
      <c r="H135" s="9">
        <f>_xll.BQL("SAVE US Equity", "FA_GROWTH(IS_NON_OPERATING_INC_LOSS_GAAP, YOY)", "FPT=A", "FPO=2A", "ACT_EST_MAPPING=PRECISE", "FS=MRC", "CURRENCY=USD", "XLFILL=b")</f>
        <v>44.619245725340072</v>
      </c>
      <c r="I135" s="9">
        <f>_xll.BQL("SAVE US Equity", "FA_GROWTH(IS_NON_OPERATING_INC_LOSS_GAAP, YOY)", "FPT=A", "FPO=1A", "ACT_EST_MAPPING=PRECISE", "FS=MRC", "CURRENCY=USD", "XLFILL=b")</f>
        <v>92.342004641788705</v>
      </c>
      <c r="J135" s="9">
        <f>_xll.BQL("SAVE US Equity", "FA_GROWTH(IS_NON_OPERATING_INC_LOSS_GAAP, YOY)", "FPT=A", "FPO=0A", "ACT_EST_MAPPING=PRECISE", "FS=MRC", "CURRENCY=USD", "XLFILL=b")</f>
        <v>-38.286421402054565</v>
      </c>
      <c r="K135" s="9">
        <f>_xll.BQL("SAVE US Equity", "FA_GROWTH(IS_NON_OPERATING_INC_LOSS_GAAP, YOY)", "FPT=A", "FPO=-1A", "ACT_EST_MAPPING=PRECISE", "FS=MRC", "CURRENCY=USD", "XLFILL=b")</f>
        <v>-78.029371275186321</v>
      </c>
      <c r="L135" s="9">
        <f>_xll.BQL("SAVE US Equity", "FA_GROWTH(IS_NON_OPERATING_INC_LOSS_GAAP, YOY)", "FPT=A", "FPO=-2A", "ACT_EST_MAPPING=PRECISE", "FS=MRC", "CURRENCY=USD", "XLFILL=b")</f>
        <v>312.23781822063296</v>
      </c>
      <c r="M135" s="9">
        <f>_xll.BQL("SAVE US Equity", "FA_GROWTH(IS_NON_OPERATING_INC_LOSS_GAAP, YOY)", "FPT=A", "FPO=-3A", "ACT_EST_MAPPING=PRECISE", "FS=MRC", "CURRENCY=USD", "XLFILL=b")</f>
        <v>73.971309636186405</v>
      </c>
      <c r="N135" s="9">
        <f>_xll.BQL("SAVE US Equity", "FA_GROWTH(IS_NON_OPERATING_INC_LOSS_GAAP, YOY)", "FPT=A", "FPO=-4A", "ACT_EST_MAPPING=PRECISE", "FS=MRC", "CURRENCY=USD", "XLFILL=b")</f>
        <v>-55.720237361071142</v>
      </c>
    </row>
    <row r="136" spans="1:14" x14ac:dyDescent="0.2">
      <c r="A136" s="8" t="s">
        <v>136</v>
      </c>
      <c r="B136" s="4" t="s">
        <v>137</v>
      </c>
      <c r="C136" s="4" t="s">
        <v>138</v>
      </c>
      <c r="D136" s="4"/>
      <c r="E136" s="9">
        <f>_xll.BQL("SAVE US Equity", "IS_INT_INC/1M", "FPT=A", "FPO=5A", "ACT_EST_MAPPING=PRECISE", "FS=MRC", "CURRENCY=USD", "XLFILL=b")</f>
        <v>7.9003213309825089</v>
      </c>
      <c r="F136" s="9">
        <f>_xll.BQL("SAVE US Equity", "IS_INT_INC/1M", "FPT=A", "FPO=4A", "ACT_EST_MAPPING=PRECISE", "FS=MRC", "CURRENCY=USD", "XLFILL=b")</f>
        <v>6.1587969957328257</v>
      </c>
      <c r="G136" s="9">
        <f>_xll.BQL("SAVE US Equity", "IS_INT_INC/1M", "FPT=A", "FPO=3A", "ACT_EST_MAPPING=PRECISE", "FS=MRC", "CURRENCY=USD", "XLFILL=b")</f>
        <v>24.126213408910967</v>
      </c>
      <c r="H136" s="9">
        <f>_xll.BQL("SAVE US Equity", "IS_INT_INC/1M", "FPT=A", "FPO=2A", "ACT_EST_MAPPING=PRECISE", "FS=MRC", "CURRENCY=USD", "XLFILL=b")</f>
        <v>31.2691017735035</v>
      </c>
      <c r="I136" s="9">
        <f>_xll.BQL("SAVE US Equity", "IS_INT_INC/1M", "FPT=A", "FPO=1A", "ACT_EST_MAPPING=PRECISE", "FS=MRC", "CURRENCY=USD", "XLFILL=b")</f>
        <v>44.752132897271913</v>
      </c>
      <c r="J136" s="9">
        <f>_xll.BQL("SAVE US Equity", "IS_INT_INC/1M", "FPT=A", "FPO=0A", "ACT_EST_MAPPING=PRECISE", "FS=MRC", "CURRENCY=USD", "XLFILL=b")</f>
        <v>61.646999999999998</v>
      </c>
      <c r="K136" s="9">
        <f>_xll.BQL("SAVE US Equity", "IS_INT_INC/1M", "FPT=A", "FPO=-1A", "ACT_EST_MAPPING=PRECISE", "FS=MRC", "CURRENCY=USD", "XLFILL=b")</f>
        <v>20.082999999999998</v>
      </c>
      <c r="L136" s="9">
        <f>_xll.BQL("SAVE US Equity", "IS_INT_INC/1M", "FPT=A", "FPO=-2A", "ACT_EST_MAPPING=PRECISE", "FS=MRC", "CURRENCY=USD", "XLFILL=b")</f>
        <v>5.3739999999999997</v>
      </c>
      <c r="M136" s="9">
        <f>_xll.BQL("SAVE US Equity", "IS_INT_INC/1M", "FPT=A", "FPO=-3A", "ACT_EST_MAPPING=PRECISE", "FS=MRC", "CURRENCY=USD", "XLFILL=b")</f>
        <v>6.3140000000000001</v>
      </c>
      <c r="N136" s="9">
        <f>_xll.BQL("SAVE US Equity", "IS_INT_INC/1M", "FPT=A", "FPO=-4A", "ACT_EST_MAPPING=PRECISE", "FS=MRC", "CURRENCY=USD", "XLFILL=b")</f>
        <v>25.132999999999999</v>
      </c>
    </row>
    <row r="137" spans="1:14" x14ac:dyDescent="0.2">
      <c r="A137" s="8" t="s">
        <v>44</v>
      </c>
      <c r="B137" s="4" t="s">
        <v>137</v>
      </c>
      <c r="C137" s="4" t="s">
        <v>138</v>
      </c>
      <c r="D137" s="4"/>
      <c r="E137" s="9">
        <f>_xll.BQL("SAVE US Equity", "FA_GROWTH(IS_INT_INC, YOY)", "FPT=A", "FPO=5A", "ACT_EST_MAPPING=PRECISE", "FS=MRC", "CURRENCY=USD", "XLFILL=b")</f>
        <v>28.277021250356423</v>
      </c>
      <c r="F137" s="9">
        <f>_xll.BQL("SAVE US Equity", "FA_GROWTH(IS_INT_INC, YOY)", "FPT=A", "FPO=4A", "ACT_EST_MAPPING=PRECISE", "FS=MRC", "CURRENCY=USD", "XLFILL=b")</f>
        <v>-74.472591735186725</v>
      </c>
      <c r="G137" s="9">
        <f>_xll.BQL("SAVE US Equity", "FA_GROWTH(IS_INT_INC, YOY)", "FPT=A", "FPO=3A", "ACT_EST_MAPPING=PRECISE", "FS=MRC", "CURRENCY=USD", "XLFILL=b")</f>
        <v>-22.843279657764914</v>
      </c>
      <c r="H137" s="9">
        <f>_xll.BQL("SAVE US Equity", "FA_GROWTH(IS_INT_INC, YOY)", "FPT=A", "FPO=2A", "ACT_EST_MAPPING=PRECISE", "FS=MRC", "CURRENCY=USD", "XLFILL=b")</f>
        <v>-30.128242501242525</v>
      </c>
      <c r="I137" s="9">
        <f>_xll.BQL("SAVE US Equity", "FA_GROWTH(IS_INT_INC, YOY)", "FPT=A", "FPO=1A", "ACT_EST_MAPPING=PRECISE", "FS=MRC", "CURRENCY=USD", "XLFILL=b")</f>
        <v>-27.405822023339471</v>
      </c>
      <c r="J137" s="9">
        <f>_xll.BQL("SAVE US Equity", "FA_GROWTH(IS_INT_INC, YOY)", "FPT=A", "FPO=0A", "ACT_EST_MAPPING=PRECISE", "FS=MRC", "CURRENCY=USD", "XLFILL=b")</f>
        <v>206.96111138774089</v>
      </c>
      <c r="K137" s="9">
        <f>_xll.BQL("SAVE US Equity", "FA_GROWTH(IS_INT_INC, YOY)", "FPT=A", "FPO=-1A", "ACT_EST_MAPPING=PRECISE", "FS=MRC", "CURRENCY=USD", "XLFILL=b")</f>
        <v>273.70673613695573</v>
      </c>
      <c r="L137" s="9">
        <f>_xll.BQL("SAVE US Equity", "FA_GROWTH(IS_INT_INC, YOY)", "FPT=A", "FPO=-2A", "ACT_EST_MAPPING=PRECISE", "FS=MRC", "CURRENCY=USD", "XLFILL=b")</f>
        <v>-14.887551472917327</v>
      </c>
      <c r="M137" s="9">
        <f>_xll.BQL("SAVE US Equity", "FA_GROWTH(IS_INT_INC, YOY)", "FPT=A", "FPO=-3A", "ACT_EST_MAPPING=PRECISE", "FS=MRC", "CURRENCY=USD", "XLFILL=b")</f>
        <v>-74.877650897226758</v>
      </c>
      <c r="N137" s="9">
        <f>_xll.BQL("SAVE US Equity", "FA_GROWTH(IS_INT_INC, YOY)", "FPT=A", "FPO=-4A", "ACT_EST_MAPPING=PRECISE", "FS=MRC", "CURRENCY=USD", "XLFILL=b")</f>
        <v>31.538179724708222</v>
      </c>
    </row>
    <row r="138" spans="1:14" x14ac:dyDescent="0.2">
      <c r="A138" s="8" t="s">
        <v>139</v>
      </c>
      <c r="B138" s="4" t="s">
        <v>140</v>
      </c>
      <c r="C138" s="4" t="s">
        <v>141</v>
      </c>
      <c r="D138" s="4"/>
      <c r="E138" s="9" t="str">
        <f>_xll.BQL("SAVE US Equity", "IS_CAP_INT_EXP/1M", "FPT=A", "FPO=5A", "ACT_EST_MAPPING=PRECISE", "FS=MRC", "CURRENCY=USD", "XLFILL=b")</f>
        <v/>
      </c>
      <c r="F138" s="9" t="str">
        <f>_xll.BQL("SAVE US Equity", "IS_CAP_INT_EXP/1M", "FPT=A", "FPO=4A", "ACT_EST_MAPPING=PRECISE", "FS=MRC", "CURRENCY=USD", "XLFILL=b")</f>
        <v/>
      </c>
      <c r="G138" s="9">
        <f>_xll.BQL("SAVE US Equity", "IS_CAP_INT_EXP/1M", "FPT=A", "FPO=3A", "ACT_EST_MAPPING=PRECISE", "FS=MRC", "CURRENCY=USD", "XLFILL=b")</f>
        <v>21.833333333333332</v>
      </c>
      <c r="H138" s="9">
        <f>_xll.BQL("SAVE US Equity", "IS_CAP_INT_EXP/1M", "FPT=A", "FPO=2A", "ACT_EST_MAPPING=PRECISE", "FS=MRC", "CURRENCY=USD", "XLFILL=b")</f>
        <v>23.4</v>
      </c>
      <c r="I138" s="9">
        <f>_xll.BQL("SAVE US Equity", "IS_CAP_INT_EXP/1M", "FPT=A", "FPO=1A", "ACT_EST_MAPPING=PRECISE", "FS=MRC", "CURRENCY=USD", "XLFILL=b")</f>
        <v>27.633600000000001</v>
      </c>
      <c r="J138" s="9">
        <f>_xll.BQL("SAVE US Equity", "IS_CAP_INT_EXP/1M", "FPT=A", "FPO=0A", "ACT_EST_MAPPING=PRECISE", "FS=MRC", "CURRENCY=USD", "XLFILL=b")</f>
        <v>33.36</v>
      </c>
      <c r="K138" s="9">
        <f>_xll.BQL("SAVE US Equity", "IS_CAP_INT_EXP/1M", "FPT=A", "FPO=-1A", "ACT_EST_MAPPING=PRECISE", "FS=MRC", "CURRENCY=USD", "XLFILL=b")</f>
        <v>22.818000000000001</v>
      </c>
      <c r="L138" s="9">
        <f>_xll.BQL("SAVE US Equity", "IS_CAP_INT_EXP/1M", "FPT=A", "FPO=-2A", "ACT_EST_MAPPING=PRECISE", "FS=MRC", "CURRENCY=USD", "XLFILL=b")</f>
        <v>18.998000000000001</v>
      </c>
      <c r="M138" s="9">
        <f>_xll.BQL("SAVE US Equity", "IS_CAP_INT_EXP/1M", "FPT=A", "FPO=-3A", "ACT_EST_MAPPING=PRECISE", "FS=MRC", "CURRENCY=USD", "XLFILL=b")</f>
        <v>15.994999999999999</v>
      </c>
      <c r="N138" s="9">
        <f>_xll.BQL("SAVE US Equity", "IS_CAP_INT_EXP/1M", "FPT=A", "FPO=-4A", "ACT_EST_MAPPING=PRECISE", "FS=MRC", "CURRENCY=USD", "XLFILL=b")</f>
        <v>12.471</v>
      </c>
    </row>
    <row r="139" spans="1:14" x14ac:dyDescent="0.2">
      <c r="A139" s="8" t="s">
        <v>44</v>
      </c>
      <c r="B139" s="4" t="s">
        <v>140</v>
      </c>
      <c r="C139" s="4" t="s">
        <v>141</v>
      </c>
      <c r="D139" s="4"/>
      <c r="E139" s="9" t="str">
        <f>_xll.BQL("SAVE US Equity", "FA_GROWTH(IS_CAP_INT_EXP, YOY)", "FPT=A", "FPO=5A", "ACT_EST_MAPPING=PRECISE", "FS=MRC", "CURRENCY=USD", "XLFILL=b")</f>
        <v/>
      </c>
      <c r="F139" s="9" t="str">
        <f>_xll.BQL("SAVE US Equity", "FA_GROWTH(IS_CAP_INT_EXP, YOY)", "FPT=A", "FPO=4A", "ACT_EST_MAPPING=PRECISE", "FS=MRC", "CURRENCY=USD", "XLFILL=b")</f>
        <v/>
      </c>
      <c r="G139" s="9">
        <f>_xll.BQL("SAVE US Equity", "FA_GROWTH(IS_CAP_INT_EXP, YOY)", "FPT=A", "FPO=3A", "ACT_EST_MAPPING=PRECISE", "FS=MRC", "CURRENCY=USD", "XLFILL=b")</f>
        <v>-6.695156695156701</v>
      </c>
      <c r="H139" s="9">
        <f>_xll.BQL("SAVE US Equity", "FA_GROWTH(IS_CAP_INT_EXP, YOY)", "FPT=A", "FPO=2A", "ACT_EST_MAPPING=PRECISE", "FS=MRC", "CURRENCY=USD", "XLFILL=b")</f>
        <v>-15.320479416362689</v>
      </c>
      <c r="I139" s="9">
        <f>_xll.BQL("SAVE US Equity", "FA_GROWTH(IS_CAP_INT_EXP, YOY)", "FPT=A", "FPO=1A", "ACT_EST_MAPPING=PRECISE", "FS=MRC", "CURRENCY=USD", "XLFILL=b")</f>
        <v>-17.165467625899282</v>
      </c>
      <c r="J139" s="9">
        <f>_xll.BQL("SAVE US Equity", "FA_GROWTH(IS_CAP_INT_EXP, YOY)", "FPT=A", "FPO=0A", "ACT_EST_MAPPING=PRECISE", "FS=MRC", "CURRENCY=USD", "XLFILL=b")</f>
        <v>46.20036813042335</v>
      </c>
      <c r="K139" s="9">
        <f>_xll.BQL("SAVE US Equity", "FA_GROWTH(IS_CAP_INT_EXP, YOY)", "FPT=A", "FPO=-1A", "ACT_EST_MAPPING=PRECISE", "FS=MRC", "CURRENCY=USD", "XLFILL=b")</f>
        <v>20.107379724181492</v>
      </c>
      <c r="L139" s="9">
        <f>_xll.BQL("SAVE US Equity", "FA_GROWTH(IS_CAP_INT_EXP, YOY)", "FPT=A", "FPO=-2A", "ACT_EST_MAPPING=PRECISE", "FS=MRC", "CURRENCY=USD", "XLFILL=b")</f>
        <v>18.774617067833699</v>
      </c>
      <c r="M139" s="9">
        <f>_xll.BQL("SAVE US Equity", "FA_GROWTH(IS_CAP_INT_EXP, YOY)", "FPT=A", "FPO=-3A", "ACT_EST_MAPPING=PRECISE", "FS=MRC", "CURRENCY=USD", "XLFILL=b")</f>
        <v>28.257557533477669</v>
      </c>
      <c r="N139" s="9">
        <f>_xll.BQL("SAVE US Equity", "FA_GROWTH(IS_CAP_INT_EXP, YOY)", "FPT=A", "FPO=-4A", "ACT_EST_MAPPING=PRECISE", "FS=MRC", "CURRENCY=USD", "XLFILL=b")</f>
        <v>26.724926328625141</v>
      </c>
    </row>
    <row r="140" spans="1:14" x14ac:dyDescent="0.2">
      <c r="A140" s="8" t="s">
        <v>142</v>
      </c>
      <c r="B140" s="4" t="s">
        <v>143</v>
      </c>
      <c r="C140" s="4" t="s">
        <v>144</v>
      </c>
      <c r="D140" s="4"/>
      <c r="E140" s="9" t="str">
        <f>_xll.BQL("SAVE US Equity", "CB_IS_INTEREST_EXPENSE/1M", "FPT=A", "FPO=5A", "ACT_EST_MAPPING=PRECISE", "FS=MRC", "CURRENCY=USD", "XLFILL=b")</f>
        <v/>
      </c>
      <c r="F140" s="9" t="str">
        <f>_xll.BQL("SAVE US Equity", "CB_IS_INTEREST_EXPENSE/1M", "FPT=A", "FPO=4A", "ACT_EST_MAPPING=PRECISE", "FS=MRC", "CURRENCY=USD", "XLFILL=b")</f>
        <v/>
      </c>
      <c r="G140" s="9">
        <f>_xll.BQL("SAVE US Equity", "CB_IS_INTEREST_EXPENSE/1M", "FPT=A", "FPO=3A", "ACT_EST_MAPPING=PRECISE", "FS=MRC", "CURRENCY=USD", "XLFILL=b")</f>
        <v>248.55291046136401</v>
      </c>
      <c r="H140" s="9">
        <f>_xll.BQL("SAVE US Equity", "CB_IS_INTEREST_EXPENSE/1M", "FPT=A", "FPO=2A", "ACT_EST_MAPPING=PRECISE", "FS=MRC", "CURRENCY=USD", "XLFILL=b")</f>
        <v>231.45407142146905</v>
      </c>
      <c r="I140" s="9">
        <f>_xll.BQL("SAVE US Equity", "CB_IS_INTEREST_EXPENSE/1M", "FPT=A", "FPO=1A", "ACT_EST_MAPPING=PRECISE", "FS=MRC", "CURRENCY=USD", "XLFILL=b")</f>
        <v>220.48050405907216</v>
      </c>
      <c r="J140" s="9">
        <f>_xll.BQL("SAVE US Equity", "CB_IS_INTEREST_EXPENSE/1M", "FPT=A", "FPO=0A", "ACT_EST_MAPPING=PRECISE", "FS=MRC", "CURRENCY=USD", "XLFILL=b")</f>
        <v>169.191</v>
      </c>
      <c r="K140" s="9">
        <f>_xll.BQL("SAVE US Equity", "CB_IS_INTEREST_EXPENSE/1M", "FPT=A", "FPO=-1A", "ACT_EST_MAPPING=PRECISE", "FS=MRC", "CURRENCY=USD", "XLFILL=b")</f>
        <v>139.905</v>
      </c>
      <c r="L140" s="9">
        <f>_xll.BQL("SAVE US Equity", "CB_IS_INTEREST_EXPENSE/1M", "FPT=A", "FPO=-2A", "ACT_EST_MAPPING=PRECISE", "FS=MRC", "CURRENCY=USD", "XLFILL=b")</f>
        <v>155.61099999999999</v>
      </c>
      <c r="M140" s="9">
        <f>_xll.BQL("SAVE US Equity", "CB_IS_INTEREST_EXPENSE/1M", "FPT=A", "FPO=-3A", "ACT_EST_MAPPING=PRECISE", "FS=MRC", "CURRENCY=USD", "XLFILL=b")</f>
        <v>134.52000000000001</v>
      </c>
      <c r="N140" s="9">
        <f>_xll.BQL("SAVE US Equity", "CB_IS_INTEREST_EXPENSE/1M", "FPT=A", "FPO=-4A", "ACT_EST_MAPPING=PRECISE", "FS=MRC", "CURRENCY=USD", "XLFILL=b")</f>
        <v>101.35</v>
      </c>
    </row>
    <row r="141" spans="1:14" x14ac:dyDescent="0.2">
      <c r="A141" s="8" t="s">
        <v>44</v>
      </c>
      <c r="B141" s="4" t="s">
        <v>143</v>
      </c>
      <c r="C141" s="4" t="s">
        <v>144</v>
      </c>
      <c r="D141" s="4"/>
      <c r="E141" s="9" t="str">
        <f>_xll.BQL("SAVE US Equity", "FA_GROWTH(CB_IS_INTEREST_EXPENSE, YOY)", "FPT=A", "FPO=5A", "ACT_EST_MAPPING=PRECISE", "FS=MRC", "CURRENCY=USD", "XLFILL=b")</f>
        <v/>
      </c>
      <c r="F141" s="9" t="str">
        <f>_xll.BQL("SAVE US Equity", "FA_GROWTH(CB_IS_INTEREST_EXPENSE, YOY)", "FPT=A", "FPO=4A", "ACT_EST_MAPPING=PRECISE", "FS=MRC", "CURRENCY=USD", "XLFILL=b")</f>
        <v/>
      </c>
      <c r="G141" s="9">
        <f>_xll.BQL("SAVE US Equity", "FA_GROWTH(CB_IS_INTEREST_EXPENSE, YOY)", "FPT=A", "FPO=3A", "ACT_EST_MAPPING=PRECISE", "FS=MRC", "CURRENCY=USD", "XLFILL=b")</f>
        <v>7.3875732385621351</v>
      </c>
      <c r="H141" s="9">
        <f>_xll.BQL("SAVE US Equity", "FA_GROWTH(CB_IS_INTEREST_EXPENSE, YOY)", "FPT=A", "FPO=2A", "ACT_EST_MAPPING=PRECISE", "FS=MRC", "CURRENCY=USD", "XLFILL=b")</f>
        <v>4.9771146021404258</v>
      </c>
      <c r="I141" s="9">
        <f>_xll.BQL("SAVE US Equity", "FA_GROWTH(CB_IS_INTEREST_EXPENSE, YOY)", "FPT=A", "FPO=1A", "ACT_EST_MAPPING=PRECISE", "FS=MRC", "CURRENCY=USD", "XLFILL=b")</f>
        <v>30.314558137886866</v>
      </c>
      <c r="J141" s="9">
        <f>_xll.BQL("SAVE US Equity", "FA_GROWTH(CB_IS_INTEREST_EXPENSE, YOY)", "FPT=A", "FPO=0A", "ACT_EST_MAPPING=PRECISE", "FS=MRC", "CURRENCY=USD", "XLFILL=b")</f>
        <v>20.932775812158251</v>
      </c>
      <c r="K141" s="9">
        <f>_xll.BQL("SAVE US Equity", "FA_GROWTH(CB_IS_INTEREST_EXPENSE, YOY)", "FPT=A", "FPO=-1A", "ACT_EST_MAPPING=PRECISE", "FS=MRC", "CURRENCY=USD", "XLFILL=b")</f>
        <v>-10.093116810508254</v>
      </c>
      <c r="L141" s="9">
        <f>_xll.BQL("SAVE US Equity", "FA_GROWTH(CB_IS_INTEREST_EXPENSE, YOY)", "FPT=A", "FPO=-2A", "ACT_EST_MAPPING=PRECISE", "FS=MRC", "CURRENCY=USD", "XLFILL=b")</f>
        <v>15.678709485578352</v>
      </c>
      <c r="M141" s="9">
        <f>_xll.BQL("SAVE US Equity", "FA_GROWTH(CB_IS_INTEREST_EXPENSE, YOY)", "FPT=A", "FPO=-3A", "ACT_EST_MAPPING=PRECISE", "FS=MRC", "CURRENCY=USD", "XLFILL=b")</f>
        <v>32.72816970892945</v>
      </c>
      <c r="N141" s="9">
        <f>_xll.BQL("SAVE US Equity", "FA_GROWTH(CB_IS_INTEREST_EXPENSE, YOY)", "FPT=A", "FPO=-4A", "ACT_EST_MAPPING=PRECISE", "FS=MRC", "CURRENCY=USD", "XLFILL=b")</f>
        <v>20.975924179667452</v>
      </c>
    </row>
    <row r="142" spans="1:14" x14ac:dyDescent="0.2">
      <c r="A142" s="8" t="s">
        <v>145</v>
      </c>
      <c r="B142" s="4" t="s">
        <v>146</v>
      </c>
      <c r="C142" s="4" t="s">
        <v>147</v>
      </c>
      <c r="D142" s="4"/>
      <c r="E142" s="9" t="str">
        <f>_xll.BQL("SAVE US Equity", "CB_IS_OTHER_NON_OPEX/1M", "FPT=A", "FPO=5A", "ACT_EST_MAPPING=PRECISE", "FS=MRC", "CURRENCY=USD", "XLFILL=b")</f>
        <v/>
      </c>
      <c r="F142" s="9" t="str">
        <f>_xll.BQL("SAVE US Equity", "CB_IS_OTHER_NON_OPEX/1M", "FPT=A", "FPO=4A", "ACT_EST_MAPPING=PRECISE", "FS=MRC", "CURRENCY=USD", "XLFILL=b")</f>
        <v/>
      </c>
      <c r="G142" s="9">
        <f>_xll.BQL("SAVE US Equity", "CB_IS_OTHER_NON_OPEX/1M", "FPT=A", "FPO=3A", "ACT_EST_MAPPING=PRECISE", "FS=MRC", "CURRENCY=USD", "XLFILL=b")</f>
        <v>-16</v>
      </c>
      <c r="H142" s="9">
        <f>_xll.BQL("SAVE US Equity", "CB_IS_OTHER_NON_OPEX/1M", "FPT=A", "FPO=2A", "ACT_EST_MAPPING=PRECISE", "FS=MRC", "CURRENCY=USD", "XLFILL=b")</f>
        <v>-1</v>
      </c>
      <c r="I142" s="9">
        <f>_xll.BQL("SAVE US Equity", "CB_IS_OTHER_NON_OPEX/1M", "FPT=A", "FPO=1A", "ACT_EST_MAPPING=PRECISE", "FS=MRC", "CURRENCY=USD", "XLFILL=b")</f>
        <v>1.5410000000000037</v>
      </c>
      <c r="J142" s="9">
        <f>_xll.BQL("SAVE US Equity", "CB_IS_OTHER_NON_OPEX/1M", "FPT=A", "FPO=0A", "ACT_EST_MAPPING=PRECISE", "FS=MRC", "CURRENCY=USD", "XLFILL=b")</f>
        <v>4.0650000000000004</v>
      </c>
      <c r="K142" s="9">
        <f>_xll.BQL("SAVE US Equity", "CB_IS_OTHER_NON_OPEX/1M", "FPT=A", "FPO=-1A", "ACT_EST_MAPPING=PRECISE", "FS=MRC", "CURRENCY=USD", "XLFILL=b")</f>
        <v>4.8179999999999996</v>
      </c>
      <c r="L142" s="9">
        <f>_xll.BQL("SAVE US Equity", "CB_IS_OTHER_NON_OPEX/1M", "FPT=A", "FPO=-2A", "ACT_EST_MAPPING=PRECISE", "FS=MRC", "CURRENCY=USD", "XLFILL=b")</f>
        <v>0.57699999999999996</v>
      </c>
      <c r="M142" s="9">
        <f>_xll.BQL("SAVE US Equity", "CB_IS_OTHER_NON_OPEX/1M", "FPT=A", "FPO=-3A", "ACT_EST_MAPPING=PRECISE", "FS=MRC", "CURRENCY=USD", "XLFILL=b")</f>
        <v>0.21099999999999999</v>
      </c>
      <c r="N142" s="9">
        <f>_xll.BQL("SAVE US Equity", "CB_IS_OTHER_NON_OPEX/1M", "FPT=A", "FPO=-4A", "ACT_EST_MAPPING=PRECISE", "FS=MRC", "CURRENCY=USD", "XLFILL=b")</f>
        <v>0.875</v>
      </c>
    </row>
    <row r="143" spans="1:14" x14ac:dyDescent="0.2">
      <c r="A143" s="8" t="s">
        <v>44</v>
      </c>
      <c r="B143" s="4" t="s">
        <v>146</v>
      </c>
      <c r="C143" s="4" t="s">
        <v>147</v>
      </c>
      <c r="D143" s="4"/>
      <c r="E143" s="9" t="str">
        <f>_xll.BQL("SAVE US Equity", "FA_GROWTH(CB_IS_OTHER_NON_OPEX, YOY)", "FPT=A", "FPO=5A", "ACT_EST_MAPPING=PRECISE", "FS=MRC", "CURRENCY=USD", "XLFILL=b")</f>
        <v/>
      </c>
      <c r="F143" s="9" t="str">
        <f>_xll.BQL("SAVE US Equity", "FA_GROWTH(CB_IS_OTHER_NON_OPEX, YOY)", "FPT=A", "FPO=4A", "ACT_EST_MAPPING=PRECISE", "FS=MRC", "CURRENCY=USD", "XLFILL=b")</f>
        <v/>
      </c>
      <c r="G143" s="9">
        <f>_xll.BQL("SAVE US Equity", "FA_GROWTH(CB_IS_OTHER_NON_OPEX, YOY)", "FPT=A", "FPO=3A", "ACT_EST_MAPPING=PRECISE", "FS=MRC", "CURRENCY=USD", "XLFILL=b")</f>
        <v>-1500</v>
      </c>
      <c r="H143" s="9">
        <f>_xll.BQL("SAVE US Equity", "FA_GROWTH(CB_IS_OTHER_NON_OPEX, YOY)", "FPT=A", "FPO=2A", "ACT_EST_MAPPING=PRECISE", "FS=MRC", "CURRENCY=USD", "XLFILL=b")</f>
        <v>-164.89292667099269</v>
      </c>
      <c r="I143" s="9">
        <f>_xll.BQL("SAVE US Equity", "FA_GROWTH(CB_IS_OTHER_NON_OPEX, YOY)", "FPT=A", "FPO=1A", "ACT_EST_MAPPING=PRECISE", "FS=MRC", "CURRENCY=USD", "XLFILL=b")</f>
        <v>-62.091020910209018</v>
      </c>
      <c r="J143" s="9">
        <f>_xll.BQL("SAVE US Equity", "FA_GROWTH(CB_IS_OTHER_NON_OPEX, YOY)", "FPT=A", "FPO=0A", "ACT_EST_MAPPING=PRECISE", "FS=MRC", "CURRENCY=USD", "XLFILL=b")</f>
        <v>-15.628891656288907</v>
      </c>
      <c r="K143" s="9">
        <f>_xll.BQL("SAVE US Equity", "FA_GROWTH(CB_IS_OTHER_NON_OPEX, YOY)", "FPT=A", "FPO=-1A", "ACT_EST_MAPPING=PRECISE", "FS=MRC", "CURRENCY=USD", "XLFILL=b")</f>
        <v>735.00866551126512</v>
      </c>
      <c r="L143" s="9">
        <f>_xll.BQL("SAVE US Equity", "FA_GROWTH(CB_IS_OTHER_NON_OPEX, YOY)", "FPT=A", "FPO=-2A", "ACT_EST_MAPPING=PRECISE", "FS=MRC", "CURRENCY=USD", "XLFILL=b")</f>
        <v>173.45971563981044</v>
      </c>
      <c r="M143" s="9">
        <f>_xll.BQL("SAVE US Equity", "FA_GROWTH(CB_IS_OTHER_NON_OPEX, YOY)", "FPT=A", "FPO=-3A", "ACT_EST_MAPPING=PRECISE", "FS=MRC", "CURRENCY=USD", "XLFILL=b")</f>
        <v>-75.885714285714286</v>
      </c>
      <c r="N143" s="9">
        <f>_xll.BQL("SAVE US Equity", "FA_GROWTH(CB_IS_OTHER_NON_OPEX, YOY)", "FPT=A", "FPO=-4A", "ACT_EST_MAPPING=PRECISE", "FS=MRC", "CURRENCY=USD", "XLFILL=b")</f>
        <v>16.356382978723403</v>
      </c>
    </row>
    <row r="144" spans="1:14" x14ac:dyDescent="0.2">
      <c r="A144" s="8" t="s">
        <v>16</v>
      </c>
      <c r="B144" s="4"/>
      <c r="C144" s="4"/>
      <c r="D144" s="4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1:14" x14ac:dyDescent="0.2">
      <c r="A145" s="8" t="s">
        <v>148</v>
      </c>
      <c r="B145" s="4" t="s">
        <v>149</v>
      </c>
      <c r="C145" s="4" t="s">
        <v>150</v>
      </c>
      <c r="D145" s="4"/>
      <c r="E145" s="9" t="str">
        <f>_xll.BQL("SAVE US Equity", "PRETAX_INC/1M", "FPT=A", "FPO=5A", "ACT_EST_MAPPING=PRECISE", "FS=MRC", "CURRENCY=USD", "XLFILL=b")</f>
        <v/>
      </c>
      <c r="F145" s="9" t="str">
        <f>_xll.BQL("SAVE US Equity", "PRETAX_INC/1M", "FPT=A", "FPO=4A", "ACT_EST_MAPPING=PRECISE", "FS=MRC", "CURRENCY=USD", "XLFILL=b")</f>
        <v/>
      </c>
      <c r="G145" s="9">
        <f>_xll.BQL("SAVE US Equity", "PRETAX_INC/1M", "FPT=A", "FPO=3A", "ACT_EST_MAPPING=PRECISE", "FS=MRC", "CURRENCY=USD", "XLFILL=b")</f>
        <v>-201.10649286701835</v>
      </c>
      <c r="H145" s="9">
        <f>_xll.BQL("SAVE US Equity", "PRETAX_INC/1M", "FPT=A", "FPO=2A", "ACT_EST_MAPPING=PRECISE", "FS=MRC", "CURRENCY=USD", "XLFILL=b")</f>
        <v>-725.02553128636077</v>
      </c>
      <c r="I145" s="9">
        <f>_xll.BQL("SAVE US Equity", "PRETAX_INC/1M", "FPT=A", "FPO=1A", "ACT_EST_MAPPING=PRECISE", "FS=MRC", "CURRENCY=USD", "XLFILL=b")</f>
        <v>-1017.277904612842</v>
      </c>
      <c r="J145" s="9">
        <f>_xll.BQL("SAVE US Equity", "PRETAX_INC/1M", "FPT=A", "FPO=0A", "ACT_EST_MAPPING=PRECISE", "FS=MRC", "CURRENCY=USD", "XLFILL=b")</f>
        <v>-558.59500000000003</v>
      </c>
      <c r="K145" s="9">
        <f>_xll.BQL("SAVE US Equity", "PRETAX_INC/1M", "FPT=A", "FPO=-1A", "ACT_EST_MAPPING=PRECISE", "FS=MRC", "CURRENCY=USD", "XLFILL=b")</f>
        <v>-700.73900000000003</v>
      </c>
      <c r="L145" s="9">
        <f>_xll.BQL("SAVE US Equity", "PRETAX_INC/1M", "FPT=A", "FPO=-2A", "ACT_EST_MAPPING=PRECISE", "FS=MRC", "CURRENCY=USD", "XLFILL=b")</f>
        <v>-520.32000000000005</v>
      </c>
      <c r="M145" s="9">
        <f>_xll.BQL("SAVE US Equity", "PRETAX_INC/1M", "FPT=A", "FPO=-3A", "ACT_EST_MAPPING=PRECISE", "FS=MRC", "CURRENCY=USD", "XLFILL=b")</f>
        <v>-620.18399999999997</v>
      </c>
      <c r="N145" s="9">
        <f>_xll.BQL("SAVE US Equity", "PRETAX_INC/1M", "FPT=A", "FPO=-4A", "ACT_EST_MAPPING=PRECISE", "FS=MRC", "CURRENCY=USD", "XLFILL=b")</f>
        <v>436.42599999999999</v>
      </c>
    </row>
    <row r="146" spans="1:14" x14ac:dyDescent="0.2">
      <c r="A146" s="8" t="s">
        <v>12</v>
      </c>
      <c r="B146" s="4" t="s">
        <v>149</v>
      </c>
      <c r="C146" s="4" t="s">
        <v>150</v>
      </c>
      <c r="D146" s="4"/>
      <c r="E146" s="9" t="str">
        <f>_xll.BQL("SAVE US Equity", "FA_GROWTH(PRETAX_INC, YOY)", "FPT=A", "FPO=5A", "ACT_EST_MAPPING=PRECISE", "FS=MRC", "CURRENCY=USD", "XLFILL=b")</f>
        <v/>
      </c>
      <c r="F146" s="9" t="str">
        <f>_xll.BQL("SAVE US Equity", "FA_GROWTH(PRETAX_INC, YOY)", "FPT=A", "FPO=4A", "ACT_EST_MAPPING=PRECISE", "FS=MRC", "CURRENCY=USD", "XLFILL=b")</f>
        <v/>
      </c>
      <c r="G146" s="9">
        <f>_xll.BQL("SAVE US Equity", "FA_GROWTH(PRETAX_INC, YOY)", "FPT=A", "FPO=3A", "ACT_EST_MAPPING=PRECISE", "FS=MRC", "CURRENCY=USD", "XLFILL=b")</f>
        <v>72.26215020177159</v>
      </c>
      <c r="H146" s="9">
        <f>_xll.BQL("SAVE US Equity", "FA_GROWTH(PRETAX_INC, YOY)", "FPT=A", "FPO=2A", "ACT_EST_MAPPING=PRECISE", "FS=MRC", "CURRENCY=USD", "XLFILL=b")</f>
        <v>28.728862781867587</v>
      </c>
      <c r="I146" s="9">
        <f>_xll.BQL("SAVE US Equity", "FA_GROWTH(PRETAX_INC, YOY)", "FPT=A", "FPO=1A", "ACT_EST_MAPPING=PRECISE", "FS=MRC", "CURRENCY=USD", "XLFILL=b")</f>
        <v>-82.113678893087467</v>
      </c>
      <c r="J146" s="9">
        <f>_xll.BQL("SAVE US Equity", "FA_GROWTH(PRETAX_INC, YOY)", "FPT=A", "FPO=0A", "ACT_EST_MAPPING=PRECISE", "FS=MRC", "CURRENCY=USD", "XLFILL=b")</f>
        <v>20.28487068651809</v>
      </c>
      <c r="K146" s="9">
        <f>_xll.BQL("SAVE US Equity", "FA_GROWTH(PRETAX_INC, YOY)", "FPT=A", "FPO=-1A", "ACT_EST_MAPPING=PRECISE", "FS=MRC", "CURRENCY=USD", "XLFILL=b")</f>
        <v>-34.674623308733068</v>
      </c>
      <c r="L146" s="9">
        <f>_xll.BQL("SAVE US Equity", "FA_GROWTH(PRETAX_INC, YOY)", "FPT=A", "FPO=-2A", "ACT_EST_MAPPING=PRECISE", "FS=MRC", "CURRENCY=USD", "XLFILL=b")</f>
        <v>16.102318021748374</v>
      </c>
      <c r="M146" s="9">
        <f>_xll.BQL("SAVE US Equity", "FA_GROWTH(PRETAX_INC, YOY)", "FPT=A", "FPO=-3A", "ACT_EST_MAPPING=PRECISE", "FS=MRC", "CURRENCY=USD", "XLFILL=b")</f>
        <v>-242.10519079981486</v>
      </c>
      <c r="N146" s="9">
        <f>_xll.BQL("SAVE US Equity", "FA_GROWTH(PRETAX_INC, YOY)", "FPT=A", "FPO=-4A", "ACT_EST_MAPPING=PRECISE", "FS=MRC", "CURRENCY=USD", "XLFILL=b")</f>
        <v>112.91565841854656</v>
      </c>
    </row>
    <row r="147" spans="1:14" x14ac:dyDescent="0.2">
      <c r="A147" s="8" t="s">
        <v>16</v>
      </c>
      <c r="B147" s="4"/>
      <c r="C147" s="4"/>
      <c r="D147" s="4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1:14" x14ac:dyDescent="0.2">
      <c r="A148" s="8" t="s">
        <v>151</v>
      </c>
      <c r="B148" s="4" t="s">
        <v>152</v>
      </c>
      <c r="C148" s="4" t="s">
        <v>153</v>
      </c>
      <c r="D148" s="4"/>
      <c r="E148" s="9" t="str">
        <f>_xll.BQL("SAVE US Equity", "IS_INC_TAX_EXP/1M", "FPT=A", "FPO=5A", "ACT_EST_MAPPING=PRECISE", "FS=MRC", "CURRENCY=USD", "XLFILL=b")</f>
        <v/>
      </c>
      <c r="F148" s="9" t="str">
        <f>_xll.BQL("SAVE US Equity", "IS_INC_TAX_EXP/1M", "FPT=A", "FPO=4A", "ACT_EST_MAPPING=PRECISE", "FS=MRC", "CURRENCY=USD", "XLFILL=b")</f>
        <v/>
      </c>
      <c r="G148" s="9">
        <f>_xll.BQL("SAVE US Equity", "IS_INC_TAX_EXP/1M", "FPT=A", "FPO=3A", "ACT_EST_MAPPING=PRECISE", "FS=MRC", "CURRENCY=USD", "XLFILL=b")</f>
        <v>-45.974241133520898</v>
      </c>
      <c r="H148" s="9">
        <f>_xll.BQL("SAVE US Equity", "IS_INC_TAX_EXP/1M", "FPT=A", "FPO=2A", "ACT_EST_MAPPING=PRECISE", "FS=MRC", "CURRENCY=USD", "XLFILL=b")</f>
        <v>-165.59241132336177</v>
      </c>
      <c r="I148" s="9">
        <f>_xll.BQL("SAVE US Equity", "IS_INC_TAX_EXP/1M", "FPT=A", "FPO=1A", "ACT_EST_MAPPING=PRECISE", "FS=MRC", "CURRENCY=USD", "XLFILL=b")</f>
        <v>-158.0175676280131</v>
      </c>
      <c r="J148" s="9">
        <f>_xll.BQL("SAVE US Equity", "IS_INC_TAX_EXP/1M", "FPT=A", "FPO=0A", "ACT_EST_MAPPING=PRECISE", "FS=MRC", "CURRENCY=USD", "XLFILL=b")</f>
        <v>-111.131</v>
      </c>
      <c r="K148" s="9">
        <f>_xll.BQL("SAVE US Equity", "IS_INC_TAX_EXP/1M", "FPT=A", "FPO=-1A", "ACT_EST_MAPPING=PRECISE", "FS=MRC", "CURRENCY=USD", "XLFILL=b")</f>
        <v>-146.589</v>
      </c>
      <c r="L148" s="9">
        <f>_xll.BQL("SAVE US Equity", "IS_INC_TAX_EXP/1M", "FPT=A", "FPO=-2A", "ACT_EST_MAPPING=PRECISE", "FS=MRC", "CURRENCY=USD", "XLFILL=b")</f>
        <v>-47.750999999999998</v>
      </c>
      <c r="M148" s="9">
        <f>_xll.BQL("SAVE US Equity", "IS_INC_TAX_EXP/1M", "FPT=A", "FPO=-3A", "ACT_EST_MAPPING=PRECISE", "FS=MRC", "CURRENCY=USD", "XLFILL=b")</f>
        <v>-191.48400000000001</v>
      </c>
      <c r="N148" s="9">
        <f>_xll.BQL("SAVE US Equity", "IS_INC_TAX_EXP/1M", "FPT=A", "FPO=-4A", "ACT_EST_MAPPING=PRECISE", "FS=MRC", "CURRENCY=USD", "XLFILL=b")</f>
        <v>101.17100000000001</v>
      </c>
    </row>
    <row r="149" spans="1:14" x14ac:dyDescent="0.2">
      <c r="A149" s="8" t="s">
        <v>12</v>
      </c>
      <c r="B149" s="4" t="s">
        <v>152</v>
      </c>
      <c r="C149" s="4" t="s">
        <v>153</v>
      </c>
      <c r="D149" s="4"/>
      <c r="E149" s="9" t="str">
        <f>_xll.BQL("SAVE US Equity", "FA_GROWTH(IS_INC_TAX_EXP, YOY)", "FPT=A", "FPO=5A", "ACT_EST_MAPPING=PRECISE", "FS=MRC", "CURRENCY=USD", "XLFILL=b")</f>
        <v/>
      </c>
      <c r="F149" s="9" t="str">
        <f>_xll.BQL("SAVE US Equity", "FA_GROWTH(IS_INC_TAX_EXP, YOY)", "FPT=A", "FPO=4A", "ACT_EST_MAPPING=PRECISE", "FS=MRC", "CURRENCY=USD", "XLFILL=b")</f>
        <v/>
      </c>
      <c r="G149" s="9">
        <f>_xll.BQL("SAVE US Equity", "FA_GROWTH(IS_INC_TAX_EXP, YOY)", "FPT=A", "FPO=3A", "ACT_EST_MAPPING=PRECISE", "FS=MRC", "CURRENCY=USD", "XLFILL=b")</f>
        <v>72.236504821622319</v>
      </c>
      <c r="H149" s="9">
        <f>_xll.BQL("SAVE US Equity", "FA_GROWTH(IS_INC_TAX_EXP, YOY)", "FPT=A", "FPO=2A", "ACT_EST_MAPPING=PRECISE", "FS=MRC", "CURRENCY=USD", "XLFILL=b")</f>
        <v>-4.7936718739909425</v>
      </c>
      <c r="I149" s="9">
        <f>_xll.BQL("SAVE US Equity", "FA_GROWTH(IS_INC_TAX_EXP, YOY)", "FPT=A", "FPO=1A", "ACT_EST_MAPPING=PRECISE", "FS=MRC", "CURRENCY=USD", "XLFILL=b")</f>
        <v>-42.190358790988206</v>
      </c>
      <c r="J149" s="9">
        <f>_xll.BQL("SAVE US Equity", "FA_GROWTH(IS_INC_TAX_EXP, YOY)", "FPT=A", "FPO=0A", "ACT_EST_MAPPING=PRECISE", "FS=MRC", "CURRENCY=USD", "XLFILL=b")</f>
        <v>24.188718116639038</v>
      </c>
      <c r="K149" s="9">
        <f>_xll.BQL("SAVE US Equity", "FA_GROWTH(IS_INC_TAX_EXP, YOY)", "FPT=A", "FPO=-1A", "ACT_EST_MAPPING=PRECISE", "FS=MRC", "CURRENCY=USD", "XLFILL=b")</f>
        <v>-206.98624112584031</v>
      </c>
      <c r="L149" s="9">
        <f>_xll.BQL("SAVE US Equity", "FA_GROWTH(IS_INC_TAX_EXP, YOY)", "FPT=A", "FPO=-2A", "ACT_EST_MAPPING=PRECISE", "FS=MRC", "CURRENCY=USD", "XLFILL=b")</f>
        <v>75.062668421382469</v>
      </c>
      <c r="M149" s="9">
        <f>_xll.BQL("SAVE US Equity", "FA_GROWTH(IS_INC_TAX_EXP, YOY)", "FPT=A", "FPO=-3A", "ACT_EST_MAPPING=PRECISE", "FS=MRC", "CURRENCY=USD", "XLFILL=b")</f>
        <v>-289.26767551966475</v>
      </c>
      <c r="N149" s="9">
        <f>_xll.BQL("SAVE US Equity", "FA_GROWTH(IS_INC_TAX_EXP, YOY)", "FPT=A", "FPO=-4A", "ACT_EST_MAPPING=PRECISE", "FS=MRC", "CURRENCY=USD", "XLFILL=b")</f>
        <v>105.51932882361305</v>
      </c>
    </row>
    <row r="150" spans="1:14" x14ac:dyDescent="0.2">
      <c r="A150" s="8" t="s">
        <v>154</v>
      </c>
      <c r="B150" s="4" t="s">
        <v>155</v>
      </c>
      <c r="C150" s="4" t="s">
        <v>153</v>
      </c>
      <c r="D150" s="4"/>
      <c r="E150" s="9">
        <f>_xll.BQL("SAVE US Equity", "EFF_TAX_RATE", "FPT=A", "FPO=5A", "ACT_EST_MAPPING=PRECISE", "FS=MRC", "CURRENCY=USD", "XLFILL=b")</f>
        <v>23.000000000000107</v>
      </c>
      <c r="F150" s="9">
        <f>_xll.BQL("SAVE US Equity", "EFF_TAX_RATE", "FPT=A", "FPO=4A", "ACT_EST_MAPPING=PRECISE", "FS=MRC", "CURRENCY=USD", "XLFILL=b")</f>
        <v>22.999999999999961</v>
      </c>
      <c r="G150" s="9">
        <f>_xll.BQL("SAVE US Equity", "EFF_TAX_RATE", "FPT=A", "FPO=3A", "ACT_EST_MAPPING=PRECISE", "FS=MRC", "CURRENCY=USD", "XLFILL=b")</f>
        <v>22.628983992106967</v>
      </c>
      <c r="H150" s="9">
        <f>_xll.BQL("SAVE US Equity", "EFF_TAX_RATE", "FPT=A", "FPO=2A", "ACT_EST_MAPPING=PRECISE", "FS=MRC", "CURRENCY=USD", "XLFILL=b")</f>
        <v>23.000000000000007</v>
      </c>
      <c r="I150" s="9">
        <f>_xll.BQL("SAVE US Equity", "EFF_TAX_RATE", "FPT=A", "FPO=1A", "ACT_EST_MAPPING=PRECISE", "FS=MRC", "CURRENCY=USD", "XLFILL=b")</f>
        <v>22.51232786306473</v>
      </c>
      <c r="J150" s="9" t="str">
        <f>_xll.BQL("SAVE US Equity", "EFF_TAX_RATE", "FPT=A", "FPO=0A", "ACT_EST_MAPPING=PRECISE", "FS=MRC", "CURRENCY=USD", "XLFILL=b")</f>
        <v/>
      </c>
      <c r="K150" s="9" t="str">
        <f>_xll.BQL("SAVE US Equity", "EFF_TAX_RATE", "FPT=A", "FPO=-1A", "ACT_EST_MAPPING=PRECISE", "FS=MRC", "CURRENCY=USD", "XLFILL=b")</f>
        <v/>
      </c>
      <c r="L150" s="9" t="str">
        <f>_xll.BQL("SAVE US Equity", "EFF_TAX_RATE", "FPT=A", "FPO=-2A", "ACT_EST_MAPPING=PRECISE", "FS=MRC", "CURRENCY=USD", "XLFILL=b")</f>
        <v/>
      </c>
      <c r="M150" s="9" t="str">
        <f>_xll.BQL("SAVE US Equity", "EFF_TAX_RATE", "FPT=A", "FPO=-3A", "ACT_EST_MAPPING=PRECISE", "FS=MRC", "CURRENCY=USD", "XLFILL=b")</f>
        <v/>
      </c>
      <c r="N150" s="9">
        <f>_xll.BQL("SAVE US Equity", "EFF_TAX_RATE", "FPT=A", "FPO=-4A", "ACT_EST_MAPPING=PRECISE", "FS=MRC", "CURRENCY=USD", "XLFILL=b")</f>
        <v>23.181707780929642</v>
      </c>
    </row>
    <row r="151" spans="1:14" x14ac:dyDescent="0.2">
      <c r="A151" s="8" t="s">
        <v>44</v>
      </c>
      <c r="B151" s="4" t="s">
        <v>155</v>
      </c>
      <c r="C151" s="4" t="s">
        <v>153</v>
      </c>
      <c r="D151" s="4"/>
      <c r="E151" s="9">
        <f>_xll.BQL("SAVE US Equity", "FA_GROWTH(EFF_TAX_RATE, YOY)", "FPT=A", "FPO=5A", "ACT_EST_MAPPING=PRECISE", "FS=MRC", "CURRENCY=USD", "XLFILL=b")</f>
        <v>6.3330982969922079E-13</v>
      </c>
      <c r="F151" s="9">
        <f>_xll.BQL("SAVE US Equity", "FA_GROWTH(EFF_TAX_RATE, YOY)", "FPT=A", "FPO=4A", "ACT_EST_MAPPING=PRECISE", "FS=MRC", "CURRENCY=USD", "XLFILL=b")</f>
        <v>1.6395610515364054</v>
      </c>
      <c r="G151" s="9">
        <f>_xll.BQL("SAVE US Equity", "FA_GROWTH(EFF_TAX_RATE, YOY)", "FPT=A", "FPO=3A", "ACT_EST_MAPPING=PRECISE", "FS=MRC", "CURRENCY=USD", "XLFILL=b")</f>
        <v>-1.6131130777958256</v>
      </c>
      <c r="H151" s="9">
        <f>_xll.BQL("SAVE US Equity", "FA_GROWTH(EFF_TAX_RATE, YOY)", "FPT=A", "FPO=2A", "ACT_EST_MAPPING=PRECISE", "FS=MRC", "CURRENCY=USD", "XLFILL=b")</f>
        <v>2.1662448232880687</v>
      </c>
      <c r="I151" s="9" t="str">
        <f>_xll.BQL("SAVE US Equity", "FA_GROWTH(EFF_TAX_RATE, YOY)", "FPT=A", "FPO=1A", "ACT_EST_MAPPING=PRECISE", "FS=MRC", "CURRENCY=USD", "XLFILL=b")</f>
        <v/>
      </c>
      <c r="J151" s="9" t="str">
        <f>_xll.BQL("SAVE US Equity", "FA_GROWTH(EFF_TAX_RATE, YOY)", "FPT=A", "FPO=0A", "ACT_EST_MAPPING=PRECISE", "FS=MRC", "CURRENCY=USD", "XLFILL=b")</f>
        <v/>
      </c>
      <c r="K151" s="9" t="str">
        <f>_xll.BQL("SAVE US Equity", "FA_GROWTH(EFF_TAX_RATE, YOY)", "FPT=A", "FPO=-1A", "ACT_EST_MAPPING=PRECISE", "FS=MRC", "CURRENCY=USD", "XLFILL=b")</f>
        <v/>
      </c>
      <c r="L151" s="9" t="str">
        <f>_xll.BQL("SAVE US Equity", "FA_GROWTH(EFF_TAX_RATE, YOY)", "FPT=A", "FPO=-2A", "ACT_EST_MAPPING=PRECISE", "FS=MRC", "CURRENCY=USD", "XLFILL=b")</f>
        <v/>
      </c>
      <c r="M151" s="9" t="str">
        <f>_xll.BQL("SAVE US Equity", "FA_GROWTH(EFF_TAX_RATE, YOY)", "FPT=A", "FPO=-3A", "ACT_EST_MAPPING=PRECISE", "FS=MRC", "CURRENCY=USD", "XLFILL=b")</f>
        <v/>
      </c>
      <c r="N151" s="9">
        <f>_xll.BQL("SAVE US Equity", "FA_GROWTH(EFF_TAX_RATE, YOY)", "FPT=A", "FPO=-4A", "ACT_EST_MAPPING=PRECISE", "FS=MRC", "CURRENCY=USD", "XLFILL=b")</f>
        <v>-3.4738307411819833</v>
      </c>
    </row>
    <row r="152" spans="1:14" x14ac:dyDescent="0.2">
      <c r="A152" s="8" t="s">
        <v>16</v>
      </c>
      <c r="B152" s="4"/>
      <c r="C152" s="4"/>
      <c r="D152" s="4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1:14" x14ac:dyDescent="0.2">
      <c r="A153" s="8" t="s">
        <v>156</v>
      </c>
      <c r="B153" s="4" t="s">
        <v>157</v>
      </c>
      <c r="C153" s="4"/>
      <c r="D153" s="4"/>
      <c r="E153" s="9">
        <f>_xll.BQL("SAVE US Equity", "IS_COMP_NET_INCOME_GAAP/1M", "FPT=A", "FPO=5A", "ACT_EST_MAPPING=PRECISE", "FS=MRC", "CURRENCY=USD", "XLFILL=b")</f>
        <v>108</v>
      </c>
      <c r="F153" s="9">
        <f>_xll.BQL("SAVE US Equity", "IS_COMP_NET_INCOME_GAAP/1M", "FPT=A", "FPO=4A", "ACT_EST_MAPPING=PRECISE", "FS=MRC", "CURRENCY=USD", "XLFILL=b")</f>
        <v>-101</v>
      </c>
      <c r="G153" s="9">
        <f>_xll.BQL("SAVE US Equity", "IS_COMP_NET_INCOME_GAAP/1M", "FPT=A", "FPO=3A", "ACT_EST_MAPPING=PRECISE", "FS=MRC", "CURRENCY=USD", "XLFILL=b")</f>
        <v>-201.25</v>
      </c>
      <c r="H153" s="9">
        <f>_xll.BQL("SAVE US Equity", "IS_COMP_NET_INCOME_GAAP/1M", "FPT=A", "FPO=2A", "ACT_EST_MAPPING=PRECISE", "FS=MRC", "CURRENCY=USD", "XLFILL=b")</f>
        <v>-521.88888888888891</v>
      </c>
      <c r="I153" s="9">
        <f>_xll.BQL("SAVE US Equity", "IS_COMP_NET_INCOME_GAAP/1M", "FPT=A", "FPO=1A", "ACT_EST_MAPPING=PRECISE", "FS=MRC", "CURRENCY=USD", "XLFILL=b")</f>
        <v>-785.66666666666663</v>
      </c>
      <c r="J153" s="9">
        <f>_xll.BQL("SAVE US Equity", "IS_COMP_NET_INCOME_GAAP/1M", "FPT=A", "FPO=0A", "ACT_EST_MAPPING=PRECISE", "FS=MRC", "CURRENCY=USD", "XLFILL=b")</f>
        <v>-447.464</v>
      </c>
      <c r="K153" s="9">
        <f>_xll.BQL("SAVE US Equity", "IS_COMP_NET_INCOME_GAAP/1M", "FPT=A", "FPO=-1A", "ACT_EST_MAPPING=PRECISE", "FS=MRC", "CURRENCY=USD", "XLFILL=b")</f>
        <v>-554.15</v>
      </c>
      <c r="L153" s="9">
        <f>_xll.BQL("SAVE US Equity", "IS_COMP_NET_INCOME_GAAP/1M", "FPT=A", "FPO=-2A", "ACT_EST_MAPPING=PRECISE", "FS=MRC", "CURRENCY=USD", "XLFILL=b")</f>
        <v>-472.56900000000002</v>
      </c>
      <c r="M153" s="9">
        <f>_xll.BQL("SAVE US Equity", "IS_COMP_NET_INCOME_GAAP/1M", "FPT=A", "FPO=-3A", "ACT_EST_MAPPING=PRECISE", "FS=MRC", "CURRENCY=USD", "XLFILL=b")</f>
        <v>-428.7</v>
      </c>
      <c r="N153" s="9">
        <f>_xll.BQL("SAVE US Equity", "IS_COMP_NET_INCOME_GAAP/1M", "FPT=A", "FPO=-4A", "ACT_EST_MAPPING=PRECISE", "FS=MRC", "CURRENCY=USD", "XLFILL=b")</f>
        <v>335.255</v>
      </c>
    </row>
    <row r="154" spans="1:14" x14ac:dyDescent="0.2">
      <c r="A154" s="8" t="s">
        <v>12</v>
      </c>
      <c r="B154" s="4" t="s">
        <v>157</v>
      </c>
      <c r="C154" s="4"/>
      <c r="D154" s="4"/>
      <c r="E154" s="9">
        <f>_xll.BQL("SAVE US Equity", "FA_GROWTH(IS_COMP_NET_INCOME_GAAP, YOY)", "FPT=A", "FPO=5A", "ACT_EST_MAPPING=PRECISE", "FS=MRC", "CURRENCY=USD", "XLFILL=b")</f>
        <v>206.93069306930693</v>
      </c>
      <c r="F154" s="9">
        <f>_xll.BQL("SAVE US Equity", "FA_GROWTH(IS_COMP_NET_INCOME_GAAP, YOY)", "FPT=A", "FPO=4A", "ACT_EST_MAPPING=PRECISE", "FS=MRC", "CURRENCY=USD", "XLFILL=b")</f>
        <v>49.813664596273291</v>
      </c>
      <c r="G154" s="9">
        <f>_xll.BQL("SAVE US Equity", "FA_GROWTH(IS_COMP_NET_INCOME_GAAP, YOY)", "FPT=A", "FPO=3A", "ACT_EST_MAPPING=PRECISE", "FS=MRC", "CURRENCY=USD", "XLFILL=b")</f>
        <v>61.438152011922504</v>
      </c>
      <c r="H154" s="9">
        <f>_xll.BQL("SAVE US Equity", "FA_GROWTH(IS_COMP_NET_INCOME_GAAP, YOY)", "FPT=A", "FPO=2A", "ACT_EST_MAPPING=PRECISE", "FS=MRC", "CURRENCY=USD", "XLFILL=b")</f>
        <v>33.573751944562297</v>
      </c>
      <c r="I154" s="9">
        <f>_xll.BQL("SAVE US Equity", "FA_GROWTH(IS_COMP_NET_INCOME_GAAP, YOY)", "FPT=A", "FPO=1A", "ACT_EST_MAPPING=PRECISE", "FS=MRC", "CURRENCY=USD", "XLFILL=b")</f>
        <v>-75.5820952449061</v>
      </c>
      <c r="J154" s="9">
        <f>_xll.BQL("SAVE US Equity", "FA_GROWTH(IS_COMP_NET_INCOME_GAAP, YOY)", "FPT=A", "FPO=0A", "ACT_EST_MAPPING=PRECISE", "FS=MRC", "CURRENCY=USD", "XLFILL=b")</f>
        <v>19.252188035730398</v>
      </c>
      <c r="K154" s="9">
        <f>_xll.BQL("SAVE US Equity", "FA_GROWTH(IS_COMP_NET_INCOME_GAAP, YOY)", "FPT=A", "FPO=-1A", "ACT_EST_MAPPING=PRECISE", "FS=MRC", "CURRENCY=USD", "XLFILL=b")</f>
        <v>-17.263299116107913</v>
      </c>
      <c r="L154" s="9">
        <f>_xll.BQL("SAVE US Equity", "FA_GROWTH(IS_COMP_NET_INCOME_GAAP, YOY)", "FPT=A", "FPO=-2A", "ACT_EST_MAPPING=PRECISE", "FS=MRC", "CURRENCY=USD", "XLFILL=b")</f>
        <v>-10.233030090972708</v>
      </c>
      <c r="M154" s="9">
        <f>_xll.BQL("SAVE US Equity", "FA_GROWTH(IS_COMP_NET_INCOME_GAAP, YOY)", "FPT=A", "FPO=-3A", "ACT_EST_MAPPING=PRECISE", "FS=MRC", "CURRENCY=USD", "XLFILL=b")</f>
        <v>-227.87281323171914</v>
      </c>
      <c r="N154" s="9">
        <f>_xll.BQL("SAVE US Equity", "FA_GROWTH(IS_COMP_NET_INCOME_GAAP, YOY)", "FPT=A", "FPO=-4A", "ACT_EST_MAPPING=PRECISE", "FS=MRC", "CURRENCY=USD", "XLFILL=b")</f>
        <v>115.25338846477345</v>
      </c>
    </row>
    <row r="155" spans="1:14" x14ac:dyDescent="0.2">
      <c r="A155" s="8" t="s">
        <v>16</v>
      </c>
      <c r="B155" s="4"/>
      <c r="C155" s="4"/>
      <c r="D155" s="4"/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spans="1:14" x14ac:dyDescent="0.2">
      <c r="A156" s="8" t="s">
        <v>158</v>
      </c>
      <c r="B156" s="4" t="s">
        <v>159</v>
      </c>
      <c r="C156" s="4" t="s">
        <v>160</v>
      </c>
      <c r="D156" s="4"/>
      <c r="E156" s="9">
        <f>_xll.BQL("SAVE US Equity", "IS_AVG_NUM_SH_FOR_EPS/1M", "FPT=A", "FPO=5A", "ACT_EST_MAPPING=PRECISE", "FS=MRC", "CURRENCY=USD", "XLFILL=b")</f>
        <v>109.506</v>
      </c>
      <c r="F156" s="9">
        <f>_xll.BQL("SAVE US Equity", "IS_AVG_NUM_SH_FOR_EPS/1M", "FPT=A", "FPO=4A", "ACT_EST_MAPPING=PRECISE", "FS=MRC", "CURRENCY=USD", "XLFILL=b")</f>
        <v>109.506</v>
      </c>
      <c r="G156" s="9">
        <f>_xll.BQL("SAVE US Equity", "IS_AVG_NUM_SH_FOR_EPS/1M", "FPT=A", "FPO=3A", "ACT_EST_MAPPING=PRECISE", "FS=MRC", "CURRENCY=USD", "XLFILL=b")</f>
        <v>115.06809866666667</v>
      </c>
      <c r="H156" s="9">
        <f>_xll.BQL("SAVE US Equity", "IS_AVG_NUM_SH_FOR_EPS/1M", "FPT=A", "FPO=2A", "ACT_EST_MAPPING=PRECISE", "FS=MRC", "CURRENCY=USD", "XLFILL=b")</f>
        <v>113.14961529372209</v>
      </c>
      <c r="I156" s="9">
        <f>_xll.BQL("SAVE US Equity", "IS_AVG_NUM_SH_FOR_EPS/1M", "FPT=A", "FPO=1A", "ACT_EST_MAPPING=PRECISE", "FS=MRC", "CURRENCY=USD", "XLFILL=b")</f>
        <v>109.429716</v>
      </c>
      <c r="J156" s="9">
        <f>_xll.BQL("SAVE US Equity", "IS_AVG_NUM_SH_FOR_EPS/1M", "FPT=A", "FPO=0A", "ACT_EST_MAPPING=PRECISE", "FS=MRC", "CURRENCY=USD", "XLFILL=b")</f>
        <v>109.152</v>
      </c>
      <c r="K156" s="9">
        <f>_xll.BQL("SAVE US Equity", "IS_AVG_NUM_SH_FOR_EPS/1M", "FPT=A", "FPO=-1A", "ACT_EST_MAPPING=PRECISE", "FS=MRC", "CURRENCY=USD", "XLFILL=b")</f>
        <v>108.751</v>
      </c>
      <c r="L156" s="9">
        <f>_xll.BQL("SAVE US Equity", "IS_AVG_NUM_SH_FOR_EPS/1M", "FPT=A", "FPO=-2A", "ACT_EST_MAPPING=PRECISE", "FS=MRC", "CURRENCY=USD", "XLFILL=b")</f>
        <v>105</v>
      </c>
      <c r="M156" s="9">
        <f>_xll.BQL("SAVE US Equity", "IS_AVG_NUM_SH_FOR_EPS/1M", "FPT=A", "FPO=-3A", "ACT_EST_MAPPING=PRECISE", "FS=MRC", "CURRENCY=USD", "XLFILL=b")</f>
        <v>84.692113000000006</v>
      </c>
      <c r="N156" s="9">
        <f>_xll.BQL("SAVE US Equity", "IS_AVG_NUM_SH_FOR_EPS/1M", "FPT=A", "FPO=-4A", "ACT_EST_MAPPING=PRECISE", "FS=MRC", "CURRENCY=USD", "XLFILL=b")</f>
        <v>68.428528</v>
      </c>
    </row>
    <row r="157" spans="1:14" x14ac:dyDescent="0.2">
      <c r="A157" s="8" t="s">
        <v>12</v>
      </c>
      <c r="B157" s="4" t="s">
        <v>159</v>
      </c>
      <c r="C157" s="4" t="s">
        <v>160</v>
      </c>
      <c r="D157" s="4"/>
      <c r="E157" s="9">
        <f>_xll.BQL("SAVE US Equity", "FA_GROWTH(IS_AVG_NUM_SH_FOR_EPS, YOY)", "FPT=A", "FPO=5A", "ACT_EST_MAPPING=PRECISE", "FS=MRC", "CURRENCY=USD", "XLFILL=b")</f>
        <v>0</v>
      </c>
      <c r="F157" s="9">
        <f>_xll.BQL("SAVE US Equity", "FA_GROWTH(IS_AVG_NUM_SH_FOR_EPS, YOY)", "FPT=A", "FPO=4A", "ACT_EST_MAPPING=PRECISE", "FS=MRC", "CURRENCY=USD", "XLFILL=b")</f>
        <v>-4.8337451744806836</v>
      </c>
      <c r="G157" s="9">
        <f>_xll.BQL("SAVE US Equity", "FA_GROWTH(IS_AVG_NUM_SH_FOR_EPS, YOY)", "FPT=A", "FPO=3A", "ACT_EST_MAPPING=PRECISE", "FS=MRC", "CURRENCY=USD", "XLFILL=b")</f>
        <v>1.6955279679603315</v>
      </c>
      <c r="H157" s="9">
        <f>_xll.BQL("SAVE US Equity", "FA_GROWTH(IS_AVG_NUM_SH_FOR_EPS, YOY)", "FPT=A", "FPO=2A", "ACT_EST_MAPPING=PRECISE", "FS=MRC", "CURRENCY=USD", "XLFILL=b")</f>
        <v>3.399350221947111</v>
      </c>
      <c r="I157" s="9">
        <f>_xll.BQL("SAVE US Equity", "FA_GROWTH(IS_AVG_NUM_SH_FOR_EPS, YOY)", "FPT=A", "FPO=1A", "ACT_EST_MAPPING=PRECISE", "FS=MRC", "CURRENCY=USD", "XLFILL=b")</f>
        <v>0.25443051890941071</v>
      </c>
      <c r="J157" s="9">
        <f>_xll.BQL("SAVE US Equity", "FA_GROWTH(IS_AVG_NUM_SH_FOR_EPS, YOY)", "FPT=A", "FPO=0A", "ACT_EST_MAPPING=PRECISE", "FS=MRC", "CURRENCY=USD", "XLFILL=b")</f>
        <v>0.36873224154260653</v>
      </c>
      <c r="K157" s="9">
        <f>_xll.BQL("SAVE US Equity", "FA_GROWTH(IS_AVG_NUM_SH_FOR_EPS, YOY)", "FPT=A", "FPO=-1A", "ACT_EST_MAPPING=PRECISE", "FS=MRC", "CURRENCY=USD", "XLFILL=b")</f>
        <v>3.5723809523809522</v>
      </c>
      <c r="L157" s="9">
        <f>_xll.BQL("SAVE US Equity", "FA_GROWTH(IS_AVG_NUM_SH_FOR_EPS, YOY)", "FPT=A", "FPO=-2A", "ACT_EST_MAPPING=PRECISE", "FS=MRC", "CURRENCY=USD", "XLFILL=b")</f>
        <v>23.978486639009702</v>
      </c>
      <c r="M157" s="9">
        <f>_xll.BQL("SAVE US Equity", "FA_GROWTH(IS_AVG_NUM_SH_FOR_EPS, YOY)", "FPT=A", "FPO=-3A", "ACT_EST_MAPPING=PRECISE", "FS=MRC", "CURRENCY=USD", "XLFILL=b")</f>
        <v>23.767258299053285</v>
      </c>
      <c r="N157" s="9">
        <f>_xll.BQL("SAVE US Equity", "FA_GROWTH(IS_AVG_NUM_SH_FOR_EPS, YOY)", "FPT=A", "FPO=-4A", "ACT_EST_MAPPING=PRECISE", "FS=MRC", "CURRENCY=USD", "XLFILL=b")</f>
        <v>0.26304854283579249</v>
      </c>
    </row>
    <row r="158" spans="1:14" x14ac:dyDescent="0.2">
      <c r="A158" s="8" t="s">
        <v>16</v>
      </c>
      <c r="B158" s="4"/>
      <c r="C158" s="4"/>
      <c r="D158" s="4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1:14" x14ac:dyDescent="0.2">
      <c r="A159" s="8" t="s">
        <v>161</v>
      </c>
      <c r="B159" s="4" t="s">
        <v>162</v>
      </c>
      <c r="C159" s="4"/>
      <c r="D159" s="4"/>
      <c r="E159" s="9">
        <f>_xll.BQL("SAVE US Equity", "IS_COMP_EPS_GAAP", "FPT=A", "FPO=5A", "ACT_EST_MAPPING=PRECISE", "FS=MRC", "CURRENCY=USD", "XLFILL=b")</f>
        <v>0.99</v>
      </c>
      <c r="F159" s="9">
        <f>_xll.BQL("SAVE US Equity", "IS_COMP_EPS_GAAP", "FPT=A", "FPO=4A", "ACT_EST_MAPPING=PRECISE", "FS=MRC", "CURRENCY=USD", "XLFILL=b")</f>
        <v>-0.92</v>
      </c>
      <c r="G159" s="9">
        <f>_xll.BQL("SAVE US Equity", "IS_COMP_EPS_GAAP", "FPT=A", "FPO=3A", "ACT_EST_MAPPING=PRECISE", "FS=MRC", "CURRENCY=USD", "XLFILL=b")</f>
        <v>-1.635</v>
      </c>
      <c r="H159" s="9">
        <f>_xll.BQL("SAVE US Equity", "IS_COMP_EPS_GAAP", "FPT=A", "FPO=2A", "ACT_EST_MAPPING=PRECISE", "FS=MRC", "CURRENCY=USD", "XLFILL=b")</f>
        <v>-4.4472727272727273</v>
      </c>
      <c r="I159" s="9">
        <f>_xll.BQL("SAVE US Equity", "IS_COMP_EPS_GAAP", "FPT=A", "FPO=1A", "ACT_EST_MAPPING=PRECISE", "FS=MRC", "CURRENCY=USD", "XLFILL=b")</f>
        <v>-7.1363636363636367</v>
      </c>
      <c r="J159" s="9">
        <f>_xll.BQL("SAVE US Equity", "IS_COMP_EPS_GAAP", "FPT=A", "FPO=0A", "ACT_EST_MAPPING=PRECISE", "FS=MRC", "CURRENCY=USD", "XLFILL=b")</f>
        <v>-4.0999999999999996</v>
      </c>
      <c r="K159" s="9">
        <f>_xll.BQL("SAVE US Equity", "IS_COMP_EPS_GAAP", "FPT=A", "FPO=-1A", "ACT_EST_MAPPING=PRECISE", "FS=MRC", "CURRENCY=USD", "XLFILL=b")</f>
        <v>-5.0999999999999996</v>
      </c>
      <c r="L159" s="9">
        <f>_xll.BQL("SAVE US Equity", "IS_COMP_EPS_GAAP", "FPT=A", "FPO=-2A", "ACT_EST_MAPPING=PRECISE", "FS=MRC", "CURRENCY=USD", "XLFILL=b")</f>
        <v>-4.5</v>
      </c>
      <c r="M159" s="9">
        <f>_xll.BQL("SAVE US Equity", "IS_COMP_EPS_GAAP", "FPT=A", "FPO=-3A", "ACT_EST_MAPPING=PRECISE", "FS=MRC", "CURRENCY=USD", "XLFILL=b")</f>
        <v>-5.0599999999999996</v>
      </c>
      <c r="N159" s="9">
        <f>_xll.BQL("SAVE US Equity", "IS_COMP_EPS_GAAP", "FPT=A", "FPO=-4A", "ACT_EST_MAPPING=PRECISE", "FS=MRC", "CURRENCY=USD", "XLFILL=b")</f>
        <v>4.8899999999999997</v>
      </c>
    </row>
    <row r="160" spans="1:14" x14ac:dyDescent="0.2">
      <c r="A160" s="8" t="s">
        <v>12</v>
      </c>
      <c r="B160" s="4" t="s">
        <v>162</v>
      </c>
      <c r="C160" s="4"/>
      <c r="D160" s="4"/>
      <c r="E160" s="9">
        <f>_xll.BQL("SAVE US Equity", "FA_GROWTH(IS_COMP_EPS_GAAP, YOY)", "FPT=A", "FPO=5A", "ACT_EST_MAPPING=PRECISE", "FS=MRC", "CURRENCY=USD", "XLFILL=b")</f>
        <v>207.60869565217391</v>
      </c>
      <c r="F160" s="9">
        <f>_xll.BQL("SAVE US Equity", "FA_GROWTH(IS_COMP_EPS_GAAP, YOY)", "FPT=A", "FPO=4A", "ACT_EST_MAPPING=PRECISE", "FS=MRC", "CURRENCY=USD", "XLFILL=b")</f>
        <v>43.730886850152906</v>
      </c>
      <c r="G160" s="9">
        <f>_xll.BQL("SAVE US Equity", "FA_GROWTH(IS_COMP_EPS_GAAP, YOY)", "FPT=A", "FPO=3A", "ACT_EST_MAPPING=PRECISE", "FS=MRC", "CURRENCY=USD", "XLFILL=b")</f>
        <v>63.235895339329524</v>
      </c>
      <c r="H160" s="9">
        <f>_xll.BQL("SAVE US Equity", "FA_GROWTH(IS_COMP_EPS_GAAP, YOY)", "FPT=A", "FPO=2A", "ACT_EST_MAPPING=PRECISE", "FS=MRC", "CURRENCY=USD", "XLFILL=b")</f>
        <v>37.681528662420384</v>
      </c>
      <c r="I160" s="9">
        <f>_xll.BQL("SAVE US Equity", "FA_GROWTH(IS_COMP_EPS_GAAP, YOY)", "FPT=A", "FPO=1A", "ACT_EST_MAPPING=PRECISE", "FS=MRC", "CURRENCY=USD", "XLFILL=b")</f>
        <v>-74.057649667405784</v>
      </c>
      <c r="J160" s="9">
        <f>_xll.BQL("SAVE US Equity", "FA_GROWTH(IS_COMP_EPS_GAAP, YOY)", "FPT=A", "FPO=0A", "ACT_EST_MAPPING=PRECISE", "FS=MRC", "CURRENCY=USD", "XLFILL=b")</f>
        <v>19.607843137254903</v>
      </c>
      <c r="K160" s="9">
        <f>_xll.BQL("SAVE US Equity", "FA_GROWTH(IS_COMP_EPS_GAAP, YOY)", "FPT=A", "FPO=-1A", "ACT_EST_MAPPING=PRECISE", "FS=MRC", "CURRENCY=USD", "XLFILL=b")</f>
        <v>-13.333333333333325</v>
      </c>
      <c r="L160" s="9">
        <f>_xll.BQL("SAVE US Equity", "FA_GROWTH(IS_COMP_EPS_GAAP, YOY)", "FPT=A", "FPO=-2A", "ACT_EST_MAPPING=PRECISE", "FS=MRC", "CURRENCY=USD", "XLFILL=b")</f>
        <v>11.067193675889321</v>
      </c>
      <c r="M160" s="9">
        <f>_xll.BQL("SAVE US Equity", "FA_GROWTH(IS_COMP_EPS_GAAP, YOY)", "FPT=A", "FPO=-3A", "ACT_EST_MAPPING=PRECISE", "FS=MRC", "CURRENCY=USD", "XLFILL=b")</f>
        <v>-203.4764826175869</v>
      </c>
      <c r="N160" s="9">
        <f>_xll.BQL("SAVE US Equity", "FA_GROWTH(IS_COMP_EPS_GAAP, YOY)", "FPT=A", "FPO=-4A", "ACT_EST_MAPPING=PRECISE", "FS=MRC", "CURRENCY=USD", "XLFILL=b")</f>
        <v>114.47368421052633</v>
      </c>
    </row>
    <row r="161" spans="1:14" x14ac:dyDescent="0.2">
      <c r="A161" s="8" t="s">
        <v>16</v>
      </c>
      <c r="B161" s="4"/>
      <c r="C161" s="4"/>
      <c r="D161" s="4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1:14" x14ac:dyDescent="0.2">
      <c r="A162" s="8" t="s">
        <v>163</v>
      </c>
      <c r="B162" s="4"/>
      <c r="C162" s="4" t="s">
        <v>164</v>
      </c>
      <c r="D162" s="4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1:14" x14ac:dyDescent="0.2">
      <c r="A163" s="8" t="s">
        <v>165</v>
      </c>
      <c r="B163" s="4" t="s">
        <v>166</v>
      </c>
      <c r="C163" s="4" t="s">
        <v>102</v>
      </c>
      <c r="D163" s="4"/>
      <c r="E163" s="9" t="str">
        <f>_xll.BQL("SAVE US Equity", "CB_IS_ADJUSTED_OPEX/1M", "FPT=A", "FPO=5A", "ACT_EST_MAPPING=PRECISE", "FS=MRC", "CURRENCY=USD", "XLFILL=b")</f>
        <v/>
      </c>
      <c r="F163" s="9" t="str">
        <f>_xll.BQL("SAVE US Equity", "CB_IS_ADJUSTED_OPEX/1M", "FPT=A", "FPO=4A", "ACT_EST_MAPPING=PRECISE", "FS=MRC", "CURRENCY=USD", "XLFILL=b")</f>
        <v/>
      </c>
      <c r="G163" s="9">
        <f>_xll.BQL("SAVE US Equity", "CB_IS_ADJUSTED_OPEX/1M", "FPT=A", "FPO=3A", "ACT_EST_MAPPING=PRECISE", "FS=MRC", "CURRENCY=USD", "XLFILL=b")</f>
        <v>4130.450267350896</v>
      </c>
      <c r="H163" s="9">
        <f>_xll.BQL("SAVE US Equity", "CB_IS_ADJUSTED_OPEX/1M", "FPT=A", "FPO=2A", "ACT_EST_MAPPING=PRECISE", "FS=MRC", "CURRENCY=USD", "XLFILL=b")</f>
        <v>4031.7710267856883</v>
      </c>
      <c r="I163" s="9">
        <f>_xll.BQL("SAVE US Equity", "CB_IS_ADJUSTED_OPEX/1M", "FPT=A", "FPO=1A", "ACT_EST_MAPPING=PRECISE", "FS=MRC", "CURRENCY=USD", "XLFILL=b")</f>
        <v>4187.239256473863</v>
      </c>
      <c r="J163" s="9">
        <f>_xll.BQL("SAVE US Equity", "CB_IS_ADJUSTED_OPEX/1M", "FPT=A", "FPO=0A", "ACT_EST_MAPPING=PRECISE", "FS=MRC", "CURRENCY=USD", "XLFILL=b")</f>
        <v>3927.6379999999999</v>
      </c>
      <c r="K163" s="9">
        <f>_xll.BQL("SAVE US Equity", "CB_IS_ADJUSTED_OPEX/1M", "FPT=A", "FPO=-1A", "ACT_EST_MAPPING=PRECISE", "FS=MRC", "CURRENCY=USD", "XLFILL=b")</f>
        <v>3270.5990000000002</v>
      </c>
      <c r="L163" s="9">
        <f>_xll.BQL("SAVE US Equity", "CB_IS_ADJUSTED_OPEX/1M", "FPT=A", "FPO=-2A", "ACT_EST_MAPPING=PRECISE", "FS=MRC", "CURRENCY=USD", "XLFILL=b")</f>
        <v>2746.7539999999999</v>
      </c>
      <c r="M163" s="9">
        <f>_xll.BQL("SAVE US Equity", "CB_IS_ADJUSTED_OPEX/1M", "FPT=A", "FPO=-3A", "ACT_EST_MAPPING=PRECISE", "FS=MRC", "CURRENCY=USD", "XLFILL=b")</f>
        <v>2188.0120000000002</v>
      </c>
      <c r="N163" s="9">
        <f>_xll.BQL("SAVE US Equity", "CB_IS_ADJUSTED_OPEX/1M", "FPT=A", "FPO=-4A", "ACT_EST_MAPPING=PRECISE", "FS=MRC", "CURRENCY=USD", "XLFILL=b")</f>
        <v>2318.4740000000002</v>
      </c>
    </row>
    <row r="164" spans="1:14" x14ac:dyDescent="0.2">
      <c r="A164" s="8" t="s">
        <v>44</v>
      </c>
      <c r="B164" s="4" t="s">
        <v>166</v>
      </c>
      <c r="C164" s="4" t="s">
        <v>102</v>
      </c>
      <c r="D164" s="4"/>
      <c r="E164" s="9" t="str">
        <f>_xll.BQL("SAVE US Equity", "FA_GROWTH(CB_IS_ADJUSTED_OPEX, YOY)", "FPT=A", "FPO=5A", "ACT_EST_MAPPING=PRECISE", "FS=MRC", "CURRENCY=USD", "XLFILL=b")</f>
        <v/>
      </c>
      <c r="F164" s="9" t="str">
        <f>_xll.BQL("SAVE US Equity", "FA_GROWTH(CB_IS_ADJUSTED_OPEX, YOY)", "FPT=A", "FPO=4A", "ACT_EST_MAPPING=PRECISE", "FS=MRC", "CURRENCY=USD", "XLFILL=b")</f>
        <v/>
      </c>
      <c r="G164" s="9">
        <f>_xll.BQL("SAVE US Equity", "FA_GROWTH(CB_IS_ADJUSTED_OPEX, YOY)", "FPT=A", "FPO=3A", "ACT_EST_MAPPING=PRECISE", "FS=MRC", "CURRENCY=USD", "XLFILL=b")</f>
        <v>2.4475407931059783</v>
      </c>
      <c r="H164" s="9">
        <f>_xll.BQL("SAVE US Equity", "FA_GROWTH(CB_IS_ADJUSTED_OPEX, YOY)", "FPT=A", "FPO=2A", "ACT_EST_MAPPING=PRECISE", "FS=MRC", "CURRENCY=USD", "XLFILL=b")</f>
        <v>-3.7129053336946498</v>
      </c>
      <c r="I164" s="9">
        <f>_xll.BQL("SAVE US Equity", "FA_GROWTH(CB_IS_ADJUSTED_OPEX, YOY)", "FPT=A", "FPO=1A", "ACT_EST_MAPPING=PRECISE", "FS=MRC", "CURRENCY=USD", "XLFILL=b")</f>
        <v>6.6096024245071119</v>
      </c>
      <c r="J164" s="9">
        <f>_xll.BQL("SAVE US Equity", "FA_GROWTH(CB_IS_ADJUSTED_OPEX, YOY)", "FPT=A", "FPO=0A", "ACT_EST_MAPPING=PRECISE", "FS=MRC", "CURRENCY=USD", "XLFILL=b")</f>
        <v>20.089255821334255</v>
      </c>
      <c r="K164" s="9">
        <f>_xll.BQL("SAVE US Equity", "FA_GROWTH(CB_IS_ADJUSTED_OPEX, YOY)", "FPT=A", "FPO=-1A", "ACT_EST_MAPPING=PRECISE", "FS=MRC", "CURRENCY=USD", "XLFILL=b")</f>
        <v>19.071420301927294</v>
      </c>
      <c r="L164" s="9">
        <f>_xll.BQL("SAVE US Equity", "FA_GROWTH(CB_IS_ADJUSTED_OPEX, YOY)", "FPT=A", "FPO=-2A", "ACT_EST_MAPPING=PRECISE", "FS=MRC", "CURRENCY=USD", "XLFILL=b")</f>
        <v>25.53651442496659</v>
      </c>
      <c r="M164" s="9">
        <f>_xll.BQL("SAVE US Equity", "FA_GROWTH(CB_IS_ADJUSTED_OPEX, YOY)", "FPT=A", "FPO=-3A", "ACT_EST_MAPPING=PRECISE", "FS=MRC", "CURRENCY=USD", "XLFILL=b")</f>
        <v>-5.6270633183723433</v>
      </c>
      <c r="N164" s="9">
        <f>_xll.BQL("SAVE US Equity", "FA_GROWTH(CB_IS_ADJUSTED_OPEX, YOY)", "FPT=A", "FPO=-4A", "ACT_EST_MAPPING=PRECISE", "FS=MRC", "CURRENCY=USD", "XLFILL=b")</f>
        <v>19.861448227907324</v>
      </c>
    </row>
    <row r="165" spans="1:14" x14ac:dyDescent="0.2">
      <c r="A165" s="8" t="s">
        <v>167</v>
      </c>
      <c r="B165" s="4" t="s">
        <v>40</v>
      </c>
      <c r="C165" s="4" t="s">
        <v>129</v>
      </c>
      <c r="D165" s="4"/>
      <c r="E165" s="9">
        <f>_xll.BQL("SAVE US Equity", "IS_COMPARABLE_EBIT/1M", "FPT=A", "FPO=5A", "ACT_EST_MAPPING=PRECISE", "FS=MRC", "CURRENCY=USD", "XLFILL=b")</f>
        <v>414</v>
      </c>
      <c r="F165" s="9">
        <f>_xll.BQL("SAVE US Equity", "IS_COMPARABLE_EBIT/1M", "FPT=A", "FPO=4A", "ACT_EST_MAPPING=PRECISE", "FS=MRC", "CURRENCY=USD", "XLFILL=b")</f>
        <v>102</v>
      </c>
      <c r="G165" s="9">
        <f>_xll.BQL("SAVE US Equity", "IS_COMPARABLE_EBIT/1M", "FPT=A", "FPO=3A", "ACT_EST_MAPPING=PRECISE", "FS=MRC", "CURRENCY=USD", "XLFILL=b")</f>
        <v>-112.71250000000001</v>
      </c>
      <c r="H165" s="9">
        <f>_xll.BQL("SAVE US Equity", "IS_COMPARABLE_EBIT/1M", "FPT=A", "FPO=2A", "ACT_EST_MAPPING=PRECISE", "FS=MRC", "CURRENCY=USD", "XLFILL=b")</f>
        <v>-476.41666666666669</v>
      </c>
      <c r="I165" s="9">
        <f>_xll.BQL("SAVE US Equity", "IS_COMPARABLE_EBIT/1M", "FPT=A", "FPO=1A", "ACT_EST_MAPPING=PRECISE", "FS=MRC", "CURRENCY=USD", "XLFILL=b")</f>
        <v>-867.72727272727275</v>
      </c>
      <c r="J165" s="9">
        <f>_xll.BQL("SAVE US Equity", "IS_COMPARABLE_EBIT/1M", "FPT=A", "FPO=0A", "ACT_EST_MAPPING=PRECISE", "FS=MRC", "CURRENCY=USD", "XLFILL=b")</f>
        <v>-386.25400000000002</v>
      </c>
      <c r="K165" s="9">
        <f>_xll.BQL("SAVE US Equity", "IS_COMPARABLE_EBIT/1M", "FPT=A", "FPO=-1A", "ACT_EST_MAPPING=PRECISE", "FS=MRC", "CURRENCY=USD", "XLFILL=b")</f>
        <v>-132.12100000000001</v>
      </c>
      <c r="L165" s="9">
        <f>_xll.BQL("SAVE US Equity", "IS_COMPARABLE_EBIT/1M", "FPT=A", "FPO=-2A", "ACT_EST_MAPPING=PRECISE", "FS=MRC", "CURRENCY=USD", "XLFILL=b")</f>
        <v>-429.92399999999998</v>
      </c>
      <c r="M165" s="9">
        <f>_xll.BQL("SAVE US Equity", "IS_COMPARABLE_EBIT/1M", "FPT=A", "FPO=-3A", "ACT_EST_MAPPING=PRECISE", "FS=MRC", "CURRENCY=USD", "XLFILL=b")</f>
        <v>-808.99</v>
      </c>
      <c r="N165" s="9">
        <f>_xll.BQL("SAVE US Equity", "IS_COMPARABLE_EBIT/1M", "FPT=A", "FPO=-4A", "ACT_EST_MAPPING=PRECISE", "FS=MRC", "CURRENCY=USD", "XLFILL=b")</f>
        <v>518.58399999999995</v>
      </c>
    </row>
    <row r="166" spans="1:14" x14ac:dyDescent="0.2">
      <c r="A166" s="8" t="s">
        <v>44</v>
      </c>
      <c r="B166" s="4" t="s">
        <v>40</v>
      </c>
      <c r="C166" s="4" t="s">
        <v>129</v>
      </c>
      <c r="D166" s="4"/>
      <c r="E166" s="9">
        <f>_xll.BQL("SAVE US Equity", "FA_GROWTH(IS_COMPARABLE_EBIT, YOY)", "FPT=A", "FPO=5A", "ACT_EST_MAPPING=PRECISE", "FS=MRC", "CURRENCY=USD", "XLFILL=b")</f>
        <v>305.88235294117646</v>
      </c>
      <c r="F166" s="9">
        <f>_xll.BQL("SAVE US Equity", "FA_GROWTH(IS_COMPARABLE_EBIT, YOY)", "FPT=A", "FPO=4A", "ACT_EST_MAPPING=PRECISE", "FS=MRC", "CURRENCY=USD", "XLFILL=b")</f>
        <v>190.49573028723523</v>
      </c>
      <c r="G166" s="9">
        <f>_xll.BQL("SAVE US Equity", "FA_GROWTH(IS_COMPARABLE_EBIT, YOY)", "FPT=A", "FPO=3A", "ACT_EST_MAPPING=PRECISE", "FS=MRC", "CURRENCY=USD", "XLFILL=b")</f>
        <v>76.341612733951379</v>
      </c>
      <c r="H166" s="9">
        <f>_xll.BQL("SAVE US Equity", "FA_GROWTH(IS_COMPARABLE_EBIT, YOY)", "FPT=A", "FPO=2A", "ACT_EST_MAPPING=PRECISE", "FS=MRC", "CURRENCY=USD", "XLFILL=b")</f>
        <v>45.096036319189807</v>
      </c>
      <c r="I166" s="9">
        <f>_xll.BQL("SAVE US Equity", "FA_GROWTH(IS_COMPARABLE_EBIT, YOY)", "FPT=A", "FPO=1A", "ACT_EST_MAPPING=PRECISE", "FS=MRC", "CURRENCY=USD", "XLFILL=b")</f>
        <v>-124.65198359816927</v>
      </c>
      <c r="J166" s="9">
        <f>_xll.BQL("SAVE US Equity", "FA_GROWTH(IS_COMPARABLE_EBIT, YOY)", "FPT=A", "FPO=0A", "ACT_EST_MAPPING=PRECISE", "FS=MRC", "CURRENCY=USD", "XLFILL=b")</f>
        <v>-192.34868037632168</v>
      </c>
      <c r="K166" s="9">
        <f>_xll.BQL("SAVE US Equity", "FA_GROWTH(IS_COMPARABLE_EBIT, YOY)", "FPT=A", "FPO=-1A", "ACT_EST_MAPPING=PRECISE", "FS=MRC", "CURRENCY=USD", "XLFILL=b")</f>
        <v>69.268754477535566</v>
      </c>
      <c r="L166" s="9">
        <f>_xll.BQL("SAVE US Equity", "FA_GROWTH(IS_COMPARABLE_EBIT, YOY)", "FPT=A", "FPO=-2A", "ACT_EST_MAPPING=PRECISE", "FS=MRC", "CURRENCY=USD", "XLFILL=b")</f>
        <v>46.856697857822716</v>
      </c>
      <c r="M166" s="9">
        <f>_xll.BQL("SAVE US Equity", "FA_GROWTH(IS_COMPARABLE_EBIT, YOY)", "FPT=A", "FPO=-3A", "ACT_EST_MAPPING=PRECISE", "FS=MRC", "CURRENCY=USD", "XLFILL=b")</f>
        <v>-255.99979945389757</v>
      </c>
      <c r="N166" s="9">
        <f>_xll.BQL("SAVE US Equity", "FA_GROWTH(IS_COMPARABLE_EBIT, YOY)", "FPT=A", "FPO=-4A", "ACT_EST_MAPPING=PRECISE", "FS=MRC", "CURRENCY=USD", "XLFILL=b")</f>
        <v>15.390897055060455</v>
      </c>
    </row>
    <row r="167" spans="1:14" x14ac:dyDescent="0.2">
      <c r="A167" s="8" t="s">
        <v>168</v>
      </c>
      <c r="B167" s="4" t="s">
        <v>43</v>
      </c>
      <c r="C167" s="4" t="s">
        <v>169</v>
      </c>
      <c r="D167" s="4"/>
      <c r="E167" s="9">
        <f>_xll.BQL("SAVE US Equity", "CB_IS_ADJ_OPERATING_MARGIN", "FPT=A", "FPO=5A", "ACT_EST_MAPPING=PRECISE", "FS=MRC", "CURRENCY=USD", "XLFILL=b")</f>
        <v>5.8892693668943386</v>
      </c>
      <c r="F167" s="9">
        <f>_xll.BQL("SAVE US Equity", "CB_IS_ADJ_OPERATING_MARGIN", "FPT=A", "FPO=4A", "ACT_EST_MAPPING=PRECISE", "FS=MRC", "CURRENCY=USD", "XLFILL=b")</f>
        <v>1.6394467658600291</v>
      </c>
      <c r="G167" s="9">
        <f>_xll.BQL("SAVE US Equity", "CB_IS_ADJ_OPERATING_MARGIN", "FPT=A", "FPO=3A", "ACT_EST_MAPPING=PRECISE", "FS=MRC", "CURRENCY=USD", "XLFILL=b")</f>
        <v>-1.2491152568938471</v>
      </c>
      <c r="H167" s="9">
        <f>_xll.BQL("SAVE US Equity", "CB_IS_ADJ_OPERATING_MARGIN", "FPT=A", "FPO=2A", "ACT_EST_MAPPING=PRECISE", "FS=MRC", "CURRENCY=USD", "XLFILL=b")</f>
        <v>-9.771908087132628</v>
      </c>
      <c r="I167" s="9">
        <f>_xll.BQL("SAVE US Equity", "CB_IS_ADJ_OPERATING_MARGIN", "FPT=A", "FPO=1A", "ACT_EST_MAPPING=PRECISE", "FS=MRC", "CURRENCY=USD", "XLFILL=b")</f>
        <v>-17.347700489316537</v>
      </c>
      <c r="J167" s="9">
        <f>_xll.BQL("SAVE US Equity", "CB_IS_ADJ_OPERATING_MARGIN", "FPT=A", "FPO=0A", "ACT_EST_MAPPING=PRECISE", "FS=MRC", "CURRENCY=USD", "XLFILL=b")</f>
        <v>-7.2</v>
      </c>
      <c r="K167" s="9">
        <f>_xll.BQL("SAVE US Equity", "CB_IS_ADJ_OPERATING_MARGIN", "FPT=A", "FPO=-1A", "ACT_EST_MAPPING=PRECISE", "FS=MRC", "CURRENCY=USD", "XLFILL=b")</f>
        <v>-2.6</v>
      </c>
      <c r="L167" s="9">
        <f>_xll.BQL("SAVE US Equity", "CB_IS_ADJ_OPERATING_MARGIN", "FPT=A", "FPO=-2A", "ACT_EST_MAPPING=PRECISE", "FS=MRC", "CURRENCY=USD", "XLFILL=b")</f>
        <v>-13.3</v>
      </c>
      <c r="M167" s="9">
        <f>_xll.BQL("SAVE US Equity", "CB_IS_ADJ_OPERATING_MARGIN", "FPT=A", "FPO=-3A", "ACT_EST_MAPPING=PRECISE", "FS=MRC", "CURRENCY=USD", "XLFILL=b")</f>
        <v>-44.7</v>
      </c>
      <c r="N167" s="9">
        <f>_xll.BQL("SAVE US Equity", "CB_IS_ADJ_OPERATING_MARGIN", "FPT=A", "FPO=-4A", "ACT_EST_MAPPING=PRECISE", "FS=MRC", "CURRENCY=USD", "XLFILL=b")</f>
        <v>13.5</v>
      </c>
    </row>
    <row r="168" spans="1:14" x14ac:dyDescent="0.2">
      <c r="A168" s="8" t="s">
        <v>92</v>
      </c>
      <c r="B168" s="4" t="s">
        <v>43</v>
      </c>
      <c r="C168" s="4" t="s">
        <v>169</v>
      </c>
      <c r="D168" s="4"/>
      <c r="E168" s="9">
        <f>_xll.BQL("SAVE US Equity", "FA_GROWTH(CB_IS_ADJ_OPERATING_MARGIN, YOY)", "FPT=A", "FPO=5A", "ACT_EST_MAPPING=PRECISE", "FS=MRC", "CURRENCY=USD", "XLFILL=b")</f>
        <v>259.2229701831713</v>
      </c>
      <c r="F168" s="9">
        <f>_xll.BQL("SAVE US Equity", "FA_GROWTH(CB_IS_ADJ_OPERATING_MARGIN, YOY)", "FPT=A", "FPO=4A", "ACT_EST_MAPPING=PRECISE", "FS=MRC", "CURRENCY=USD", "XLFILL=b")</f>
        <v>231.24863833116672</v>
      </c>
      <c r="G168" s="9">
        <f>_xll.BQL("SAVE US Equity", "FA_GROWTH(CB_IS_ADJ_OPERATING_MARGIN, YOY)", "FPT=A", "FPO=3A", "ACT_EST_MAPPING=PRECISE", "FS=MRC", "CURRENCY=USD", "XLFILL=b")</f>
        <v>87.217284017042218</v>
      </c>
      <c r="H168" s="9">
        <f>_xll.BQL("SAVE US Equity", "FA_GROWTH(CB_IS_ADJ_OPERATING_MARGIN, YOY)", "FPT=A", "FPO=2A", "ACT_EST_MAPPING=PRECISE", "FS=MRC", "CURRENCY=USD", "XLFILL=b")</f>
        <v>43.670297437112254</v>
      </c>
      <c r="I168" s="9">
        <f>_xll.BQL("SAVE US Equity", "FA_GROWTH(CB_IS_ADJ_OPERATING_MARGIN, YOY)", "FPT=A", "FPO=1A", "ACT_EST_MAPPING=PRECISE", "FS=MRC", "CURRENCY=USD", "XLFILL=b")</f>
        <v>-140.94028457384081</v>
      </c>
      <c r="J168" s="9">
        <f>_xll.BQL("SAVE US Equity", "FA_GROWTH(CB_IS_ADJ_OPERATING_MARGIN, YOY)", "FPT=A", "FPO=0A", "ACT_EST_MAPPING=PRECISE", "FS=MRC", "CURRENCY=USD", "XLFILL=b")</f>
        <v>-176.92307692307691</v>
      </c>
      <c r="K168" s="9">
        <f>_xll.BQL("SAVE US Equity", "FA_GROWTH(CB_IS_ADJ_OPERATING_MARGIN, YOY)", "FPT=A", "FPO=-1A", "ACT_EST_MAPPING=PRECISE", "FS=MRC", "CURRENCY=USD", "XLFILL=b")</f>
        <v>80.451127819548873</v>
      </c>
      <c r="L168" s="9">
        <f>_xll.BQL("SAVE US Equity", "FA_GROWTH(CB_IS_ADJ_OPERATING_MARGIN, YOY)", "FPT=A", "FPO=-2A", "ACT_EST_MAPPING=PRECISE", "FS=MRC", "CURRENCY=USD", "XLFILL=b")</f>
        <v>70.246085011185684</v>
      </c>
      <c r="M168" s="9">
        <f>_xll.BQL("SAVE US Equity", "FA_GROWTH(CB_IS_ADJ_OPERATING_MARGIN, YOY)", "FPT=A", "FPO=-3A", "ACT_EST_MAPPING=PRECISE", "FS=MRC", "CURRENCY=USD", "XLFILL=b")</f>
        <v>-431.11111111111109</v>
      </c>
      <c r="N168" s="9">
        <f>_xll.BQL("SAVE US Equity", "FA_GROWTH(CB_IS_ADJ_OPERATING_MARGIN, YOY)", "FPT=A", "FPO=-4A", "ACT_EST_MAPPING=PRECISE", "FS=MRC", "CURRENCY=USD", "XLFILL=b")</f>
        <v>0</v>
      </c>
    </row>
    <row r="169" spans="1:14" x14ac:dyDescent="0.2">
      <c r="A169" s="8" t="s">
        <v>112</v>
      </c>
      <c r="B169" s="4" t="s">
        <v>170</v>
      </c>
      <c r="C169" s="4" t="s">
        <v>171</v>
      </c>
      <c r="D169" s="4"/>
      <c r="E169" s="9" t="str">
        <f>_xll.BQL("SAVE US Equity", "IS_D_AND_A_GAAP/1M", "FPT=A", "FPO=5A", "ACT_EST_MAPPING=PRECISE", "FS=MRC", "CURRENCY=USD", "XLFILL=b")</f>
        <v/>
      </c>
      <c r="F169" s="9" t="str">
        <f>_xll.BQL("SAVE US Equity", "IS_D_AND_A_GAAP/1M", "FPT=A", "FPO=4A", "ACT_EST_MAPPING=PRECISE", "FS=MRC", "CURRENCY=USD", "XLFILL=b")</f>
        <v/>
      </c>
      <c r="G169" s="9">
        <f>_xll.BQL("SAVE US Equity", "IS_D_AND_A_GAAP/1M", "FPT=A", "FPO=3A", "ACT_EST_MAPPING=PRECISE", "FS=MRC", "CURRENCY=USD", "XLFILL=b")</f>
        <v>315.26902943768806</v>
      </c>
      <c r="H169" s="9">
        <f>_xll.BQL("SAVE US Equity", "IS_D_AND_A_GAAP/1M", "FPT=A", "FPO=2A", "ACT_EST_MAPPING=PRECISE", "FS=MRC", "CURRENCY=USD", "XLFILL=b")</f>
        <v>342.97789834992875</v>
      </c>
      <c r="I169" s="9">
        <f>_xll.BQL("SAVE US Equity", "IS_D_AND_A_GAAP/1M", "FPT=A", "FPO=1A", "ACT_EST_MAPPING=PRECISE", "FS=MRC", "CURRENCY=USD", "XLFILL=b")</f>
        <v>336.52351670262505</v>
      </c>
      <c r="J169" s="9">
        <f>_xll.BQL("SAVE US Equity", "IS_D_AND_A_GAAP/1M", "FPT=A", "FPO=0A", "ACT_EST_MAPPING=PRECISE", "FS=MRC", "CURRENCY=USD", "XLFILL=b")</f>
        <v>320.87200000000001</v>
      </c>
      <c r="K169" s="9">
        <f>_xll.BQL("SAVE US Equity", "IS_D_AND_A_GAAP/1M", "FPT=A", "FPO=-1A", "ACT_EST_MAPPING=PRECISE", "FS=MRC", "CURRENCY=USD", "XLFILL=b")</f>
        <v>313.08999999999997</v>
      </c>
      <c r="L169" s="9">
        <f>_xll.BQL("SAVE US Equity", "IS_D_AND_A_GAAP/1M", "FPT=A", "FPO=-2A", "ACT_EST_MAPPING=PRECISE", "FS=MRC", "CURRENCY=USD", "XLFILL=b")</f>
        <v>297.21100000000001</v>
      </c>
      <c r="M169" s="9">
        <f>_xll.BQL("SAVE US Equity", "IS_D_AND_A_GAAP/1M", "FPT=A", "FPO=-3A", "ACT_EST_MAPPING=PRECISE", "FS=MRC", "CURRENCY=USD", "XLFILL=b")</f>
        <v>278.58800000000002</v>
      </c>
      <c r="N169" s="9">
        <f>_xll.BQL("SAVE US Equity", "IS_D_AND_A_GAAP/1M", "FPT=A", "FPO=-4A", "ACT_EST_MAPPING=PRECISE", "FS=MRC", "CURRENCY=USD", "XLFILL=b")</f>
        <v>225.26400000000001</v>
      </c>
    </row>
    <row r="170" spans="1:14" x14ac:dyDescent="0.2">
      <c r="A170" s="8" t="s">
        <v>44</v>
      </c>
      <c r="B170" s="4" t="s">
        <v>170</v>
      </c>
      <c r="C170" s="4" t="s">
        <v>171</v>
      </c>
      <c r="D170" s="4"/>
      <c r="E170" s="9" t="str">
        <f>_xll.BQL("SAVE US Equity", "FA_GROWTH(IS_D_AND_A_GAAP, YOY)", "FPT=A", "FPO=5A", "ACT_EST_MAPPING=PRECISE", "FS=MRC", "CURRENCY=USD", "XLFILL=b")</f>
        <v/>
      </c>
      <c r="F170" s="9" t="str">
        <f>_xll.BQL("SAVE US Equity", "FA_GROWTH(IS_D_AND_A_GAAP, YOY)", "FPT=A", "FPO=4A", "ACT_EST_MAPPING=PRECISE", "FS=MRC", "CURRENCY=USD", "XLFILL=b")</f>
        <v/>
      </c>
      <c r="G170" s="9">
        <f>_xll.BQL("SAVE US Equity", "FA_GROWTH(IS_D_AND_A_GAAP, YOY)", "FPT=A", "FPO=3A", "ACT_EST_MAPPING=PRECISE", "FS=MRC", "CURRENCY=USD", "XLFILL=b")</f>
        <v>-8.0789080128919171</v>
      </c>
      <c r="H170" s="9">
        <f>_xll.BQL("SAVE US Equity", "FA_GROWTH(IS_D_AND_A_GAAP, YOY)", "FPT=A", "FPO=2A", "ACT_EST_MAPPING=PRECISE", "FS=MRC", "CURRENCY=USD", "XLFILL=b")</f>
        <v>1.9179585755390847</v>
      </c>
      <c r="I170" s="9">
        <f>_xll.BQL("SAVE US Equity", "FA_GROWTH(IS_D_AND_A_GAAP, YOY)", "FPT=A", "FPO=1A", "ACT_EST_MAPPING=PRECISE", "FS=MRC", "CURRENCY=USD", "XLFILL=b")</f>
        <v>4.8778069456434459</v>
      </c>
      <c r="J170" s="9">
        <f>_xll.BQL("SAVE US Equity", "FA_GROWTH(IS_D_AND_A_GAAP, YOY)", "FPT=A", "FPO=0A", "ACT_EST_MAPPING=PRECISE", "FS=MRC", "CURRENCY=USD", "XLFILL=b")</f>
        <v>2.4855472867226678</v>
      </c>
      <c r="K170" s="9">
        <f>_xll.BQL("SAVE US Equity", "FA_GROWTH(IS_D_AND_A_GAAP, YOY)", "FPT=A", "FPO=-1A", "ACT_EST_MAPPING=PRECISE", "FS=MRC", "CURRENCY=USD", "XLFILL=b")</f>
        <v>5.3426690129234782</v>
      </c>
      <c r="L170" s="9">
        <f>_xll.BQL("SAVE US Equity", "FA_GROWTH(IS_D_AND_A_GAAP, YOY)", "FPT=A", "FPO=-2A", "ACT_EST_MAPPING=PRECISE", "FS=MRC", "CURRENCY=USD", "XLFILL=b")</f>
        <v>6.6847818283630307</v>
      </c>
      <c r="M170" s="9">
        <f>_xll.BQL("SAVE US Equity", "FA_GROWTH(IS_D_AND_A_GAAP, YOY)", "FPT=A", "FPO=-3A", "ACT_EST_MAPPING=PRECISE", "FS=MRC", "CURRENCY=USD", "XLFILL=b")</f>
        <v>23.671780666240501</v>
      </c>
      <c r="N170" s="9">
        <f>_xll.BQL("SAVE US Equity", "FA_GROWTH(IS_D_AND_A_GAAP, YOY)", "FPT=A", "FPO=-4A", "ACT_EST_MAPPING=PRECISE", "FS=MRC", "CURRENCY=USD", "XLFILL=b")</f>
        <v>27.46439423517629</v>
      </c>
    </row>
    <row r="171" spans="1:14" x14ac:dyDescent="0.2">
      <c r="A171" s="8" t="s">
        <v>172</v>
      </c>
      <c r="B171" s="4" t="s">
        <v>46</v>
      </c>
      <c r="C171" s="4"/>
      <c r="D171" s="4"/>
      <c r="E171" s="9">
        <f>_xll.BQL("SAVE US Equity", "IS_COMPARABLE_EBITDA/1M", "FPT=A", "FPO=5A", "ACT_EST_MAPPING=PRECISE", "FS=MRC", "CURRENCY=USD", "XLFILL=b")</f>
        <v>917</v>
      </c>
      <c r="F171" s="9">
        <f>_xll.BQL("SAVE US Equity", "IS_COMPARABLE_EBITDA/1M", "FPT=A", "FPO=4A", "ACT_EST_MAPPING=PRECISE", "FS=MRC", "CURRENCY=USD", "XLFILL=b")</f>
        <v>565</v>
      </c>
      <c r="G171" s="9">
        <f>_xll.BQL("SAVE US Equity", "IS_COMPARABLE_EBITDA/1M", "FPT=A", "FPO=3A", "ACT_EST_MAPPING=PRECISE", "FS=MRC", "CURRENCY=USD", "XLFILL=b")</f>
        <v>410.48</v>
      </c>
      <c r="H171" s="9">
        <f>_xll.BQL("SAVE US Equity", "IS_COMPARABLE_EBITDA/1M", "FPT=A", "FPO=2A", "ACT_EST_MAPPING=PRECISE", "FS=MRC", "CURRENCY=USD", "XLFILL=b")</f>
        <v>-185.3</v>
      </c>
      <c r="I171" s="9">
        <f>_xll.BQL("SAVE US Equity", "IS_COMPARABLE_EBITDA/1M", "FPT=A", "FPO=1A", "ACT_EST_MAPPING=PRECISE", "FS=MRC", "CURRENCY=USD", "XLFILL=b")</f>
        <v>-499.5</v>
      </c>
      <c r="J171" s="9">
        <f>_xll.BQL("SAVE US Equity", "IS_COMPARABLE_EBITDA/1M", "FPT=A", "FPO=0A", "ACT_EST_MAPPING=PRECISE", "FS=MRC", "CURRENCY=USD", "XLFILL=b")</f>
        <v>-65.382000000000005</v>
      </c>
      <c r="K171" s="9">
        <f>_xll.BQL("SAVE US Equity", "IS_COMPARABLE_EBITDA/1M", "FPT=A", "FPO=-1A", "ACT_EST_MAPPING=PRECISE", "FS=MRC", "CURRENCY=USD", "XLFILL=b")</f>
        <v>180.96899999999999</v>
      </c>
      <c r="L171" s="9">
        <f>_xll.BQL("SAVE US Equity", "IS_COMPARABLE_EBITDA/1M", "FPT=A", "FPO=-2A", "ACT_EST_MAPPING=PRECISE", "FS=MRC", "CURRENCY=USD", "XLFILL=b")</f>
        <v>-136.255</v>
      </c>
      <c r="M171" s="9">
        <f>_xll.BQL("SAVE US Equity", "IS_COMPARABLE_EBITDA/1M", "FPT=A", "FPO=-3A", "ACT_EST_MAPPING=PRECISE", "FS=MRC", "CURRENCY=USD", "XLFILL=b")</f>
        <v>-530.40200000000004</v>
      </c>
      <c r="N171" s="9">
        <f>_xll.BQL("SAVE US Equity", "IS_COMPARABLE_EBITDA/1M", "FPT=A", "FPO=-4A", "ACT_EST_MAPPING=PRECISE", "FS=MRC", "CURRENCY=USD", "XLFILL=b")</f>
        <v>743.84799999999996</v>
      </c>
    </row>
    <row r="172" spans="1:14" x14ac:dyDescent="0.2">
      <c r="A172" s="8" t="s">
        <v>44</v>
      </c>
      <c r="B172" s="4" t="s">
        <v>46</v>
      </c>
      <c r="C172" s="4"/>
      <c r="D172" s="4"/>
      <c r="E172" s="9">
        <f>_xll.BQL("SAVE US Equity", "FA_GROWTH(IS_COMPARABLE_EBITDA, YOY)", "FPT=A", "FPO=5A", "ACT_EST_MAPPING=PRECISE", "FS=MRC", "CURRENCY=USD", "XLFILL=b")</f>
        <v>62.30088495575221</v>
      </c>
      <c r="F172" s="9">
        <f>_xll.BQL("SAVE US Equity", "FA_GROWTH(IS_COMPARABLE_EBITDA, YOY)", "FPT=A", "FPO=4A", "ACT_EST_MAPPING=PRECISE", "FS=MRC", "CURRENCY=USD", "XLFILL=b")</f>
        <v>37.643734164880144</v>
      </c>
      <c r="G172" s="9">
        <f>_xll.BQL("SAVE US Equity", "FA_GROWTH(IS_COMPARABLE_EBITDA, YOY)", "FPT=A", "FPO=3A", "ACT_EST_MAPPING=PRECISE", "FS=MRC", "CURRENCY=USD", "XLFILL=b")</f>
        <v>321.52185644900163</v>
      </c>
      <c r="H172" s="9">
        <f>_xll.BQL("SAVE US Equity", "FA_GROWTH(IS_COMPARABLE_EBITDA, YOY)", "FPT=A", "FPO=2A", "ACT_EST_MAPPING=PRECISE", "FS=MRC", "CURRENCY=USD", "XLFILL=b")</f>
        <v>62.902902902902902</v>
      </c>
      <c r="I172" s="9">
        <f>_xll.BQL("SAVE US Equity", "FA_GROWTH(IS_COMPARABLE_EBITDA, YOY)", "FPT=A", "FPO=1A", "ACT_EST_MAPPING=PRECISE", "FS=MRC", "CURRENCY=USD", "XLFILL=b")</f>
        <v>-663.97173534000171</v>
      </c>
      <c r="J172" s="9">
        <f>_xll.BQL("SAVE US Equity", "FA_GROWTH(IS_COMPARABLE_EBITDA, YOY)", "FPT=A", "FPO=0A", "ACT_EST_MAPPING=PRECISE", "FS=MRC", "CURRENCY=USD", "XLFILL=b")</f>
        <v>-136.12883974603386</v>
      </c>
      <c r="K172" s="9">
        <f>_xll.BQL("SAVE US Equity", "FA_GROWTH(IS_COMPARABLE_EBITDA, YOY)", "FPT=A", "FPO=-1A", "ACT_EST_MAPPING=PRECISE", "FS=MRC", "CURRENCY=USD", "XLFILL=b")</f>
        <v>232.81641040695754</v>
      </c>
      <c r="L172" s="9">
        <f>_xll.BQL("SAVE US Equity", "FA_GROWTH(IS_COMPARABLE_EBITDA, YOY)", "FPT=A", "FPO=-2A", "ACT_EST_MAPPING=PRECISE", "FS=MRC", "CURRENCY=USD", "XLFILL=b")</f>
        <v>74.310994302434764</v>
      </c>
      <c r="M172" s="9">
        <f>_xll.BQL("SAVE US Equity", "FA_GROWTH(IS_COMPARABLE_EBITDA, YOY)", "FPT=A", "FPO=-3A", "ACT_EST_MAPPING=PRECISE", "FS=MRC", "CURRENCY=USD", "XLFILL=b")</f>
        <v>-171.30515911852959</v>
      </c>
      <c r="N172" s="9">
        <f>_xll.BQL("SAVE US Equity", "FA_GROWTH(IS_COMPARABLE_EBITDA, YOY)", "FPT=A", "FPO=-4A", "ACT_EST_MAPPING=PRECISE", "FS=MRC", "CURRENCY=USD", "XLFILL=b")</f>
        <v>18.798611177656188</v>
      </c>
    </row>
    <row r="173" spans="1:14" x14ac:dyDescent="0.2">
      <c r="A173" s="8" t="s">
        <v>173</v>
      </c>
      <c r="B173" s="4" t="s">
        <v>48</v>
      </c>
      <c r="C173" s="4"/>
      <c r="D173" s="4"/>
      <c r="E173" s="9">
        <f>_xll.BQL("SAVE US Equity", "EBITDA_TO_REVENUE", "FPT=A", "FPO=5A", "ACT_EST_MAPPING=PRECISE", "FS=MRC", "CURRENCY=USD", "XLFILL=b")</f>
        <v>13.036627686222976</v>
      </c>
      <c r="F173" s="9">
        <f>_xll.BQL("SAVE US Equity", "EBITDA_TO_REVENUE", "FPT=A", "FPO=4A", "ACT_EST_MAPPING=PRECISE", "FS=MRC", "CURRENCY=USD", "XLFILL=b")</f>
        <v>9.0803020290211887</v>
      </c>
      <c r="G173" s="9">
        <f>_xll.BQL("SAVE US Equity", "EBITDA_TO_REVENUE", "FPT=A", "FPO=3A", "ACT_EST_MAPPING=PRECISE", "FS=MRC", "CURRENCY=USD", "XLFILL=b")</f>
        <v>4.5608242386940843</v>
      </c>
      <c r="H173" s="9">
        <f>_xll.BQL("SAVE US Equity", "EBITDA_TO_REVENUE", "FPT=A", "FPO=2A", "ACT_EST_MAPPING=PRECISE", "FS=MRC", "CURRENCY=USD", "XLFILL=b")</f>
        <v>-2.9330082630186372</v>
      </c>
      <c r="I173" s="9">
        <f>_xll.BQL("SAVE US Equity", "EBITDA_TO_REVENUE", "FPT=A", "FPO=1A", "ACT_EST_MAPPING=PRECISE", "FS=MRC", "CURRENCY=USD", "XLFILL=b")</f>
        <v>-10.547689247008259</v>
      </c>
      <c r="J173" s="9">
        <f>_xll.BQL("SAVE US Equity", "EBITDA_TO_REVENUE", "FPT=A", "FPO=0A", "ACT_EST_MAPPING=PRECISE", "FS=MRC", "CURRENCY=USD", "XLFILL=b")</f>
        <v>3.7784270129746145</v>
      </c>
      <c r="K173" s="9">
        <f>_xll.BQL("SAVE US Equity", "EBITDA_TO_REVENUE", "FPT=A", "FPO=-1A", "ACT_EST_MAPPING=PRECISE", "FS=MRC", "CURRENCY=USD", "XLFILL=b")</f>
        <v>-1.1979014479188608</v>
      </c>
      <c r="L173" s="9">
        <f>_xll.BQL("SAVE US Equity", "EBITDA_TO_REVENUE", "FPT=A", "FPO=-2A", "ACT_EST_MAPPING=PRECISE", "FS=MRC", "CURRENCY=USD", "XLFILL=b")</f>
        <v>14.25274121534307</v>
      </c>
      <c r="M173" s="9">
        <f>_xll.BQL("SAVE US Equity", "EBITDA_TO_REVENUE", "FPT=A", "FPO=-3A", "ACT_EST_MAPPING=PRECISE", "FS=MRC", "CURRENCY=USD", "XLFILL=b")</f>
        <v>-1.5303681391717885</v>
      </c>
      <c r="N173" s="9">
        <f>_xll.BQL("SAVE US Equity", "EBITDA_TO_REVENUE", "FPT=A", "FPO=-4A", "ACT_EST_MAPPING=PRECISE", "FS=MRC", "CURRENCY=USD", "XLFILL=b")</f>
        <v>23.659091051487309</v>
      </c>
    </row>
    <row r="174" spans="1:14" x14ac:dyDescent="0.2">
      <c r="A174" s="8" t="s">
        <v>92</v>
      </c>
      <c r="B174" s="4" t="s">
        <v>48</v>
      </c>
      <c r="C174" s="4"/>
      <c r="D174" s="4"/>
      <c r="E174" s="9">
        <f>_xll.BQL("SAVE US Equity", "FA_GROWTH(EBITDA_TO_REVENUE, YOY)", "FPT=A", "FPO=5A", "ACT_EST_MAPPING=PRECISE", "FS=MRC", "CURRENCY=USD", "XLFILL=b")</f>
        <v>43.57041918382378</v>
      </c>
      <c r="F174" s="9">
        <f>_xll.BQL("SAVE US Equity", "FA_GROWTH(EBITDA_TO_REVENUE, YOY)", "FPT=A", "FPO=4A", "ACT_EST_MAPPING=PRECISE", "FS=MRC", "CURRENCY=USD", "XLFILL=b")</f>
        <v>99.093443504877996</v>
      </c>
      <c r="G174" s="9">
        <f>_xll.BQL("SAVE US Equity", "FA_GROWTH(EBITDA_TO_REVENUE, YOY)", "FPT=A", "FPO=3A", "ACT_EST_MAPPING=PRECISE", "FS=MRC", "CURRENCY=USD", "XLFILL=b")</f>
        <v>255.49987690795345</v>
      </c>
      <c r="H174" s="9">
        <f>_xll.BQL("SAVE US Equity", "FA_GROWTH(EBITDA_TO_REVENUE, YOY)", "FPT=A", "FPO=2A", "ACT_EST_MAPPING=PRECISE", "FS=MRC", "CURRENCY=USD", "XLFILL=b")</f>
        <v>72.192883253073134</v>
      </c>
      <c r="I174" s="9">
        <f>_xll.BQL("SAVE US Equity", "FA_GROWTH(EBITDA_TO_REVENUE, YOY)", "FPT=A", "FPO=1A", "ACT_EST_MAPPING=PRECISE", "FS=MRC", "CURRENCY=USD", "XLFILL=b")</f>
        <v>-379.15556422788904</v>
      </c>
      <c r="J174" s="9">
        <f>_xll.BQL("SAVE US Equity", "FA_GROWTH(EBITDA_TO_REVENUE, YOY)", "FPT=A", "FPO=0A", "ACT_EST_MAPPING=PRECISE", "FS=MRC", "CURRENCY=USD", "XLFILL=b")</f>
        <v>415.42052307716585</v>
      </c>
      <c r="K174" s="9">
        <f>_xll.BQL("SAVE US Equity", "FA_GROWTH(EBITDA_TO_REVENUE, YOY)", "FPT=A", "FPO=-1A", "ACT_EST_MAPPING=PRECISE", "FS=MRC", "CURRENCY=USD", "XLFILL=b")</f>
        <v>-108.40470917011613</v>
      </c>
      <c r="L174" s="9">
        <f>_xll.BQL("SAVE US Equity", "FA_GROWTH(EBITDA_TO_REVENUE, YOY)", "FPT=A", "FPO=-2A", "ACT_EST_MAPPING=PRECISE", "FS=MRC", "CURRENCY=USD", "XLFILL=b")</f>
        <v>1031.3276231074983</v>
      </c>
      <c r="M174" s="9">
        <f>_xll.BQL("SAVE US Equity", "FA_GROWTH(EBITDA_TO_REVENUE, YOY)", "FPT=A", "FPO=-3A", "ACT_EST_MAPPING=PRECISE", "FS=MRC", "CURRENCY=USD", "XLFILL=b")</f>
        <v>-106.46841476640574</v>
      </c>
      <c r="N174" s="9">
        <f>_xll.BQL("SAVE US Equity", "FA_GROWTH(EBITDA_TO_REVENUE, YOY)", "FPT=A", "FPO=-4A", "ACT_EST_MAPPING=PRECISE", "FS=MRC", "CURRENCY=USD", "XLFILL=b")</f>
        <v>49.002757505933182</v>
      </c>
    </row>
    <row r="175" spans="1:14" x14ac:dyDescent="0.2">
      <c r="A175" s="8" t="s">
        <v>174</v>
      </c>
      <c r="B175" s="4" t="s">
        <v>175</v>
      </c>
      <c r="C175" s="4" t="s">
        <v>176</v>
      </c>
      <c r="D175" s="4"/>
      <c r="E175" s="9">
        <f>_xll.BQL("SAVE US Equity", "CB_IS_ADJUSTED_EBITDAR/1M", "FPT=A", "FPO=5A", "ACT_EST_MAPPING=PRECISE", "FS=MRC", "CURRENCY=USD", "XLFILL=b")</f>
        <v>1631.1067851834255</v>
      </c>
      <c r="F175" s="9">
        <f>_xll.BQL("SAVE US Equity", "CB_IS_ADJUSTED_EBITDAR/1M", "FPT=A", "FPO=4A", "ACT_EST_MAPPING=PRECISE", "FS=MRC", "CURRENCY=USD", "XLFILL=b")</f>
        <v>1240.8421440622653</v>
      </c>
      <c r="G175" s="9">
        <f>_xll.BQL("SAVE US Equity", "CB_IS_ADJUSTED_EBITDAR/1M", "FPT=A", "FPO=3A", "ACT_EST_MAPPING=PRECISE", "FS=MRC", "CURRENCY=USD", "XLFILL=b")</f>
        <v>818.8289995389041</v>
      </c>
      <c r="H175" s="9">
        <f>_xll.BQL("SAVE US Equity", "CB_IS_ADJUSTED_EBITDAR/1M", "FPT=A", "FPO=2A", "ACT_EST_MAPPING=PRECISE", "FS=MRC", "CURRENCY=USD", "XLFILL=b")</f>
        <v>380.73471628784722</v>
      </c>
      <c r="I175" s="9">
        <f>_xll.BQL("SAVE US Equity", "CB_IS_ADJUSTED_EBITDAR/1M", "FPT=A", "FPO=1A", "ACT_EST_MAPPING=PRECISE", "FS=MRC", "CURRENCY=USD", "XLFILL=b")</f>
        <v>-15.695639599932578</v>
      </c>
      <c r="J175" s="9" t="str">
        <f>_xll.BQL("SAVE US Equity", "CB_IS_ADJUSTED_EBITDAR/1M", "FPT=A", "FPO=0A", "ACT_EST_MAPPING=PRECISE", "FS=MRC", "CURRENCY=USD", "XLFILL=b")</f>
        <v/>
      </c>
      <c r="K175" s="9" t="str">
        <f>_xll.BQL("SAVE US Equity", "CB_IS_ADJUSTED_EBITDAR/1M", "FPT=A", "FPO=-1A", "ACT_EST_MAPPING=PRECISE", "FS=MRC", "CURRENCY=USD", "XLFILL=b")</f>
        <v/>
      </c>
      <c r="L175" s="9" t="str">
        <f>_xll.BQL("SAVE US Equity", "CB_IS_ADJUSTED_EBITDAR/1M", "FPT=A", "FPO=-2A", "ACT_EST_MAPPING=PRECISE", "FS=MRC", "CURRENCY=USD", "XLFILL=b")</f>
        <v/>
      </c>
      <c r="M175" s="9" t="str">
        <f>_xll.BQL("SAVE US Equity", "CB_IS_ADJUSTED_EBITDAR/1M", "FPT=A", "FPO=-3A", "ACT_EST_MAPPING=PRECISE", "FS=MRC", "CURRENCY=USD", "XLFILL=b")</f>
        <v/>
      </c>
      <c r="N175" s="9" t="str">
        <f>_xll.BQL("SAVE US Equity", "CB_IS_ADJUSTED_EBITDAR/1M", "FPT=A", "FPO=-4A", "ACT_EST_MAPPING=PRECISE", "FS=MRC", "CURRENCY=USD", "XLFILL=b")</f>
        <v/>
      </c>
    </row>
    <row r="176" spans="1:14" x14ac:dyDescent="0.2">
      <c r="A176" s="8" t="s">
        <v>44</v>
      </c>
      <c r="B176" s="4" t="s">
        <v>175</v>
      </c>
      <c r="C176" s="4" t="s">
        <v>176</v>
      </c>
      <c r="D176" s="4"/>
      <c r="E176" s="9">
        <f>_xll.BQL("SAVE US Equity", "FA_GROWTH(CB_IS_ADJUSTED_EBITDAR, YOY)", "FPT=A", "FPO=5A", "ACT_EST_MAPPING=PRECISE", "FS=MRC", "CURRENCY=USD", "XLFILL=b")</f>
        <v>31.451594627783418</v>
      </c>
      <c r="F176" s="9">
        <f>_xll.BQL("SAVE US Equity", "FA_GROWTH(CB_IS_ADJUSTED_EBITDAR, YOY)", "FPT=A", "FPO=4A", "ACT_EST_MAPPING=PRECISE", "FS=MRC", "CURRENCY=USD", "XLFILL=b")</f>
        <v>51.538617313383362</v>
      </c>
      <c r="G176" s="9">
        <f>_xll.BQL("SAVE US Equity", "FA_GROWTH(CB_IS_ADJUSTED_EBITDAR, YOY)", "FPT=A", "FPO=3A", "ACT_EST_MAPPING=PRECISE", "FS=MRC", "CURRENCY=USD", "XLFILL=b")</f>
        <v>115.0654942954674</v>
      </c>
      <c r="H176" s="9">
        <f>_xll.BQL("SAVE US Equity", "FA_GROWTH(CB_IS_ADJUSTED_EBITDAR, YOY)", "FPT=A", "FPO=2A", "ACT_EST_MAPPING=PRECISE", "FS=MRC", "CURRENCY=USD", "XLFILL=b")</f>
        <v>2525.7355927660487</v>
      </c>
      <c r="I176" s="9" t="str">
        <f>_xll.BQL("SAVE US Equity", "FA_GROWTH(CB_IS_ADJUSTED_EBITDAR, YOY)", "FPT=A", "FPO=1A", "ACT_EST_MAPPING=PRECISE", "FS=MRC", "CURRENCY=USD", "XLFILL=b")</f>
        <v/>
      </c>
      <c r="J176" s="9" t="str">
        <f>_xll.BQL("SAVE US Equity", "FA_GROWTH(CB_IS_ADJUSTED_EBITDAR, YOY)", "FPT=A", "FPO=0A", "ACT_EST_MAPPING=PRECISE", "FS=MRC", "CURRENCY=USD", "XLFILL=b")</f>
        <v/>
      </c>
      <c r="K176" s="9" t="str">
        <f>_xll.BQL("SAVE US Equity", "FA_GROWTH(CB_IS_ADJUSTED_EBITDAR, YOY)", "FPT=A", "FPO=-1A", "ACT_EST_MAPPING=PRECISE", "FS=MRC", "CURRENCY=USD", "XLFILL=b")</f>
        <v/>
      </c>
      <c r="L176" s="9" t="str">
        <f>_xll.BQL("SAVE US Equity", "FA_GROWTH(CB_IS_ADJUSTED_EBITDAR, YOY)", "FPT=A", "FPO=-2A", "ACT_EST_MAPPING=PRECISE", "FS=MRC", "CURRENCY=USD", "XLFILL=b")</f>
        <v/>
      </c>
      <c r="M176" s="9" t="str">
        <f>_xll.BQL("SAVE US Equity", "FA_GROWTH(CB_IS_ADJUSTED_EBITDAR, YOY)", "FPT=A", "FPO=-3A", "ACT_EST_MAPPING=PRECISE", "FS=MRC", "CURRENCY=USD", "XLFILL=b")</f>
        <v/>
      </c>
      <c r="N176" s="9" t="str">
        <f>_xll.BQL("SAVE US Equity", "FA_GROWTH(CB_IS_ADJUSTED_EBITDAR, YOY)", "FPT=A", "FPO=-4A", "ACT_EST_MAPPING=PRECISE", "FS=MRC", "CURRENCY=USD", "XLFILL=b")</f>
        <v/>
      </c>
    </row>
    <row r="177" spans="1:14" x14ac:dyDescent="0.2">
      <c r="A177" s="8" t="s">
        <v>177</v>
      </c>
      <c r="B177" s="4" t="s">
        <v>178</v>
      </c>
      <c r="C177" s="4" t="s">
        <v>179</v>
      </c>
      <c r="D177" s="4"/>
      <c r="E177" s="9">
        <f>_xll.BQL("SAVE US Equity", "EBITDAR_MARGIN", "FPT=A", "FPO=5A", "ACT_EST_MAPPING=PRECISE", "FS=MRC", "CURRENCY=USD", "XLFILL=b")</f>
        <v>23.179727068608329</v>
      </c>
      <c r="F177" s="9">
        <f>_xll.BQL("SAVE US Equity", "EBITDAR_MARGIN", "FPT=A", "FPO=4A", "ACT_EST_MAPPING=PRECISE", "FS=MRC", "CURRENCY=USD", "XLFILL=b")</f>
        <v>19.943938788272199</v>
      </c>
      <c r="G177" s="9">
        <f>_xll.BQL("SAVE US Equity", "EBITDAR_MARGIN", "FPT=A", "FPO=3A", "ACT_EST_MAPPING=PRECISE", "FS=MRC", "CURRENCY=USD", "XLFILL=b")</f>
        <v>14.776801979527587</v>
      </c>
      <c r="H177" s="9">
        <f>_xll.BQL("SAVE US Equity", "EBITDAR_MARGIN", "FPT=A", "FPO=2A", "ACT_EST_MAPPING=PRECISE", "FS=MRC", "CURRENCY=USD", "XLFILL=b")</f>
        <v>8.5414844551393365</v>
      </c>
      <c r="I177" s="9">
        <f>_xll.BQL("SAVE US Equity", "EBITDAR_MARGIN", "FPT=A", "FPO=1A", "ACT_EST_MAPPING=PRECISE", "FS=MRC", "CURRENCY=USD", "XLFILL=b")</f>
        <v>-0.18304957197903196</v>
      </c>
      <c r="J177" s="9">
        <f>_xll.BQL("SAVE US Equity", "EBITDAR_MARGIN", "FPT=A", "FPO=0A", "ACT_EST_MAPPING=PRECISE", "FS=MRC", "CURRENCY=USD", "XLFILL=b")</f>
        <v>10.887714033009303</v>
      </c>
      <c r="K177" s="9">
        <f>_xll.BQL("SAVE US Equity", "EBITDAR_MARGIN", "FPT=A", "FPO=-1A", "ACT_EST_MAPPING=PRECISE", "FS=MRC", "CURRENCY=USD", "XLFILL=b")</f>
        <v>4.3743773980471712</v>
      </c>
      <c r="L177" s="9">
        <f>_xll.BQL("SAVE US Equity", "EBITDAR_MARGIN", "FPT=A", "FPO=-2A", "ACT_EST_MAPPING=PRECISE", "FS=MRC", "CURRENCY=USD", "XLFILL=b")</f>
        <v>21.88561568044819</v>
      </c>
      <c r="M177" s="9">
        <f>_xll.BQL("SAVE US Equity", "EBITDAR_MARGIN", "FPT=A", "FPO=-3A", "ACT_EST_MAPPING=PRECISE", "FS=MRC", "CURRENCY=USD", "XLFILL=b")</f>
        <v>9.3180635373492695</v>
      </c>
      <c r="N177" s="9">
        <f>_xll.BQL("SAVE US Equity", "EBITDAR_MARGIN", "FPT=A", "FPO=-4A", "ACT_EST_MAPPING=PRECISE", "FS=MRC", "CURRENCY=USD", "XLFILL=b")</f>
        <v>28.426282901400743</v>
      </c>
    </row>
    <row r="178" spans="1:14" x14ac:dyDescent="0.2">
      <c r="A178" s="8" t="s">
        <v>92</v>
      </c>
      <c r="B178" s="4" t="s">
        <v>178</v>
      </c>
      <c r="C178" s="4" t="s">
        <v>179</v>
      </c>
      <c r="D178" s="4"/>
      <c r="E178" s="9">
        <f>_xll.BQL("SAVE US Equity", "FA_GROWTH(EBITDAR_MARGIN, YOY)", "FPT=A", "FPO=5A", "ACT_EST_MAPPING=PRECISE", "FS=MRC", "CURRENCY=USD", "XLFILL=b")</f>
        <v>16.224419432328471</v>
      </c>
      <c r="F178" s="9">
        <f>_xll.BQL("SAVE US Equity", "FA_GROWTH(EBITDAR_MARGIN, YOY)", "FPT=A", "FPO=4A", "ACT_EST_MAPPING=PRECISE", "FS=MRC", "CURRENCY=USD", "XLFILL=b")</f>
        <v>34.967896408866977</v>
      </c>
      <c r="G178" s="9">
        <f>_xll.BQL("SAVE US Equity", "FA_GROWTH(EBITDAR_MARGIN, YOY)", "FPT=A", "FPO=3A", "ACT_EST_MAPPING=PRECISE", "FS=MRC", "CURRENCY=USD", "XLFILL=b")</f>
        <v>73.000396560301809</v>
      </c>
      <c r="H178" s="9">
        <f>_xll.BQL("SAVE US Equity", "FA_GROWTH(EBITDAR_MARGIN, YOY)", "FPT=A", "FPO=2A", "ACT_EST_MAPPING=PRECISE", "FS=MRC", "CURRENCY=USD", "XLFILL=b")</f>
        <v>4766.2138363905869</v>
      </c>
      <c r="I178" s="9">
        <f>_xll.BQL("SAVE US Equity", "FA_GROWTH(EBITDAR_MARGIN, YOY)", "FPT=A", "FPO=1A", "ACT_EST_MAPPING=PRECISE", "FS=MRC", "CURRENCY=USD", "XLFILL=b")</f>
        <v>-101.68124889599473</v>
      </c>
      <c r="J178" s="9">
        <f>_xll.BQL("SAVE US Equity", "FA_GROWTH(EBITDAR_MARGIN, YOY)", "FPT=A", "FPO=0A", "ACT_EST_MAPPING=PRECISE", "FS=MRC", "CURRENCY=USD", "XLFILL=b")</f>
        <v>148.89745539261986</v>
      </c>
      <c r="K178" s="9">
        <f>_xll.BQL("SAVE US Equity", "FA_GROWTH(EBITDAR_MARGIN, YOY)", "FPT=A", "FPO=-1A", "ACT_EST_MAPPING=PRECISE", "FS=MRC", "CURRENCY=USD", "XLFILL=b")</f>
        <v>-80.012545856980012</v>
      </c>
      <c r="L178" s="9">
        <f>_xll.BQL("SAVE US Equity", "FA_GROWTH(EBITDAR_MARGIN, YOY)", "FPT=A", "FPO=-2A", "ACT_EST_MAPPING=PRECISE", "FS=MRC", "CURRENCY=USD", "XLFILL=b")</f>
        <v>134.87300330937686</v>
      </c>
      <c r="M178" s="9">
        <f>_xll.BQL("SAVE US Equity", "FA_GROWTH(EBITDAR_MARGIN, YOY)", "FPT=A", "FPO=-3A", "ACT_EST_MAPPING=PRECISE", "FS=MRC", "CURRENCY=USD", "XLFILL=b")</f>
        <v>-67.220253278735541</v>
      </c>
      <c r="N178" s="9">
        <f>_xll.BQL("SAVE US Equity", "FA_GROWTH(EBITDAR_MARGIN, YOY)", "FPT=A", "FPO=-4A", "ACT_EST_MAPPING=PRECISE", "FS=MRC", "CURRENCY=USD", "XLFILL=b")</f>
        <v>33.934376001334677</v>
      </c>
    </row>
    <row r="179" spans="1:14" x14ac:dyDescent="0.2">
      <c r="A179" s="8" t="s">
        <v>180</v>
      </c>
      <c r="B179" s="4" t="s">
        <v>181</v>
      </c>
      <c r="C179" s="4" t="s">
        <v>150</v>
      </c>
      <c r="D179" s="4"/>
      <c r="E179" s="9">
        <f>_xll.BQL("SAVE US Equity", "IS_COMP_PTP_EX_STK_BASED_COMP/1M", "FPT=A", "FPO=5A", "ACT_EST_MAPPING=PRECISE", "FS=MRC", "CURRENCY=USD", "XLFILL=b")</f>
        <v>140</v>
      </c>
      <c r="F179" s="9">
        <f>_xll.BQL("SAVE US Equity", "IS_COMP_PTP_EX_STK_BASED_COMP/1M", "FPT=A", "FPO=4A", "ACT_EST_MAPPING=PRECISE", "FS=MRC", "CURRENCY=USD", "XLFILL=b")</f>
        <v>-131</v>
      </c>
      <c r="G179" s="9">
        <f>_xll.BQL("SAVE US Equity", "IS_COMP_PTP_EX_STK_BASED_COMP/1M", "FPT=A", "FPO=3A", "ACT_EST_MAPPING=PRECISE", "FS=MRC", "CURRENCY=USD", "XLFILL=b")</f>
        <v>-277</v>
      </c>
      <c r="H179" s="9">
        <f>_xll.BQL("SAVE US Equity", "IS_COMP_PTP_EX_STK_BASED_COMP/1M", "FPT=A", "FPO=2A", "ACT_EST_MAPPING=PRECISE", "FS=MRC", "CURRENCY=USD", "XLFILL=b")</f>
        <v>-633</v>
      </c>
      <c r="I179" s="9">
        <f>_xll.BQL("SAVE US Equity", "IS_COMP_PTP_EX_STK_BASED_COMP/1M", "FPT=A", "FPO=1A", "ACT_EST_MAPPING=PRECISE", "FS=MRC", "CURRENCY=USD", "XLFILL=b")</f>
        <v>-1005.9</v>
      </c>
      <c r="J179" s="9">
        <f>_xll.BQL("SAVE US Equity", "IS_COMP_PTP_EX_STK_BASED_COMP/1M", "FPT=A", "FPO=0A", "ACT_EST_MAPPING=PRECISE", "FS=MRC", "CURRENCY=USD", "XLFILL=b")</f>
        <v>-464.50299999999999</v>
      </c>
      <c r="K179" s="9">
        <f>_xll.BQL("SAVE US Equity", "IS_COMP_PTP_EX_STK_BASED_COMP/1M", "FPT=A", "FPO=-1A", "ACT_EST_MAPPING=PRECISE", "FS=MRC", "CURRENCY=USD", "XLFILL=b")</f>
        <v>-233.94300000000001</v>
      </c>
      <c r="L179" s="9">
        <f>_xll.BQL("SAVE US Equity", "IS_COMP_PTP_EX_STK_BASED_COMP/1M", "FPT=A", "FPO=-2A", "ACT_EST_MAPPING=PRECISE", "FS=MRC", "CURRENCY=USD", "XLFILL=b")</f>
        <v>-561.74</v>
      </c>
      <c r="M179" s="9">
        <f>_xll.BQL("SAVE US Equity", "IS_COMP_PTP_EX_STK_BASED_COMP/1M", "FPT=A", "FPO=-3A", "ACT_EST_MAPPING=PRECISE", "FS=MRC", "CURRENCY=USD", "XLFILL=b")</f>
        <v>-921.41200000000003</v>
      </c>
      <c r="N179" s="9">
        <f>_xll.BQL("SAVE US Equity", "IS_COMP_PTP_EX_STK_BASED_COMP/1M", "FPT=A", "FPO=-4A", "ACT_EST_MAPPING=PRECISE", "FS=MRC", "CURRENCY=USD", "XLFILL=b")</f>
        <v>453.96300000000002</v>
      </c>
    </row>
    <row r="180" spans="1:14" x14ac:dyDescent="0.2">
      <c r="A180" s="8" t="s">
        <v>44</v>
      </c>
      <c r="B180" s="4" t="s">
        <v>181</v>
      </c>
      <c r="C180" s="4" t="s">
        <v>150</v>
      </c>
      <c r="D180" s="4"/>
      <c r="E180" s="9">
        <f>_xll.BQL("SAVE US Equity", "FA_GROWTH(IS_COMP_PTP_EX_STK_BASED_COMP, YOY)", "FPT=A", "FPO=5A", "ACT_EST_MAPPING=PRECISE", "FS=MRC", "CURRENCY=USD", "XLFILL=b")</f>
        <v>206.87022900763358</v>
      </c>
      <c r="F180" s="9">
        <f>_xll.BQL("SAVE US Equity", "FA_GROWTH(IS_COMP_PTP_EX_STK_BASED_COMP, YOY)", "FPT=A", "FPO=4A", "ACT_EST_MAPPING=PRECISE", "FS=MRC", "CURRENCY=USD", "XLFILL=b")</f>
        <v>52.707581227436826</v>
      </c>
      <c r="G180" s="9">
        <f>_xll.BQL("SAVE US Equity", "FA_GROWTH(IS_COMP_PTP_EX_STK_BASED_COMP, YOY)", "FPT=A", "FPO=3A", "ACT_EST_MAPPING=PRECISE", "FS=MRC", "CURRENCY=USD", "XLFILL=b")</f>
        <v>56.240126382306478</v>
      </c>
      <c r="H180" s="9">
        <f>_xll.BQL("SAVE US Equity", "FA_GROWTH(IS_COMP_PTP_EX_STK_BASED_COMP, YOY)", "FPT=A", "FPO=2A", "ACT_EST_MAPPING=PRECISE", "FS=MRC", "CURRENCY=USD", "XLFILL=b")</f>
        <v>37.0712794512377</v>
      </c>
      <c r="I180" s="9">
        <f>_xll.BQL("SAVE US Equity", "FA_GROWTH(IS_COMP_PTP_EX_STK_BASED_COMP, YOY)", "FPT=A", "FPO=1A", "ACT_EST_MAPPING=PRECISE", "FS=MRC", "CURRENCY=USD", "XLFILL=b")</f>
        <v>-116.55403732591608</v>
      </c>
      <c r="J180" s="9">
        <f>_xll.BQL("SAVE US Equity", "FA_GROWTH(IS_COMP_PTP_EX_STK_BASED_COMP, YOY)", "FPT=A", "FPO=0A", "ACT_EST_MAPPING=PRECISE", "FS=MRC", "CURRENCY=USD", "XLFILL=b")</f>
        <v>-98.553921254322631</v>
      </c>
      <c r="K180" s="9">
        <f>_xll.BQL("SAVE US Equity", "FA_GROWTH(IS_COMP_PTP_EX_STK_BASED_COMP, YOY)", "FPT=A", "FPO=-1A", "ACT_EST_MAPPING=PRECISE", "FS=MRC", "CURRENCY=USD", "XLFILL=b")</f>
        <v>58.353864777299108</v>
      </c>
      <c r="L180" s="9">
        <f>_xll.BQL("SAVE US Equity", "FA_GROWTH(IS_COMP_PTP_EX_STK_BASED_COMP, YOY)", "FPT=A", "FPO=-2A", "ACT_EST_MAPPING=PRECISE", "FS=MRC", "CURRENCY=USD", "XLFILL=b")</f>
        <v>39.03487256515001</v>
      </c>
      <c r="M180" s="9">
        <f>_xll.BQL("SAVE US Equity", "FA_GROWTH(IS_COMP_PTP_EX_STK_BASED_COMP, YOY)", "FPT=A", "FPO=-3A", "ACT_EST_MAPPING=PRECISE", "FS=MRC", "CURRENCY=USD", "XLFILL=b")</f>
        <v>-302.97072668917951</v>
      </c>
      <c r="N180" s="9">
        <f>_xll.BQL("SAVE US Equity", "FA_GROWTH(IS_COMP_PTP_EX_STK_BASED_COMP, YOY)", "FPT=A", "FPO=-4A", "ACT_EST_MAPPING=PRECISE", "FS=MRC", "CURRENCY=USD", "XLFILL=b")</f>
        <v>15.267600054845442</v>
      </c>
    </row>
    <row r="181" spans="1:14" x14ac:dyDescent="0.2">
      <c r="A181" s="8" t="s">
        <v>182</v>
      </c>
      <c r="B181" s="4" t="s">
        <v>183</v>
      </c>
      <c r="C181" s="4" t="s">
        <v>184</v>
      </c>
      <c r="D181" s="4"/>
      <c r="E181" s="9">
        <f>_xll.BQL("SAVE US Equity", "PRETAX_MARGIN", "FPT=A", "FPO=5A", "ACT_EST_MAPPING=PRECISE", "FS=MRC", "CURRENCY=USD", "XLFILL=b")</f>
        <v>1.9940111141886849</v>
      </c>
      <c r="F181" s="9">
        <f>_xll.BQL("SAVE US Equity", "PRETAX_MARGIN", "FPT=A", "FPO=4A", "ACT_EST_MAPPING=PRECISE", "FS=MRC", "CURRENCY=USD", "XLFILL=b")</f>
        <v>-2.1002256469362277</v>
      </c>
      <c r="G181" s="9">
        <f>_xll.BQL("SAVE US Equity", "PRETAX_MARGIN", "FPT=A", "FPO=3A", "ACT_EST_MAPPING=PRECISE", "FS=MRC", "CURRENCY=USD", "XLFILL=b")</f>
        <v>-5.1265772425151077</v>
      </c>
      <c r="H181" s="9">
        <f>_xll.BQL("SAVE US Equity", "PRETAX_MARGIN", "FPT=A", "FPO=2A", "ACT_EST_MAPPING=PRECISE", "FS=MRC", "CURRENCY=USD", "XLFILL=b")</f>
        <v>-12.299517634545003</v>
      </c>
      <c r="I181" s="9">
        <f>_xll.BQL("SAVE US Equity", "PRETAX_MARGIN", "FPT=A", "FPO=1A", "ACT_EST_MAPPING=PRECISE", "FS=MRC", "CURRENCY=USD", "XLFILL=b")</f>
        <v>-19.901455934946242</v>
      </c>
      <c r="J181" s="9">
        <f>_xll.BQL("SAVE US Equity", "PRETAX_MARGIN", "FPT=A", "FPO=0A", "ACT_EST_MAPPING=PRECISE", "FS=MRC", "CURRENCY=USD", "XLFILL=b")</f>
        <v>-10.416594794751525</v>
      </c>
      <c r="K181" s="9">
        <f>_xll.BQL("SAVE US Equity", "PRETAX_MARGIN", "FPT=A", "FPO=-1A", "ACT_EST_MAPPING=PRECISE", "FS=MRC", "CURRENCY=USD", "XLFILL=b")</f>
        <v>-13.825516968018015</v>
      </c>
      <c r="L181" s="9">
        <f>_xll.BQL("SAVE US Equity", "PRETAX_MARGIN", "FPT=A", "FPO=-2A", "ACT_EST_MAPPING=PRECISE", "FS=MRC", "CURRENCY=USD", "XLFILL=b")</f>
        <v>-16.105114098010542</v>
      </c>
      <c r="M181" s="9">
        <f>_xll.BQL("SAVE US Equity", "PRETAX_MARGIN", "FPT=A", "FPO=-3A", "ACT_EST_MAPPING=PRECISE", "FS=MRC", "CURRENCY=USD", "XLFILL=b")</f>
        <v>-34.263892925058371</v>
      </c>
      <c r="N181" s="9">
        <f>_xll.BQL("SAVE US Equity", "PRETAX_MARGIN", "FPT=A", "FPO=-4A", "ACT_EST_MAPPING=PRECISE", "FS=MRC", "CURRENCY=USD", "XLFILL=b")</f>
        <v>11.393340253165615</v>
      </c>
    </row>
    <row r="182" spans="1:14" x14ac:dyDescent="0.2">
      <c r="A182" s="8" t="s">
        <v>92</v>
      </c>
      <c r="B182" s="4" t="s">
        <v>183</v>
      </c>
      <c r="C182" s="4" t="s">
        <v>184</v>
      </c>
      <c r="D182" s="4"/>
      <c r="E182" s="9">
        <f>_xll.BQL("SAVE US Equity", "FA_GROWTH(PRETAX_MARGIN, YOY)", "FPT=A", "FPO=5A", "ACT_EST_MAPPING=PRECISE", "FS=MRC", "CURRENCY=USD", "XLFILL=b")</f>
        <v>194.94270851789253</v>
      </c>
      <c r="F182" s="9">
        <f>_xll.BQL("SAVE US Equity", "FA_GROWTH(PRETAX_MARGIN, YOY)", "FPT=A", "FPO=4A", "ACT_EST_MAPPING=PRECISE", "FS=MRC", "CURRENCY=USD", "XLFILL=b")</f>
        <v>59.032595285624659</v>
      </c>
      <c r="G182" s="9">
        <f>_xll.BQL("SAVE US Equity", "FA_GROWTH(PRETAX_MARGIN, YOY)", "FPT=A", "FPO=3A", "ACT_EST_MAPPING=PRECISE", "FS=MRC", "CURRENCY=USD", "XLFILL=b")</f>
        <v>58.318875627151733</v>
      </c>
      <c r="H182" s="9">
        <f>_xll.BQL("SAVE US Equity", "FA_GROWTH(PRETAX_MARGIN, YOY)", "FPT=A", "FPO=2A", "ACT_EST_MAPPING=PRECISE", "FS=MRC", "CURRENCY=USD", "XLFILL=b")</f>
        <v>38.197900320712257</v>
      </c>
      <c r="I182" s="9">
        <f>_xll.BQL("SAVE US Equity", "FA_GROWTH(PRETAX_MARGIN, YOY)", "FPT=A", "FPO=1A", "ACT_EST_MAPPING=PRECISE", "FS=MRC", "CURRENCY=USD", "XLFILL=b")</f>
        <v>-91.055295200440469</v>
      </c>
      <c r="J182" s="9">
        <f>_xll.BQL("SAVE US Equity", "FA_GROWTH(PRETAX_MARGIN, YOY)", "FPT=A", "FPO=0A", "ACT_EST_MAPPING=PRECISE", "FS=MRC", "CURRENCY=USD", "XLFILL=b")</f>
        <v>24.656742899033762</v>
      </c>
      <c r="K182" s="9">
        <f>_xll.BQL("SAVE US Equity", "FA_GROWTH(PRETAX_MARGIN, YOY)", "FPT=A", "FPO=-1A", "ACT_EST_MAPPING=PRECISE", "FS=MRC", "CURRENCY=USD", "XLFILL=b")</f>
        <v>14.154492269471877</v>
      </c>
      <c r="L182" s="9">
        <f>_xll.BQL("SAVE US Equity", "FA_GROWTH(PRETAX_MARGIN, YOY)", "FPT=A", "FPO=-2A", "ACT_EST_MAPPING=PRECISE", "FS=MRC", "CURRENCY=USD", "XLFILL=b")</f>
        <v>52.996835084572908</v>
      </c>
      <c r="M182" s="9">
        <f>_xll.BQL("SAVE US Equity", "FA_GROWTH(PRETAX_MARGIN, YOY)", "FPT=A", "FPO=-3A", "ACT_EST_MAPPING=PRECISE", "FS=MRC", "CURRENCY=USD", "XLFILL=b")</f>
        <v>-400.73615080123869</v>
      </c>
      <c r="N182" s="9">
        <f>_xll.BQL("SAVE US Equity", "FA_GROWTH(PRETAX_MARGIN, YOY)", "FPT=A", "FPO=-4A", "ACT_EST_MAPPING=PRECISE", "FS=MRC", "CURRENCY=USD", "XLFILL=b")</f>
        <v>84.70678047594815</v>
      </c>
    </row>
    <row r="183" spans="1:14" x14ac:dyDescent="0.2">
      <c r="A183" s="8" t="s">
        <v>185</v>
      </c>
      <c r="B183" s="4" t="s">
        <v>186</v>
      </c>
      <c r="C183" s="4" t="s">
        <v>153</v>
      </c>
      <c r="D183" s="4"/>
      <c r="E183" s="9">
        <f>_xll.BQL("SAVE US Equity", "CB_IS_INCOME_TAX_EXP/1M", "FPT=A", "FPO=5A", "ACT_EST_MAPPING=PRECISE", "FS=MRC", "CURRENCY=USD", "XLFILL=b")</f>
        <v>32.272267966971832</v>
      </c>
      <c r="F183" s="9">
        <f>_xll.BQL("SAVE US Equity", "CB_IS_INCOME_TAX_EXP/1M", "FPT=A", "FPO=4A", "ACT_EST_MAPPING=PRECISE", "FS=MRC", "CURRENCY=USD", "XLFILL=b")</f>
        <v>-30.053800312855582</v>
      </c>
      <c r="G183" s="9">
        <f>_xll.BQL("SAVE US Equity", "CB_IS_INCOME_TAX_EXP/1M", "FPT=A", "FPO=3A", "ACT_EST_MAPPING=PRECISE", "FS=MRC", "CURRENCY=USD", "XLFILL=b")</f>
        <v>-63.942664507797012</v>
      </c>
      <c r="H183" s="9">
        <f>_xll.BQL("SAVE US Equity", "CB_IS_INCOME_TAX_EXP/1M", "FPT=A", "FPO=2A", "ACT_EST_MAPPING=PRECISE", "FS=MRC", "CURRENCY=USD", "XLFILL=b")</f>
        <v>-145.5992969381731</v>
      </c>
      <c r="I183" s="9">
        <f>_xll.BQL("SAVE US Equity", "CB_IS_INCOME_TAX_EXP/1M", "FPT=A", "FPO=1A", "ACT_EST_MAPPING=PRECISE", "FS=MRC", "CURRENCY=USD", "XLFILL=b")</f>
        <v>-224.61504006552829</v>
      </c>
      <c r="J183" s="9">
        <f>_xll.BQL("SAVE US Equity", "CB_IS_INCOME_TAX_EXP/1M", "FPT=A", "FPO=0A", "ACT_EST_MAPPING=PRECISE", "FS=MRC", "CURRENCY=USD", "XLFILL=b")</f>
        <v>-111.131</v>
      </c>
      <c r="K183" s="9">
        <f>_xll.BQL("SAVE US Equity", "CB_IS_INCOME_TAX_EXP/1M", "FPT=A", "FPO=-1A", "ACT_EST_MAPPING=PRECISE", "FS=MRC", "CURRENCY=USD", "XLFILL=b")</f>
        <v>-146.589</v>
      </c>
      <c r="L183" s="9">
        <f>_xll.BQL("SAVE US Equity", "CB_IS_INCOME_TAX_EXP/1M", "FPT=A", "FPO=-2A", "ACT_EST_MAPPING=PRECISE", "FS=MRC", "CURRENCY=USD", "XLFILL=b")</f>
        <v>-47.750999999999998</v>
      </c>
      <c r="M183" s="9">
        <f>_xll.BQL("SAVE US Equity", "CB_IS_INCOME_TAX_EXP/1M", "FPT=A", "FPO=-3A", "ACT_EST_MAPPING=PRECISE", "FS=MRC", "CURRENCY=USD", "XLFILL=b")</f>
        <v>-191.48400000000001</v>
      </c>
      <c r="N183" s="9">
        <f>_xll.BQL("SAVE US Equity", "CB_IS_INCOME_TAX_EXP/1M", "FPT=A", "FPO=-4A", "ACT_EST_MAPPING=PRECISE", "FS=MRC", "CURRENCY=USD", "XLFILL=b")</f>
        <v>101.17100000000001</v>
      </c>
    </row>
    <row r="184" spans="1:14" x14ac:dyDescent="0.2">
      <c r="A184" s="8" t="s">
        <v>44</v>
      </c>
      <c r="B184" s="4" t="s">
        <v>186</v>
      </c>
      <c r="C184" s="4" t="s">
        <v>153</v>
      </c>
      <c r="D184" s="4"/>
      <c r="E184" s="9">
        <f>_xll.BQL("SAVE US Equity", "FA_GROWTH(CB_IS_INCOME_TAX_EXP, YOY)", "FPT=A", "FPO=5A", "ACT_EST_MAPPING=PRECISE", "FS=MRC", "CURRENCY=USD", "XLFILL=b")</f>
        <v>207.38165433663073</v>
      </c>
      <c r="F184" s="9">
        <f>_xll.BQL("SAVE US Equity", "FA_GROWTH(CB_IS_INCOME_TAX_EXP, YOY)", "FPT=A", "FPO=4A", "ACT_EST_MAPPING=PRECISE", "FS=MRC", "CURRENCY=USD", "XLFILL=b")</f>
        <v>52.998830211101236</v>
      </c>
      <c r="G184" s="9">
        <f>_xll.BQL("SAVE US Equity", "FA_GROWTH(CB_IS_INCOME_TAX_EXP, YOY)", "FPT=A", "FPO=3A", "ACT_EST_MAPPING=PRECISE", "FS=MRC", "CURRENCY=USD", "XLFILL=b")</f>
        <v>56.083122753711201</v>
      </c>
      <c r="H184" s="9">
        <f>_xll.BQL("SAVE US Equity", "FA_GROWTH(CB_IS_INCOME_TAX_EXP, YOY)", "FPT=A", "FPO=2A", "ACT_EST_MAPPING=PRECISE", "FS=MRC", "CURRENCY=USD", "XLFILL=b")</f>
        <v>35.178295765191628</v>
      </c>
      <c r="I184" s="9">
        <f>_xll.BQL("SAVE US Equity", "FA_GROWTH(CB_IS_INCOME_TAX_EXP, YOY)", "FPT=A", "FPO=1A", "ACT_EST_MAPPING=PRECISE", "FS=MRC", "CURRENCY=USD", "XLFILL=b")</f>
        <v>-102.11735705206314</v>
      </c>
      <c r="J184" s="9">
        <f>_xll.BQL("SAVE US Equity", "FA_GROWTH(CB_IS_INCOME_TAX_EXP, YOY)", "FPT=A", "FPO=0A", "ACT_EST_MAPPING=PRECISE", "FS=MRC", "CURRENCY=USD", "XLFILL=b")</f>
        <v>24.188718116639038</v>
      </c>
      <c r="K184" s="9">
        <f>_xll.BQL("SAVE US Equity", "FA_GROWTH(CB_IS_INCOME_TAX_EXP, YOY)", "FPT=A", "FPO=-1A", "ACT_EST_MAPPING=PRECISE", "FS=MRC", "CURRENCY=USD", "XLFILL=b")</f>
        <v>-206.98624112584031</v>
      </c>
      <c r="L184" s="9">
        <f>_xll.BQL("SAVE US Equity", "FA_GROWTH(CB_IS_INCOME_TAX_EXP, YOY)", "FPT=A", "FPO=-2A", "ACT_EST_MAPPING=PRECISE", "FS=MRC", "CURRENCY=USD", "XLFILL=b")</f>
        <v>75.062668421382469</v>
      </c>
      <c r="M184" s="9">
        <f>_xll.BQL("SAVE US Equity", "FA_GROWTH(CB_IS_INCOME_TAX_EXP, YOY)", "FPT=A", "FPO=-3A", "ACT_EST_MAPPING=PRECISE", "FS=MRC", "CURRENCY=USD", "XLFILL=b")</f>
        <v>-289.26767551966475</v>
      </c>
      <c r="N184" s="9">
        <f>_xll.BQL("SAVE US Equity", "FA_GROWTH(CB_IS_INCOME_TAX_EXP, YOY)", "FPT=A", "FPO=-4A", "ACT_EST_MAPPING=PRECISE", "FS=MRC", "CURRENCY=USD", "XLFILL=b")</f>
        <v>105.51932882361305</v>
      </c>
    </row>
    <row r="185" spans="1:14" x14ac:dyDescent="0.2">
      <c r="A185" s="8" t="s">
        <v>187</v>
      </c>
      <c r="B185" s="4" t="s">
        <v>188</v>
      </c>
      <c r="C185" s="4" t="s">
        <v>189</v>
      </c>
      <c r="D185" s="4"/>
      <c r="E185" s="9" t="str">
        <f>_xll.BQL("SAVE US Equity", "CB_IS_ETR_PCT", "FPT=A", "FPO=5A", "ACT_EST_MAPPING=PRECISE", "FS=MRC", "CURRENCY=USD", "XLFILL=b")</f>
        <v/>
      </c>
      <c r="F185" s="9" t="str">
        <f>_xll.BQL("SAVE US Equity", "CB_IS_ETR_PCT", "FPT=A", "FPO=4A", "ACT_EST_MAPPING=PRECISE", "FS=MRC", "CURRENCY=USD", "XLFILL=b")</f>
        <v/>
      </c>
      <c r="G185" s="9">
        <f>_xll.BQL("SAVE US Equity", "CB_IS_ETR_PCT", "FPT=A", "FPO=3A", "ACT_EST_MAPPING=PRECISE", "FS=MRC", "CURRENCY=USD", "XLFILL=b")</f>
        <v>22.866666666666589</v>
      </c>
      <c r="H185" s="9">
        <f>_xll.BQL("SAVE US Equity", "CB_IS_ETR_PCT", "FPT=A", "FPO=2A", "ACT_EST_MAPPING=PRECISE", "FS=MRC", "CURRENCY=USD", "XLFILL=b")</f>
        <v>22.866666666666678</v>
      </c>
      <c r="I185" s="9">
        <f>_xll.BQL("SAVE US Equity", "CB_IS_ETR_PCT", "FPT=A", "FPO=1A", "ACT_EST_MAPPING=PRECISE", "FS=MRC", "CURRENCY=USD", "XLFILL=b")</f>
        <v>15.538745256845878</v>
      </c>
      <c r="J185" s="9">
        <f>_xll.BQL("SAVE US Equity", "CB_IS_ETR_PCT", "FPT=A", "FPO=0A", "ACT_EST_MAPPING=PRECISE", "FS=MRC", "CURRENCY=USD", "XLFILL=b")</f>
        <v>19.899999999999999</v>
      </c>
      <c r="K185" s="9">
        <f>_xll.BQL("SAVE US Equity", "CB_IS_ETR_PCT", "FPT=A", "FPO=-1A", "ACT_EST_MAPPING=PRECISE", "FS=MRC", "CURRENCY=USD", "XLFILL=b")</f>
        <v>20.9</v>
      </c>
      <c r="L185" s="9">
        <f>_xll.BQL("SAVE US Equity", "CB_IS_ETR_PCT", "FPT=A", "FPO=-2A", "ACT_EST_MAPPING=PRECISE", "FS=MRC", "CURRENCY=USD", "XLFILL=b")</f>
        <v>9.1999999999999993</v>
      </c>
      <c r="M185" s="9">
        <f>_xll.BQL("SAVE US Equity", "CB_IS_ETR_PCT", "FPT=A", "FPO=-3A", "ACT_EST_MAPPING=PRECISE", "FS=MRC", "CURRENCY=USD", "XLFILL=b")</f>
        <v>30.9</v>
      </c>
      <c r="N185" s="9">
        <f>_xll.BQL("SAVE US Equity", "CB_IS_ETR_PCT", "FPT=A", "FPO=-4A", "ACT_EST_MAPPING=PRECISE", "FS=MRC", "CURRENCY=USD", "XLFILL=b")</f>
        <v>23.2</v>
      </c>
    </row>
    <row r="186" spans="1:14" x14ac:dyDescent="0.2">
      <c r="A186" s="8" t="s">
        <v>92</v>
      </c>
      <c r="B186" s="4" t="s">
        <v>188</v>
      </c>
      <c r="C186" s="4" t="s">
        <v>189</v>
      </c>
      <c r="D186" s="4"/>
      <c r="E186" s="9" t="str">
        <f>_xll.BQL("SAVE US Equity", "FA_GROWTH(CB_IS_ETR_PCT, YOY)", "FPT=A", "FPO=5A", "ACT_EST_MAPPING=PRECISE", "FS=MRC", "CURRENCY=USD", "XLFILL=b")</f>
        <v/>
      </c>
      <c r="F186" s="9" t="str">
        <f>_xll.BQL("SAVE US Equity", "FA_GROWTH(CB_IS_ETR_PCT, YOY)", "FPT=A", "FPO=4A", "ACT_EST_MAPPING=PRECISE", "FS=MRC", "CURRENCY=USD", "XLFILL=b")</f>
        <v/>
      </c>
      <c r="G186" s="9">
        <f>_xll.BQL("SAVE US Equity", "FA_GROWTH(CB_IS_ETR_PCT, YOY)", "FPT=A", "FPO=3A", "ACT_EST_MAPPING=PRECISE", "FS=MRC", "CURRENCY=USD", "XLFILL=b")</f>
        <v>-3.8841621852775137E-13</v>
      </c>
      <c r="H186" s="9">
        <f>_xll.BQL("SAVE US Equity", "FA_GROWTH(CB_IS_ETR_PCT, YOY)", "FPT=A", "FPO=2A", "ACT_EST_MAPPING=PRECISE", "FS=MRC", "CURRENCY=USD", "XLFILL=b")</f>
        <v>47.159029179607337</v>
      </c>
      <c r="I186" s="9">
        <f>_xll.BQL("SAVE US Equity", "FA_GROWTH(CB_IS_ETR_PCT, YOY)", "FPT=A", "FPO=1A", "ACT_EST_MAPPING=PRECISE", "FS=MRC", "CURRENCY=USD", "XLFILL=b")</f>
        <v>-21.915852980673971</v>
      </c>
      <c r="J186" s="9">
        <f>_xll.BQL("SAVE US Equity", "FA_GROWTH(CB_IS_ETR_PCT, YOY)", "FPT=A", "FPO=0A", "ACT_EST_MAPPING=PRECISE", "FS=MRC", "CURRENCY=USD", "XLFILL=b")</f>
        <v>-4.7846889952153111</v>
      </c>
      <c r="K186" s="9">
        <f>_xll.BQL("SAVE US Equity", "FA_GROWTH(CB_IS_ETR_PCT, YOY)", "FPT=A", "FPO=-1A", "ACT_EST_MAPPING=PRECISE", "FS=MRC", "CURRENCY=USD", "XLFILL=b")</f>
        <v>127.17391304347827</v>
      </c>
      <c r="L186" s="9">
        <f>_xll.BQL("SAVE US Equity", "FA_GROWTH(CB_IS_ETR_PCT, YOY)", "FPT=A", "FPO=-2A", "ACT_EST_MAPPING=PRECISE", "FS=MRC", "CURRENCY=USD", "XLFILL=b")</f>
        <v>-70.226537216828476</v>
      </c>
      <c r="M186" s="9">
        <f>_xll.BQL("SAVE US Equity", "FA_GROWTH(CB_IS_ETR_PCT, YOY)", "FPT=A", "FPO=-3A", "ACT_EST_MAPPING=PRECISE", "FS=MRC", "CURRENCY=USD", "XLFILL=b")</f>
        <v>33.189655172413786</v>
      </c>
      <c r="N186" s="9">
        <f>_xll.BQL("SAVE US Equity", "FA_GROWTH(CB_IS_ETR_PCT, YOY)", "FPT=A", "FPO=-4A", "ACT_EST_MAPPING=PRECISE", "FS=MRC", "CURRENCY=USD", "XLFILL=b")</f>
        <v>-3.3333333333333361</v>
      </c>
    </row>
    <row r="187" spans="1:14" x14ac:dyDescent="0.2">
      <c r="A187" s="8" t="s">
        <v>190</v>
      </c>
      <c r="B187" s="4" t="s">
        <v>191</v>
      </c>
      <c r="C187" s="4" t="s">
        <v>192</v>
      </c>
      <c r="D187" s="4"/>
      <c r="E187" s="9" t="str">
        <f>_xll.BQL("SAVE US Equity", "IS_CURRENT_INCOME_TAX_BENEFIT/1M", "FPT=A", "FPO=5A", "ACT_EST_MAPPING=PRECISE", "FS=MRC", "CURRENCY=USD", "XLFILL=b")</f>
        <v/>
      </c>
      <c r="F187" s="9" t="str">
        <f>_xll.BQL("SAVE US Equity", "IS_CURRENT_INCOME_TAX_BENEFIT/1M", "FPT=A", "FPO=4A", "ACT_EST_MAPPING=PRECISE", "FS=MRC", "CURRENCY=USD", "XLFILL=b")</f>
        <v/>
      </c>
      <c r="G187" s="9">
        <f>_xll.BQL("SAVE US Equity", "IS_CURRENT_INCOME_TAX_BENEFIT/1M", "FPT=A", "FPO=3A", "ACT_EST_MAPPING=PRECISE", "FS=MRC", "CURRENCY=USD", "XLFILL=b")</f>
        <v>-5.0070348729269085</v>
      </c>
      <c r="H187" s="9">
        <f>_xll.BQL("SAVE US Equity", "IS_CURRENT_INCOME_TAX_BENEFIT/1M", "FPT=A", "FPO=2A", "ACT_EST_MAPPING=PRECISE", "FS=MRC", "CURRENCY=USD", "XLFILL=b")</f>
        <v>-10.545242815535431</v>
      </c>
      <c r="I187" s="9">
        <f>_xll.BQL("SAVE US Equity", "IS_CURRENT_INCOME_TAX_BENEFIT/1M", "FPT=A", "FPO=1A", "ACT_EST_MAPPING=PRECISE", "FS=MRC", "CURRENCY=USD", "XLFILL=b")</f>
        <v>-5.2402315848112417</v>
      </c>
      <c r="J187" s="9">
        <f>_xll.BQL("SAVE US Equity", "IS_CURRENT_INCOME_TAX_BENEFIT/1M", "FPT=A", "FPO=0A", "ACT_EST_MAPPING=PRECISE", "FS=MRC", "CURRENCY=USD", "XLFILL=b")</f>
        <v>8.1080000000000005</v>
      </c>
      <c r="K187" s="9">
        <f>_xll.BQL("SAVE US Equity", "IS_CURRENT_INCOME_TAX_BENEFIT/1M", "FPT=A", "FPO=-1A", "ACT_EST_MAPPING=PRECISE", "FS=MRC", "CURRENCY=USD", "XLFILL=b")</f>
        <v>2.0219999999999998</v>
      </c>
      <c r="L187" s="9">
        <f>_xll.BQL("SAVE US Equity", "IS_CURRENT_INCOME_TAX_BENEFIT/1M", "FPT=A", "FPO=-2A", "ACT_EST_MAPPING=PRECISE", "FS=MRC", "CURRENCY=USD", "XLFILL=b")</f>
        <v>1.7509999999999999</v>
      </c>
      <c r="M187" s="9">
        <f>_xll.BQL("SAVE US Equity", "IS_CURRENT_INCOME_TAX_BENEFIT/1M", "FPT=A", "FPO=-3A", "ACT_EST_MAPPING=PRECISE", "FS=MRC", "CURRENCY=USD", "XLFILL=b")</f>
        <v>-145.398</v>
      </c>
      <c r="N187" s="9">
        <f>_xll.BQL("SAVE US Equity", "IS_CURRENT_INCOME_TAX_BENEFIT/1M", "FPT=A", "FPO=-4A", "ACT_EST_MAPPING=PRECISE", "FS=MRC", "CURRENCY=USD", "XLFILL=b")</f>
        <v>-14.518000000000001</v>
      </c>
    </row>
    <row r="188" spans="1:14" x14ac:dyDescent="0.2">
      <c r="A188" s="8" t="s">
        <v>44</v>
      </c>
      <c r="B188" s="4" t="s">
        <v>191</v>
      </c>
      <c r="C188" s="4" t="s">
        <v>192</v>
      </c>
      <c r="D188" s="4"/>
      <c r="E188" s="9" t="str">
        <f>_xll.BQL("SAVE US Equity", "FA_GROWTH(IS_CURRENT_INCOME_TAX_BENEFIT, YOY)", "FPT=A", "FPO=5A", "ACT_EST_MAPPING=PRECISE", "FS=MRC", "CURRENCY=USD", "XLFILL=b")</f>
        <v/>
      </c>
      <c r="F188" s="9" t="str">
        <f>_xll.BQL("SAVE US Equity", "FA_GROWTH(IS_CURRENT_INCOME_TAX_BENEFIT, YOY)", "FPT=A", "FPO=4A", "ACT_EST_MAPPING=PRECISE", "FS=MRC", "CURRENCY=USD", "XLFILL=b")</f>
        <v/>
      </c>
      <c r="G188" s="9">
        <f>_xll.BQL("SAVE US Equity", "FA_GROWTH(IS_CURRENT_INCOME_TAX_BENEFIT, YOY)", "FPT=A", "FPO=3A", "ACT_EST_MAPPING=PRECISE", "FS=MRC", "CURRENCY=USD", "XLFILL=b")</f>
        <v>52.518543569708427</v>
      </c>
      <c r="H188" s="9">
        <f>_xll.BQL("SAVE US Equity", "FA_GROWTH(IS_CURRENT_INCOME_TAX_BENEFIT, YOY)", "FPT=A", "FPO=2A", "ACT_EST_MAPPING=PRECISE", "FS=MRC", "CURRENCY=USD", "XLFILL=b")</f>
        <v>-101.23619815011062</v>
      </c>
      <c r="I188" s="9">
        <f>_xll.BQL("SAVE US Equity", "FA_GROWTH(IS_CURRENT_INCOME_TAX_BENEFIT, YOY)", "FPT=A", "FPO=1A", "ACT_EST_MAPPING=PRECISE", "FS=MRC", "CURRENCY=USD", "XLFILL=b")</f>
        <v>-164.63038461780019</v>
      </c>
      <c r="J188" s="9">
        <f>_xll.BQL("SAVE US Equity", "FA_GROWTH(IS_CURRENT_INCOME_TAX_BENEFIT, YOY)", "FPT=A", "FPO=0A", "ACT_EST_MAPPING=PRECISE", "FS=MRC", "CURRENCY=USD", "XLFILL=b")</f>
        <v>300.98911968348182</v>
      </c>
      <c r="K188" s="9">
        <f>_xll.BQL("SAVE US Equity", "FA_GROWTH(IS_CURRENT_INCOME_TAX_BENEFIT, YOY)", "FPT=A", "FPO=-1A", "ACT_EST_MAPPING=PRECISE", "FS=MRC", "CURRENCY=USD", "XLFILL=b")</f>
        <v>15.47687035979439</v>
      </c>
      <c r="L188" s="9">
        <f>_xll.BQL("SAVE US Equity", "FA_GROWTH(IS_CURRENT_INCOME_TAX_BENEFIT, YOY)", "FPT=A", "FPO=-2A", "ACT_EST_MAPPING=PRECISE", "FS=MRC", "CURRENCY=USD", "XLFILL=b")</f>
        <v>101.20428066410817</v>
      </c>
      <c r="M188" s="9">
        <f>_xll.BQL("SAVE US Equity", "FA_GROWTH(IS_CURRENT_INCOME_TAX_BENEFIT, YOY)", "FPT=A", "FPO=-3A", "ACT_EST_MAPPING=PRECISE", "FS=MRC", "CURRENCY=USD", "XLFILL=b")</f>
        <v>-901.50158424025346</v>
      </c>
      <c r="N188" s="9">
        <f>_xll.BQL("SAVE US Equity", "FA_GROWTH(IS_CURRENT_INCOME_TAX_BENEFIT, YOY)", "FPT=A", "FPO=-4A", "ACT_EST_MAPPING=PRECISE", "FS=MRC", "CURRENCY=USD", "XLFILL=b")</f>
        <v>-596.51162790697674</v>
      </c>
    </row>
    <row r="189" spans="1:14" x14ac:dyDescent="0.2">
      <c r="A189" s="8" t="s">
        <v>193</v>
      </c>
      <c r="B189" s="4" t="s">
        <v>50</v>
      </c>
      <c r="C189" s="4" t="s">
        <v>192</v>
      </c>
      <c r="D189" s="4"/>
      <c r="E189" s="9">
        <f>_xll.BQL("SAVE US Equity", "IS_COMP_NET_INCOME_ADJUST_OLD/1M", "FPT=A", "FPO=5A", "ACT_EST_MAPPING=PRECISE", "FS=MRC", "CURRENCY=USD", "XLFILL=b")</f>
        <v>108</v>
      </c>
      <c r="F189" s="9">
        <f>_xll.BQL("SAVE US Equity", "IS_COMP_NET_INCOME_ADJUST_OLD/1M", "FPT=A", "FPO=4A", "ACT_EST_MAPPING=PRECISE", "FS=MRC", "CURRENCY=USD", "XLFILL=b")</f>
        <v>-101</v>
      </c>
      <c r="G189" s="9">
        <f>_xll.BQL("SAVE US Equity", "IS_COMP_NET_INCOME_ADJUST_OLD/1M", "FPT=A", "FPO=3A", "ACT_EST_MAPPING=PRECISE", "FS=MRC", "CURRENCY=USD", "XLFILL=b")</f>
        <v>-206.42857142857144</v>
      </c>
      <c r="H189" s="9">
        <f>_xll.BQL("SAVE US Equity", "IS_COMP_NET_INCOME_ADJUST_OLD/1M", "FPT=A", "FPO=2A", "ACT_EST_MAPPING=PRECISE", "FS=MRC", "CURRENCY=USD", "XLFILL=b")</f>
        <v>-500.75</v>
      </c>
      <c r="I189" s="9">
        <f>_xll.BQL("SAVE US Equity", "IS_COMP_NET_INCOME_ADJUST_OLD/1M", "FPT=A", "FPO=1A", "ACT_EST_MAPPING=PRECISE", "FS=MRC", "CURRENCY=USD", "XLFILL=b")</f>
        <v>-789</v>
      </c>
      <c r="J189" s="9">
        <f>_xll.BQL("SAVE US Equity", "IS_COMP_NET_INCOME_ADJUST_OLD/1M", "FPT=A", "FPO=0A", "ACT_EST_MAPPING=PRECISE", "FS=MRC", "CURRENCY=USD", "XLFILL=b")</f>
        <v>-359.52499999999998</v>
      </c>
      <c r="K189" s="9">
        <f>_xll.BQL("SAVE US Equity", "IS_COMP_NET_INCOME_ADJUST_OLD/1M", "FPT=A", "FPO=-1A", "ACT_EST_MAPPING=PRECISE", "FS=MRC", "CURRENCY=USD", "XLFILL=b")</f>
        <v>-189.37700000000001</v>
      </c>
      <c r="L189" s="9">
        <f>_xll.BQL("SAVE US Equity", "IS_COMP_NET_INCOME_ADJUST_OLD/1M", "FPT=A", "FPO=-2A", "ACT_EST_MAPPING=PRECISE", "FS=MRC", "CURRENCY=USD", "XLFILL=b")</f>
        <v>-440.60399999999998</v>
      </c>
      <c r="M189" s="9">
        <f>_xll.BQL("SAVE US Equity", "IS_COMP_NET_INCOME_ADJUST_OLD/1M", "FPT=A", "FPO=-3A", "ACT_EST_MAPPING=PRECISE", "FS=MRC", "CURRENCY=USD", "XLFILL=b")</f>
        <v>-717.8</v>
      </c>
      <c r="N189" s="9">
        <f>_xll.BQL("SAVE US Equity", "IS_COMP_NET_INCOME_ADJUST_OLD/1M", "FPT=A", "FPO=-4A", "ACT_EST_MAPPING=PRECISE", "FS=MRC", "CURRENCY=USD", "XLFILL=b")</f>
        <v>348.74400000000003</v>
      </c>
    </row>
    <row r="190" spans="1:14" x14ac:dyDescent="0.2">
      <c r="A190" s="8" t="s">
        <v>44</v>
      </c>
      <c r="B190" s="4" t="s">
        <v>50</v>
      </c>
      <c r="C190" s="4" t="s">
        <v>192</v>
      </c>
      <c r="D190" s="4"/>
      <c r="E190" s="9">
        <f>_xll.BQL("SAVE US Equity", "FA_GROWTH(IS_COMP_NET_INCOME_ADJUST_OLD, YOY)", "FPT=A", "FPO=5A", "ACT_EST_MAPPING=PRECISE", "FS=MRC", "CURRENCY=USD", "XLFILL=b")</f>
        <v>206.93069306930693</v>
      </c>
      <c r="F190" s="9">
        <f>_xll.BQL("SAVE US Equity", "FA_GROWTH(IS_COMP_NET_INCOME_ADJUST_OLD, YOY)", "FPT=A", "FPO=4A", "ACT_EST_MAPPING=PRECISE", "FS=MRC", "CURRENCY=USD", "XLFILL=b")</f>
        <v>51.072664359861591</v>
      </c>
      <c r="G190" s="9">
        <f>_xll.BQL("SAVE US Equity", "FA_GROWTH(IS_COMP_NET_INCOME_ADJUST_OLD, YOY)", "FPT=A", "FPO=3A", "ACT_EST_MAPPING=PRECISE", "FS=MRC", "CURRENCY=USD", "XLFILL=b")</f>
        <v>58.776121531987727</v>
      </c>
      <c r="H190" s="9">
        <f>_xll.BQL("SAVE US Equity", "FA_GROWTH(IS_COMP_NET_INCOME_ADJUST_OLD, YOY)", "FPT=A", "FPO=2A", "ACT_EST_MAPPING=PRECISE", "FS=MRC", "CURRENCY=USD", "XLFILL=b")</f>
        <v>36.533586818757918</v>
      </c>
      <c r="I190" s="9">
        <f>_xll.BQL("SAVE US Equity", "FA_GROWTH(IS_COMP_NET_INCOME_ADJUST_OLD, YOY)", "FPT=A", "FPO=1A", "ACT_EST_MAPPING=PRECISE", "FS=MRC", "CURRENCY=USD", "XLFILL=b")</f>
        <v>-119.45622696613587</v>
      </c>
      <c r="J190" s="9">
        <f>_xll.BQL("SAVE US Equity", "FA_GROWTH(IS_COMP_NET_INCOME_ADJUST_OLD, YOY)", "FPT=A", "FPO=0A", "ACT_EST_MAPPING=PRECISE", "FS=MRC", "CURRENCY=USD", "XLFILL=b")</f>
        <v>-89.8461798423251</v>
      </c>
      <c r="K190" s="9">
        <f>_xll.BQL("SAVE US Equity", "FA_GROWTH(IS_COMP_NET_INCOME_ADJUST_OLD, YOY)", "FPT=A", "FPO=-1A", "ACT_EST_MAPPING=PRECISE", "FS=MRC", "CURRENCY=USD", "XLFILL=b")</f>
        <v>57.018774228105059</v>
      </c>
      <c r="L190" s="9">
        <f>_xll.BQL("SAVE US Equity", "FA_GROWTH(IS_COMP_NET_INCOME_ADJUST_OLD, YOY)", "FPT=A", "FPO=-2A", "ACT_EST_MAPPING=PRECISE", "FS=MRC", "CURRENCY=USD", "XLFILL=b")</f>
        <v>38.617442184452493</v>
      </c>
      <c r="M190" s="9">
        <f>_xll.BQL("SAVE US Equity", "FA_GROWTH(IS_COMP_NET_INCOME_ADJUST_OLD, YOY)", "FPT=A", "FPO=-3A", "ACT_EST_MAPPING=PRECISE", "FS=MRC", "CURRENCY=USD", "XLFILL=b")</f>
        <v>-305.82432959420089</v>
      </c>
      <c r="N190" s="9">
        <f>_xll.BQL("SAVE US Equity", "FA_GROWTH(IS_COMP_NET_INCOME_ADJUST_OLD, YOY)", "FPT=A", "FPO=-4A", "ACT_EST_MAPPING=PRECISE", "FS=MRC", "CURRENCY=USD", "XLFILL=b")</f>
        <v>15.894906850462258</v>
      </c>
    </row>
    <row r="191" spans="1:14" x14ac:dyDescent="0.2">
      <c r="A191" s="8" t="s">
        <v>194</v>
      </c>
      <c r="B191" s="4" t="s">
        <v>195</v>
      </c>
      <c r="C191" s="4" t="s">
        <v>196</v>
      </c>
      <c r="D191" s="4"/>
      <c r="E191" s="9">
        <f>_xll.BQL("SAVE US Equity", "IS_SH_FOR_DILUTED_EPS/1M", "FPT=A", "FPO=5A", "ACT_EST_MAPPING=PRECISE", "FS=MRC", "CURRENCY=USD", "XLFILL=b")</f>
        <v>109.506</v>
      </c>
      <c r="F191" s="9">
        <f>_xll.BQL("SAVE US Equity", "IS_SH_FOR_DILUTED_EPS/1M", "FPT=A", "FPO=4A", "ACT_EST_MAPPING=PRECISE", "FS=MRC", "CURRENCY=USD", "XLFILL=b")</f>
        <v>109.506</v>
      </c>
      <c r="G191" s="9">
        <f>_xll.BQL("SAVE US Equity", "IS_SH_FOR_DILUTED_EPS/1M", "FPT=A", "FPO=3A", "ACT_EST_MAPPING=PRECISE", "FS=MRC", "CURRENCY=USD", "XLFILL=b")</f>
        <v>109.6884184</v>
      </c>
      <c r="H191" s="9">
        <f>_xll.BQL("SAVE US Equity", "IS_SH_FOR_DILUTED_EPS/1M", "FPT=A", "FPO=2A", "ACT_EST_MAPPING=PRECISE", "FS=MRC", "CURRENCY=USD", "XLFILL=b")</f>
        <v>109.82250470543735</v>
      </c>
      <c r="I191" s="9">
        <f>_xll.BQL("SAVE US Equity", "IS_SH_FOR_DILUTED_EPS/1M", "FPT=A", "FPO=1A", "ACT_EST_MAPPING=PRECISE", "FS=MRC", "CURRENCY=USD", "XLFILL=b")</f>
        <v>109.4107245</v>
      </c>
      <c r="J191" s="9">
        <f>_xll.BQL("SAVE US Equity", "IS_SH_FOR_DILUTED_EPS/1M", "FPT=A", "FPO=0A", "ACT_EST_MAPPING=PRECISE", "FS=MRC", "CURRENCY=USD", "XLFILL=b")</f>
        <v>109.152</v>
      </c>
      <c r="K191" s="9">
        <f>_xll.BQL("SAVE US Equity", "IS_SH_FOR_DILUTED_EPS/1M", "FPT=A", "FPO=-1A", "ACT_EST_MAPPING=PRECISE", "FS=MRC", "CURRENCY=USD", "XLFILL=b")</f>
        <v>108.751</v>
      </c>
      <c r="L191" s="9">
        <f>_xll.BQL("SAVE US Equity", "IS_SH_FOR_DILUTED_EPS/1M", "FPT=A", "FPO=-2A", "ACT_EST_MAPPING=PRECISE", "FS=MRC", "CURRENCY=USD", "XLFILL=b")</f>
        <v>105</v>
      </c>
      <c r="M191" s="9">
        <f>_xll.BQL("SAVE US Equity", "IS_SH_FOR_DILUTED_EPS/1M", "FPT=A", "FPO=-3A", "ACT_EST_MAPPING=PRECISE", "FS=MRC", "CURRENCY=USD", "XLFILL=b")</f>
        <v>84.692113000000006</v>
      </c>
      <c r="N191" s="9">
        <f>_xll.BQL("SAVE US Equity", "IS_SH_FOR_DILUTED_EPS/1M", "FPT=A", "FPO=-4A", "ACT_EST_MAPPING=PRECISE", "FS=MRC", "CURRENCY=USD", "XLFILL=b")</f>
        <v>68.558628999999996</v>
      </c>
    </row>
    <row r="192" spans="1:14" x14ac:dyDescent="0.2">
      <c r="A192" s="8" t="s">
        <v>44</v>
      </c>
      <c r="B192" s="4" t="s">
        <v>195</v>
      </c>
      <c r="C192" s="4" t="s">
        <v>196</v>
      </c>
      <c r="D192" s="4"/>
      <c r="E192" s="9">
        <f>_xll.BQL("SAVE US Equity", "FA_GROWTH(IS_SH_FOR_DILUTED_EPS, YOY)", "FPT=A", "FPO=5A", "ACT_EST_MAPPING=PRECISE", "FS=MRC", "CURRENCY=USD", "XLFILL=b")</f>
        <v>0</v>
      </c>
      <c r="F192" s="9">
        <f>_xll.BQL("SAVE US Equity", "FA_GROWTH(IS_SH_FOR_DILUTED_EPS, YOY)", "FPT=A", "FPO=4A", "ACT_EST_MAPPING=PRECISE", "FS=MRC", "CURRENCY=USD", "XLFILL=b")</f>
        <v>-0.1663059807597754</v>
      </c>
      <c r="G192" s="9">
        <f>_xll.BQL("SAVE US Equity", "FA_GROWTH(IS_SH_FOR_DILUTED_EPS, YOY)", "FPT=A", "FPO=3A", "ACT_EST_MAPPING=PRECISE", "FS=MRC", "CURRENCY=USD", "XLFILL=b")</f>
        <v>-0.12209365083867248</v>
      </c>
      <c r="H192" s="9">
        <f>_xll.BQL("SAVE US Equity", "FA_GROWTH(IS_SH_FOR_DILUTED_EPS, YOY)", "FPT=A", "FPO=2A", "ACT_EST_MAPPING=PRECISE", "FS=MRC", "CURRENCY=USD", "XLFILL=b")</f>
        <v>0.37636183045049415</v>
      </c>
      <c r="I192" s="9">
        <f>_xll.BQL("SAVE US Equity", "FA_GROWTH(IS_SH_FOR_DILUTED_EPS, YOY)", "FPT=A", "FPO=1A", "ACT_EST_MAPPING=PRECISE", "FS=MRC", "CURRENCY=USD", "XLFILL=b")</f>
        <v>0.23703138742304308</v>
      </c>
      <c r="J192" s="9">
        <f>_xll.BQL("SAVE US Equity", "FA_GROWTH(IS_SH_FOR_DILUTED_EPS, YOY)", "FPT=A", "FPO=0A", "ACT_EST_MAPPING=PRECISE", "FS=MRC", "CURRENCY=USD", "XLFILL=b")</f>
        <v>0.36873224154260653</v>
      </c>
      <c r="K192" s="9">
        <f>_xll.BQL("SAVE US Equity", "FA_GROWTH(IS_SH_FOR_DILUTED_EPS, YOY)", "FPT=A", "FPO=-1A", "ACT_EST_MAPPING=PRECISE", "FS=MRC", "CURRENCY=USD", "XLFILL=b")</f>
        <v>3.5723809523809522</v>
      </c>
      <c r="L192" s="9">
        <f>_xll.BQL("SAVE US Equity", "FA_GROWTH(IS_SH_FOR_DILUTED_EPS, YOY)", "FPT=A", "FPO=-2A", "ACT_EST_MAPPING=PRECISE", "FS=MRC", "CURRENCY=USD", "XLFILL=b")</f>
        <v>23.978486639009702</v>
      </c>
      <c r="M192" s="9">
        <f>_xll.BQL("SAVE US Equity", "FA_GROWTH(IS_SH_FOR_DILUTED_EPS, YOY)", "FPT=A", "FPO=-3A", "ACT_EST_MAPPING=PRECISE", "FS=MRC", "CURRENCY=USD", "XLFILL=b")</f>
        <v>23.532390065734834</v>
      </c>
      <c r="N192" s="9">
        <f>_xll.BQL("SAVE US Equity", "FA_GROWTH(IS_SH_FOR_DILUTED_EPS, YOY)", "FPT=A", "FPO=-4A", "ACT_EST_MAPPING=PRECISE", "FS=MRC", "CURRENCY=USD", "XLFILL=b")</f>
        <v>0.18650757697534742</v>
      </c>
    </row>
    <row r="193" spans="1:14" x14ac:dyDescent="0.2">
      <c r="A193" s="8" t="s">
        <v>197</v>
      </c>
      <c r="B193" s="4" t="s">
        <v>10</v>
      </c>
      <c r="C193" s="4" t="s">
        <v>198</v>
      </c>
      <c r="D193" s="4"/>
      <c r="E193" s="9">
        <f>_xll.BQL("SAVE US Equity", "IS_COMP_EPS_ADJUSTED_OLD", "FPT=A", "FPO=5A", "ACT_EST_MAPPING=PRECISE", "FS=MRC", "CURRENCY=USD", "XLFILL=b")</f>
        <v>0.99</v>
      </c>
      <c r="F193" s="9">
        <f>_xll.BQL("SAVE US Equity", "IS_COMP_EPS_ADJUSTED_OLD", "FPT=A", "FPO=4A", "ACT_EST_MAPPING=PRECISE", "FS=MRC", "CURRENCY=USD", "XLFILL=b")</f>
        <v>-0.92</v>
      </c>
      <c r="G193" s="9">
        <f>_xll.BQL("SAVE US Equity", "IS_COMP_EPS_ADJUSTED_OLD", "FPT=A", "FPO=3A", "ACT_EST_MAPPING=PRECISE", "FS=MRC", "CURRENCY=USD", "XLFILL=b")</f>
        <v>-1.8171428571428572</v>
      </c>
      <c r="H193" s="9">
        <f>_xll.BQL("SAVE US Equity", "IS_COMP_EPS_ADJUSTED_OLD", "FPT=A", "FPO=2A", "ACT_EST_MAPPING=PRECISE", "FS=MRC", "CURRENCY=USD", "XLFILL=b")</f>
        <v>-4.5049999999999999</v>
      </c>
      <c r="I193" s="9">
        <f>_xll.BQL("SAVE US Equity", "IS_COMP_EPS_ADJUSTED_OLD", "FPT=A", "FPO=1A", "ACT_EST_MAPPING=PRECISE", "FS=MRC", "CURRENCY=USD", "XLFILL=b")</f>
        <v>-7.1945454545454535</v>
      </c>
      <c r="J193" s="9">
        <f>_xll.BQL("SAVE US Equity", "IS_COMP_EPS_ADJUSTED_OLD", "FPT=A", "FPO=0A", "ACT_EST_MAPPING=PRECISE", "FS=MRC", "CURRENCY=USD", "XLFILL=b")</f>
        <v>-3.29</v>
      </c>
      <c r="K193" s="9">
        <f>_xll.BQL("SAVE US Equity", "IS_COMP_EPS_ADJUSTED_OLD", "FPT=A", "FPO=-1A", "ACT_EST_MAPPING=PRECISE", "FS=MRC", "CURRENCY=USD", "XLFILL=b")</f>
        <v>-1.74</v>
      </c>
      <c r="L193" s="9">
        <f>_xll.BQL("SAVE US Equity", "IS_COMP_EPS_ADJUSTED_OLD", "FPT=A", "FPO=-2A", "ACT_EST_MAPPING=PRECISE", "FS=MRC", "CURRENCY=USD", "XLFILL=b")</f>
        <v>-4.2</v>
      </c>
      <c r="M193" s="9">
        <f>_xll.BQL("SAVE US Equity", "IS_COMP_EPS_ADJUSTED_OLD", "FPT=A", "FPO=-3A", "ACT_EST_MAPPING=PRECISE", "FS=MRC", "CURRENCY=USD", "XLFILL=b")</f>
        <v>-8.48</v>
      </c>
      <c r="N193" s="9">
        <f>_xll.BQL("SAVE US Equity", "IS_COMP_EPS_ADJUSTED_OLD", "FPT=A", "FPO=-4A", "ACT_EST_MAPPING=PRECISE", "FS=MRC", "CURRENCY=USD", "XLFILL=b")</f>
        <v>5.09</v>
      </c>
    </row>
    <row r="194" spans="1:14" x14ac:dyDescent="0.2">
      <c r="A194" s="8" t="s">
        <v>44</v>
      </c>
      <c r="B194" s="4" t="s">
        <v>10</v>
      </c>
      <c r="C194" s="4" t="s">
        <v>198</v>
      </c>
      <c r="D194" s="4"/>
      <c r="E194" s="9">
        <f>_xll.BQL("SAVE US Equity", "FA_GROWTH(IS_COMP_EPS_ADJUSTED_OLD, YOY)", "FPT=A", "FPO=5A", "ACT_EST_MAPPING=PRECISE", "FS=MRC", "CURRENCY=USD", "XLFILL=b")</f>
        <v>207.60869565217391</v>
      </c>
      <c r="F194" s="9">
        <f>_xll.BQL("SAVE US Equity", "FA_GROWTH(IS_COMP_EPS_ADJUSTED_OLD, YOY)", "FPT=A", "FPO=4A", "ACT_EST_MAPPING=PRECISE", "FS=MRC", "CURRENCY=USD", "XLFILL=b")</f>
        <v>49.371069182389931</v>
      </c>
      <c r="G194" s="9">
        <f>_xll.BQL("SAVE US Equity", "FA_GROWTH(IS_COMP_EPS_ADJUSTED_OLD, YOY)", "FPT=A", "FPO=3A", "ACT_EST_MAPPING=PRECISE", "FS=MRC", "CURRENCY=USD", "XLFILL=b")</f>
        <v>59.663865546218489</v>
      </c>
      <c r="H194" s="9">
        <f>_xll.BQL("SAVE US Equity", "FA_GROWTH(IS_COMP_EPS_ADJUSTED_OLD, YOY)", "FPT=A", "FPO=2A", "ACT_EST_MAPPING=PRECISE", "FS=MRC", "CURRENCY=USD", "XLFILL=b")</f>
        <v>37.383118524134439</v>
      </c>
      <c r="I194" s="9">
        <f>_xll.BQL("SAVE US Equity", "FA_GROWTH(IS_COMP_EPS_ADJUSTED_OLD, YOY)", "FPT=A", "FPO=1A", "ACT_EST_MAPPING=PRECISE", "FS=MRC", "CURRENCY=USD", "XLFILL=b")</f>
        <v>-118.67919314727821</v>
      </c>
      <c r="J194" s="9">
        <f>_xll.BQL("SAVE US Equity", "FA_GROWTH(IS_COMP_EPS_ADJUSTED_OLD, YOY)", "FPT=A", "FPO=0A", "ACT_EST_MAPPING=PRECISE", "FS=MRC", "CURRENCY=USD", "XLFILL=b")</f>
        <v>-89.080459770114942</v>
      </c>
      <c r="K194" s="9">
        <f>_xll.BQL("SAVE US Equity", "FA_GROWTH(IS_COMP_EPS_ADJUSTED_OLD, YOY)", "FPT=A", "FPO=-1A", "ACT_EST_MAPPING=PRECISE", "FS=MRC", "CURRENCY=USD", "XLFILL=b")</f>
        <v>58.571428571428569</v>
      </c>
      <c r="L194" s="9">
        <f>_xll.BQL("SAVE US Equity", "FA_GROWTH(IS_COMP_EPS_ADJUSTED_OLD, YOY)", "FPT=A", "FPO=-2A", "ACT_EST_MAPPING=PRECISE", "FS=MRC", "CURRENCY=USD", "XLFILL=b")</f>
        <v>50.471698113207545</v>
      </c>
      <c r="M194" s="9">
        <f>_xll.BQL("SAVE US Equity", "FA_GROWTH(IS_COMP_EPS_ADJUSTED_OLD, YOY)", "FPT=A", "FPO=-3A", "ACT_EST_MAPPING=PRECISE", "FS=MRC", "CURRENCY=USD", "XLFILL=b")</f>
        <v>-266.60117878192534</v>
      </c>
      <c r="N194" s="9">
        <f>_xll.BQL("SAVE US Equity", "FA_GROWTH(IS_COMP_EPS_ADJUSTED_OLD, YOY)", "FPT=A", "FPO=-4A", "ACT_EST_MAPPING=PRECISE", "FS=MRC", "CURRENCY=USD", "XLFILL=b")</f>
        <v>15.681818181818167</v>
      </c>
    </row>
    <row r="195" spans="1:14" x14ac:dyDescent="0.2">
      <c r="A195" s="8" t="s">
        <v>16</v>
      </c>
      <c r="B195" s="4"/>
      <c r="C195" s="4"/>
      <c r="D195" s="4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 x14ac:dyDescent="0.2">
      <c r="A196" s="8" t="s">
        <v>199</v>
      </c>
      <c r="B196" s="4"/>
      <c r="C196" s="4"/>
      <c r="D196" s="4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x14ac:dyDescent="0.2">
      <c r="A197" s="8" t="s">
        <v>200</v>
      </c>
      <c r="B197" s="4" t="s">
        <v>201</v>
      </c>
      <c r="C197" s="4" t="s">
        <v>198</v>
      </c>
      <c r="D197" s="4"/>
      <c r="E197" s="9" t="str">
        <f>_xll.BQL("SAVE US Equity", "IS_ABNORMAL_ITEM/1M", "FPT=A", "FPO=5A", "ACT_EST_MAPPING=PRECISE", "FS=MRC", "CURRENCY=USD", "XLFILL=b")</f>
        <v/>
      </c>
      <c r="F197" s="9" t="str">
        <f>_xll.BQL("SAVE US Equity", "IS_ABNORMAL_ITEM/1M", "FPT=A", "FPO=4A", "ACT_EST_MAPPING=PRECISE", "FS=MRC", "CURRENCY=USD", "XLFILL=b")</f>
        <v/>
      </c>
      <c r="G197" s="9">
        <f>_xll.BQL("SAVE US Equity", "IS_ABNORMAL_ITEM/1M", "FPT=A", "FPO=3A", "ACT_EST_MAPPING=PRECISE", "FS=MRC", "CURRENCY=USD", "XLFILL=b")</f>
        <v>0</v>
      </c>
      <c r="H197" s="9">
        <f>_xll.BQL("SAVE US Equity", "IS_ABNORMAL_ITEM/1M", "FPT=A", "FPO=2A", "ACT_EST_MAPPING=PRECISE", "FS=MRC", "CURRENCY=USD", "XLFILL=b")</f>
        <v>0</v>
      </c>
      <c r="I197" s="9">
        <f>_xll.BQL("SAVE US Equity", "IS_ABNORMAL_ITEM/1M", "FPT=A", "FPO=1A", "ACT_EST_MAPPING=PRECISE", "FS=MRC", "CURRENCY=USD", "XLFILL=b")</f>
        <v>17.352999999999998</v>
      </c>
      <c r="J197" s="9">
        <f>_xll.BQL("SAVE US Equity", "IS_ABNORMAL_ITEM/1M", "FPT=A", "FPO=0A", "ACT_EST_MAPPING=PRECISE", "FS=MRC", "CURRENCY=USD", "XLFILL=b")</f>
        <v>94.091999999999999</v>
      </c>
      <c r="K197" s="9">
        <f>_xll.BQL("SAVE US Equity", "IS_ABNORMAL_ITEM/1M", "FPT=A", "FPO=-1A", "ACT_EST_MAPPING=PRECISE", "FS=MRC", "CURRENCY=USD", "XLFILL=b")</f>
        <v>466.79599999999999</v>
      </c>
      <c r="L197" s="9">
        <f>_xll.BQL("SAVE US Equity", "IS_ABNORMAL_ITEM/1M", "FPT=A", "FPO=-2A", "ACT_EST_MAPPING=PRECISE", "FS=MRC", "CURRENCY=USD", "XLFILL=b")</f>
        <v>-39.222999999999999</v>
      </c>
      <c r="M197" s="9">
        <f>_xll.BQL("SAVE US Equity", "IS_ABNORMAL_ITEM/1M", "FPT=A", "FPO=-3A", "ACT_EST_MAPPING=PRECISE", "FS=MRC", "CURRENCY=USD", "XLFILL=b")</f>
        <v>-644.89700000000005</v>
      </c>
      <c r="N197" s="9">
        <f>_xll.BQL("SAVE US Equity", "IS_ABNORMAL_ITEM/1M", "FPT=A", "FPO=-4A", "ACT_EST_MAPPING=PRECISE", "FS=MRC", "CURRENCY=USD", "XLFILL=b")</f>
        <v>18.067</v>
      </c>
    </row>
    <row r="198" spans="1:14" x14ac:dyDescent="0.2">
      <c r="A198" s="8" t="s">
        <v>44</v>
      </c>
      <c r="B198" s="4" t="s">
        <v>201</v>
      </c>
      <c r="C198" s="4" t="s">
        <v>198</v>
      </c>
      <c r="D198" s="4"/>
      <c r="E198" s="9" t="str">
        <f>_xll.BQL("SAVE US Equity", "FA_GROWTH(IS_ABNORMAL_ITEM, YOY)", "FPT=A", "FPO=5A", "ACT_EST_MAPPING=PRECISE", "FS=MRC", "CURRENCY=USD", "XLFILL=b")</f>
        <v/>
      </c>
      <c r="F198" s="9" t="str">
        <f>_xll.BQL("SAVE US Equity", "FA_GROWTH(IS_ABNORMAL_ITEM, YOY)", "FPT=A", "FPO=4A", "ACT_EST_MAPPING=PRECISE", "FS=MRC", "CURRENCY=USD", "XLFILL=b")</f>
        <v/>
      </c>
      <c r="G198" s="9" t="str">
        <f>_xll.BQL("SAVE US Equity", "FA_GROWTH(IS_ABNORMAL_ITEM, YOY)", "FPT=A", "FPO=3A", "ACT_EST_MAPPING=PRECISE", "FS=MRC", "CURRENCY=USD", "XLFILL=b")</f>
        <v/>
      </c>
      <c r="H198" s="9">
        <f>_xll.BQL("SAVE US Equity", "FA_GROWTH(IS_ABNORMAL_ITEM, YOY)", "FPT=A", "FPO=2A", "ACT_EST_MAPPING=PRECISE", "FS=MRC", "CURRENCY=USD", "XLFILL=b")</f>
        <v>-100</v>
      </c>
      <c r="I198" s="9">
        <f>_xll.BQL("SAVE US Equity", "FA_GROWTH(IS_ABNORMAL_ITEM, YOY)", "FPT=A", "FPO=1A", "ACT_EST_MAPPING=PRECISE", "FS=MRC", "CURRENCY=USD", "XLFILL=b")</f>
        <v>-81.557411894741321</v>
      </c>
      <c r="J198" s="9">
        <f>_xll.BQL("SAVE US Equity", "FA_GROWTH(IS_ABNORMAL_ITEM, YOY)", "FPT=A", "FPO=0A", "ACT_EST_MAPPING=PRECISE", "FS=MRC", "CURRENCY=USD", "XLFILL=b")</f>
        <v>-79.843014935860637</v>
      </c>
      <c r="K198" s="9">
        <f>_xll.BQL("SAVE US Equity", "FA_GROWTH(IS_ABNORMAL_ITEM, YOY)", "FPT=A", "FPO=-1A", "ACT_EST_MAPPING=PRECISE", "FS=MRC", "CURRENCY=USD", "XLFILL=b")</f>
        <v>1290.1078448869287</v>
      </c>
      <c r="L198" s="9">
        <f>_xll.BQL("SAVE US Equity", "FA_GROWTH(IS_ABNORMAL_ITEM, YOY)", "FPT=A", "FPO=-2A", "ACT_EST_MAPPING=PRECISE", "FS=MRC", "CURRENCY=USD", "XLFILL=b")</f>
        <v>93.917943485548861</v>
      </c>
      <c r="M198" s="9">
        <f>_xll.BQL("SAVE US Equity", "FA_GROWTH(IS_ABNORMAL_ITEM, YOY)", "FPT=A", "FPO=-3A", "ACT_EST_MAPPING=PRECISE", "FS=MRC", "CURRENCY=USD", "XLFILL=b")</f>
        <v>-3669.4747329385068</v>
      </c>
      <c r="N198" s="9">
        <f>_xll.BQL("SAVE US Equity", "FA_GROWTH(IS_ABNORMAL_ITEM, YOY)", "FPT=A", "FPO=-4A", "ACT_EST_MAPPING=PRECISE", "FS=MRC", "CURRENCY=USD", "XLFILL=b")</f>
        <v>-90.433553251649386</v>
      </c>
    </row>
    <row r="199" spans="1:14" x14ac:dyDescent="0.2">
      <c r="A199" s="8" t="s">
        <v>202</v>
      </c>
      <c r="B199" s="4" t="s">
        <v>203</v>
      </c>
      <c r="C199" s="4" t="s">
        <v>198</v>
      </c>
      <c r="D199" s="4"/>
      <c r="E199" s="9" t="str">
        <f>_xll.BQL("SAVE US Equity", "IS_TAX_EFF_ON_ABNORMAL_ITEM/1M", "FPT=A", "FPO=5A", "ACT_EST_MAPPING=PRECISE", "FS=MRC", "CURRENCY=USD", "XLFILL=b")</f>
        <v/>
      </c>
      <c r="F199" s="9" t="str">
        <f>_xll.BQL("SAVE US Equity", "IS_TAX_EFF_ON_ABNORMAL_ITEM/1M", "FPT=A", "FPO=4A", "ACT_EST_MAPPING=PRECISE", "FS=MRC", "CURRENCY=USD", "XLFILL=b")</f>
        <v/>
      </c>
      <c r="G199" s="9" t="str">
        <f>_xll.BQL("SAVE US Equity", "IS_TAX_EFF_ON_ABNORMAL_ITEM/1M", "FPT=A", "FPO=3A", "ACT_EST_MAPPING=PRECISE", "FS=MRC", "CURRENCY=USD", "XLFILL=b")</f>
        <v/>
      </c>
      <c r="H199" s="9" t="str">
        <f>_xll.BQL("SAVE US Equity", "IS_TAX_EFF_ON_ABNORMAL_ITEM/1M", "FPT=A", "FPO=2A", "ACT_EST_MAPPING=PRECISE", "FS=MRC", "CURRENCY=USD", "XLFILL=b")</f>
        <v/>
      </c>
      <c r="I199" s="9" t="str">
        <f>_xll.BQL("SAVE US Equity", "IS_TAX_EFF_ON_ABNORMAL_ITEM/1M", "FPT=A", "FPO=1A", "ACT_EST_MAPPING=PRECISE", "FS=MRC", "CURRENCY=USD", "XLFILL=b")</f>
        <v/>
      </c>
      <c r="J199" s="9">
        <f>_xll.BQL("SAVE US Equity", "IS_TAX_EFF_ON_ABNORMAL_ITEM/1M", "FPT=A", "FPO=0A", "ACT_EST_MAPPING=PRECISE", "FS=MRC", "CURRENCY=USD", "XLFILL=b")</f>
        <v>-6.1529999999999996</v>
      </c>
      <c r="K199" s="9">
        <f>_xll.BQL("SAVE US Equity", "IS_TAX_EFF_ON_ABNORMAL_ITEM/1M", "FPT=A", "FPO=-1A", "ACT_EST_MAPPING=PRECISE", "FS=MRC", "CURRENCY=USD", "XLFILL=b")</f>
        <v>-102.023</v>
      </c>
      <c r="L199" s="9">
        <f>_xll.BQL("SAVE US Equity", "IS_TAX_EFF_ON_ABNORMAL_ITEM/1M", "FPT=A", "FPO=-2A", "ACT_EST_MAPPING=PRECISE", "FS=MRC", "CURRENCY=USD", "XLFILL=b")</f>
        <v>71.188000000000002</v>
      </c>
      <c r="M199" s="9">
        <f>_xll.BQL("SAVE US Equity", "IS_TAX_EFF_ON_ABNORMAL_ITEM/1M", "FPT=A", "FPO=-3A", "ACT_EST_MAPPING=PRECISE", "FS=MRC", "CURRENCY=USD", "XLFILL=b")</f>
        <v>25.77477</v>
      </c>
      <c r="N199" s="9">
        <f>_xll.BQL("SAVE US Equity", "IS_TAX_EFF_ON_ABNORMAL_ITEM/1M", "FPT=A", "FPO=-4A", "ACT_EST_MAPPING=PRECISE", "FS=MRC", "CURRENCY=USD", "XLFILL=b")</f>
        <v>-4.1593</v>
      </c>
    </row>
    <row r="200" spans="1:14" x14ac:dyDescent="0.2">
      <c r="A200" s="8" t="s">
        <v>92</v>
      </c>
      <c r="B200" s="4" t="s">
        <v>203</v>
      </c>
      <c r="C200" s="4" t="s">
        <v>198</v>
      </c>
      <c r="D200" s="4"/>
      <c r="E200" s="9" t="str">
        <f>_xll.BQL("SAVE US Equity", "FA_GROWTH(IS_TAX_EFF_ON_ABNORMAL_ITEM, YOY)", "FPT=A", "FPO=5A", "ACT_EST_MAPPING=PRECISE", "FS=MRC", "CURRENCY=USD", "XLFILL=b")</f>
        <v/>
      </c>
      <c r="F200" s="9" t="str">
        <f>_xll.BQL("SAVE US Equity", "FA_GROWTH(IS_TAX_EFF_ON_ABNORMAL_ITEM, YOY)", "FPT=A", "FPO=4A", "ACT_EST_MAPPING=PRECISE", "FS=MRC", "CURRENCY=USD", "XLFILL=b")</f>
        <v/>
      </c>
      <c r="G200" s="9" t="str">
        <f>_xll.BQL("SAVE US Equity", "FA_GROWTH(IS_TAX_EFF_ON_ABNORMAL_ITEM, YOY)", "FPT=A", "FPO=3A", "ACT_EST_MAPPING=PRECISE", "FS=MRC", "CURRENCY=USD", "XLFILL=b")</f>
        <v/>
      </c>
      <c r="H200" s="9" t="str">
        <f>_xll.BQL("SAVE US Equity", "FA_GROWTH(IS_TAX_EFF_ON_ABNORMAL_ITEM, YOY)", "FPT=A", "FPO=2A", "ACT_EST_MAPPING=PRECISE", "FS=MRC", "CURRENCY=USD", "XLFILL=b")</f>
        <v/>
      </c>
      <c r="I200" s="9" t="str">
        <f>_xll.BQL("SAVE US Equity", "FA_GROWTH(IS_TAX_EFF_ON_ABNORMAL_ITEM, YOY)", "FPT=A", "FPO=1A", "ACT_EST_MAPPING=PRECISE", "FS=MRC", "CURRENCY=USD", "XLFILL=b")</f>
        <v/>
      </c>
      <c r="J200" s="9">
        <f>_xll.BQL("SAVE US Equity", "FA_GROWTH(IS_TAX_EFF_ON_ABNORMAL_ITEM, YOY)", "FPT=A", "FPO=0A", "ACT_EST_MAPPING=PRECISE", "FS=MRC", "CURRENCY=USD", "XLFILL=b")</f>
        <v>93.969006988620208</v>
      </c>
      <c r="K200" s="9">
        <f>_xll.BQL("SAVE US Equity", "FA_GROWTH(IS_TAX_EFF_ON_ABNORMAL_ITEM, YOY)", "FPT=A", "FPO=-1A", "ACT_EST_MAPPING=PRECISE", "FS=MRC", "CURRENCY=USD", "XLFILL=b")</f>
        <v>-243.31488453110074</v>
      </c>
      <c r="L200" s="9">
        <f>_xll.BQL("SAVE US Equity", "FA_GROWTH(IS_TAX_EFF_ON_ABNORMAL_ITEM, YOY)", "FPT=A", "FPO=-2A", "ACT_EST_MAPPING=PRECISE", "FS=MRC", "CURRENCY=USD", "XLFILL=b")</f>
        <v>176.19257126251756</v>
      </c>
      <c r="M200" s="9">
        <f>_xll.BQL("SAVE US Equity", "FA_GROWTH(IS_TAX_EFF_ON_ABNORMAL_ITEM, YOY)", "FPT=A", "FPO=-3A", "ACT_EST_MAPPING=PRECISE", "FS=MRC", "CURRENCY=USD", "XLFILL=b")</f>
        <v>719.69009208280238</v>
      </c>
      <c r="N200" s="9">
        <f>_xll.BQL("SAVE US Equity", "FA_GROWTH(IS_TAX_EFF_ON_ABNORMAL_ITEM, YOY)", "FPT=A", "FPO=-4A", "ACT_EST_MAPPING=PRECISE", "FS=MRC", "CURRENCY=USD", "XLFILL=b")</f>
        <v>90.480626187261123</v>
      </c>
    </row>
    <row r="201" spans="1:14" x14ac:dyDescent="0.2">
      <c r="A201" s="8" t="s">
        <v>204</v>
      </c>
      <c r="B201" s="4" t="s">
        <v>205</v>
      </c>
      <c r="C201" s="4"/>
      <c r="D201" s="4"/>
      <c r="E201" s="9" t="str">
        <f>_xll.BQL("SAVE US Equity", "IS_INC_TAX_EFFECT_NONGAAP_REC/1M", "FPT=A", "FPO=5A", "ACT_EST_MAPPING=PRECISE", "FS=MRC", "CURRENCY=USD", "XLFILL=b")</f>
        <v/>
      </c>
      <c r="F201" s="9" t="str">
        <f>_xll.BQL("SAVE US Equity", "IS_INC_TAX_EFFECT_NONGAAP_REC/1M", "FPT=A", "FPO=4A", "ACT_EST_MAPPING=PRECISE", "FS=MRC", "CURRENCY=USD", "XLFILL=b")</f>
        <v/>
      </c>
      <c r="G201" s="9" t="str">
        <f>_xll.BQL("SAVE US Equity", "IS_INC_TAX_EFFECT_NONGAAP_REC/1M", "FPT=A", "FPO=3A", "ACT_EST_MAPPING=PRECISE", "FS=MRC", "CURRENCY=USD", "XLFILL=b")</f>
        <v/>
      </c>
      <c r="H201" s="9" t="str">
        <f>_xll.BQL("SAVE US Equity", "IS_INC_TAX_EFFECT_NONGAAP_REC/1M", "FPT=A", "FPO=2A", "ACT_EST_MAPPING=PRECISE", "FS=MRC", "CURRENCY=USD", "XLFILL=b")</f>
        <v/>
      </c>
      <c r="I201" s="9">
        <f>_xll.BQL("SAVE US Equity", "IS_INC_TAX_EFFECT_NONGAAP_REC/1M", "FPT=A", "FPO=1A", "ACT_EST_MAPPING=PRECISE", "FS=MRC", "CURRENCY=USD", "XLFILL=b")</f>
        <v>81.766999999999996</v>
      </c>
      <c r="J201" s="9">
        <f>_xll.BQL("SAVE US Equity", "IS_INC_TAX_EFFECT_NONGAAP_REC/1M", "FPT=A", "FPO=0A", "ACT_EST_MAPPING=PRECISE", "FS=MRC", "CURRENCY=USD", "XLFILL=b")</f>
        <v>-6.1529999999999996</v>
      </c>
      <c r="K201" s="9">
        <f>_xll.BQL("SAVE US Equity", "IS_INC_TAX_EFFECT_NONGAAP_REC/1M", "FPT=A", "FPO=-1A", "ACT_EST_MAPPING=PRECISE", "FS=MRC", "CURRENCY=USD", "XLFILL=b")</f>
        <v>-102.023</v>
      </c>
      <c r="L201" s="9">
        <f>_xll.BQL("SAVE US Equity", "IS_INC_TAX_EFFECT_NONGAAP_REC/1M", "FPT=A", "FPO=-2A", "ACT_EST_MAPPING=PRECISE", "FS=MRC", "CURRENCY=USD", "XLFILL=b")</f>
        <v>73.385000000000005</v>
      </c>
      <c r="M201" s="9">
        <f>_xll.BQL("SAVE US Equity", "IS_INC_TAX_EFFECT_NONGAAP_REC/1M", "FPT=A", "FPO=-3A", "ACT_EST_MAPPING=PRECISE", "FS=MRC", "CURRENCY=USD", "XLFILL=b")</f>
        <v>12.128</v>
      </c>
      <c r="N201" s="9">
        <f>_xll.BQL("SAVE US Equity", "IS_INC_TAX_EFFECT_NONGAAP_REC/1M", "FPT=A", "FPO=-4A", "ACT_EST_MAPPING=PRECISE", "FS=MRC", "CURRENCY=USD", "XLFILL=b")</f>
        <v>-4.048</v>
      </c>
    </row>
    <row r="202" spans="1:14" x14ac:dyDescent="0.2">
      <c r="A202" s="8" t="s">
        <v>44</v>
      </c>
      <c r="B202" s="4" t="s">
        <v>205</v>
      </c>
      <c r="C202" s="4"/>
      <c r="D202" s="4"/>
      <c r="E202" s="9" t="str">
        <f>_xll.BQL("SAVE US Equity", "FA_GROWTH(IS_INC_TAX_EFFECT_NONGAAP_REC, YOY)", "FPT=A", "FPO=5A", "ACT_EST_MAPPING=PRECISE", "FS=MRC", "CURRENCY=USD", "XLFILL=b")</f>
        <v/>
      </c>
      <c r="F202" s="9" t="str">
        <f>_xll.BQL("SAVE US Equity", "FA_GROWTH(IS_INC_TAX_EFFECT_NONGAAP_REC, YOY)", "FPT=A", "FPO=4A", "ACT_EST_MAPPING=PRECISE", "FS=MRC", "CURRENCY=USD", "XLFILL=b")</f>
        <v/>
      </c>
      <c r="G202" s="9" t="str">
        <f>_xll.BQL("SAVE US Equity", "FA_GROWTH(IS_INC_TAX_EFFECT_NONGAAP_REC, YOY)", "FPT=A", "FPO=3A", "ACT_EST_MAPPING=PRECISE", "FS=MRC", "CURRENCY=USD", "XLFILL=b")</f>
        <v/>
      </c>
      <c r="H202" s="9" t="str">
        <f>_xll.BQL("SAVE US Equity", "FA_GROWTH(IS_INC_TAX_EFFECT_NONGAAP_REC, YOY)", "FPT=A", "FPO=2A", "ACT_EST_MAPPING=PRECISE", "FS=MRC", "CURRENCY=USD", "XLFILL=b")</f>
        <v/>
      </c>
      <c r="I202" s="9">
        <f>_xll.BQL("SAVE US Equity", "FA_GROWTH(IS_INC_TAX_EFFECT_NONGAAP_REC, YOY)", "FPT=A", "FPO=1A", "ACT_EST_MAPPING=PRECISE", "FS=MRC", "CURRENCY=USD", "XLFILL=b")</f>
        <v>1428.8964732650738</v>
      </c>
      <c r="J202" s="9">
        <f>_xll.BQL("SAVE US Equity", "FA_GROWTH(IS_INC_TAX_EFFECT_NONGAAP_REC, YOY)", "FPT=A", "FPO=0A", "ACT_EST_MAPPING=PRECISE", "FS=MRC", "CURRENCY=USD", "XLFILL=b")</f>
        <v>93.969006988620208</v>
      </c>
      <c r="K202" s="9">
        <f>_xll.BQL("SAVE US Equity", "FA_GROWTH(IS_INC_TAX_EFFECT_NONGAAP_REC, YOY)", "FPT=A", "FPO=-1A", "ACT_EST_MAPPING=PRECISE", "FS=MRC", "CURRENCY=USD", "XLFILL=b")</f>
        <v>-239.02432377188799</v>
      </c>
      <c r="L202" s="9">
        <f>_xll.BQL("SAVE US Equity", "FA_GROWTH(IS_INC_TAX_EFFECT_NONGAAP_REC, YOY)", "FPT=A", "FPO=-2A", "ACT_EST_MAPPING=PRECISE", "FS=MRC", "CURRENCY=USD", "XLFILL=b")</f>
        <v>505.08740105540898</v>
      </c>
      <c r="M202" s="9">
        <f>_xll.BQL("SAVE US Equity", "FA_GROWTH(IS_INC_TAX_EFFECT_NONGAAP_REC, YOY)", "FPT=A", "FPO=-3A", "ACT_EST_MAPPING=PRECISE", "FS=MRC", "CURRENCY=USD", "XLFILL=b")</f>
        <v>399.60474308300394</v>
      </c>
      <c r="N202" s="9">
        <f>_xll.BQL("SAVE US Equity", "FA_GROWTH(IS_INC_TAX_EFFECT_NONGAAP_REC, YOY)", "FPT=A", "FPO=-4A", "ACT_EST_MAPPING=PRECISE", "FS=MRC", "CURRENCY=USD", "XLFILL=b")</f>
        <v>90.735358066509505</v>
      </c>
    </row>
    <row r="203" spans="1:14" x14ac:dyDescent="0.2">
      <c r="A203" s="8" t="s">
        <v>206</v>
      </c>
      <c r="B203" s="4" t="s">
        <v>207</v>
      </c>
      <c r="C203" s="4" t="s">
        <v>198</v>
      </c>
      <c r="D203" s="4"/>
      <c r="E203" s="9" t="str">
        <f>_xll.BQL("SAVE US Equity", "IS_NET_ABNORMAL_ITEMS/1M", "FPT=A", "FPO=5A", "ACT_EST_MAPPING=PRECISE", "FS=MRC", "CURRENCY=USD", "XLFILL=b")</f>
        <v/>
      </c>
      <c r="F203" s="9" t="str">
        <f>_xll.BQL("SAVE US Equity", "IS_NET_ABNORMAL_ITEMS/1M", "FPT=A", "FPO=4A", "ACT_EST_MAPPING=PRECISE", "FS=MRC", "CURRENCY=USD", "XLFILL=b")</f>
        <v/>
      </c>
      <c r="G203" s="9" t="str">
        <f>_xll.BQL("SAVE US Equity", "IS_NET_ABNORMAL_ITEMS/1M", "FPT=A", "FPO=3A", "ACT_EST_MAPPING=PRECISE", "FS=MRC", "CURRENCY=USD", "XLFILL=b")</f>
        <v/>
      </c>
      <c r="H203" s="9" t="str">
        <f>_xll.BQL("SAVE US Equity", "IS_NET_ABNORMAL_ITEMS/1M", "FPT=A", "FPO=2A", "ACT_EST_MAPPING=PRECISE", "FS=MRC", "CURRENCY=USD", "XLFILL=b")</f>
        <v/>
      </c>
      <c r="I203" s="9">
        <f>_xll.BQL("SAVE US Equity", "IS_NET_ABNORMAL_ITEMS/1M", "FPT=A", "FPO=1A", "ACT_EST_MAPPING=PRECISE", "FS=MRC", "CURRENCY=USD", "XLFILL=b")</f>
        <v>17.404000000000007</v>
      </c>
      <c r="J203" s="9">
        <f>_xll.BQL("SAVE US Equity", "IS_NET_ABNORMAL_ITEMS/1M", "FPT=A", "FPO=0A", "ACT_EST_MAPPING=PRECISE", "FS=MRC", "CURRENCY=USD", "XLFILL=b")</f>
        <v>87.938999999999993</v>
      </c>
      <c r="K203" s="9">
        <f>_xll.BQL("SAVE US Equity", "IS_NET_ABNORMAL_ITEMS/1M", "FPT=A", "FPO=-1A", "ACT_EST_MAPPING=PRECISE", "FS=MRC", "CURRENCY=USD", "XLFILL=b")</f>
        <v>364.77300000000002</v>
      </c>
      <c r="L203" s="9">
        <f>_xll.BQL("SAVE US Equity", "IS_NET_ABNORMAL_ITEMS/1M", "FPT=A", "FPO=-2A", "ACT_EST_MAPPING=PRECISE", "FS=MRC", "CURRENCY=USD", "XLFILL=b")</f>
        <v>31.965</v>
      </c>
      <c r="M203" s="9">
        <f>_xll.BQL("SAVE US Equity", "IS_NET_ABNORMAL_ITEMS/1M", "FPT=A", "FPO=-3A", "ACT_EST_MAPPING=PRECISE", "FS=MRC", "CURRENCY=USD", "XLFILL=b")</f>
        <v>-619.12222999999994</v>
      </c>
      <c r="N203" s="9">
        <f>_xll.BQL("SAVE US Equity", "IS_NET_ABNORMAL_ITEMS/1M", "FPT=A", "FPO=-4A", "ACT_EST_MAPPING=PRECISE", "FS=MRC", "CURRENCY=USD", "XLFILL=b")</f>
        <v>13.9077</v>
      </c>
    </row>
    <row r="204" spans="1:14" x14ac:dyDescent="0.2">
      <c r="A204" s="8" t="s">
        <v>44</v>
      </c>
      <c r="B204" s="4" t="s">
        <v>207</v>
      </c>
      <c r="C204" s="4" t="s">
        <v>198</v>
      </c>
      <c r="D204" s="4"/>
      <c r="E204" s="9" t="str">
        <f>_xll.BQL("SAVE US Equity", "FA_GROWTH(IS_NET_ABNORMAL_ITEMS, YOY)", "FPT=A", "FPO=5A", "ACT_EST_MAPPING=PRECISE", "FS=MRC", "CURRENCY=USD", "XLFILL=b")</f>
        <v/>
      </c>
      <c r="F204" s="9" t="str">
        <f>_xll.BQL("SAVE US Equity", "FA_GROWTH(IS_NET_ABNORMAL_ITEMS, YOY)", "FPT=A", "FPO=4A", "ACT_EST_MAPPING=PRECISE", "FS=MRC", "CURRENCY=USD", "XLFILL=b")</f>
        <v/>
      </c>
      <c r="G204" s="9" t="str">
        <f>_xll.BQL("SAVE US Equity", "FA_GROWTH(IS_NET_ABNORMAL_ITEMS, YOY)", "FPT=A", "FPO=3A", "ACT_EST_MAPPING=PRECISE", "FS=MRC", "CURRENCY=USD", "XLFILL=b")</f>
        <v/>
      </c>
      <c r="H204" s="9" t="str">
        <f>_xll.BQL("SAVE US Equity", "FA_GROWTH(IS_NET_ABNORMAL_ITEMS, YOY)", "FPT=A", "FPO=2A", "ACT_EST_MAPPING=PRECISE", "FS=MRC", "CURRENCY=USD", "XLFILL=b")</f>
        <v/>
      </c>
      <c r="I204" s="9">
        <f>_xll.BQL("SAVE US Equity", "FA_GROWTH(IS_NET_ABNORMAL_ITEMS, YOY)", "FPT=A", "FPO=1A", "ACT_EST_MAPPING=PRECISE", "FS=MRC", "CURRENCY=USD", "XLFILL=b")</f>
        <v>-80.209008517267648</v>
      </c>
      <c r="J204" s="9">
        <f>_xll.BQL("SAVE US Equity", "FA_GROWTH(IS_NET_ABNORMAL_ITEMS, YOY)", "FPT=A", "FPO=0A", "ACT_EST_MAPPING=PRECISE", "FS=MRC", "CURRENCY=USD", "XLFILL=b")</f>
        <v>-75.892130174108274</v>
      </c>
      <c r="K204" s="9">
        <f>_xll.BQL("SAVE US Equity", "FA_GROWTH(IS_NET_ABNORMAL_ITEMS, YOY)", "FPT=A", "FPO=-1A", "ACT_EST_MAPPING=PRECISE", "FS=MRC", "CURRENCY=USD", "XLFILL=b")</f>
        <v>1041.1637728765838</v>
      </c>
      <c r="L204" s="9">
        <f>_xll.BQL("SAVE US Equity", "FA_GROWTH(IS_NET_ABNORMAL_ITEMS, YOY)", "FPT=A", "FPO=-2A", "ACT_EST_MAPPING=PRECISE", "FS=MRC", "CURRENCY=USD", "XLFILL=b")</f>
        <v>105.16295465598125</v>
      </c>
      <c r="M204" s="9">
        <f>_xll.BQL("SAVE US Equity", "FA_GROWTH(IS_NET_ABNORMAL_ITEMS, YOY)", "FPT=A", "FPO=-3A", "ACT_EST_MAPPING=PRECISE", "FS=MRC", "CURRENCY=USD", "XLFILL=b")</f>
        <v>-4551.6507402374227</v>
      </c>
      <c r="N204" s="9">
        <f>_xll.BQL("SAVE US Equity", "FA_GROWTH(IS_NET_ABNORMAL_ITEMS, YOY)", "FPT=A", "FPO=-4A", "ACT_EST_MAPPING=PRECISE", "FS=MRC", "CURRENCY=USD", "XLFILL=b")</f>
        <v>-90.419384837943028</v>
      </c>
    </row>
    <row r="205" spans="1:14" x14ac:dyDescent="0.2">
      <c r="A205" s="8" t="s">
        <v>16</v>
      </c>
      <c r="B205" s="4"/>
      <c r="C205" s="4"/>
      <c r="D205" s="4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 x14ac:dyDescent="0.2">
      <c r="A206" s="8" t="s">
        <v>208</v>
      </c>
      <c r="B206" s="4"/>
      <c r="C206" s="4" t="s">
        <v>209</v>
      </c>
      <c r="D206" s="4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1:14" x14ac:dyDescent="0.2">
      <c r="A207" s="8" t="s">
        <v>210</v>
      </c>
      <c r="B207" s="4"/>
      <c r="C207" s="4" t="s">
        <v>211</v>
      </c>
      <c r="D207" s="4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1:14" x14ac:dyDescent="0.2">
      <c r="A208" s="8" t="s">
        <v>212</v>
      </c>
      <c r="B208" s="4" t="s">
        <v>213</v>
      </c>
      <c r="C208" s="4" t="s">
        <v>214</v>
      </c>
      <c r="D208" s="4"/>
      <c r="E208" s="9">
        <f>_xll.BQL("SAVE US Equity", "BS_CUR_ASSET_REPORT/1M", "FPT=A", "FPO=5A", "ACT_EST_MAPPING=PRECISE", "FS=MRC", "CURRENCY=USD", "XLFILL=b")</f>
        <v>1269.4503694797581</v>
      </c>
      <c r="F208" s="9">
        <f>_xll.BQL("SAVE US Equity", "BS_CUR_ASSET_REPORT/1M", "FPT=A", "FPO=4A", "ACT_EST_MAPPING=PRECISE", "FS=MRC", "CURRENCY=USD", "XLFILL=b")</f>
        <v>1022.9362288946788</v>
      </c>
      <c r="G208" s="9">
        <f>_xll.BQL("SAVE US Equity", "BS_CUR_ASSET_REPORT/1M", "FPT=A", "FPO=3A", "ACT_EST_MAPPING=PRECISE", "FS=MRC", "CURRENCY=USD", "XLFILL=b")</f>
        <v>888.84408137505511</v>
      </c>
      <c r="H208" s="9">
        <f>_xll.BQL("SAVE US Equity", "BS_CUR_ASSET_REPORT/1M", "FPT=A", "FPO=2A", "ACT_EST_MAPPING=PRECISE", "FS=MRC", "CURRENCY=USD", "XLFILL=b")</f>
        <v>922.44186085106003</v>
      </c>
      <c r="I208" s="9">
        <f>_xll.BQL("SAVE US Equity", "BS_CUR_ASSET_REPORT/1M", "FPT=A", "FPO=1A", "ACT_EST_MAPPING=PRECISE", "FS=MRC", "CURRENCY=USD", "XLFILL=b")</f>
        <v>1110.8324616081788</v>
      </c>
      <c r="J208" s="9">
        <f>_xll.BQL("SAVE US Equity", "BS_CUR_ASSET_REPORT/1M", "FPT=A", "FPO=0A", "ACT_EST_MAPPING=PRECISE", "FS=MRC", "CURRENCY=USD", "XLFILL=b")</f>
        <v>1512.127</v>
      </c>
      <c r="K208" s="9">
        <f>_xll.BQL("SAVE US Equity", "BS_CUR_ASSET_REPORT/1M", "FPT=A", "FPO=-1A", "ACT_EST_MAPPING=PRECISE", "FS=MRC", "CURRENCY=USD", "XLFILL=b")</f>
        <v>1993.9829999999999</v>
      </c>
      <c r="L208" s="9">
        <f>_xll.BQL("SAVE US Equity", "BS_CUR_ASSET_REPORT/1M", "FPT=A", "FPO=-2A", "ACT_EST_MAPPING=PRECISE", "FS=MRC", "CURRENCY=USD", "XLFILL=b")</f>
        <v>1842.491</v>
      </c>
      <c r="M208" s="9">
        <f>_xll.BQL("SAVE US Equity", "BS_CUR_ASSET_REPORT/1M", "FPT=A", "FPO=-3A", "ACT_EST_MAPPING=PRECISE", "FS=MRC", "CURRENCY=USD", "XLFILL=b")</f>
        <v>2355.98</v>
      </c>
      <c r="N208" s="9">
        <f>_xll.BQL("SAVE US Equity", "BS_CUR_ASSET_REPORT/1M", "FPT=A", "FPO=-4A", "ACT_EST_MAPPING=PRECISE", "FS=MRC", "CURRENCY=USD", "XLFILL=b")</f>
        <v>1385.443</v>
      </c>
    </row>
    <row r="209" spans="1:14" x14ac:dyDescent="0.2">
      <c r="A209" s="8" t="s">
        <v>44</v>
      </c>
      <c r="B209" s="4" t="s">
        <v>213</v>
      </c>
      <c r="C209" s="4" t="s">
        <v>214</v>
      </c>
      <c r="D209" s="4"/>
      <c r="E209" s="9">
        <f>_xll.BQL("SAVE US Equity", "FA_GROWTH(BS_CUR_ASSET_REPORT, YOY)", "FPT=A", "FPO=5A", "ACT_EST_MAPPING=PRECISE", "FS=MRC", "CURRENCY=USD", "XLFILL=b")</f>
        <v>24.098681190659072</v>
      </c>
      <c r="F209" s="9">
        <f>_xll.BQL("SAVE US Equity", "FA_GROWTH(BS_CUR_ASSET_REPORT, YOY)", "FPT=A", "FPO=4A", "ACT_EST_MAPPING=PRECISE", "FS=MRC", "CURRENCY=USD", "XLFILL=b")</f>
        <v>15.086127064285696</v>
      </c>
      <c r="G209" s="9">
        <f>_xll.BQL("SAVE US Equity", "FA_GROWTH(BS_CUR_ASSET_REPORT, YOY)", "FPT=A", "FPO=3A", "ACT_EST_MAPPING=PRECISE", "FS=MRC", "CURRENCY=USD", "XLFILL=b")</f>
        <v>-3.6422652637432451</v>
      </c>
      <c r="H209" s="9">
        <f>_xll.BQL("SAVE US Equity", "FA_GROWTH(BS_CUR_ASSET_REPORT, YOY)", "FPT=A", "FPO=2A", "ACT_EST_MAPPING=PRECISE", "FS=MRC", "CURRENCY=USD", "XLFILL=b")</f>
        <v>-16.959407225494765</v>
      </c>
      <c r="I209" s="9">
        <f>_xll.BQL("SAVE US Equity", "FA_GROWTH(BS_CUR_ASSET_REPORT, YOY)", "FPT=A", "FPO=1A", "ACT_EST_MAPPING=PRECISE", "FS=MRC", "CURRENCY=USD", "XLFILL=b")</f>
        <v>-26.538414987089123</v>
      </c>
      <c r="J209" s="9">
        <f>_xll.BQL("SAVE US Equity", "FA_GROWTH(BS_CUR_ASSET_REPORT, YOY)", "FPT=A", "FPO=0A", "ACT_EST_MAPPING=PRECISE", "FS=MRC", "CURRENCY=USD", "XLFILL=b")</f>
        <v>-24.165501912503768</v>
      </c>
      <c r="K209" s="9">
        <f>_xll.BQL("SAVE US Equity", "FA_GROWTH(BS_CUR_ASSET_REPORT, YOY)", "FPT=A", "FPO=-1A", "ACT_EST_MAPPING=PRECISE", "FS=MRC", "CURRENCY=USD", "XLFILL=b")</f>
        <v>8.2221297146091903</v>
      </c>
      <c r="L209" s="9">
        <f>_xll.BQL("SAVE US Equity", "FA_GROWTH(BS_CUR_ASSET_REPORT, YOY)", "FPT=A", "FPO=-2A", "ACT_EST_MAPPING=PRECISE", "FS=MRC", "CURRENCY=USD", "XLFILL=b")</f>
        <v>-21.795134084330087</v>
      </c>
      <c r="M209" s="9">
        <f>_xll.BQL("SAVE US Equity", "FA_GROWTH(BS_CUR_ASSET_REPORT, YOY)", "FPT=A", "FPO=-3A", "ACT_EST_MAPPING=PRECISE", "FS=MRC", "CURRENCY=USD", "XLFILL=b")</f>
        <v>70.05246697265784</v>
      </c>
      <c r="N209" s="9">
        <f>_xll.BQL("SAVE US Equity", "FA_GROWTH(BS_CUR_ASSET_REPORT, YOY)", "FPT=A", "FPO=-4A", "ACT_EST_MAPPING=PRECISE", "FS=MRC", "CURRENCY=USD", "XLFILL=b")</f>
        <v>2.971238217836794</v>
      </c>
    </row>
    <row r="210" spans="1:14" x14ac:dyDescent="0.2">
      <c r="A210" s="8" t="s">
        <v>215</v>
      </c>
      <c r="B210" s="4" t="s">
        <v>216</v>
      </c>
      <c r="C210" s="4" t="s">
        <v>217</v>
      </c>
      <c r="D210" s="4"/>
      <c r="E210" s="9">
        <f>_xll.BQL("SAVE US Equity", "BS_CASH_NEAR_CASH_ITEM/1M", "FPT=A", "FPO=5A", "ACT_EST_MAPPING=PRECISE", "FS=MRC", "CURRENCY=USD", "XLFILL=b")</f>
        <v>302.5139694797586</v>
      </c>
      <c r="F210" s="9">
        <f>_xll.BQL("SAVE US Equity", "BS_CASH_NEAR_CASH_ITEM/1M", "FPT=A", "FPO=4A", "ACT_EST_MAPPING=PRECISE", "FS=MRC", "CURRENCY=USD", "XLFILL=b")</f>
        <v>117.90702889467906</v>
      </c>
      <c r="G210" s="9">
        <f>_xll.BQL("SAVE US Equity", "BS_CASH_NEAR_CASH_ITEM/1M", "FPT=A", "FPO=3A", "ACT_EST_MAPPING=PRECISE", "FS=MRC", "CURRENCY=USD", "XLFILL=b")</f>
        <v>215.52178526355743</v>
      </c>
      <c r="H210" s="9">
        <f>_xll.BQL("SAVE US Equity", "BS_CASH_NEAR_CASH_ITEM/1M", "FPT=A", "FPO=2A", "ACT_EST_MAPPING=PRECISE", "FS=MRC", "CURRENCY=USD", "XLFILL=b")</f>
        <v>322.87253363154332</v>
      </c>
      <c r="I210" s="9">
        <f>_xll.BQL("SAVE US Equity", "BS_CASH_NEAR_CASH_ITEM/1M", "FPT=A", "FPO=1A", "ACT_EST_MAPPING=PRECISE", "FS=MRC", "CURRENCY=USD", "XLFILL=b")</f>
        <v>452.84180426373558</v>
      </c>
      <c r="J210" s="9">
        <f>_xll.BQL("SAVE US Equity", "BS_CASH_NEAR_CASH_ITEM/1M", "FPT=A", "FPO=0A", "ACT_EST_MAPPING=PRECISE", "FS=MRC", "CURRENCY=USD", "XLFILL=b")</f>
        <v>865.21100000000001</v>
      </c>
      <c r="K210" s="9">
        <f>_xll.BQL("SAVE US Equity", "BS_CASH_NEAR_CASH_ITEM/1M", "FPT=A", "FPO=-1A", "ACT_EST_MAPPING=PRECISE", "FS=MRC", "CURRENCY=USD", "XLFILL=b")</f>
        <v>1346.35</v>
      </c>
      <c r="L210" s="9">
        <f>_xll.BQL("SAVE US Equity", "BS_CASH_NEAR_CASH_ITEM/1M", "FPT=A", "FPO=-2A", "ACT_EST_MAPPING=PRECISE", "FS=MRC", "CURRENCY=USD", "XLFILL=b")</f>
        <v>1333.5070000000001</v>
      </c>
      <c r="M210" s="9">
        <f>_xll.BQL("SAVE US Equity", "BS_CASH_NEAR_CASH_ITEM/1M", "FPT=A", "FPO=-3A", "ACT_EST_MAPPING=PRECISE", "FS=MRC", "CURRENCY=USD", "XLFILL=b")</f>
        <v>1789.723</v>
      </c>
      <c r="N210" s="9">
        <f>_xll.BQL("SAVE US Equity", "BS_CASH_NEAR_CASH_ITEM/1M", "FPT=A", "FPO=-4A", "ACT_EST_MAPPING=PRECISE", "FS=MRC", "CURRENCY=USD", "XLFILL=b")</f>
        <v>978.95699999999999</v>
      </c>
    </row>
    <row r="211" spans="1:14" x14ac:dyDescent="0.2">
      <c r="A211" s="8" t="s">
        <v>92</v>
      </c>
      <c r="B211" s="4" t="s">
        <v>216</v>
      </c>
      <c r="C211" s="4" t="s">
        <v>217</v>
      </c>
      <c r="D211" s="4"/>
      <c r="E211" s="9">
        <f>_xll.BQL("SAVE US Equity", "FA_GROWTH(BS_CASH_NEAR_CASH_ITEM, YOY)", "FPT=A", "FPO=5A", "ACT_EST_MAPPING=PRECISE", "FS=MRC", "CURRENCY=USD", "XLFILL=b")</f>
        <v>156.56991980518859</v>
      </c>
      <c r="F211" s="9">
        <f>_xll.BQL("SAVE US Equity", "FA_GROWTH(BS_CASH_NEAR_CASH_ITEM, YOY)", "FPT=A", "FPO=4A", "ACT_EST_MAPPING=PRECISE", "FS=MRC", "CURRENCY=USD", "XLFILL=b")</f>
        <v>-45.292292029553849</v>
      </c>
      <c r="G211" s="9">
        <f>_xll.BQL("SAVE US Equity", "FA_GROWTH(BS_CASH_NEAR_CASH_ITEM, YOY)", "FPT=A", "FPO=3A", "ACT_EST_MAPPING=PRECISE", "FS=MRC", "CURRENCY=USD", "XLFILL=b")</f>
        <v>-33.248646814440015</v>
      </c>
      <c r="H211" s="9">
        <f>_xll.BQL("SAVE US Equity", "FA_GROWTH(BS_CASH_NEAR_CASH_ITEM, YOY)", "FPT=A", "FPO=2A", "ACT_EST_MAPPING=PRECISE", "FS=MRC", "CURRENCY=USD", "XLFILL=b")</f>
        <v>-28.700811057739269</v>
      </c>
      <c r="I211" s="9">
        <f>_xll.BQL("SAVE US Equity", "FA_GROWTH(BS_CASH_NEAR_CASH_ITEM, YOY)", "FPT=A", "FPO=1A", "ACT_EST_MAPPING=PRECISE", "FS=MRC", "CURRENCY=USD", "XLFILL=b")</f>
        <v>-47.661113385782706</v>
      </c>
      <c r="J211" s="9">
        <f>_xll.BQL("SAVE US Equity", "FA_GROWTH(BS_CASH_NEAR_CASH_ITEM, YOY)", "FPT=A", "FPO=0A", "ACT_EST_MAPPING=PRECISE", "FS=MRC", "CURRENCY=USD", "XLFILL=b")</f>
        <v>-35.736546960300068</v>
      </c>
      <c r="K211" s="9">
        <f>_xll.BQL("SAVE US Equity", "FA_GROWTH(BS_CASH_NEAR_CASH_ITEM, YOY)", "FPT=A", "FPO=-1A", "ACT_EST_MAPPING=PRECISE", "FS=MRC", "CURRENCY=USD", "XLFILL=b")</f>
        <v>0.9630995562827942</v>
      </c>
      <c r="L211" s="9">
        <f>_xll.BQL("SAVE US Equity", "FA_GROWTH(BS_CASH_NEAR_CASH_ITEM, YOY)", "FPT=A", "FPO=-2A", "ACT_EST_MAPPING=PRECISE", "FS=MRC", "CURRENCY=USD", "XLFILL=b")</f>
        <v>-25.490872051149815</v>
      </c>
      <c r="M211" s="9">
        <f>_xll.BQL("SAVE US Equity", "FA_GROWTH(BS_CASH_NEAR_CASH_ITEM, YOY)", "FPT=A", "FPO=-3A", "ACT_EST_MAPPING=PRECISE", "FS=MRC", "CURRENCY=USD", "XLFILL=b")</f>
        <v>82.819367959981903</v>
      </c>
      <c r="N211" s="9">
        <f>_xll.BQL("SAVE US Equity", "FA_GROWTH(BS_CASH_NEAR_CASH_ITEM, YOY)", "FPT=A", "FPO=-4A", "ACT_EST_MAPPING=PRECISE", "FS=MRC", "CURRENCY=USD", "XLFILL=b")</f>
        <v>-2.565457688759103</v>
      </c>
    </row>
    <row r="212" spans="1:14" x14ac:dyDescent="0.2">
      <c r="A212" s="8" t="s">
        <v>218</v>
      </c>
      <c r="B212" s="4" t="s">
        <v>219</v>
      </c>
      <c r="C212" s="4" t="s">
        <v>217</v>
      </c>
      <c r="D212" s="4"/>
      <c r="E212" s="9">
        <f>_xll.BQL("SAVE US Equity", "BS_CASH_CASH_EQUIVALENTS_AND_STI/1M", "FPT=A", "FPO=5A", "ACT_EST_MAPPING=PRECISE", "FS=MRC", "CURRENCY=USD", "XLFILL=b")</f>
        <v>417.80396947975845</v>
      </c>
      <c r="F212" s="9">
        <f>_xll.BQL("SAVE US Equity", "BS_CASH_CASH_EQUIVALENTS_AND_STI/1M", "FPT=A", "FPO=4A", "ACT_EST_MAPPING=PRECISE", "FS=MRC", "CURRENCY=USD", "XLFILL=b")</f>
        <v>233.19702889467894</v>
      </c>
      <c r="G212" s="9">
        <f>_xll.BQL("SAVE US Equity", "BS_CASH_CASH_EQUIVALENTS_AND_STI/1M", "FPT=A", "FPO=3A", "ACT_EST_MAPPING=PRECISE", "FS=MRC", "CURRENCY=USD", "XLFILL=b")</f>
        <v>336.52857081689007</v>
      </c>
      <c r="H212" s="9">
        <f>_xll.BQL("SAVE US Equity", "BS_CASH_CASH_EQUIVALENTS_AND_STI/1M", "FPT=A", "FPO=2A", "ACT_EST_MAPPING=PRECISE", "FS=MRC", "CURRENCY=USD", "XLFILL=b")</f>
        <v>530.79105794714394</v>
      </c>
      <c r="I212" s="9">
        <f>_xll.BQL("SAVE US Equity", "BS_CASH_CASH_EQUIVALENTS_AND_STI/1M", "FPT=A", "FPO=1A", "ACT_EST_MAPPING=PRECISE", "FS=MRC", "CURRENCY=USD", "XLFILL=b")</f>
        <v>693.7280871317804</v>
      </c>
      <c r="J212" s="9">
        <f>_xll.BQL("SAVE US Equity", "BS_CASH_CASH_EQUIVALENTS_AND_STI/1M", "FPT=A", "FPO=0A", "ACT_EST_MAPPING=PRECISE", "FS=MRC", "CURRENCY=USD", "XLFILL=b")</f>
        <v>977.71199999999999</v>
      </c>
      <c r="K212" s="9">
        <f>_xll.BQL("SAVE US Equity", "BS_CASH_CASH_EQUIVALENTS_AND_STI/1M", "FPT=A", "FPO=-1A", "ACT_EST_MAPPING=PRECISE", "FS=MRC", "CURRENCY=USD", "XLFILL=b")</f>
        <v>1453.4649999999999</v>
      </c>
      <c r="L212" s="9">
        <f>_xll.BQL("SAVE US Equity", "BS_CASH_CASH_EQUIVALENTS_AND_STI/1M", "FPT=A", "FPO=-2A", "ACT_EST_MAPPING=PRECISE", "FS=MRC", "CURRENCY=USD", "XLFILL=b")</f>
        <v>1439.82</v>
      </c>
      <c r="M212" s="9">
        <f>_xll.BQL("SAVE US Equity", "BS_CASH_CASH_EQUIVALENTS_AND_STI/1M", "FPT=A", "FPO=-3A", "ACT_EST_MAPPING=PRECISE", "FS=MRC", "CURRENCY=USD", "XLFILL=b")</f>
        <v>1896.0619999999999</v>
      </c>
      <c r="N212" s="9">
        <f>_xll.BQL("SAVE US Equity", "BS_CASH_CASH_EQUIVALENTS_AND_STI/1M", "FPT=A", "FPO=-4A", "ACT_EST_MAPPING=PRECISE", "FS=MRC", "CURRENCY=USD", "XLFILL=b")</f>
        <v>1084.278</v>
      </c>
    </row>
    <row r="213" spans="1:14" x14ac:dyDescent="0.2">
      <c r="A213" s="8" t="s">
        <v>92</v>
      </c>
      <c r="B213" s="4" t="s">
        <v>219</v>
      </c>
      <c r="C213" s="4" t="s">
        <v>217</v>
      </c>
      <c r="D213" s="4"/>
      <c r="E213" s="9">
        <f>_xll.BQL("SAVE US Equity", "FA_GROWTH(BS_CASH_CASH_EQUIVALENTS_AND_STI, YOY)", "FPT=A", "FPO=5A", "ACT_EST_MAPPING=PRECISE", "FS=MRC", "CURRENCY=USD", "XLFILL=b")</f>
        <v>79.163504552390904</v>
      </c>
      <c r="F213" s="9">
        <f>_xll.BQL("SAVE US Equity", "FA_GROWTH(BS_CASH_CASH_EQUIVALENTS_AND_STI, YOY)", "FPT=A", "FPO=4A", "ACT_EST_MAPPING=PRECISE", "FS=MRC", "CURRENCY=USD", "XLFILL=b")</f>
        <v>-30.70513201045128</v>
      </c>
      <c r="G213" s="9">
        <f>_xll.BQL("SAVE US Equity", "FA_GROWTH(BS_CASH_CASH_EQUIVALENTS_AND_STI, YOY)", "FPT=A", "FPO=3A", "ACT_EST_MAPPING=PRECISE", "FS=MRC", "CURRENCY=USD", "XLFILL=b")</f>
        <v>-36.598673662961083</v>
      </c>
      <c r="H213" s="9">
        <f>_xll.BQL("SAVE US Equity", "FA_GROWTH(BS_CASH_CASH_EQUIVALENTS_AND_STI, YOY)", "FPT=A", "FPO=2A", "ACT_EST_MAPPING=PRECISE", "FS=MRC", "CURRENCY=USD", "XLFILL=b")</f>
        <v>-23.48716048939287</v>
      </c>
      <c r="I213" s="9">
        <f>_xll.BQL("SAVE US Equity", "FA_GROWTH(BS_CASH_CASH_EQUIVALENTS_AND_STI, YOY)", "FPT=A", "FPO=1A", "ACT_EST_MAPPING=PRECISE", "FS=MRC", "CURRENCY=USD", "XLFILL=b")</f>
        <v>-29.045763258323475</v>
      </c>
      <c r="J213" s="9">
        <f>_xll.BQL("SAVE US Equity", "FA_GROWTH(BS_CASH_CASH_EQUIVALENTS_AND_STI, YOY)", "FPT=A", "FPO=0A", "ACT_EST_MAPPING=PRECISE", "FS=MRC", "CURRENCY=USD", "XLFILL=b")</f>
        <v>-32.73233273591039</v>
      </c>
      <c r="K213" s="9">
        <f>_xll.BQL("SAVE US Equity", "FA_GROWTH(BS_CASH_CASH_EQUIVALENTS_AND_STI, YOY)", "FPT=A", "FPO=-1A", "ACT_EST_MAPPING=PRECISE", "FS=MRC", "CURRENCY=USD", "XLFILL=b")</f>
        <v>0.94768790543262349</v>
      </c>
      <c r="L213" s="9">
        <f>_xll.BQL("SAVE US Equity", "FA_GROWTH(BS_CASH_CASH_EQUIVALENTS_AND_STI, YOY)", "FPT=A", "FPO=-2A", "ACT_EST_MAPPING=PRECISE", "FS=MRC", "CURRENCY=USD", "XLFILL=b")</f>
        <v>-24.062609766980195</v>
      </c>
      <c r="M213" s="9">
        <f>_xll.BQL("SAVE US Equity", "FA_GROWTH(BS_CASH_CASH_EQUIVALENTS_AND_STI, YOY)", "FPT=A", "FPO=-3A", "ACT_EST_MAPPING=PRECISE", "FS=MRC", "CURRENCY=USD", "XLFILL=b")</f>
        <v>74.868622253702469</v>
      </c>
      <c r="N213" s="9">
        <f>_xll.BQL("SAVE US Equity", "FA_GROWTH(BS_CASH_CASH_EQUIVALENTS_AND_STI, YOY)", "FPT=A", "FPO=-4A", "ACT_EST_MAPPING=PRECISE", "FS=MRC", "CURRENCY=USD", "XLFILL=b")</f>
        <v>-2.0987393478413972</v>
      </c>
    </row>
    <row r="214" spans="1:14" x14ac:dyDescent="0.2">
      <c r="A214" s="8" t="s">
        <v>220</v>
      </c>
      <c r="B214" s="4" t="s">
        <v>221</v>
      </c>
      <c r="C214" s="4" t="s">
        <v>222</v>
      </c>
      <c r="D214" s="4"/>
      <c r="E214" s="9" t="str">
        <f>_xll.BQL("SAVE US Equity", "BS_MKT_SEC_OTHER_ST_INVEST/1M", "FPT=A", "FPO=5A", "ACT_EST_MAPPING=PRECISE", "FS=MRC", "CURRENCY=USD", "XLFILL=b")</f>
        <v/>
      </c>
      <c r="F214" s="9" t="str">
        <f>_xll.BQL("SAVE US Equity", "BS_MKT_SEC_OTHER_ST_INVEST/1M", "FPT=A", "FPO=4A", "ACT_EST_MAPPING=PRECISE", "FS=MRC", "CURRENCY=USD", "XLFILL=b")</f>
        <v/>
      </c>
      <c r="G214" s="9">
        <f>_xll.BQL("SAVE US Equity", "BS_MKT_SEC_OTHER_ST_INVEST/1M", "FPT=A", "FPO=3A", "ACT_EST_MAPPING=PRECISE", "FS=MRC", "CURRENCY=USD", "XLFILL=b")</f>
        <v>103.483875</v>
      </c>
      <c r="H214" s="9">
        <f>_xll.BQL("SAVE US Equity", "BS_MKT_SEC_OTHER_ST_INVEST/1M", "FPT=A", "FPO=2A", "ACT_EST_MAPPING=PRECISE", "FS=MRC", "CURRENCY=USD", "XLFILL=b")</f>
        <v>110.00975</v>
      </c>
      <c r="I214" s="9">
        <f>_xll.BQL("SAVE US Equity", "BS_MKT_SEC_OTHER_ST_INVEST/1M", "FPT=A", "FPO=1A", "ACT_EST_MAPPING=PRECISE", "FS=MRC", "CURRENCY=USD", "XLFILL=b")</f>
        <v>110.00975</v>
      </c>
      <c r="J214" s="9">
        <f>_xll.BQL("SAVE US Equity", "BS_MKT_SEC_OTHER_ST_INVEST/1M", "FPT=A", "FPO=0A", "ACT_EST_MAPPING=PRECISE", "FS=MRC", "CURRENCY=USD", "XLFILL=b")</f>
        <v>112.501</v>
      </c>
      <c r="K214" s="9">
        <f>_xll.BQL("SAVE US Equity", "BS_MKT_SEC_OTHER_ST_INVEST/1M", "FPT=A", "FPO=-1A", "ACT_EST_MAPPING=PRECISE", "FS=MRC", "CURRENCY=USD", "XLFILL=b")</f>
        <v>107.11499999999999</v>
      </c>
      <c r="L214" s="9">
        <f>_xll.BQL("SAVE US Equity", "BS_MKT_SEC_OTHER_ST_INVEST/1M", "FPT=A", "FPO=-2A", "ACT_EST_MAPPING=PRECISE", "FS=MRC", "CURRENCY=USD", "XLFILL=b")</f>
        <v>106.313</v>
      </c>
      <c r="M214" s="9">
        <f>_xll.BQL("SAVE US Equity", "BS_MKT_SEC_OTHER_ST_INVEST/1M", "FPT=A", "FPO=-3A", "ACT_EST_MAPPING=PRECISE", "FS=MRC", "CURRENCY=USD", "XLFILL=b")</f>
        <v>106.339</v>
      </c>
      <c r="N214" s="9">
        <f>_xll.BQL("SAVE US Equity", "BS_MKT_SEC_OTHER_ST_INVEST/1M", "FPT=A", "FPO=-4A", "ACT_EST_MAPPING=PRECISE", "FS=MRC", "CURRENCY=USD", "XLFILL=b")</f>
        <v>105.321</v>
      </c>
    </row>
    <row r="215" spans="1:14" x14ac:dyDescent="0.2">
      <c r="A215" s="8" t="s">
        <v>92</v>
      </c>
      <c r="B215" s="4" t="s">
        <v>221</v>
      </c>
      <c r="C215" s="4" t="s">
        <v>222</v>
      </c>
      <c r="D215" s="4"/>
      <c r="E215" s="9" t="str">
        <f>_xll.BQL("SAVE US Equity", "FA_GROWTH(BS_MKT_SEC_OTHER_ST_INVEST, YOY)", "FPT=A", "FPO=5A", "ACT_EST_MAPPING=PRECISE", "FS=MRC", "CURRENCY=USD", "XLFILL=b")</f>
        <v/>
      </c>
      <c r="F215" s="9" t="str">
        <f>_xll.BQL("SAVE US Equity", "FA_GROWTH(BS_MKT_SEC_OTHER_ST_INVEST, YOY)", "FPT=A", "FPO=4A", "ACT_EST_MAPPING=PRECISE", "FS=MRC", "CURRENCY=USD", "XLFILL=b")</f>
        <v/>
      </c>
      <c r="G215" s="9">
        <f>_xll.BQL("SAVE US Equity", "FA_GROWTH(BS_MKT_SEC_OTHER_ST_INVEST, YOY)", "FPT=A", "FPO=3A", "ACT_EST_MAPPING=PRECISE", "FS=MRC", "CURRENCY=USD", "XLFILL=b")</f>
        <v>-5.9320878376689343</v>
      </c>
      <c r="H215" s="9">
        <f>_xll.BQL("SAVE US Equity", "FA_GROWTH(BS_MKT_SEC_OTHER_ST_INVEST, YOY)", "FPT=A", "FPO=2A", "ACT_EST_MAPPING=PRECISE", "FS=MRC", "CURRENCY=USD", "XLFILL=b")</f>
        <v>0</v>
      </c>
      <c r="I215" s="9">
        <f>_xll.BQL("SAVE US Equity", "FA_GROWTH(BS_MKT_SEC_OTHER_ST_INVEST, YOY)", "FPT=A", "FPO=1A", "ACT_EST_MAPPING=PRECISE", "FS=MRC", "CURRENCY=USD", "XLFILL=b")</f>
        <v>-2.2144247606687939</v>
      </c>
      <c r="J215" s="9">
        <f>_xll.BQL("SAVE US Equity", "FA_GROWTH(BS_MKT_SEC_OTHER_ST_INVEST, YOY)", "FPT=A", "FPO=0A", "ACT_EST_MAPPING=PRECISE", "FS=MRC", "CURRENCY=USD", "XLFILL=b")</f>
        <v>5.0282406759090694</v>
      </c>
      <c r="K215" s="9">
        <f>_xll.BQL("SAVE US Equity", "FA_GROWTH(BS_MKT_SEC_OTHER_ST_INVEST, YOY)", "FPT=A", "FPO=-1A", "ACT_EST_MAPPING=PRECISE", "FS=MRC", "CURRENCY=USD", "XLFILL=b")</f>
        <v>0.75437622868322785</v>
      </c>
      <c r="L215" s="9">
        <f>_xll.BQL("SAVE US Equity", "FA_GROWTH(BS_MKT_SEC_OTHER_ST_INVEST, YOY)", "FPT=A", "FPO=-2A", "ACT_EST_MAPPING=PRECISE", "FS=MRC", "CURRENCY=USD", "XLFILL=b")</f>
        <v>-2.4450107674512642E-2</v>
      </c>
      <c r="M215" s="9">
        <f>_xll.BQL("SAVE US Equity", "FA_GROWTH(BS_MKT_SEC_OTHER_ST_INVEST, YOY)", "FPT=A", "FPO=-3A", "ACT_EST_MAPPING=PRECISE", "FS=MRC", "CURRENCY=USD", "XLFILL=b")</f>
        <v>0.96656887040571204</v>
      </c>
      <c r="N215" s="9">
        <f>_xll.BQL("SAVE US Equity", "FA_GROWTH(BS_MKT_SEC_OTHER_ST_INVEST, YOY)", "FPT=A", "FPO=-4A", "ACT_EST_MAPPING=PRECISE", "FS=MRC", "CURRENCY=USD", "XLFILL=b")</f>
        <v>2.4632986019904854</v>
      </c>
    </row>
    <row r="216" spans="1:14" x14ac:dyDescent="0.2">
      <c r="A216" s="8" t="s">
        <v>223</v>
      </c>
      <c r="B216" s="4" t="s">
        <v>224</v>
      </c>
      <c r="C216" s="4" t="s">
        <v>222</v>
      </c>
      <c r="D216" s="4"/>
      <c r="E216" s="9">
        <f>_xll.BQL("SAVE US Equity", "BS_ACCTS_REC_EXCL_NOTES_REC/1M", "FPT=A", "FPO=5A", "ACT_EST_MAPPING=PRECISE", "FS=MRC", "CURRENCY=USD", "XLFILL=b")</f>
        <v>303.01920000000001</v>
      </c>
      <c r="F216" s="9">
        <f>_xll.BQL("SAVE US Equity", "BS_ACCTS_REC_EXCL_NOTES_REC/1M", "FPT=A", "FPO=4A", "ACT_EST_MAPPING=PRECISE", "FS=MRC", "CURRENCY=USD", "XLFILL=b")</f>
        <v>284.0258</v>
      </c>
      <c r="G216" s="9">
        <f>_xll.BQL("SAVE US Equity", "BS_ACCTS_REC_EXCL_NOTES_REC/1M", "FPT=A", "FPO=3A", "ACT_EST_MAPPING=PRECISE", "FS=MRC", "CURRENCY=USD", "XLFILL=b")</f>
        <v>227.54595374068833</v>
      </c>
      <c r="H216" s="9">
        <f>_xll.BQL("SAVE US Equity", "BS_ACCTS_REC_EXCL_NOTES_REC/1M", "FPT=A", "FPO=2A", "ACT_EST_MAPPING=PRECISE", "FS=MRC", "CURRENCY=USD", "XLFILL=b")</f>
        <v>197.64412083917389</v>
      </c>
      <c r="I216" s="9">
        <f>_xll.BQL("SAVE US Equity", "BS_ACCTS_REC_EXCL_NOTES_REC/1M", "FPT=A", "FPO=1A", "ACT_EST_MAPPING=PRECISE", "FS=MRC", "CURRENCY=USD", "XLFILL=b")</f>
        <v>197.11911630133892</v>
      </c>
      <c r="J216" s="9">
        <f>_xll.BQL("SAVE US Equity", "BS_ACCTS_REC_EXCL_NOTES_REC/1M", "FPT=A", "FPO=0A", "ACT_EST_MAPPING=PRECISE", "FS=MRC", "CURRENCY=USD", "XLFILL=b")</f>
        <v>205.46799999999999</v>
      </c>
      <c r="K216" s="9">
        <f>_xll.BQL("SAVE US Equity", "BS_ACCTS_REC_EXCL_NOTES_REC/1M", "FPT=A", "FPO=-1A", "ACT_EST_MAPPING=PRECISE", "FS=MRC", "CURRENCY=USD", "XLFILL=b")</f>
        <v>197.27600000000001</v>
      </c>
      <c r="L216" s="9">
        <f>_xll.BQL("SAVE US Equity", "BS_ACCTS_REC_EXCL_NOTES_REC/1M", "FPT=A", "FPO=-2A", "ACT_EST_MAPPING=PRECISE", "FS=MRC", "CURRENCY=USD", "XLFILL=b")</f>
        <v>128.828</v>
      </c>
      <c r="M216" s="9">
        <f>_xll.BQL("SAVE US Equity", "BS_ACCTS_REC_EXCL_NOTES_REC/1M", "FPT=A", "FPO=-3A", "ACT_EST_MAPPING=PRECISE", "FS=MRC", "CURRENCY=USD", "XLFILL=b")</f>
        <v>42.94</v>
      </c>
      <c r="N216" s="9">
        <f>_xll.BQL("SAVE US Equity", "BS_ACCTS_REC_EXCL_NOTES_REC/1M", "FPT=A", "FPO=-4A", "ACT_EST_MAPPING=PRECISE", "FS=MRC", "CURRENCY=USD", "XLFILL=b")</f>
        <v>73.807000000000002</v>
      </c>
    </row>
    <row r="217" spans="1:14" x14ac:dyDescent="0.2">
      <c r="A217" s="8" t="s">
        <v>92</v>
      </c>
      <c r="B217" s="4" t="s">
        <v>224</v>
      </c>
      <c r="C217" s="4" t="s">
        <v>222</v>
      </c>
      <c r="D217" s="4"/>
      <c r="E217" s="9">
        <f>_xll.BQL("SAVE US Equity", "FA_GROWTH(BS_ACCTS_REC_EXCL_NOTES_REC, YOY)", "FPT=A", "FPO=5A", "ACT_EST_MAPPING=PRECISE", "FS=MRC", "CURRENCY=USD", "XLFILL=b")</f>
        <v>6.6872094013994507</v>
      </c>
      <c r="F217" s="9">
        <f>_xll.BQL("SAVE US Equity", "FA_GROWTH(BS_ACCTS_REC_EXCL_NOTES_REC, YOY)", "FPT=A", "FPO=4A", "ACT_EST_MAPPING=PRECISE", "FS=MRC", "CURRENCY=USD", "XLFILL=b")</f>
        <v>24.821292284404311</v>
      </c>
      <c r="G217" s="9">
        <f>_xll.BQL("SAVE US Equity", "FA_GROWTH(BS_ACCTS_REC_EXCL_NOTES_REC, YOY)", "FPT=A", "FPO=3A", "ACT_EST_MAPPING=PRECISE", "FS=MRC", "CURRENCY=USD", "XLFILL=b")</f>
        <v>15.129128442857164</v>
      </c>
      <c r="H217" s="9">
        <f>_xll.BQL("SAVE US Equity", "FA_GROWTH(BS_ACCTS_REC_EXCL_NOTES_REC, YOY)", "FPT=A", "FPO=2A", "ACT_EST_MAPPING=PRECISE", "FS=MRC", "CURRENCY=USD", "XLFILL=b")</f>
        <v>0.26633872334958619</v>
      </c>
      <c r="I217" s="9">
        <f>_xll.BQL("SAVE US Equity", "FA_GROWTH(BS_ACCTS_REC_EXCL_NOTES_REC, YOY)", "FPT=A", "FPO=1A", "ACT_EST_MAPPING=PRECISE", "FS=MRC", "CURRENCY=USD", "XLFILL=b")</f>
        <v>-4.0633498640474865</v>
      </c>
      <c r="J217" s="9">
        <f>_xll.BQL("SAVE US Equity", "FA_GROWTH(BS_ACCTS_REC_EXCL_NOTES_REC, YOY)", "FPT=A", "FPO=0A", "ACT_EST_MAPPING=PRECISE", "FS=MRC", "CURRENCY=USD", "XLFILL=b")</f>
        <v>4.1525578377501571</v>
      </c>
      <c r="K217" s="9">
        <f>_xll.BQL("SAVE US Equity", "FA_GROWTH(BS_ACCTS_REC_EXCL_NOTES_REC, YOY)", "FPT=A", "FPO=-1A", "ACT_EST_MAPPING=PRECISE", "FS=MRC", "CURRENCY=USD", "XLFILL=b")</f>
        <v>53.131306858757412</v>
      </c>
      <c r="L217" s="9">
        <f>_xll.BQL("SAVE US Equity", "FA_GROWTH(BS_ACCTS_REC_EXCL_NOTES_REC, YOY)", "FPT=A", "FPO=-2A", "ACT_EST_MAPPING=PRECISE", "FS=MRC", "CURRENCY=USD", "XLFILL=b")</f>
        <v>200.01863064741499</v>
      </c>
      <c r="M217" s="9">
        <f>_xll.BQL("SAVE US Equity", "FA_GROWTH(BS_ACCTS_REC_EXCL_NOTES_REC, YOY)", "FPT=A", "FPO=-3A", "ACT_EST_MAPPING=PRECISE", "FS=MRC", "CURRENCY=USD", "XLFILL=b")</f>
        <v>-41.821236468085679</v>
      </c>
      <c r="N217" s="9">
        <f>_xll.BQL("SAVE US Equity", "FA_GROWTH(BS_ACCTS_REC_EXCL_NOTES_REC, YOY)", "FPT=A", "FPO=-4A", "ACT_EST_MAPPING=PRECISE", "FS=MRC", "CURRENCY=USD", "XLFILL=b")</f>
        <v>54.861519093579524</v>
      </c>
    </row>
    <row r="218" spans="1:14" x14ac:dyDescent="0.2">
      <c r="A218" s="8" t="s">
        <v>225</v>
      </c>
      <c r="B218" s="4" t="s">
        <v>226</v>
      </c>
      <c r="C218" s="4" t="s">
        <v>222</v>
      </c>
      <c r="D218" s="4"/>
      <c r="E218" s="9" t="str">
        <f>_xll.BQL("SAVE US Equity", "CB_BS_TAXES_RECEIVABLE_ST/1M", "FPT=A", "FPO=5A", "ACT_EST_MAPPING=PRECISE", "FS=MRC", "CURRENCY=USD", "XLFILL=b")</f>
        <v/>
      </c>
      <c r="F218" s="9" t="str">
        <f>_xll.BQL("SAVE US Equity", "CB_BS_TAXES_RECEIVABLE_ST/1M", "FPT=A", "FPO=4A", "ACT_EST_MAPPING=PRECISE", "FS=MRC", "CURRENCY=USD", "XLFILL=b")</f>
        <v/>
      </c>
      <c r="G218" s="9">
        <f>_xll.BQL("SAVE US Equity", "CB_BS_TAXES_RECEIVABLE_ST/1M", "FPT=A", "FPO=3A", "ACT_EST_MAPPING=PRECISE", "FS=MRC", "CURRENCY=USD", "XLFILL=b")</f>
        <v>5.3185487535603468E-2</v>
      </c>
      <c r="H218" s="9">
        <f>_xll.BQL("SAVE US Equity", "CB_BS_TAXES_RECEIVABLE_ST/1M", "FPT=A", "FPO=2A", "ACT_EST_MAPPING=PRECISE", "FS=MRC", "CURRENCY=USD", "XLFILL=b")</f>
        <v>4.3943742630992322E-2</v>
      </c>
      <c r="I218" s="9">
        <f>_xll.BQL("SAVE US Equity", "CB_BS_TAXES_RECEIVABLE_ST/1M", "FPT=A", "FPO=1A", "ACT_EST_MAPPING=PRECISE", "FS=MRC", "CURRENCY=USD", "XLFILL=b")</f>
        <v>3.092432587180179E-2</v>
      </c>
      <c r="J218" s="9">
        <f>_xll.BQL("SAVE US Equity", "CB_BS_TAXES_RECEIVABLE_ST/1M", "FPT=A", "FPO=0A", "ACT_EST_MAPPING=PRECISE", "FS=MRC", "CURRENCY=USD", "XLFILL=b")</f>
        <v>0</v>
      </c>
      <c r="K218" s="9">
        <f>_xll.BQL("SAVE US Equity", "CB_BS_TAXES_RECEIVABLE_ST/1M", "FPT=A", "FPO=-1A", "ACT_EST_MAPPING=PRECISE", "FS=MRC", "CURRENCY=USD", "XLFILL=b")</f>
        <v>36.261000000000003</v>
      </c>
      <c r="L218" s="9">
        <f>_xll.BQL("SAVE US Equity", "CB_BS_TAXES_RECEIVABLE_ST/1M", "FPT=A", "FPO=-2A", "ACT_EST_MAPPING=PRECISE", "FS=MRC", "CURRENCY=USD", "XLFILL=b")</f>
        <v>37.89</v>
      </c>
      <c r="M218" s="9">
        <f>_xll.BQL("SAVE US Equity", "CB_BS_TAXES_RECEIVABLE_ST/1M", "FPT=A", "FPO=-3A", "ACT_EST_MAPPING=PRECISE", "FS=MRC", "CURRENCY=USD", "XLFILL=b")</f>
        <v>147.46</v>
      </c>
      <c r="N218" s="9">
        <f>_xll.BQL("SAVE US Equity", "CB_BS_TAXES_RECEIVABLE_ST/1M", "FPT=A", "FPO=-4A", "ACT_EST_MAPPING=PRECISE", "FS=MRC", "CURRENCY=USD", "XLFILL=b")</f>
        <v>21.013000000000002</v>
      </c>
    </row>
    <row r="219" spans="1:14" x14ac:dyDescent="0.2">
      <c r="A219" s="8" t="s">
        <v>92</v>
      </c>
      <c r="B219" s="4" t="s">
        <v>226</v>
      </c>
      <c r="C219" s="4" t="s">
        <v>222</v>
      </c>
      <c r="D219" s="4"/>
      <c r="E219" s="9" t="str">
        <f>_xll.BQL("SAVE US Equity", "FA_GROWTH(CB_BS_TAXES_RECEIVABLE_ST, YOY)", "FPT=A", "FPO=5A", "ACT_EST_MAPPING=PRECISE", "FS=MRC", "CURRENCY=USD", "XLFILL=b")</f>
        <v/>
      </c>
      <c r="F219" s="9" t="str">
        <f>_xll.BQL("SAVE US Equity", "FA_GROWTH(CB_BS_TAXES_RECEIVABLE_ST, YOY)", "FPT=A", "FPO=4A", "ACT_EST_MAPPING=PRECISE", "FS=MRC", "CURRENCY=USD", "XLFILL=b")</f>
        <v/>
      </c>
      <c r="G219" s="9">
        <f>_xll.BQL("SAVE US Equity", "FA_GROWTH(CB_BS_TAXES_RECEIVABLE_ST, YOY)", "FPT=A", "FPO=3A", "ACT_EST_MAPPING=PRECISE", "FS=MRC", "CURRENCY=USD", "XLFILL=b")</f>
        <v>21.030855251034517</v>
      </c>
      <c r="H219" s="9">
        <f>_xll.BQL("SAVE US Equity", "FA_GROWTH(CB_BS_TAXES_RECEIVABLE_ST, YOY)", "FPT=A", "FPO=2A", "ACT_EST_MAPPING=PRECISE", "FS=MRC", "CURRENCY=USD", "XLFILL=b")</f>
        <v>42.100891101597895</v>
      </c>
      <c r="I219" s="9" t="str">
        <f>_xll.BQL("SAVE US Equity", "FA_GROWTH(CB_BS_TAXES_RECEIVABLE_ST, YOY)", "FPT=A", "FPO=1A", "ACT_EST_MAPPING=PRECISE", "FS=MRC", "CURRENCY=USD", "XLFILL=b")</f>
        <v/>
      </c>
      <c r="J219" s="9">
        <f>_xll.BQL("SAVE US Equity", "FA_GROWTH(CB_BS_TAXES_RECEIVABLE_ST, YOY)", "FPT=A", "FPO=0A", "ACT_EST_MAPPING=PRECISE", "FS=MRC", "CURRENCY=USD", "XLFILL=b")</f>
        <v>-100</v>
      </c>
      <c r="K219" s="9">
        <f>_xll.BQL("SAVE US Equity", "FA_GROWTH(CB_BS_TAXES_RECEIVABLE_ST, YOY)", "FPT=A", "FPO=-1A", "ACT_EST_MAPPING=PRECISE", "FS=MRC", "CURRENCY=USD", "XLFILL=b")</f>
        <v>-4.2992874109263655</v>
      </c>
      <c r="L219" s="9">
        <f>_xll.BQL("SAVE US Equity", "FA_GROWTH(CB_BS_TAXES_RECEIVABLE_ST, YOY)", "FPT=A", "FPO=-2A", "ACT_EST_MAPPING=PRECISE", "FS=MRC", "CURRENCY=USD", "XLFILL=b")</f>
        <v>-74.304896243048958</v>
      </c>
      <c r="M219" s="9">
        <f>_xll.BQL("SAVE US Equity", "FA_GROWTH(CB_BS_TAXES_RECEIVABLE_ST, YOY)", "FPT=A", "FPO=-3A", "ACT_EST_MAPPING=PRECISE", "FS=MRC", "CURRENCY=USD", "XLFILL=b")</f>
        <v>601.75605577499641</v>
      </c>
      <c r="N219" s="9" t="str">
        <f>_xll.BQL("SAVE US Equity", "FA_GROWTH(CB_BS_TAXES_RECEIVABLE_ST, YOY)", "FPT=A", "FPO=-4A", "ACT_EST_MAPPING=PRECISE", "FS=MRC", "CURRENCY=USD", "XLFILL=b")</f>
        <v/>
      </c>
    </row>
    <row r="220" spans="1:14" x14ac:dyDescent="0.2">
      <c r="A220" s="8" t="s">
        <v>227</v>
      </c>
      <c r="B220" s="4" t="s">
        <v>228</v>
      </c>
      <c r="C220" s="4" t="s">
        <v>222</v>
      </c>
      <c r="D220" s="4"/>
      <c r="E220" s="9" t="str">
        <f>_xll.BQL("SAVE US Equity", "BS_RESTRICTED_CASH/1M", "FPT=A", "FPO=5A", "ACT_EST_MAPPING=PRECISE", "FS=MRC", "CURRENCY=USD", "XLFILL=b")</f>
        <v/>
      </c>
      <c r="F220" s="9" t="str">
        <f>_xll.BQL("SAVE US Equity", "BS_RESTRICTED_CASH/1M", "FPT=A", "FPO=4A", "ACT_EST_MAPPING=PRECISE", "FS=MRC", "CURRENCY=USD", "XLFILL=b")</f>
        <v/>
      </c>
      <c r="G220" s="9">
        <f>_xll.BQL("SAVE US Equity", "BS_RESTRICTED_CASH/1M", "FPT=A", "FPO=3A", "ACT_EST_MAPPING=PRECISE", "FS=MRC", "CURRENCY=USD", "XLFILL=b")</f>
        <v>120.57899999999999</v>
      </c>
      <c r="H220" s="9">
        <f>_xll.BQL("SAVE US Equity", "BS_RESTRICTED_CASH/1M", "FPT=A", "FPO=2A", "ACT_EST_MAPPING=PRECISE", "FS=MRC", "CURRENCY=USD", "XLFILL=b")</f>
        <v>120.57899999999999</v>
      </c>
      <c r="I220" s="9">
        <f>_xll.BQL("SAVE US Equity", "BS_RESTRICTED_CASH/1M", "FPT=A", "FPO=1A", "ACT_EST_MAPPING=PRECISE", "FS=MRC", "CURRENCY=USD", "XLFILL=b")</f>
        <v>120.57899999999999</v>
      </c>
      <c r="J220" s="9">
        <f>_xll.BQL("SAVE US Equity", "BS_RESTRICTED_CASH/1M", "FPT=A", "FPO=0A", "ACT_EST_MAPPING=PRECISE", "FS=MRC", "CURRENCY=USD", "XLFILL=b")</f>
        <v>119.4</v>
      </c>
      <c r="K220" s="9">
        <f>_xll.BQL("SAVE US Equity", "BS_RESTRICTED_CASH/1M", "FPT=A", "FPO=-1A", "ACT_EST_MAPPING=PRECISE", "FS=MRC", "CURRENCY=USD", "XLFILL=b")</f>
        <v>119.392</v>
      </c>
      <c r="L220" s="9">
        <f>_xll.BQL("SAVE US Equity", "BS_RESTRICTED_CASH/1M", "FPT=A", "FPO=-2A", "ACT_EST_MAPPING=PRECISE", "FS=MRC", "CURRENCY=USD", "XLFILL=b")</f>
        <v>95.4</v>
      </c>
      <c r="M220" s="9">
        <f>_xll.BQL("SAVE US Equity", "BS_RESTRICTED_CASH/1M", "FPT=A", "FPO=-3A", "ACT_EST_MAPPING=PRECISE", "FS=MRC", "CURRENCY=USD", "XLFILL=b")</f>
        <v>71.400999999999996</v>
      </c>
      <c r="N220" s="9" t="str">
        <f>_xll.BQL("SAVE US Equity", "BS_RESTRICTED_CASH/1M", "FPT=A", "FPO=-4A", "ACT_EST_MAPPING=PRECISE", "FS=MRC", "CURRENCY=USD", "XLFILL=b")</f>
        <v/>
      </c>
    </row>
    <row r="221" spans="1:14" x14ac:dyDescent="0.2">
      <c r="A221" s="8" t="s">
        <v>92</v>
      </c>
      <c r="B221" s="4" t="s">
        <v>228</v>
      </c>
      <c r="C221" s="4" t="s">
        <v>222</v>
      </c>
      <c r="D221" s="4"/>
      <c r="E221" s="9" t="str">
        <f>_xll.BQL("SAVE US Equity", "FA_GROWTH(BS_RESTRICTED_CASH, YOY)", "FPT=A", "FPO=5A", "ACT_EST_MAPPING=PRECISE", "FS=MRC", "CURRENCY=USD", "XLFILL=b")</f>
        <v/>
      </c>
      <c r="F221" s="9" t="str">
        <f>_xll.BQL("SAVE US Equity", "FA_GROWTH(BS_RESTRICTED_CASH, YOY)", "FPT=A", "FPO=4A", "ACT_EST_MAPPING=PRECISE", "FS=MRC", "CURRENCY=USD", "XLFILL=b")</f>
        <v/>
      </c>
      <c r="G221" s="9">
        <f>_xll.BQL("SAVE US Equity", "FA_GROWTH(BS_RESTRICTED_CASH, YOY)", "FPT=A", "FPO=3A", "ACT_EST_MAPPING=PRECISE", "FS=MRC", "CURRENCY=USD", "XLFILL=b")</f>
        <v>0</v>
      </c>
      <c r="H221" s="9">
        <f>_xll.BQL("SAVE US Equity", "FA_GROWTH(BS_RESTRICTED_CASH, YOY)", "FPT=A", "FPO=2A", "ACT_EST_MAPPING=PRECISE", "FS=MRC", "CURRENCY=USD", "XLFILL=b")</f>
        <v>0</v>
      </c>
      <c r="I221" s="9">
        <f>_xll.BQL("SAVE US Equity", "FA_GROWTH(BS_RESTRICTED_CASH, YOY)", "FPT=A", "FPO=1A", "ACT_EST_MAPPING=PRECISE", "FS=MRC", "CURRENCY=USD", "XLFILL=b")</f>
        <v>0.98743718592964824</v>
      </c>
      <c r="J221" s="9">
        <f>_xll.BQL("SAVE US Equity", "FA_GROWTH(BS_RESTRICTED_CASH, YOY)", "FPT=A", "FPO=0A", "ACT_EST_MAPPING=PRECISE", "FS=MRC", "CURRENCY=USD", "XLFILL=b")</f>
        <v>6.7006164567140177E-3</v>
      </c>
      <c r="K221" s="9">
        <f>_xll.BQL("SAVE US Equity", "FA_GROWTH(BS_RESTRICTED_CASH, YOY)", "FPT=A", "FPO=-1A", "ACT_EST_MAPPING=PRECISE", "FS=MRC", "CURRENCY=USD", "XLFILL=b")</f>
        <v>25.148846960167713</v>
      </c>
      <c r="L221" s="9">
        <f>_xll.BQL("SAVE US Equity", "FA_GROWTH(BS_RESTRICTED_CASH, YOY)", "FPT=A", "FPO=-2A", "ACT_EST_MAPPING=PRECISE", "FS=MRC", "CURRENCY=USD", "XLFILL=b")</f>
        <v>33.611574067590091</v>
      </c>
      <c r="M221" s="9" t="str">
        <f>_xll.BQL("SAVE US Equity", "FA_GROWTH(BS_RESTRICTED_CASH, YOY)", "FPT=A", "FPO=-3A", "ACT_EST_MAPPING=PRECISE", "FS=MRC", "CURRENCY=USD", "XLFILL=b")</f>
        <v/>
      </c>
      <c r="N221" s="9" t="str">
        <f>_xll.BQL("SAVE US Equity", "FA_GROWTH(BS_RESTRICTED_CASH, YOY)", "FPT=A", "FPO=-4A", "ACT_EST_MAPPING=PRECISE", "FS=MRC", "CURRENCY=USD", "XLFILL=b")</f>
        <v/>
      </c>
    </row>
    <row r="222" spans="1:14" x14ac:dyDescent="0.2">
      <c r="A222" s="8" t="s">
        <v>229</v>
      </c>
      <c r="B222" s="4" t="s">
        <v>230</v>
      </c>
      <c r="C222" s="4" t="s">
        <v>231</v>
      </c>
      <c r="D222" s="4"/>
      <c r="E222" s="9" t="str">
        <f>_xll.BQL("SAVE US Equity", "CB_BS_OTHER_CURRENT_ASSETS/1M", "FPT=A", "FPO=5A", "ACT_EST_MAPPING=PRECISE", "FS=MRC", "CURRENCY=USD", "XLFILL=b")</f>
        <v/>
      </c>
      <c r="F222" s="9" t="str">
        <f>_xll.BQL("SAVE US Equity", "CB_BS_OTHER_CURRENT_ASSETS/1M", "FPT=A", "FPO=4A", "ACT_EST_MAPPING=PRECISE", "FS=MRC", "CURRENCY=USD", "XLFILL=b")</f>
        <v/>
      </c>
      <c r="G222" s="9" t="str">
        <f>_xll.BQL("SAVE US Equity", "CB_BS_OTHER_CURRENT_ASSETS/1M", "FPT=A", "FPO=3A", "ACT_EST_MAPPING=PRECISE", "FS=MRC", "CURRENCY=USD", "XLFILL=b")</f>
        <v/>
      </c>
      <c r="H222" s="9" t="str">
        <f>_xll.BQL("SAVE US Equity", "CB_BS_OTHER_CURRENT_ASSETS/1M", "FPT=A", "FPO=2A", "ACT_EST_MAPPING=PRECISE", "FS=MRC", "CURRENCY=USD", "XLFILL=b")</f>
        <v/>
      </c>
      <c r="I222" s="9" t="str">
        <f>_xll.BQL("SAVE US Equity", "CB_BS_OTHER_CURRENT_ASSETS/1M", "FPT=A", "FPO=1A", "ACT_EST_MAPPING=PRECISE", "FS=MRC", "CURRENCY=USD", "XLFILL=b")</f>
        <v/>
      </c>
      <c r="J222" s="9" t="str">
        <f>_xll.BQL("SAVE US Equity", "CB_BS_OTHER_CURRENT_ASSETS/1M", "FPT=A", "FPO=0A", "ACT_EST_MAPPING=PRECISE", "FS=MRC", "CURRENCY=USD", "XLFILL=b")</f>
        <v/>
      </c>
      <c r="K222" s="9" t="str">
        <f>_xll.BQL("SAVE US Equity", "CB_BS_OTHER_CURRENT_ASSETS/1M", "FPT=A", "FPO=-1A", "ACT_EST_MAPPING=PRECISE", "FS=MRC", "CURRENCY=USD", "XLFILL=b")</f>
        <v/>
      </c>
      <c r="L222" s="9">
        <f>_xll.BQL("SAVE US Equity", "CB_BS_OTHER_CURRENT_ASSETS/1M", "FPT=A", "FPO=-2A", "ACT_EST_MAPPING=PRECISE", "FS=MRC", "CURRENCY=USD", "XLFILL=b")</f>
        <v>10.726000000000001</v>
      </c>
      <c r="M222" s="9">
        <f>_xll.BQL("SAVE US Equity", "CB_BS_OTHER_CURRENT_ASSETS/1M", "FPT=A", "FPO=-3A", "ACT_EST_MAPPING=PRECISE", "FS=MRC", "CURRENCY=USD", "XLFILL=b")</f>
        <v>73.134</v>
      </c>
      <c r="N222" s="9">
        <f>_xll.BQL("SAVE US Equity", "CB_BS_OTHER_CURRENT_ASSETS/1M", "FPT=A", "FPO=-4A", "ACT_EST_MAPPING=PRECISE", "FS=MRC", "CURRENCY=USD", "XLFILL=b")</f>
        <v>102.90600000000001</v>
      </c>
    </row>
    <row r="223" spans="1:14" x14ac:dyDescent="0.2">
      <c r="A223" s="8" t="s">
        <v>92</v>
      </c>
      <c r="B223" s="4" t="s">
        <v>230</v>
      </c>
      <c r="C223" s="4" t="s">
        <v>231</v>
      </c>
      <c r="D223" s="4"/>
      <c r="E223" s="9" t="str">
        <f>_xll.BQL("SAVE US Equity", "FA_GROWTH(CB_BS_OTHER_CURRENT_ASSETS, YOY)", "FPT=A", "FPO=5A", "ACT_EST_MAPPING=PRECISE", "FS=MRC", "CURRENCY=USD", "XLFILL=b")</f>
        <v/>
      </c>
      <c r="F223" s="9" t="str">
        <f>_xll.BQL("SAVE US Equity", "FA_GROWTH(CB_BS_OTHER_CURRENT_ASSETS, YOY)", "FPT=A", "FPO=4A", "ACT_EST_MAPPING=PRECISE", "FS=MRC", "CURRENCY=USD", "XLFILL=b")</f>
        <v/>
      </c>
      <c r="G223" s="9" t="str">
        <f>_xll.BQL("SAVE US Equity", "FA_GROWTH(CB_BS_OTHER_CURRENT_ASSETS, YOY)", "FPT=A", "FPO=3A", "ACT_EST_MAPPING=PRECISE", "FS=MRC", "CURRENCY=USD", "XLFILL=b")</f>
        <v/>
      </c>
      <c r="H223" s="9" t="str">
        <f>_xll.BQL("SAVE US Equity", "FA_GROWTH(CB_BS_OTHER_CURRENT_ASSETS, YOY)", "FPT=A", "FPO=2A", "ACT_EST_MAPPING=PRECISE", "FS=MRC", "CURRENCY=USD", "XLFILL=b")</f>
        <v/>
      </c>
      <c r="I223" s="9" t="str">
        <f>_xll.BQL("SAVE US Equity", "FA_GROWTH(CB_BS_OTHER_CURRENT_ASSETS, YOY)", "FPT=A", "FPO=1A", "ACT_EST_MAPPING=PRECISE", "FS=MRC", "CURRENCY=USD", "XLFILL=b")</f>
        <v/>
      </c>
      <c r="J223" s="9" t="str">
        <f>_xll.BQL("SAVE US Equity", "FA_GROWTH(CB_BS_OTHER_CURRENT_ASSETS, YOY)", "FPT=A", "FPO=0A", "ACT_EST_MAPPING=PRECISE", "FS=MRC", "CURRENCY=USD", "XLFILL=b")</f>
        <v/>
      </c>
      <c r="K223" s="9" t="str">
        <f>_xll.BQL("SAVE US Equity", "FA_GROWTH(CB_BS_OTHER_CURRENT_ASSETS, YOY)", "FPT=A", "FPO=-1A", "ACT_EST_MAPPING=PRECISE", "FS=MRC", "CURRENCY=USD", "XLFILL=b")</f>
        <v/>
      </c>
      <c r="L223" s="9">
        <f>_xll.BQL("SAVE US Equity", "FA_GROWTH(CB_BS_OTHER_CURRENT_ASSETS, YOY)", "FPT=A", "FPO=-2A", "ACT_EST_MAPPING=PRECISE", "FS=MRC", "CURRENCY=USD", "XLFILL=b")</f>
        <v>-85.333770886318263</v>
      </c>
      <c r="M223" s="9">
        <f>_xll.BQL("SAVE US Equity", "FA_GROWTH(CB_BS_OTHER_CURRENT_ASSETS, YOY)", "FPT=A", "FPO=-3A", "ACT_EST_MAPPING=PRECISE", "FS=MRC", "CURRENCY=USD", "XLFILL=b")</f>
        <v>-28.93125765261501</v>
      </c>
      <c r="N223" s="9">
        <f>_xll.BQL("SAVE US Equity", "FA_GROWTH(CB_BS_OTHER_CURRENT_ASSETS, YOY)", "FPT=A", "FPO=-4A", "ACT_EST_MAPPING=PRECISE", "FS=MRC", "CURRENCY=USD", "XLFILL=b")</f>
        <v>-3.7371025528292532</v>
      </c>
    </row>
    <row r="224" spans="1:14" x14ac:dyDescent="0.2">
      <c r="A224" s="8" t="s">
        <v>232</v>
      </c>
      <c r="B224" s="4" t="s">
        <v>233</v>
      </c>
      <c r="C224" s="4" t="s">
        <v>231</v>
      </c>
      <c r="D224" s="4"/>
      <c r="E224" s="9" t="str">
        <f>_xll.BQL("SAVE US Equity", "BS_OTHER_CUR_ASSET/1M", "FPT=A", "FPO=5A", "ACT_EST_MAPPING=PRECISE", "FS=MRC", "CURRENCY=USD", "XLFILL=b")</f>
        <v/>
      </c>
      <c r="F224" s="9" t="str">
        <f>_xll.BQL("SAVE US Equity", "BS_OTHER_CUR_ASSET/1M", "FPT=A", "FPO=4A", "ACT_EST_MAPPING=PRECISE", "FS=MRC", "CURRENCY=USD", "XLFILL=b")</f>
        <v/>
      </c>
      <c r="G224" s="9">
        <f>_xll.BQL("SAVE US Equity", "BS_OTHER_CUR_ASSET/1M", "FPT=A", "FPO=3A", "ACT_EST_MAPPING=PRECISE", "FS=MRC", "CURRENCY=USD", "XLFILL=b")</f>
        <v>258.0783066946986</v>
      </c>
      <c r="H224" s="9">
        <f>_xll.BQL("SAVE US Equity", "BS_OTHER_CUR_ASSET/1M", "FPT=A", "FPO=2A", "ACT_EST_MAPPING=PRECISE", "FS=MRC", "CURRENCY=USD", "XLFILL=b")</f>
        <v>282.81733055924497</v>
      </c>
      <c r="I224" s="9">
        <f>_xll.BQL("SAVE US Equity", "BS_OTHER_CUR_ASSET/1M", "FPT=A", "FPO=1A", "ACT_EST_MAPPING=PRECISE", "FS=MRC", "CURRENCY=USD", "XLFILL=b")</f>
        <v>228.02184460468962</v>
      </c>
      <c r="J224" s="9">
        <f>_xll.BQL("SAVE US Equity", "BS_OTHER_CUR_ASSET/1M", "FPT=A", "FPO=0A", "ACT_EST_MAPPING=PRECISE", "FS=MRC", "CURRENCY=USD", "XLFILL=b")</f>
        <v>328.947</v>
      </c>
      <c r="K224" s="9">
        <f>_xll.BQL("SAVE US Equity", "BS_OTHER_CUR_ASSET/1M", "FPT=A", "FPO=-1A", "ACT_EST_MAPPING=PRECISE", "FS=MRC", "CURRENCY=USD", "XLFILL=b")</f>
        <v>343.24200000000002</v>
      </c>
      <c r="L224" s="9">
        <f>_xll.BQL("SAVE US Equity", "BS_OTHER_CUR_ASSET/1M", "FPT=A", "FPO=-2A", "ACT_EST_MAPPING=PRECISE", "FS=MRC", "CURRENCY=USD", "XLFILL=b")</f>
        <v>273.84300000000002</v>
      </c>
      <c r="M224" s="9">
        <f>_xll.BQL("SAVE US Equity", "BS_OTHER_CUR_ASSET/1M", "FPT=A", "FPO=-3A", "ACT_EST_MAPPING=PRECISE", "FS=MRC", "CURRENCY=USD", "XLFILL=b")</f>
        <v>416.97800000000001</v>
      </c>
      <c r="N224" s="9">
        <f>_xll.BQL("SAVE US Equity", "BS_OTHER_CUR_ASSET/1M", "FPT=A", "FPO=-4A", "ACT_EST_MAPPING=PRECISE", "FS=MRC", "CURRENCY=USD", "XLFILL=b")</f>
        <v>227.358</v>
      </c>
    </row>
    <row r="225" spans="1:14" x14ac:dyDescent="0.2">
      <c r="A225" s="8" t="s">
        <v>92</v>
      </c>
      <c r="B225" s="4" t="s">
        <v>233</v>
      </c>
      <c r="C225" s="4" t="s">
        <v>231</v>
      </c>
      <c r="D225" s="4"/>
      <c r="E225" s="9" t="str">
        <f>_xll.BQL("SAVE US Equity", "FA_GROWTH(BS_OTHER_CUR_ASSET, YOY)", "FPT=A", "FPO=5A", "ACT_EST_MAPPING=PRECISE", "FS=MRC", "CURRENCY=USD", "XLFILL=b")</f>
        <v/>
      </c>
      <c r="F225" s="9" t="str">
        <f>_xll.BQL("SAVE US Equity", "FA_GROWTH(BS_OTHER_CUR_ASSET, YOY)", "FPT=A", "FPO=4A", "ACT_EST_MAPPING=PRECISE", "FS=MRC", "CURRENCY=USD", "XLFILL=b")</f>
        <v/>
      </c>
      <c r="G225" s="9">
        <f>_xll.BQL("SAVE US Equity", "FA_GROWTH(BS_OTHER_CUR_ASSET, YOY)", "FPT=A", "FPO=3A", "ACT_EST_MAPPING=PRECISE", "FS=MRC", "CURRENCY=USD", "XLFILL=b")</f>
        <v>-8.7473507424835919</v>
      </c>
      <c r="H225" s="9">
        <f>_xll.BQL("SAVE US Equity", "FA_GROWTH(BS_OTHER_CUR_ASSET, YOY)", "FPT=A", "FPO=2A", "ACT_EST_MAPPING=PRECISE", "FS=MRC", "CURRENCY=USD", "XLFILL=b")</f>
        <v>24.030805491268445</v>
      </c>
      <c r="I225" s="9">
        <f>_xll.BQL("SAVE US Equity", "FA_GROWTH(BS_OTHER_CUR_ASSET, YOY)", "FPT=A", "FPO=1A", "ACT_EST_MAPPING=PRECISE", "FS=MRC", "CURRENCY=USD", "XLFILL=b")</f>
        <v>-30.681281603209747</v>
      </c>
      <c r="J225" s="9">
        <f>_xll.BQL("SAVE US Equity", "FA_GROWTH(BS_OTHER_CUR_ASSET, YOY)", "FPT=A", "FPO=0A", "ACT_EST_MAPPING=PRECISE", "FS=MRC", "CURRENCY=USD", "XLFILL=b")</f>
        <v>-4.164700124110686</v>
      </c>
      <c r="K225" s="9">
        <f>_xll.BQL("SAVE US Equity", "FA_GROWTH(BS_OTHER_CUR_ASSET, YOY)", "FPT=A", "FPO=-1A", "ACT_EST_MAPPING=PRECISE", "FS=MRC", "CURRENCY=USD", "XLFILL=b")</f>
        <v>25.342623327965295</v>
      </c>
      <c r="L225" s="9">
        <f>_xll.BQL("SAVE US Equity", "FA_GROWTH(BS_OTHER_CUR_ASSET, YOY)", "FPT=A", "FPO=-2A", "ACT_EST_MAPPING=PRECISE", "FS=MRC", "CURRENCY=USD", "XLFILL=b")</f>
        <v>-34.326751051614231</v>
      </c>
      <c r="M225" s="9">
        <f>_xll.BQL("SAVE US Equity", "FA_GROWTH(BS_OTHER_CUR_ASSET, YOY)", "FPT=A", "FPO=-3A", "ACT_EST_MAPPING=PRECISE", "FS=MRC", "CURRENCY=USD", "XLFILL=b")</f>
        <v>83.401507754290591</v>
      </c>
      <c r="N225" s="9">
        <f>_xll.BQL("SAVE US Equity", "FA_GROWTH(BS_OTHER_CUR_ASSET, YOY)", "FPT=A", "FPO=-4A", "ACT_EST_MAPPING=PRECISE", "FS=MRC", "CURRENCY=USD", "XLFILL=b")</f>
        <v>19.483508860440185</v>
      </c>
    </row>
    <row r="226" spans="1:14" x14ac:dyDescent="0.2">
      <c r="A226" s="8" t="s">
        <v>234</v>
      </c>
      <c r="B226" s="4" t="s">
        <v>235</v>
      </c>
      <c r="C226" s="4" t="s">
        <v>236</v>
      </c>
      <c r="D226" s="4"/>
      <c r="E226" s="9" t="str">
        <f>_xll.BQL("SAVE US Equity", "BS_TOTAL_NON_CURRENT_ASSETS/1M", "FPT=A", "FPO=5A", "ACT_EST_MAPPING=PRECISE", "FS=MRC", "CURRENCY=USD", "XLFILL=b")</f>
        <v/>
      </c>
      <c r="F226" s="9" t="str">
        <f>_xll.BQL("SAVE US Equity", "BS_TOTAL_NON_CURRENT_ASSETS/1M", "FPT=A", "FPO=4A", "ACT_EST_MAPPING=PRECISE", "FS=MRC", "CURRENCY=USD", "XLFILL=b")</f>
        <v/>
      </c>
      <c r="G226" s="9" t="str">
        <f>_xll.BQL("SAVE US Equity", "BS_TOTAL_NON_CURRENT_ASSETS/1M", "FPT=A", "FPO=3A", "ACT_EST_MAPPING=PRECISE", "FS=MRC", "CURRENCY=USD", "XLFILL=b")</f>
        <v/>
      </c>
      <c r="H226" s="9" t="str">
        <f>_xll.BQL("SAVE US Equity", "BS_TOTAL_NON_CURRENT_ASSETS/1M", "FPT=A", "FPO=2A", "ACT_EST_MAPPING=PRECISE", "FS=MRC", "CURRENCY=USD", "XLFILL=b")</f>
        <v/>
      </c>
      <c r="I226" s="9" t="str">
        <f>_xll.BQL("SAVE US Equity", "BS_TOTAL_NON_CURRENT_ASSETS/1M", "FPT=A", "FPO=1A", "ACT_EST_MAPPING=PRECISE", "FS=MRC", "CURRENCY=USD", "XLFILL=b")</f>
        <v/>
      </c>
      <c r="J226" s="9">
        <f>_xll.BQL("SAVE US Equity", "BS_TOTAL_NON_CURRENT_ASSETS/1M", "FPT=A", "FPO=0A", "ACT_EST_MAPPING=PRECISE", "FS=MRC", "CURRENCY=USD", "XLFILL=b")</f>
        <v>7905.11</v>
      </c>
      <c r="K226" s="9">
        <f>_xll.BQL("SAVE US Equity", "BS_TOTAL_NON_CURRENT_ASSETS/1M", "FPT=A", "FPO=-1A", "ACT_EST_MAPPING=PRECISE", "FS=MRC", "CURRENCY=USD", "XLFILL=b")</f>
        <v>7190.7910000000002</v>
      </c>
      <c r="L226" s="9">
        <f>_xll.BQL("SAVE US Equity", "BS_TOTAL_NON_CURRENT_ASSETS/1M", "FPT=A", "FPO=-2A", "ACT_EST_MAPPING=PRECISE", "FS=MRC", "CURRENCY=USD", "XLFILL=b")</f>
        <v>6697.5339999999997</v>
      </c>
      <c r="M226" s="9">
        <f>_xll.BQL("SAVE US Equity", "BS_TOTAL_NON_CURRENT_ASSETS/1M", "FPT=A", "FPO=-3A", "ACT_EST_MAPPING=PRECISE", "FS=MRC", "CURRENCY=USD", "XLFILL=b")</f>
        <v>6042.8450000000003</v>
      </c>
      <c r="N226" s="9">
        <f>_xll.BQL("SAVE US Equity", "BS_TOTAL_NON_CURRENT_ASSETS/1M", "FPT=A", "FPO=-4A", "ACT_EST_MAPPING=PRECISE", "FS=MRC", "CURRENCY=USD", "XLFILL=b")</f>
        <v>5657.9690000000001</v>
      </c>
    </row>
    <row r="227" spans="1:14" x14ac:dyDescent="0.2">
      <c r="A227" s="8" t="s">
        <v>44</v>
      </c>
      <c r="B227" s="4" t="s">
        <v>235</v>
      </c>
      <c r="C227" s="4" t="s">
        <v>236</v>
      </c>
      <c r="D227" s="4"/>
      <c r="E227" s="9" t="str">
        <f>_xll.BQL("SAVE US Equity", "FA_GROWTH(BS_TOTAL_NON_CURRENT_ASSETS, YOY)", "FPT=A", "FPO=5A", "ACT_EST_MAPPING=PRECISE", "FS=MRC", "CURRENCY=USD", "XLFILL=b")</f>
        <v/>
      </c>
      <c r="F227" s="9" t="str">
        <f>_xll.BQL("SAVE US Equity", "FA_GROWTH(BS_TOTAL_NON_CURRENT_ASSETS, YOY)", "FPT=A", "FPO=4A", "ACT_EST_MAPPING=PRECISE", "FS=MRC", "CURRENCY=USD", "XLFILL=b")</f>
        <v/>
      </c>
      <c r="G227" s="9" t="str">
        <f>_xll.BQL("SAVE US Equity", "FA_GROWTH(BS_TOTAL_NON_CURRENT_ASSETS, YOY)", "FPT=A", "FPO=3A", "ACT_EST_MAPPING=PRECISE", "FS=MRC", "CURRENCY=USD", "XLFILL=b")</f>
        <v/>
      </c>
      <c r="H227" s="9" t="str">
        <f>_xll.BQL("SAVE US Equity", "FA_GROWTH(BS_TOTAL_NON_CURRENT_ASSETS, YOY)", "FPT=A", "FPO=2A", "ACT_EST_MAPPING=PRECISE", "FS=MRC", "CURRENCY=USD", "XLFILL=b")</f>
        <v/>
      </c>
      <c r="I227" s="9" t="str">
        <f>_xll.BQL("SAVE US Equity", "FA_GROWTH(BS_TOTAL_NON_CURRENT_ASSETS, YOY)", "FPT=A", "FPO=1A", "ACT_EST_MAPPING=PRECISE", "FS=MRC", "CURRENCY=USD", "XLFILL=b")</f>
        <v/>
      </c>
      <c r="J227" s="9">
        <f>_xll.BQL("SAVE US Equity", "FA_GROWTH(BS_TOTAL_NON_CURRENT_ASSETS, YOY)", "FPT=A", "FPO=0A", "ACT_EST_MAPPING=PRECISE", "FS=MRC", "CURRENCY=USD", "XLFILL=b")</f>
        <v>9.9338028319832965</v>
      </c>
      <c r="K227" s="9">
        <f>_xll.BQL("SAVE US Equity", "FA_GROWTH(BS_TOTAL_NON_CURRENT_ASSETS, YOY)", "FPT=A", "FPO=-1A", "ACT_EST_MAPPING=PRECISE", "FS=MRC", "CURRENCY=USD", "XLFILL=b")</f>
        <v>7.3647554458103537</v>
      </c>
      <c r="L227" s="9">
        <f>_xll.BQL("SAVE US Equity", "FA_GROWTH(BS_TOTAL_NON_CURRENT_ASSETS, YOY)", "FPT=A", "FPO=-2A", "ACT_EST_MAPPING=PRECISE", "FS=MRC", "CURRENCY=USD", "XLFILL=b")</f>
        <v>10.834118697401637</v>
      </c>
      <c r="M227" s="9">
        <f>_xll.BQL("SAVE US Equity", "FA_GROWTH(BS_TOTAL_NON_CURRENT_ASSETS, YOY)", "FPT=A", "FPO=-3A", "ACT_EST_MAPPING=PRECISE", "FS=MRC", "CURRENCY=USD", "XLFILL=b")</f>
        <v>6.8023702498193259</v>
      </c>
      <c r="N227" s="9">
        <f>_xll.BQL("SAVE US Equity", "FA_GROWTH(BS_TOTAL_NON_CURRENT_ASSETS, YOY)", "FPT=A", "FPO=-4A", "ACT_EST_MAPPING=PRECISE", "FS=MRC", "CURRENCY=USD", "XLFILL=b")</f>
        <v>48.114720689132511</v>
      </c>
    </row>
    <row r="228" spans="1:14" x14ac:dyDescent="0.2">
      <c r="A228" s="8" t="s">
        <v>237</v>
      </c>
      <c r="B228" s="4" t="s">
        <v>238</v>
      </c>
      <c r="C228" s="4" t="s">
        <v>239</v>
      </c>
      <c r="D228" s="4"/>
      <c r="E228" s="9">
        <f>_xll.BQL("SAVE US Equity", "CB_BS_PP_AND_E_NET/1M", "FPT=A", "FPO=5A", "ACT_EST_MAPPING=PRECISE", "FS=MRC", "CURRENCY=USD", "XLFILL=b")</f>
        <v>4066.0870000000018</v>
      </c>
      <c r="F228" s="9">
        <f>_xll.BQL("SAVE US Equity", "CB_BS_PP_AND_E_NET/1M", "FPT=A", "FPO=4A", "ACT_EST_MAPPING=PRECISE", "FS=MRC", "CURRENCY=USD", "XLFILL=b")</f>
        <v>3451.0310000000013</v>
      </c>
      <c r="G228" s="9">
        <f>_xll.BQL("SAVE US Equity", "CB_BS_PP_AND_E_NET/1M", "FPT=A", "FPO=3A", "ACT_EST_MAPPING=PRECISE", "FS=MRC", "CURRENCY=USD", "XLFILL=b")</f>
        <v>3177.9901192906495</v>
      </c>
      <c r="H228" s="9">
        <f>_xll.BQL("SAVE US Equity", "CB_BS_PP_AND_E_NET/1M", "FPT=A", "FPO=2A", "ACT_EST_MAPPING=PRECISE", "FS=MRC", "CURRENCY=USD", "XLFILL=b")</f>
        <v>3232.4837723714691</v>
      </c>
      <c r="I228" s="9">
        <f>_xll.BQL("SAVE US Equity", "CB_BS_PP_AND_E_NET/1M", "FPT=A", "FPO=1A", "ACT_EST_MAPPING=PRECISE", "FS=MRC", "CURRENCY=USD", "XLFILL=b")</f>
        <v>3253.4582142857143</v>
      </c>
      <c r="J228" s="9">
        <f>_xll.BQL("SAVE US Equity", "CB_BS_PP_AND_E_NET/1M", "FPT=A", "FPO=0A", "ACT_EST_MAPPING=PRECISE", "FS=MRC", "CURRENCY=USD", "XLFILL=b")</f>
        <v>3519.1280000000002</v>
      </c>
      <c r="K228" s="9">
        <f>_xll.BQL("SAVE US Equity", "CB_BS_PP_AND_E_NET/1M", "FPT=A", "FPO=-1A", "ACT_EST_MAPPING=PRECISE", "FS=MRC", "CURRENCY=USD", "XLFILL=b")</f>
        <v>3749.498</v>
      </c>
      <c r="L228" s="9">
        <f>_xll.BQL("SAVE US Equity", "CB_BS_PP_AND_E_NET/1M", "FPT=A", "FPO=-2A", "ACT_EST_MAPPING=PRECISE", "FS=MRC", "CURRENCY=USD", "XLFILL=b")</f>
        <v>3856.5929999999998</v>
      </c>
      <c r="M228" s="9">
        <f>_xll.BQL("SAVE US Equity", "CB_BS_PP_AND_E_NET/1M", "FPT=A", "FPO=-3A", "ACT_EST_MAPPING=PRECISE", "FS=MRC", "CURRENCY=USD", "XLFILL=b")</f>
        <v>3831.5680000000002</v>
      </c>
      <c r="N228" s="9">
        <f>_xll.BQL("SAVE US Equity", "CB_BS_PP_AND_E_NET/1M", "FPT=A", "FPO=-4A", "ACT_EST_MAPPING=PRECISE", "FS=MRC", "CURRENCY=USD", "XLFILL=b")</f>
        <v>3530.3020000000001</v>
      </c>
    </row>
    <row r="229" spans="1:14" x14ac:dyDescent="0.2">
      <c r="A229" s="8" t="s">
        <v>92</v>
      </c>
      <c r="B229" s="4" t="s">
        <v>238</v>
      </c>
      <c r="C229" s="4" t="s">
        <v>239</v>
      </c>
      <c r="D229" s="4"/>
      <c r="E229" s="9">
        <f>_xll.BQL("SAVE US Equity", "FA_GROWTH(CB_BS_PP_AND_E_NET, YOY)", "FPT=A", "FPO=5A", "ACT_EST_MAPPING=PRECISE", "FS=MRC", "CURRENCY=USD", "XLFILL=b")</f>
        <v>17.822384093333273</v>
      </c>
      <c r="F229" s="9">
        <f>_xll.BQL("SAVE US Equity", "FA_GROWTH(CB_BS_PP_AND_E_NET, YOY)", "FPT=A", "FPO=4A", "ACT_EST_MAPPING=PRECISE", "FS=MRC", "CURRENCY=USD", "XLFILL=b")</f>
        <v>8.5916214481590885</v>
      </c>
      <c r="G229" s="9">
        <f>_xll.BQL("SAVE US Equity", "FA_GROWTH(CB_BS_PP_AND_E_NET, YOY)", "FPT=A", "FPO=3A", "ACT_EST_MAPPING=PRECISE", "FS=MRC", "CURRENCY=USD", "XLFILL=b")</f>
        <v>-1.6858136627501477</v>
      </c>
      <c r="H229" s="9">
        <f>_xll.BQL("SAVE US Equity", "FA_GROWTH(CB_BS_PP_AND_E_NET, YOY)", "FPT=A", "FPO=2A", "ACT_EST_MAPPING=PRECISE", "FS=MRC", "CURRENCY=USD", "XLFILL=b")</f>
        <v>-0.64468145993539361</v>
      </c>
      <c r="I229" s="9">
        <f>_xll.BQL("SAVE US Equity", "FA_GROWTH(CB_BS_PP_AND_E_NET, YOY)", "FPT=A", "FPO=1A", "ACT_EST_MAPPING=PRECISE", "FS=MRC", "CURRENCY=USD", "XLFILL=b")</f>
        <v>-7.5493072634552041</v>
      </c>
      <c r="J229" s="9">
        <f>_xll.BQL("SAVE US Equity", "FA_GROWTH(CB_BS_PP_AND_E_NET, YOY)", "FPT=A", "FPO=0A", "ACT_EST_MAPPING=PRECISE", "FS=MRC", "CURRENCY=USD", "XLFILL=b")</f>
        <v>-6.1440224798092968</v>
      </c>
      <c r="K229" s="9">
        <f>_xll.BQL("SAVE US Equity", "FA_GROWTH(CB_BS_PP_AND_E_NET, YOY)", "FPT=A", "FPO=-1A", "ACT_EST_MAPPING=PRECISE", "FS=MRC", "CURRENCY=USD", "XLFILL=b")</f>
        <v>-2.7769329042499429</v>
      </c>
      <c r="L229" s="9">
        <f>_xll.BQL("SAVE US Equity", "FA_GROWTH(CB_BS_PP_AND_E_NET, YOY)", "FPT=A", "FPO=-2A", "ACT_EST_MAPPING=PRECISE", "FS=MRC", "CURRENCY=USD", "XLFILL=b")</f>
        <v>0.65312686607676018</v>
      </c>
      <c r="M229" s="9">
        <f>_xll.BQL("SAVE US Equity", "FA_GROWTH(CB_BS_PP_AND_E_NET, YOY)", "FPT=A", "FPO=-3A", "ACT_EST_MAPPING=PRECISE", "FS=MRC", "CURRENCY=USD", "XLFILL=b")</f>
        <v>8.533717511986227</v>
      </c>
      <c r="N229" s="9">
        <f>_xll.BQL("SAVE US Equity", "FA_GROWTH(CB_BS_PP_AND_E_NET, YOY)", "FPT=A", "FPO=-4A", "ACT_EST_MAPPING=PRECISE", "FS=MRC", "CURRENCY=USD", "XLFILL=b")</f>
        <v>13.295520042926665</v>
      </c>
    </row>
    <row r="230" spans="1:14" x14ac:dyDescent="0.2">
      <c r="A230" s="8" t="s">
        <v>240</v>
      </c>
      <c r="B230" s="4" t="s">
        <v>241</v>
      </c>
      <c r="C230" s="4" t="s">
        <v>239</v>
      </c>
      <c r="D230" s="4"/>
      <c r="E230" s="9" t="str">
        <f>_xll.BQL("SAVE US Equity", "BS_OTHER_PPE_GROSS/1M", "FPT=A", "FPO=5A", "ACT_EST_MAPPING=PRECISE", "FS=MRC", "CURRENCY=USD", "XLFILL=b")</f>
        <v/>
      </c>
      <c r="F230" s="9" t="str">
        <f>_xll.BQL("SAVE US Equity", "BS_OTHER_PPE_GROSS/1M", "FPT=A", "FPO=4A", "ACT_EST_MAPPING=PRECISE", "FS=MRC", "CURRENCY=USD", "XLFILL=b")</f>
        <v/>
      </c>
      <c r="G230" s="9">
        <f>_xll.BQL("SAVE US Equity", "BS_OTHER_PPE_GROSS/1M", "FPT=A", "FPO=3A", "ACT_EST_MAPPING=PRECISE", "FS=MRC", "CURRENCY=USD", "XLFILL=b")</f>
        <v>785.33500000000004</v>
      </c>
      <c r="H230" s="9">
        <f>_xll.BQL("SAVE US Equity", "BS_OTHER_PPE_GROSS/1M", "FPT=A", "FPO=2A", "ACT_EST_MAPPING=PRECISE", "FS=MRC", "CURRENCY=USD", "XLFILL=b")</f>
        <v>785.33500000000004</v>
      </c>
      <c r="I230" s="9">
        <f>_xll.BQL("SAVE US Equity", "BS_OTHER_PPE_GROSS/1M", "FPT=A", "FPO=1A", "ACT_EST_MAPPING=PRECISE", "FS=MRC", "CURRENCY=USD", "XLFILL=b")</f>
        <v>785.33500000000004</v>
      </c>
      <c r="J230" s="9">
        <f>_xll.BQL("SAVE US Equity", "BS_OTHER_PPE_GROSS/1M", "FPT=A", "FPO=0A", "ACT_EST_MAPPING=PRECISE", "FS=MRC", "CURRENCY=USD", "XLFILL=b")</f>
        <v>726.36400000000003</v>
      </c>
      <c r="K230" s="9">
        <f>_xll.BQL("SAVE US Equity", "BS_OTHER_PPE_GROSS/1M", "FPT=A", "FPO=-1A", "ACT_EST_MAPPING=PRECISE", "FS=MRC", "CURRENCY=USD", "XLFILL=b")</f>
        <v>521.80200000000002</v>
      </c>
      <c r="L230" s="9">
        <f>_xll.BQL("SAVE US Equity", "BS_OTHER_PPE_GROSS/1M", "FPT=A", "FPO=-2A", "ACT_EST_MAPPING=PRECISE", "FS=MRC", "CURRENCY=USD", "XLFILL=b")</f>
        <v>384.928</v>
      </c>
      <c r="M230" s="9">
        <f>_xll.BQL("SAVE US Equity", "BS_OTHER_PPE_GROSS/1M", "FPT=A", "FPO=-3A", "ACT_EST_MAPPING=PRECISE", "FS=MRC", "CURRENCY=USD", "XLFILL=b")</f>
        <v>334.16699999999997</v>
      </c>
      <c r="N230" s="9">
        <f>_xll.BQL("SAVE US Equity", "BS_OTHER_PPE_GROSS/1M", "FPT=A", "FPO=-4A", "ACT_EST_MAPPING=PRECISE", "FS=MRC", "CURRENCY=USD", "XLFILL=b")</f>
        <v>291.99799999999999</v>
      </c>
    </row>
    <row r="231" spans="1:14" x14ac:dyDescent="0.2">
      <c r="A231" s="8" t="s">
        <v>242</v>
      </c>
      <c r="B231" s="4" t="s">
        <v>241</v>
      </c>
      <c r="C231" s="4" t="s">
        <v>239</v>
      </c>
      <c r="D231" s="4"/>
      <c r="E231" s="9" t="str">
        <f>_xll.BQL("SAVE US Equity", "FA_GROWTH(BS_OTHER_PPE_GROSS, YOY)", "FPT=A", "FPO=5A", "ACT_EST_MAPPING=PRECISE", "FS=MRC", "CURRENCY=USD", "XLFILL=b")</f>
        <v/>
      </c>
      <c r="F231" s="9" t="str">
        <f>_xll.BQL("SAVE US Equity", "FA_GROWTH(BS_OTHER_PPE_GROSS, YOY)", "FPT=A", "FPO=4A", "ACT_EST_MAPPING=PRECISE", "FS=MRC", "CURRENCY=USD", "XLFILL=b")</f>
        <v/>
      </c>
      <c r="G231" s="9">
        <f>_xll.BQL("SAVE US Equity", "FA_GROWTH(BS_OTHER_PPE_GROSS, YOY)", "FPT=A", "FPO=3A", "ACT_EST_MAPPING=PRECISE", "FS=MRC", "CURRENCY=USD", "XLFILL=b")</f>
        <v>0</v>
      </c>
      <c r="H231" s="9">
        <f>_xll.BQL("SAVE US Equity", "FA_GROWTH(BS_OTHER_PPE_GROSS, YOY)", "FPT=A", "FPO=2A", "ACT_EST_MAPPING=PRECISE", "FS=MRC", "CURRENCY=USD", "XLFILL=b")</f>
        <v>0</v>
      </c>
      <c r="I231" s="9">
        <f>_xll.BQL("SAVE US Equity", "FA_GROWTH(BS_OTHER_PPE_GROSS, YOY)", "FPT=A", "FPO=1A", "ACT_EST_MAPPING=PRECISE", "FS=MRC", "CURRENCY=USD", "XLFILL=b")</f>
        <v>8.1186567616236491</v>
      </c>
      <c r="J231" s="9">
        <f>_xll.BQL("SAVE US Equity", "FA_GROWTH(BS_OTHER_PPE_GROSS, YOY)", "FPT=A", "FPO=0A", "ACT_EST_MAPPING=PRECISE", "FS=MRC", "CURRENCY=USD", "XLFILL=b")</f>
        <v>39.202992706045585</v>
      </c>
      <c r="K231" s="9">
        <f>_xll.BQL("SAVE US Equity", "FA_GROWTH(BS_OTHER_PPE_GROSS, YOY)", "FPT=A", "FPO=-1A", "ACT_EST_MAPPING=PRECISE", "FS=MRC", "CURRENCY=USD", "XLFILL=b")</f>
        <v>35.55833818272508</v>
      </c>
      <c r="L231" s="9">
        <f>_xll.BQL("SAVE US Equity", "FA_GROWTH(BS_OTHER_PPE_GROSS, YOY)", "FPT=A", "FPO=-2A", "ACT_EST_MAPPING=PRECISE", "FS=MRC", "CURRENCY=USD", "XLFILL=b")</f>
        <v>15.190309037098217</v>
      </c>
      <c r="M231" s="9">
        <f>_xll.BQL("SAVE US Equity", "FA_GROWTH(BS_OTHER_PPE_GROSS, YOY)", "FPT=A", "FPO=-3A", "ACT_EST_MAPPING=PRECISE", "FS=MRC", "CURRENCY=USD", "XLFILL=b")</f>
        <v>14.441537270803225</v>
      </c>
      <c r="N231" s="9" t="str">
        <f>_xll.BQL("SAVE US Equity", "FA_GROWTH(BS_OTHER_PPE_GROSS, YOY)", "FPT=A", "FPO=-4A", "ACT_EST_MAPPING=PRECISE", "FS=MRC", "CURRENCY=USD", "XLFILL=b")</f>
        <v/>
      </c>
    </row>
    <row r="232" spans="1:14" x14ac:dyDescent="0.2">
      <c r="A232" s="8" t="s">
        <v>243</v>
      </c>
      <c r="B232" s="4" t="s">
        <v>244</v>
      </c>
      <c r="C232" s="4" t="s">
        <v>239</v>
      </c>
      <c r="D232" s="4"/>
      <c r="E232" s="9" t="str">
        <f>_xll.BQL("SAVE US Equity", "CB_BS_ACCUMULATED_DEPRECIATION/1M", "FPT=A", "FPO=5A", "ACT_EST_MAPPING=PRECISE", "FS=MRC", "CURRENCY=USD", "XLFILL=b")</f>
        <v/>
      </c>
      <c r="F232" s="9" t="str">
        <f>_xll.BQL("SAVE US Equity", "CB_BS_ACCUMULATED_DEPRECIATION/1M", "FPT=A", "FPO=4A", "ACT_EST_MAPPING=PRECISE", "FS=MRC", "CURRENCY=USD", "XLFILL=b")</f>
        <v/>
      </c>
      <c r="G232" s="9">
        <f>_xll.BQL("SAVE US Equity", "CB_BS_ACCUMULATED_DEPRECIATION/1M", "FPT=A", "FPO=3A", "ACT_EST_MAPPING=PRECISE", "FS=MRC", "CURRENCY=USD", "XLFILL=b")</f>
        <v>1945.4029999999996</v>
      </c>
      <c r="H232" s="9">
        <f>_xll.BQL("SAVE US Equity", "CB_BS_ACCUMULATED_DEPRECIATION/1M", "FPT=A", "FPO=2A", "ACT_EST_MAPPING=PRECISE", "FS=MRC", "CURRENCY=USD", "XLFILL=b")</f>
        <v>1674.6780000000001</v>
      </c>
      <c r="I232" s="9">
        <f>_xll.BQL("SAVE US Equity", "CB_BS_ACCUMULATED_DEPRECIATION/1M", "FPT=A", "FPO=1A", "ACT_EST_MAPPING=PRECISE", "FS=MRC", "CURRENCY=USD", "XLFILL=b")</f>
        <v>1386.5029999999999</v>
      </c>
      <c r="J232" s="9">
        <f>_xll.BQL("SAVE US Equity", "CB_BS_ACCUMULATED_DEPRECIATION/1M", "FPT=A", "FPO=0A", "ACT_EST_MAPPING=PRECISE", "FS=MRC", "CURRENCY=USD", "XLFILL=b")</f>
        <v>1169.021</v>
      </c>
      <c r="K232" s="9">
        <f>_xll.BQL("SAVE US Equity", "CB_BS_ACCUMULATED_DEPRECIATION/1M", "FPT=A", "FPO=-1A", "ACT_EST_MAPPING=PRECISE", "FS=MRC", "CURRENCY=USD", "XLFILL=b")</f>
        <v>1098.819</v>
      </c>
      <c r="L232" s="9">
        <f>_xll.BQL("SAVE US Equity", "CB_BS_ACCUMULATED_DEPRECIATION/1M", "FPT=A", "FPO=-2A", "ACT_EST_MAPPING=PRECISE", "FS=MRC", "CURRENCY=USD", "XLFILL=b")</f>
        <v>884.85799999999995</v>
      </c>
      <c r="M232" s="9">
        <f>_xll.BQL("SAVE US Equity", "CB_BS_ACCUMULATED_DEPRECIATION/1M", "FPT=A", "FPO=-3A", "ACT_EST_MAPPING=PRECISE", "FS=MRC", "CURRENCY=USD", "XLFILL=b")</f>
        <v>680.23</v>
      </c>
      <c r="N232" s="9">
        <f>_xll.BQL("SAVE US Equity", "CB_BS_ACCUMULATED_DEPRECIATION/1M", "FPT=A", "FPO=-4A", "ACT_EST_MAPPING=PRECISE", "FS=MRC", "CURRENCY=USD", "XLFILL=b")</f>
        <v>492.447</v>
      </c>
    </row>
    <row r="233" spans="1:14" x14ac:dyDescent="0.2">
      <c r="A233" s="8" t="s">
        <v>242</v>
      </c>
      <c r="B233" s="4" t="s">
        <v>244</v>
      </c>
      <c r="C233" s="4" t="s">
        <v>239</v>
      </c>
      <c r="D233" s="4"/>
      <c r="E233" s="9" t="str">
        <f>_xll.BQL("SAVE US Equity", "FA_GROWTH(CB_BS_ACCUMULATED_DEPRECIATION, YOY)", "FPT=A", "FPO=5A", "ACT_EST_MAPPING=PRECISE", "FS=MRC", "CURRENCY=USD", "XLFILL=b")</f>
        <v/>
      </c>
      <c r="F233" s="9" t="str">
        <f>_xll.BQL("SAVE US Equity", "FA_GROWTH(CB_BS_ACCUMULATED_DEPRECIATION, YOY)", "FPT=A", "FPO=4A", "ACT_EST_MAPPING=PRECISE", "FS=MRC", "CURRENCY=USD", "XLFILL=b")</f>
        <v/>
      </c>
      <c r="G233" s="9">
        <f>_xll.BQL("SAVE US Equity", "FA_GROWTH(CB_BS_ACCUMULATED_DEPRECIATION, YOY)", "FPT=A", "FPO=3A", "ACT_EST_MAPPING=PRECISE", "FS=MRC", "CURRENCY=USD", "XLFILL=b")</f>
        <v>16.165794260150282</v>
      </c>
      <c r="H233" s="9">
        <f>_xll.BQL("SAVE US Equity", "FA_GROWTH(CB_BS_ACCUMULATED_DEPRECIATION, YOY)", "FPT=A", "FPO=2A", "ACT_EST_MAPPING=PRECISE", "FS=MRC", "CURRENCY=USD", "XLFILL=b")</f>
        <v>20.784304108970552</v>
      </c>
      <c r="I233" s="9">
        <f>_xll.BQL("SAVE US Equity", "FA_GROWTH(CB_BS_ACCUMULATED_DEPRECIATION, YOY)", "FPT=A", "FPO=1A", "ACT_EST_MAPPING=PRECISE", "FS=MRC", "CURRENCY=USD", "XLFILL=b")</f>
        <v>18.603771874072407</v>
      </c>
      <c r="J233" s="9">
        <f>_xll.BQL("SAVE US Equity", "FA_GROWTH(CB_BS_ACCUMULATED_DEPRECIATION, YOY)", "FPT=A", "FPO=0A", "ACT_EST_MAPPING=PRECISE", "FS=MRC", "CURRENCY=USD", "XLFILL=b")</f>
        <v>6.3888593116791759</v>
      </c>
      <c r="K233" s="9">
        <f>_xll.BQL("SAVE US Equity", "FA_GROWTH(CB_BS_ACCUMULATED_DEPRECIATION, YOY)", "FPT=A", "FPO=-1A", "ACT_EST_MAPPING=PRECISE", "FS=MRC", "CURRENCY=USD", "XLFILL=b")</f>
        <v>24.180263951956132</v>
      </c>
      <c r="L233" s="9">
        <f>_xll.BQL("SAVE US Equity", "FA_GROWTH(CB_BS_ACCUMULATED_DEPRECIATION, YOY)", "FPT=A", "FPO=-2A", "ACT_EST_MAPPING=PRECISE", "FS=MRC", "CURRENCY=USD", "XLFILL=b")</f>
        <v>30.082178086823575</v>
      </c>
      <c r="M233" s="9">
        <f>_xll.BQL("SAVE US Equity", "FA_GROWTH(CB_BS_ACCUMULATED_DEPRECIATION, YOY)", "FPT=A", "FPO=-3A", "ACT_EST_MAPPING=PRECISE", "FS=MRC", "CURRENCY=USD", "XLFILL=b")</f>
        <v>38.132631531921199</v>
      </c>
      <c r="N233" s="9">
        <f>_xll.BQL("SAVE US Equity", "FA_GROWTH(CB_BS_ACCUMULATED_DEPRECIATION, YOY)", "FPT=A", "FPO=-4A", "ACT_EST_MAPPING=PRECISE", "FS=MRC", "CURRENCY=USD", "XLFILL=b")</f>
        <v>47.942402903287828</v>
      </c>
    </row>
    <row r="234" spans="1:14" x14ac:dyDescent="0.2">
      <c r="A234" s="8" t="s">
        <v>245</v>
      </c>
      <c r="B234" s="4" t="s">
        <v>246</v>
      </c>
      <c r="C234" s="4" t="s">
        <v>247</v>
      </c>
      <c r="D234" s="4"/>
      <c r="E234" s="9">
        <f>_xll.BQL("SAVE US Equity", "TOT_OPER_LEA_RT_OF_USE_ASSETS/1M", "FPT=A", "FPO=5A", "ACT_EST_MAPPING=PRECISE", "FS=MRC", "CURRENCY=USD", "XLFILL=b")</f>
        <v>4156.8100000000004</v>
      </c>
      <c r="F234" s="9">
        <f>_xll.BQL("SAVE US Equity", "TOT_OPER_LEA_RT_OF_USE_ASSETS/1M", "FPT=A", "FPO=4A", "ACT_EST_MAPPING=PRECISE", "FS=MRC", "CURRENCY=USD", "XLFILL=b")</f>
        <v>4156.8100000000004</v>
      </c>
      <c r="G234" s="9">
        <f>_xll.BQL("SAVE US Equity", "TOT_OPER_LEA_RT_OF_USE_ASSETS/1M", "FPT=A", "FPO=3A", "ACT_EST_MAPPING=PRECISE", "FS=MRC", "CURRENCY=USD", "XLFILL=b")</f>
        <v>4156.8100000000004</v>
      </c>
      <c r="H234" s="9">
        <f>_xll.BQL("SAVE US Equity", "TOT_OPER_LEA_RT_OF_USE_ASSETS/1M", "FPT=A", "FPO=2A", "ACT_EST_MAPPING=PRECISE", "FS=MRC", "CURRENCY=USD", "XLFILL=b")</f>
        <v>4021.7044596160003</v>
      </c>
      <c r="I234" s="9">
        <f>_xll.BQL("SAVE US Equity", "TOT_OPER_LEA_RT_OF_USE_ASSETS/1M", "FPT=A", "FPO=1A", "ACT_EST_MAPPING=PRECISE", "FS=MRC", "CURRENCY=USD", "XLFILL=b")</f>
        <v>4049.1316648000002</v>
      </c>
      <c r="J234" s="9">
        <f>_xll.BQL("SAVE US Equity", "TOT_OPER_LEA_RT_OF_USE_ASSETS/1M", "FPT=A", "FPO=0A", "ACT_EST_MAPPING=PRECISE", "FS=MRC", "CURRENCY=USD", "XLFILL=b")</f>
        <v>3561.0279999999998</v>
      </c>
      <c r="K234" s="9">
        <f>_xll.BQL("SAVE US Equity", "TOT_OPER_LEA_RT_OF_USE_ASSETS/1M", "FPT=A", "FPO=-1A", "ACT_EST_MAPPING=PRECISE", "FS=MRC", "CURRENCY=USD", "XLFILL=b")</f>
        <v>2699.5740000000001</v>
      </c>
      <c r="L234" s="9">
        <f>_xll.BQL("SAVE US Equity", "TOT_OPER_LEA_RT_OF_USE_ASSETS/1M", "FPT=A", "FPO=-2A", "ACT_EST_MAPPING=PRECISE", "FS=MRC", "CURRENCY=USD", "XLFILL=b")</f>
        <v>1950.52</v>
      </c>
      <c r="M234" s="9">
        <f>_xll.BQL("SAVE US Equity", "TOT_OPER_LEA_RT_OF_USE_ASSETS/1M", "FPT=A", "FPO=-3A", "ACT_EST_MAPPING=PRECISE", "FS=MRC", "CURRENCY=USD", "XLFILL=b")</f>
        <v>1417.8230000000001</v>
      </c>
      <c r="N234" s="9">
        <f>_xll.BQL("SAVE US Equity", "TOT_OPER_LEA_RT_OF_USE_ASSETS/1M", "FPT=A", "FPO=-4A", "ACT_EST_MAPPING=PRECISE", "FS=MRC", "CURRENCY=USD", "XLFILL=b")</f>
        <v>1369.5550000000001</v>
      </c>
    </row>
    <row r="235" spans="1:14" x14ac:dyDescent="0.2">
      <c r="A235" s="8" t="s">
        <v>92</v>
      </c>
      <c r="B235" s="4" t="s">
        <v>246</v>
      </c>
      <c r="C235" s="4" t="s">
        <v>247</v>
      </c>
      <c r="D235" s="4"/>
      <c r="E235" s="9">
        <f>_xll.BQL("SAVE US Equity", "FA_GROWTH(TOT_OPER_LEA_RT_OF_USE_ASSETS, YOY)", "FPT=A", "FPO=5A", "ACT_EST_MAPPING=PRECISE", "FS=MRC", "CURRENCY=USD", "XLFILL=b")</f>
        <v>0</v>
      </c>
      <c r="F235" s="9">
        <f>_xll.BQL("SAVE US Equity", "FA_GROWTH(TOT_OPER_LEA_RT_OF_USE_ASSETS, YOY)", "FPT=A", "FPO=4A", "ACT_EST_MAPPING=PRECISE", "FS=MRC", "CURRENCY=USD", "XLFILL=b")</f>
        <v>0</v>
      </c>
      <c r="G235" s="9">
        <f>_xll.BQL("SAVE US Equity", "FA_GROWTH(TOT_OPER_LEA_RT_OF_USE_ASSETS, YOY)", "FPT=A", "FPO=3A", "ACT_EST_MAPPING=PRECISE", "FS=MRC", "CURRENCY=USD", "XLFILL=b")</f>
        <v>3.3594099651196259</v>
      </c>
      <c r="H235" s="9">
        <f>_xll.BQL("SAVE US Equity", "FA_GROWTH(TOT_OPER_LEA_RT_OF_USE_ASSETS, YOY)", "FPT=A", "FPO=2A", "ACT_EST_MAPPING=PRECISE", "FS=MRC", "CURRENCY=USD", "XLFILL=b")</f>
        <v>-0.67736017137774984</v>
      </c>
      <c r="I235" s="9">
        <f>_xll.BQL("SAVE US Equity", "FA_GROWTH(TOT_OPER_LEA_RT_OF_USE_ASSETS, YOY)", "FPT=A", "FPO=1A", "ACT_EST_MAPPING=PRECISE", "FS=MRC", "CURRENCY=USD", "XLFILL=b")</f>
        <v>13.70681906460719</v>
      </c>
      <c r="J235" s="9">
        <f>_xll.BQL("SAVE US Equity", "FA_GROWTH(TOT_OPER_LEA_RT_OF_USE_ASSETS, YOY)", "FPT=A", "FPO=0A", "ACT_EST_MAPPING=PRECISE", "FS=MRC", "CURRENCY=USD", "XLFILL=b")</f>
        <v>31.910738509112921</v>
      </c>
      <c r="K235" s="9">
        <f>_xll.BQL("SAVE US Equity", "FA_GROWTH(TOT_OPER_LEA_RT_OF_USE_ASSETS, YOY)", "FPT=A", "FPO=-1A", "ACT_EST_MAPPING=PRECISE", "FS=MRC", "CURRENCY=USD", "XLFILL=b")</f>
        <v>38.402784898386074</v>
      </c>
      <c r="L235" s="9">
        <f>_xll.BQL("SAVE US Equity", "FA_GROWTH(TOT_OPER_LEA_RT_OF_USE_ASSETS, YOY)", "FPT=A", "FPO=-2A", "ACT_EST_MAPPING=PRECISE", "FS=MRC", "CURRENCY=USD", "XLFILL=b")</f>
        <v>37.571474013328888</v>
      </c>
      <c r="M235" s="9">
        <f>_xll.BQL("SAVE US Equity", "FA_GROWTH(TOT_OPER_LEA_RT_OF_USE_ASSETS, YOY)", "FPT=A", "FPO=-3A", "ACT_EST_MAPPING=PRECISE", "FS=MRC", "CURRENCY=USD", "XLFILL=b")</f>
        <v>3.5243564515481305</v>
      </c>
      <c r="N235" s="9" t="str">
        <f>_xll.BQL("SAVE US Equity", "FA_GROWTH(TOT_OPER_LEA_RT_OF_USE_ASSETS, YOY)", "FPT=A", "FPO=-4A", "ACT_EST_MAPPING=PRECISE", "FS=MRC", "CURRENCY=USD", "XLFILL=b")</f>
        <v/>
      </c>
    </row>
    <row r="236" spans="1:14" x14ac:dyDescent="0.2">
      <c r="A236" s="8" t="s">
        <v>248</v>
      </c>
      <c r="B236" s="4" t="s">
        <v>249</v>
      </c>
      <c r="C236" s="4" t="s">
        <v>250</v>
      </c>
      <c r="D236" s="4"/>
      <c r="E236" s="9" t="str">
        <f>_xll.BQL("SAVE US Equity", "BS_PV_OF_CAPITAL_LEASE_YR_4/1M", "FPT=A", "FPO=5A", "ACT_EST_MAPPING=PRECISE", "FS=MRC", "CURRENCY=USD", "XLFILL=b")</f>
        <v/>
      </c>
      <c r="F236" s="9" t="str">
        <f>_xll.BQL("SAVE US Equity", "BS_PV_OF_CAPITAL_LEASE_YR_4/1M", "FPT=A", "FPO=4A", "ACT_EST_MAPPING=PRECISE", "FS=MRC", "CURRENCY=USD", "XLFILL=b")</f>
        <v/>
      </c>
      <c r="G236" s="9">
        <f>_xll.BQL("SAVE US Equity", "BS_PV_OF_CAPITAL_LEASE_YR_4/1M", "FPT=A", "FPO=3A", "ACT_EST_MAPPING=PRECISE", "FS=MRC", "CURRENCY=USD", "XLFILL=b")</f>
        <v>339.27363959879733</v>
      </c>
      <c r="H236" s="9">
        <f>_xll.BQL("SAVE US Equity", "BS_PV_OF_CAPITAL_LEASE_YR_4/1M", "FPT=A", "FPO=2A", "ACT_EST_MAPPING=PRECISE", "FS=MRC", "CURRENCY=USD", "XLFILL=b")</f>
        <v>339.98189952779558</v>
      </c>
      <c r="I236" s="9">
        <f>_xll.BQL("SAVE US Equity", "BS_PV_OF_CAPITAL_LEASE_YR_4/1M", "FPT=A", "FPO=1A", "ACT_EST_MAPPING=PRECISE", "FS=MRC", "CURRENCY=USD", "XLFILL=b")</f>
        <v>371.12100700000002</v>
      </c>
      <c r="J236" s="9" t="str">
        <f>_xll.BQL("SAVE US Equity", "BS_PV_OF_CAPITAL_LEASE_YR_4/1M", "FPT=A", "FPO=0A", "ACT_EST_MAPPING=PRECISE", "FS=MRC", "CURRENCY=USD", "XLFILL=b")</f>
        <v/>
      </c>
      <c r="K236" s="9" t="str">
        <f>_xll.BQL("SAVE US Equity", "BS_PV_OF_CAPITAL_LEASE_YR_4/1M", "FPT=A", "FPO=-1A", "ACT_EST_MAPPING=PRECISE", "FS=MRC", "CURRENCY=USD", "XLFILL=b")</f>
        <v/>
      </c>
      <c r="L236" s="9" t="str">
        <f>_xll.BQL("SAVE US Equity", "BS_PV_OF_CAPITAL_LEASE_YR_4/1M", "FPT=A", "FPO=-2A", "ACT_EST_MAPPING=PRECISE", "FS=MRC", "CURRENCY=USD", "XLFILL=b")</f>
        <v/>
      </c>
      <c r="M236" s="9" t="str">
        <f>_xll.BQL("SAVE US Equity", "BS_PV_OF_CAPITAL_LEASE_YR_4/1M", "FPT=A", "FPO=-3A", "ACT_EST_MAPPING=PRECISE", "FS=MRC", "CURRENCY=USD", "XLFILL=b")</f>
        <v/>
      </c>
      <c r="N236" s="9" t="str">
        <f>_xll.BQL("SAVE US Equity", "BS_PV_OF_CAPITAL_LEASE_YR_4/1M", "FPT=A", "FPO=-4A", "ACT_EST_MAPPING=PRECISE", "FS=MRC", "CURRENCY=USD", "XLFILL=b")</f>
        <v/>
      </c>
    </row>
    <row r="237" spans="1:14" x14ac:dyDescent="0.2">
      <c r="A237" s="8" t="s">
        <v>92</v>
      </c>
      <c r="B237" s="4" t="s">
        <v>249</v>
      </c>
      <c r="C237" s="4" t="s">
        <v>250</v>
      </c>
      <c r="D237" s="4"/>
      <c r="E237" s="9" t="str">
        <f>_xll.BQL("SAVE US Equity", "FA_GROWTH(BS_PV_OF_CAPITAL_LEASE_YR_4, YOY)", "FPT=A", "FPO=5A", "ACT_EST_MAPPING=PRECISE", "FS=MRC", "CURRENCY=USD", "XLFILL=b")</f>
        <v/>
      </c>
      <c r="F237" s="9" t="str">
        <f>_xll.BQL("SAVE US Equity", "FA_GROWTH(BS_PV_OF_CAPITAL_LEASE_YR_4, YOY)", "FPT=A", "FPO=4A", "ACT_EST_MAPPING=PRECISE", "FS=MRC", "CURRENCY=USD", "XLFILL=b")</f>
        <v/>
      </c>
      <c r="G237" s="9">
        <f>_xll.BQL("SAVE US Equity", "FA_GROWTH(BS_PV_OF_CAPITAL_LEASE_YR_4, YOY)", "FPT=A", "FPO=3A", "ACT_EST_MAPPING=PRECISE", "FS=MRC", "CURRENCY=USD", "XLFILL=b")</f>
        <v>-0.20832283423968792</v>
      </c>
      <c r="H237" s="9">
        <f>_xll.BQL("SAVE US Equity", "FA_GROWTH(BS_PV_OF_CAPITAL_LEASE_YR_4, YOY)", "FPT=A", "FPO=2A", "ACT_EST_MAPPING=PRECISE", "FS=MRC", "CURRENCY=USD", "XLFILL=b")</f>
        <v>-8.3905537236819487</v>
      </c>
      <c r="I237" s="9" t="str">
        <f>_xll.BQL("SAVE US Equity", "FA_GROWTH(BS_PV_OF_CAPITAL_LEASE_YR_4, YOY)", "FPT=A", "FPO=1A", "ACT_EST_MAPPING=PRECISE", "FS=MRC", "CURRENCY=USD", "XLFILL=b")</f>
        <v/>
      </c>
      <c r="J237" s="9" t="str">
        <f>_xll.BQL("SAVE US Equity", "FA_GROWTH(BS_PV_OF_CAPITAL_LEASE_YR_4, YOY)", "FPT=A", "FPO=0A", "ACT_EST_MAPPING=PRECISE", "FS=MRC", "CURRENCY=USD", "XLFILL=b")</f>
        <v/>
      </c>
      <c r="K237" s="9" t="str">
        <f>_xll.BQL("SAVE US Equity", "FA_GROWTH(BS_PV_OF_CAPITAL_LEASE_YR_4, YOY)", "FPT=A", "FPO=-1A", "ACT_EST_MAPPING=PRECISE", "FS=MRC", "CURRENCY=USD", "XLFILL=b")</f>
        <v/>
      </c>
      <c r="L237" s="9" t="str">
        <f>_xll.BQL("SAVE US Equity", "FA_GROWTH(BS_PV_OF_CAPITAL_LEASE_YR_4, YOY)", "FPT=A", "FPO=-2A", "ACT_EST_MAPPING=PRECISE", "FS=MRC", "CURRENCY=USD", "XLFILL=b")</f>
        <v/>
      </c>
      <c r="M237" s="9" t="str">
        <f>_xll.BQL("SAVE US Equity", "FA_GROWTH(BS_PV_OF_CAPITAL_LEASE_YR_4, YOY)", "FPT=A", "FPO=-3A", "ACT_EST_MAPPING=PRECISE", "FS=MRC", "CURRENCY=USD", "XLFILL=b")</f>
        <v/>
      </c>
      <c r="N237" s="9" t="str">
        <f>_xll.BQL("SAVE US Equity", "FA_GROWTH(BS_PV_OF_CAPITAL_LEASE_YR_4, YOY)", "FPT=A", "FPO=-4A", "ACT_EST_MAPPING=PRECISE", "FS=MRC", "CURRENCY=USD", "XLFILL=b")</f>
        <v/>
      </c>
    </row>
    <row r="238" spans="1:14" x14ac:dyDescent="0.2">
      <c r="A238" s="8" t="s">
        <v>251</v>
      </c>
      <c r="B238" s="4" t="s">
        <v>252</v>
      </c>
      <c r="C238" s="4" t="s">
        <v>253</v>
      </c>
      <c r="D238" s="4"/>
      <c r="E238" s="9" t="str">
        <f>_xll.BQL("SAVE US Equity", "BS_PREPAID_EXPENSE_LT/1M", "FPT=A", "FPO=5A", "ACT_EST_MAPPING=PRECISE", "FS=MRC", "CURRENCY=USD", "XLFILL=b")</f>
        <v/>
      </c>
      <c r="F238" s="9" t="str">
        <f>_xll.BQL("SAVE US Equity", "BS_PREPAID_EXPENSE_LT/1M", "FPT=A", "FPO=4A", "ACT_EST_MAPPING=PRECISE", "FS=MRC", "CURRENCY=USD", "XLFILL=b")</f>
        <v/>
      </c>
      <c r="G238" s="9">
        <f>_xll.BQL("SAVE US Equity", "BS_PREPAID_EXPENSE_LT/1M", "FPT=A", "FPO=3A", "ACT_EST_MAPPING=PRECISE", "FS=MRC", "CURRENCY=USD", "XLFILL=b")</f>
        <v>36</v>
      </c>
      <c r="H238" s="9">
        <f>_xll.BQL("SAVE US Equity", "BS_PREPAID_EXPENSE_LT/1M", "FPT=A", "FPO=2A", "ACT_EST_MAPPING=PRECISE", "FS=MRC", "CURRENCY=USD", "XLFILL=b")</f>
        <v>24</v>
      </c>
      <c r="I238" s="9">
        <f>_xll.BQL("SAVE US Equity", "BS_PREPAID_EXPENSE_LT/1M", "FPT=A", "FPO=1A", "ACT_EST_MAPPING=PRECISE", "FS=MRC", "CURRENCY=USD", "XLFILL=b")</f>
        <v>12</v>
      </c>
      <c r="J238" s="9">
        <f>_xll.BQL("SAVE US Equity", "BS_PREPAID_EXPENSE_LT/1M", "FPT=A", "FPO=0A", "ACT_EST_MAPPING=PRECISE", "FS=MRC", "CURRENCY=USD", "XLFILL=b")</f>
        <v>0</v>
      </c>
      <c r="K238" s="9">
        <f>_xll.BQL("SAVE US Equity", "BS_PREPAID_EXPENSE_LT/1M", "FPT=A", "FPO=-1A", "ACT_EST_MAPPING=PRECISE", "FS=MRC", "CURRENCY=USD", "XLFILL=b")</f>
        <v>0</v>
      </c>
      <c r="L238" s="9">
        <f>_xll.BQL("SAVE US Equity", "BS_PREPAID_EXPENSE_LT/1M", "FPT=A", "FPO=-2A", "ACT_EST_MAPPING=PRECISE", "FS=MRC", "CURRENCY=USD", "XLFILL=b")</f>
        <v>38.165999999999997</v>
      </c>
      <c r="M238" s="9">
        <f>_xll.BQL("SAVE US Equity", "BS_PREPAID_EXPENSE_LT/1M", "FPT=A", "FPO=-3A", "ACT_EST_MAPPING=PRECISE", "FS=MRC", "CURRENCY=USD", "XLFILL=b")</f>
        <v>53.158000000000001</v>
      </c>
      <c r="N238" s="9">
        <f>_xll.BQL("SAVE US Equity", "BS_PREPAID_EXPENSE_LT/1M", "FPT=A", "FPO=-4A", "ACT_EST_MAPPING=PRECISE", "FS=MRC", "CURRENCY=USD", "XLFILL=b")</f>
        <v>67.682000000000002</v>
      </c>
    </row>
    <row r="239" spans="1:14" x14ac:dyDescent="0.2">
      <c r="A239" s="8" t="s">
        <v>92</v>
      </c>
      <c r="B239" s="4" t="s">
        <v>252</v>
      </c>
      <c r="C239" s="4" t="s">
        <v>253</v>
      </c>
      <c r="D239" s="4"/>
      <c r="E239" s="9" t="str">
        <f>_xll.BQL("SAVE US Equity", "FA_GROWTH(BS_PREPAID_EXPENSE_LT, YOY)", "FPT=A", "FPO=5A", "ACT_EST_MAPPING=PRECISE", "FS=MRC", "CURRENCY=USD", "XLFILL=b")</f>
        <v/>
      </c>
      <c r="F239" s="9" t="str">
        <f>_xll.BQL("SAVE US Equity", "FA_GROWTH(BS_PREPAID_EXPENSE_LT, YOY)", "FPT=A", "FPO=4A", "ACT_EST_MAPPING=PRECISE", "FS=MRC", "CURRENCY=USD", "XLFILL=b")</f>
        <v/>
      </c>
      <c r="G239" s="9">
        <f>_xll.BQL("SAVE US Equity", "FA_GROWTH(BS_PREPAID_EXPENSE_LT, YOY)", "FPT=A", "FPO=3A", "ACT_EST_MAPPING=PRECISE", "FS=MRC", "CURRENCY=USD", "XLFILL=b")</f>
        <v>50</v>
      </c>
      <c r="H239" s="9">
        <f>_xll.BQL("SAVE US Equity", "FA_GROWTH(BS_PREPAID_EXPENSE_LT, YOY)", "FPT=A", "FPO=2A", "ACT_EST_MAPPING=PRECISE", "FS=MRC", "CURRENCY=USD", "XLFILL=b")</f>
        <v>100</v>
      </c>
      <c r="I239" s="9" t="str">
        <f>_xll.BQL("SAVE US Equity", "FA_GROWTH(BS_PREPAID_EXPENSE_LT, YOY)", "FPT=A", "FPO=1A", "ACT_EST_MAPPING=PRECISE", "FS=MRC", "CURRENCY=USD", "XLFILL=b")</f>
        <v/>
      </c>
      <c r="J239" s="9" t="str">
        <f>_xll.BQL("SAVE US Equity", "FA_GROWTH(BS_PREPAID_EXPENSE_LT, YOY)", "FPT=A", "FPO=0A", "ACT_EST_MAPPING=PRECISE", "FS=MRC", "CURRENCY=USD", "XLFILL=b")</f>
        <v/>
      </c>
      <c r="K239" s="9">
        <f>_xll.BQL("SAVE US Equity", "FA_GROWTH(BS_PREPAID_EXPENSE_LT, YOY)", "FPT=A", "FPO=-1A", "ACT_EST_MAPPING=PRECISE", "FS=MRC", "CURRENCY=USD", "XLFILL=b")</f>
        <v>-100</v>
      </c>
      <c r="L239" s="9">
        <f>_xll.BQL("SAVE US Equity", "FA_GROWTH(BS_PREPAID_EXPENSE_LT, YOY)", "FPT=A", "FPO=-2A", "ACT_EST_MAPPING=PRECISE", "FS=MRC", "CURRENCY=USD", "XLFILL=b")</f>
        <v>-28.202716430264495</v>
      </c>
      <c r="M239" s="9">
        <f>_xll.BQL("SAVE US Equity", "FA_GROWTH(BS_PREPAID_EXPENSE_LT, YOY)", "FPT=A", "FPO=-3A", "ACT_EST_MAPPING=PRECISE", "FS=MRC", "CURRENCY=USD", "XLFILL=b")</f>
        <v>-21.459176738276057</v>
      </c>
      <c r="N239" s="9">
        <f>_xll.BQL("SAVE US Equity", "FA_GROWTH(BS_PREPAID_EXPENSE_LT, YOY)", "FPT=A", "FPO=-4A", "ACT_EST_MAPPING=PRECISE", "FS=MRC", "CURRENCY=USD", "XLFILL=b")</f>
        <v>-51.215961020052184</v>
      </c>
    </row>
    <row r="240" spans="1:14" x14ac:dyDescent="0.2">
      <c r="A240" s="8" t="s">
        <v>254</v>
      </c>
      <c r="B240" s="4" t="s">
        <v>255</v>
      </c>
      <c r="C240" s="4" t="s">
        <v>256</v>
      </c>
      <c r="D240" s="4"/>
      <c r="E240" s="9" t="str">
        <f>_xll.BQL("SAVE US Equity", "CB_BS_DEFERRED_COST_LT/1M", "FPT=A", "FPO=5A", "ACT_EST_MAPPING=PRECISE", "FS=MRC", "CURRENCY=USD", "XLFILL=b")</f>
        <v/>
      </c>
      <c r="F240" s="9" t="str">
        <f>_xll.BQL("SAVE US Equity", "CB_BS_DEFERRED_COST_LT/1M", "FPT=A", "FPO=4A", "ACT_EST_MAPPING=PRECISE", "FS=MRC", "CURRENCY=USD", "XLFILL=b")</f>
        <v/>
      </c>
      <c r="G240" s="9">
        <f>_xll.BQL("SAVE US Equity", "CB_BS_DEFERRED_COST_LT/1M", "FPT=A", "FPO=3A", "ACT_EST_MAPPING=PRECISE", "FS=MRC", "CURRENCY=USD", "XLFILL=b")</f>
        <v>306.74599999999998</v>
      </c>
      <c r="H240" s="9">
        <f>_xll.BQL("SAVE US Equity", "CB_BS_DEFERRED_COST_LT/1M", "FPT=A", "FPO=2A", "ACT_EST_MAPPING=PRECISE", "FS=MRC", "CURRENCY=USD", "XLFILL=b")</f>
        <v>308.99900000000002</v>
      </c>
      <c r="I240" s="9">
        <f>_xll.BQL("SAVE US Equity", "CB_BS_DEFERRED_COST_LT/1M", "FPT=A", "FPO=1A", "ACT_EST_MAPPING=PRECISE", "FS=MRC", "CURRENCY=USD", "XLFILL=b")</f>
        <v>308.99900000000002</v>
      </c>
      <c r="J240" s="9">
        <f>_xll.BQL("SAVE US Equity", "CB_BS_DEFERRED_COST_LT/1M", "FPT=A", "FPO=0A", "ACT_EST_MAPPING=PRECISE", "FS=MRC", "CURRENCY=USD", "XLFILL=b")</f>
        <v>313.505</v>
      </c>
      <c r="K240" s="9">
        <f>_xll.BQL("SAVE US Equity", "CB_BS_DEFERRED_COST_LT/1M", "FPT=A", "FPO=-1A", "ACT_EST_MAPPING=PRECISE", "FS=MRC", "CURRENCY=USD", "XLFILL=b")</f>
        <v>190.34899999999999</v>
      </c>
      <c r="L240" s="9">
        <f>_xll.BQL("SAVE US Equity", "CB_BS_DEFERRED_COST_LT/1M", "FPT=A", "FPO=-2A", "ACT_EST_MAPPING=PRECISE", "FS=MRC", "CURRENCY=USD", "XLFILL=b")</f>
        <v>330.06200000000001</v>
      </c>
      <c r="M240" s="9">
        <f>_xll.BQL("SAVE US Equity", "CB_BS_DEFERRED_COST_LT/1M", "FPT=A", "FPO=-3A", "ACT_EST_MAPPING=PRECISE", "FS=MRC", "CURRENCY=USD", "XLFILL=b")</f>
        <v>347.90699999999998</v>
      </c>
      <c r="N240" s="9">
        <f>_xll.BQL("SAVE US Equity", "CB_BS_DEFERRED_COST_LT/1M", "FPT=A", "FPO=-4A", "ACT_EST_MAPPING=PRECISE", "FS=MRC", "CURRENCY=USD", "XLFILL=b")</f>
        <v>361.60300000000001</v>
      </c>
    </row>
    <row r="241" spans="1:14" x14ac:dyDescent="0.2">
      <c r="A241" s="8" t="s">
        <v>92</v>
      </c>
      <c r="B241" s="4" t="s">
        <v>255</v>
      </c>
      <c r="C241" s="4" t="s">
        <v>256</v>
      </c>
      <c r="D241" s="4"/>
      <c r="E241" s="9" t="str">
        <f>_xll.BQL("SAVE US Equity", "FA_GROWTH(CB_BS_DEFERRED_COST_LT, YOY)", "FPT=A", "FPO=5A", "ACT_EST_MAPPING=PRECISE", "FS=MRC", "CURRENCY=USD", "XLFILL=b")</f>
        <v/>
      </c>
      <c r="F241" s="9" t="str">
        <f>_xll.BQL("SAVE US Equity", "FA_GROWTH(CB_BS_DEFERRED_COST_LT, YOY)", "FPT=A", "FPO=4A", "ACT_EST_MAPPING=PRECISE", "FS=MRC", "CURRENCY=USD", "XLFILL=b")</f>
        <v/>
      </c>
      <c r="G241" s="9">
        <f>_xll.BQL("SAVE US Equity", "FA_GROWTH(CB_BS_DEFERRED_COST_LT, YOY)", "FPT=A", "FPO=3A", "ACT_EST_MAPPING=PRECISE", "FS=MRC", "CURRENCY=USD", "XLFILL=b")</f>
        <v>-0.72912857323162861</v>
      </c>
      <c r="H241" s="9">
        <f>_xll.BQL("SAVE US Equity", "FA_GROWTH(CB_BS_DEFERRED_COST_LT, YOY)", "FPT=A", "FPO=2A", "ACT_EST_MAPPING=PRECISE", "FS=MRC", "CURRENCY=USD", "XLFILL=b")</f>
        <v>0</v>
      </c>
      <c r="I241" s="9">
        <f>_xll.BQL("SAVE US Equity", "FA_GROWTH(CB_BS_DEFERRED_COST_LT, YOY)", "FPT=A", "FPO=1A", "ACT_EST_MAPPING=PRECISE", "FS=MRC", "CURRENCY=USD", "XLFILL=b")</f>
        <v>-1.4372976507551714</v>
      </c>
      <c r="J241" s="9">
        <f>_xll.BQL("SAVE US Equity", "FA_GROWTH(CB_BS_DEFERRED_COST_LT, YOY)", "FPT=A", "FPO=0A", "ACT_EST_MAPPING=PRECISE", "FS=MRC", "CURRENCY=USD", "XLFILL=b")</f>
        <v>64.700103494108191</v>
      </c>
      <c r="K241" s="9">
        <f>_xll.BQL("SAVE US Equity", "FA_GROWTH(CB_BS_DEFERRED_COST_LT, YOY)", "FPT=A", "FPO=-1A", "ACT_EST_MAPPING=PRECISE", "FS=MRC", "CURRENCY=USD", "XLFILL=b")</f>
        <v>-42.32931994594955</v>
      </c>
      <c r="L241" s="9">
        <f>_xll.BQL("SAVE US Equity", "FA_GROWTH(CB_BS_DEFERRED_COST_LT, YOY)", "FPT=A", "FPO=-2A", "ACT_EST_MAPPING=PRECISE", "FS=MRC", "CURRENCY=USD", "XLFILL=b")</f>
        <v>-5.1292443095424929</v>
      </c>
      <c r="M241" s="9">
        <f>_xll.BQL("SAVE US Equity", "FA_GROWTH(CB_BS_DEFERRED_COST_LT, YOY)", "FPT=A", "FPO=-3A", "ACT_EST_MAPPING=PRECISE", "FS=MRC", "CURRENCY=USD", "XLFILL=b")</f>
        <v>-3.7875791959690601</v>
      </c>
      <c r="N241" s="9">
        <f>_xll.BQL("SAVE US Equity", "FA_GROWTH(CB_BS_DEFERRED_COST_LT, YOY)", "FPT=A", "FPO=-4A", "ACT_EST_MAPPING=PRECISE", "FS=MRC", "CURRENCY=USD", "XLFILL=b")</f>
        <v>45.216256375245976</v>
      </c>
    </row>
    <row r="242" spans="1:14" x14ac:dyDescent="0.2">
      <c r="A242" s="8" t="s">
        <v>257</v>
      </c>
      <c r="B242" s="4" t="s">
        <v>258</v>
      </c>
      <c r="C242" s="4" t="s">
        <v>259</v>
      </c>
      <c r="D242" s="4"/>
      <c r="E242" s="9" t="str">
        <f>_xll.BQL("SAVE US Equity", "CB_BS_OTHER_NONCURRENT_ASSETS/1M", "FPT=A", "FPO=5A", "ACT_EST_MAPPING=PRECISE", "FS=MRC", "CURRENCY=USD", "XLFILL=b")</f>
        <v/>
      </c>
      <c r="F242" s="9" t="str">
        <f>_xll.BQL("SAVE US Equity", "CB_BS_OTHER_NONCURRENT_ASSETS/1M", "FPT=A", "FPO=4A", "ACT_EST_MAPPING=PRECISE", "FS=MRC", "CURRENCY=USD", "XLFILL=b")</f>
        <v/>
      </c>
      <c r="G242" s="9">
        <f>_xll.BQL("SAVE US Equity", "CB_BS_OTHER_NONCURRENT_ASSETS/1M", "FPT=A", "FPO=3A", "ACT_EST_MAPPING=PRECISE", "FS=MRC", "CURRENCY=USD", "XLFILL=b")</f>
        <v>27.16</v>
      </c>
      <c r="H242" s="9">
        <f>_xll.BQL("SAVE US Equity", "CB_BS_OTHER_NONCURRENT_ASSETS/1M", "FPT=A", "FPO=2A", "ACT_EST_MAPPING=PRECISE", "FS=MRC", "CURRENCY=USD", "XLFILL=b")</f>
        <v>28.350666666666669</v>
      </c>
      <c r="I242" s="9">
        <f>_xll.BQL("SAVE US Equity", "CB_BS_OTHER_NONCURRENT_ASSETS/1M", "FPT=A", "FPO=1A", "ACT_EST_MAPPING=PRECISE", "FS=MRC", "CURRENCY=USD", "XLFILL=b")</f>
        <v>28.350666666666669</v>
      </c>
      <c r="J242" s="9">
        <f>_xll.BQL("SAVE US Equity", "CB_BS_OTHER_NONCURRENT_ASSETS/1M", "FPT=A", "FPO=0A", "ACT_EST_MAPPING=PRECISE", "FS=MRC", "CURRENCY=USD", "XLFILL=b")</f>
        <v>30.731999999999999</v>
      </c>
      <c r="K242" s="9">
        <f>_xll.BQL("SAVE US Equity", "CB_BS_OTHER_NONCURRENT_ASSETS/1M", "FPT=A", "FPO=-1A", "ACT_EST_MAPPING=PRECISE", "FS=MRC", "CURRENCY=USD", "XLFILL=b")</f>
        <v>63.817</v>
      </c>
      <c r="L242" s="9">
        <f>_xll.BQL("SAVE US Equity", "CB_BS_OTHER_NONCURRENT_ASSETS/1M", "FPT=A", "FPO=-2A", "ACT_EST_MAPPING=PRECISE", "FS=MRC", "CURRENCY=USD", "XLFILL=b")</f>
        <v>37.372</v>
      </c>
      <c r="M242" s="9">
        <f>_xll.BQL("SAVE US Equity", "CB_BS_OTHER_NONCURRENT_ASSETS/1M", "FPT=A", "FPO=-3A", "ACT_EST_MAPPING=PRECISE", "FS=MRC", "CURRENCY=USD", "XLFILL=b")</f>
        <v>36.127000000000002</v>
      </c>
      <c r="N242" s="9">
        <f>_xll.BQL("SAVE US Equity", "CB_BS_OTHER_NONCURRENT_ASSETS/1M", "FPT=A", "FPO=-4A", "ACT_EST_MAPPING=PRECISE", "FS=MRC", "CURRENCY=USD", "XLFILL=b")</f>
        <v>36.896999999999998</v>
      </c>
    </row>
    <row r="243" spans="1:14" x14ac:dyDescent="0.2">
      <c r="A243" s="8" t="s">
        <v>92</v>
      </c>
      <c r="B243" s="4" t="s">
        <v>258</v>
      </c>
      <c r="C243" s="4" t="s">
        <v>259</v>
      </c>
      <c r="D243" s="4"/>
      <c r="E243" s="9" t="str">
        <f>_xll.BQL("SAVE US Equity", "FA_GROWTH(CB_BS_OTHER_NONCURRENT_ASSETS, YOY)", "FPT=A", "FPO=5A", "ACT_EST_MAPPING=PRECISE", "FS=MRC", "CURRENCY=USD", "XLFILL=b")</f>
        <v/>
      </c>
      <c r="F243" s="9" t="str">
        <f>_xll.BQL("SAVE US Equity", "FA_GROWTH(CB_BS_OTHER_NONCURRENT_ASSETS, YOY)", "FPT=A", "FPO=4A", "ACT_EST_MAPPING=PRECISE", "FS=MRC", "CURRENCY=USD", "XLFILL=b")</f>
        <v/>
      </c>
      <c r="G243" s="9">
        <f>_xll.BQL("SAVE US Equity", "FA_GROWTH(CB_BS_OTHER_NONCURRENT_ASSETS, YOY)", "FPT=A", "FPO=3A", "ACT_EST_MAPPING=PRECISE", "FS=MRC", "CURRENCY=USD", "XLFILL=b")</f>
        <v>-4.1997836617598692</v>
      </c>
      <c r="H243" s="9">
        <f>_xll.BQL("SAVE US Equity", "FA_GROWTH(CB_BS_OTHER_NONCURRENT_ASSETS, YOY)", "FPT=A", "FPO=2A", "ACT_EST_MAPPING=PRECISE", "FS=MRC", "CURRENCY=USD", "XLFILL=b")</f>
        <v>0</v>
      </c>
      <c r="I243" s="9">
        <f>_xll.BQL("SAVE US Equity", "FA_GROWTH(CB_BS_OTHER_NONCURRENT_ASSETS, YOY)", "FPT=A", "FPO=1A", "ACT_EST_MAPPING=PRECISE", "FS=MRC", "CURRENCY=USD", "XLFILL=b")</f>
        <v>-7.748709271551907</v>
      </c>
      <c r="J243" s="9">
        <f>_xll.BQL("SAVE US Equity", "FA_GROWTH(CB_BS_OTHER_NONCURRENT_ASSETS, YOY)", "FPT=A", "FPO=0A", "ACT_EST_MAPPING=PRECISE", "FS=MRC", "CURRENCY=USD", "XLFILL=b")</f>
        <v>-51.843552658382563</v>
      </c>
      <c r="K243" s="9">
        <f>_xll.BQL("SAVE US Equity", "FA_GROWTH(CB_BS_OTHER_NONCURRENT_ASSETS, YOY)", "FPT=A", "FPO=-1A", "ACT_EST_MAPPING=PRECISE", "FS=MRC", "CURRENCY=USD", "XLFILL=b")</f>
        <v>70.761532698276781</v>
      </c>
      <c r="L243" s="9">
        <f>_xll.BQL("SAVE US Equity", "FA_GROWTH(CB_BS_OTHER_NONCURRENT_ASSETS, YOY)", "FPT=A", "FPO=-2A", "ACT_EST_MAPPING=PRECISE", "FS=MRC", "CURRENCY=USD", "XLFILL=b")</f>
        <v>3.4461759902565947</v>
      </c>
      <c r="M243" s="9">
        <f>_xll.BQL("SAVE US Equity", "FA_GROWTH(CB_BS_OTHER_NONCURRENT_ASSETS, YOY)", "FPT=A", "FPO=-3A", "ACT_EST_MAPPING=PRECISE", "FS=MRC", "CURRENCY=USD", "XLFILL=b")</f>
        <v>-2.0868905331056724</v>
      </c>
      <c r="N243" s="9">
        <f>_xll.BQL("SAVE US Equity", "FA_GROWTH(CB_BS_OTHER_NONCURRENT_ASSETS, YOY)", "FPT=A", "FPO=-4A", "ACT_EST_MAPPING=PRECISE", "FS=MRC", "CURRENCY=USD", "XLFILL=b")</f>
        <v>-53.562978252114377</v>
      </c>
    </row>
    <row r="244" spans="1:14" x14ac:dyDescent="0.2">
      <c r="A244" s="8" t="s">
        <v>260</v>
      </c>
      <c r="B244" s="4" t="s">
        <v>261</v>
      </c>
      <c r="C244" s="4" t="s">
        <v>262</v>
      </c>
      <c r="D244" s="4"/>
      <c r="E244" s="9">
        <f>_xll.BQL("SAVE US Equity", "BS_TOT_ASSET/1M", "FPT=A", "FPO=5A", "ACT_EST_MAPPING=PRECISE", "FS=MRC", "CURRENCY=USD", "XLFILL=b")</f>
        <v>10133.393369479756</v>
      </c>
      <c r="F244" s="9">
        <f>_xll.BQL("SAVE US Equity", "BS_TOT_ASSET/1M", "FPT=A", "FPO=4A", "ACT_EST_MAPPING=PRECISE", "FS=MRC", "CURRENCY=USD", "XLFILL=b")</f>
        <v>9271.8232288946783</v>
      </c>
      <c r="G244" s="9">
        <f>_xll.BQL("SAVE US Equity", "BS_TOT_ASSET/1M", "FPT=A", "FPO=3A", "ACT_EST_MAPPING=PRECISE", "FS=MRC", "CURRENCY=USD", "XLFILL=b")</f>
        <v>8631.2424613070725</v>
      </c>
      <c r="H244" s="9">
        <f>_xll.BQL("SAVE US Equity", "BS_TOT_ASSET/1M", "FPT=A", "FPO=2A", "ACT_EST_MAPPING=PRECISE", "FS=MRC", "CURRENCY=USD", "XLFILL=b")</f>
        <v>8714.427016311065</v>
      </c>
      <c r="I244" s="9">
        <f>_xll.BQL("SAVE US Equity", "BS_TOT_ASSET/1M", "FPT=A", "FPO=1A", "ACT_EST_MAPPING=PRECISE", "FS=MRC", "CURRENCY=USD", "XLFILL=b")</f>
        <v>9008.5884300929811</v>
      </c>
      <c r="J244" s="9">
        <f>_xll.BQL("SAVE US Equity", "BS_TOT_ASSET/1M", "FPT=A", "FPO=0A", "ACT_EST_MAPPING=PRECISE", "FS=MRC", "CURRENCY=USD", "XLFILL=b")</f>
        <v>9417.2369999999992</v>
      </c>
      <c r="K244" s="9">
        <f>_xll.BQL("SAVE US Equity", "BS_TOT_ASSET/1M", "FPT=A", "FPO=-1A", "ACT_EST_MAPPING=PRECISE", "FS=MRC", "CURRENCY=USD", "XLFILL=b")</f>
        <v>9184.7739999999994</v>
      </c>
      <c r="L244" s="9">
        <f>_xll.BQL("SAVE US Equity", "BS_TOT_ASSET/1M", "FPT=A", "FPO=-2A", "ACT_EST_MAPPING=PRECISE", "FS=MRC", "CURRENCY=USD", "XLFILL=b")</f>
        <v>8540.0249999999996</v>
      </c>
      <c r="M244" s="9">
        <f>_xll.BQL("SAVE US Equity", "BS_TOT_ASSET/1M", "FPT=A", "FPO=-3A", "ACT_EST_MAPPING=PRECISE", "FS=MRC", "CURRENCY=USD", "XLFILL=b")</f>
        <v>8398.8250000000007</v>
      </c>
      <c r="N244" s="9">
        <f>_xll.BQL("SAVE US Equity", "BS_TOT_ASSET/1M", "FPT=A", "FPO=-4A", "ACT_EST_MAPPING=PRECISE", "FS=MRC", "CURRENCY=USD", "XLFILL=b")</f>
        <v>7043.4120000000003</v>
      </c>
    </row>
    <row r="245" spans="1:14" x14ac:dyDescent="0.2">
      <c r="A245" s="8" t="s">
        <v>44</v>
      </c>
      <c r="B245" s="4" t="s">
        <v>261</v>
      </c>
      <c r="C245" s="4" t="s">
        <v>262</v>
      </c>
      <c r="D245" s="4"/>
      <c r="E245" s="9">
        <f>_xll.BQL("SAVE US Equity", "FA_GROWTH(BS_TOT_ASSET, YOY)", "FPT=A", "FPO=5A", "ACT_EST_MAPPING=PRECISE", "FS=MRC", "CURRENCY=USD", "XLFILL=b")</f>
        <v>9.2923486494013705</v>
      </c>
      <c r="F245" s="9">
        <f>_xll.BQL("SAVE US Equity", "FA_GROWTH(BS_TOT_ASSET, YOY)", "FPT=A", "FPO=4A", "ACT_EST_MAPPING=PRECISE", "FS=MRC", "CURRENCY=USD", "XLFILL=b")</f>
        <v>7.4216518706230401</v>
      </c>
      <c r="G245" s="9">
        <f>_xll.BQL("SAVE US Equity", "FA_GROWTH(BS_TOT_ASSET, YOY)", "FPT=A", "FPO=3A", "ACT_EST_MAPPING=PRECISE", "FS=MRC", "CURRENCY=USD", "XLFILL=b")</f>
        <v>-0.9545613825016247</v>
      </c>
      <c r="H245" s="9">
        <f>_xll.BQL("SAVE US Equity", "FA_GROWTH(BS_TOT_ASSET, YOY)", "FPT=A", "FPO=2A", "ACT_EST_MAPPING=PRECISE", "FS=MRC", "CURRENCY=USD", "XLFILL=b")</f>
        <v>-3.2653441331527175</v>
      </c>
      <c r="I245" s="9">
        <f>_xll.BQL("SAVE US Equity", "FA_GROWTH(BS_TOT_ASSET, YOY)", "FPT=A", "FPO=1A", "ACT_EST_MAPPING=PRECISE", "FS=MRC", "CURRENCY=USD", "XLFILL=b")</f>
        <v>-4.3393680110951722</v>
      </c>
      <c r="J245" s="9">
        <f>_xll.BQL("SAVE US Equity", "FA_GROWTH(BS_TOT_ASSET, YOY)", "FPT=A", "FPO=0A", "ACT_EST_MAPPING=PRECISE", "FS=MRC", "CURRENCY=USD", "XLFILL=b")</f>
        <v>2.5309604787227209</v>
      </c>
      <c r="K245" s="9">
        <f>_xll.BQL("SAVE US Equity", "FA_GROWTH(BS_TOT_ASSET, YOY)", "FPT=A", "FPO=-1A", "ACT_EST_MAPPING=PRECISE", "FS=MRC", "CURRENCY=USD", "XLFILL=b")</f>
        <v>7.549731997271671</v>
      </c>
      <c r="L245" s="9">
        <f>_xll.BQL("SAVE US Equity", "FA_GROWTH(BS_TOT_ASSET, YOY)", "FPT=A", "FPO=-2A", "ACT_EST_MAPPING=PRECISE", "FS=MRC", "CURRENCY=USD", "XLFILL=b")</f>
        <v>1.6811875470675841</v>
      </c>
      <c r="M245" s="9">
        <f>_xll.BQL("SAVE US Equity", "FA_GROWTH(BS_TOT_ASSET, YOY)", "FPT=A", "FPO=-3A", "ACT_EST_MAPPING=PRECISE", "FS=MRC", "CURRENCY=USD", "XLFILL=b")</f>
        <v>19.243698934550483</v>
      </c>
      <c r="N245" s="9">
        <f>_xll.BQL("SAVE US Equity", "FA_GROWTH(BS_TOT_ASSET, YOY)", "FPT=A", "FPO=-4A", "ACT_EST_MAPPING=PRECISE", "FS=MRC", "CURRENCY=USD", "XLFILL=b")</f>
        <v>36.356028130715252</v>
      </c>
    </row>
    <row r="246" spans="1:14" x14ac:dyDescent="0.2">
      <c r="A246" s="8" t="s">
        <v>16</v>
      </c>
      <c r="B246" s="4"/>
      <c r="C246" s="4"/>
      <c r="D246" s="4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x14ac:dyDescent="0.2">
      <c r="A247" s="8" t="s">
        <v>263</v>
      </c>
      <c r="B247" s="4"/>
      <c r="C247" s="4" t="s">
        <v>264</v>
      </c>
      <c r="D247" s="4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1:14" x14ac:dyDescent="0.2">
      <c r="A248" s="8" t="s">
        <v>265</v>
      </c>
      <c r="B248" s="4" t="s">
        <v>266</v>
      </c>
      <c r="C248" s="4" t="s">
        <v>267</v>
      </c>
      <c r="D248" s="4"/>
      <c r="E248" s="9">
        <f>_xll.BQL("SAVE US Equity", "BS_CUR_LIAB/1M", "FPT=A", "FPO=5A", "ACT_EST_MAPPING=PRECISE", "FS=MRC", "CURRENCY=USD", "XLFILL=b")</f>
        <v>1760.0162000000003</v>
      </c>
      <c r="F248" s="9">
        <f>_xll.BQL("SAVE US Equity", "BS_CUR_LIAB/1M", "FPT=A", "FPO=4A", "ACT_EST_MAPPING=PRECISE", "FS=MRC", "CURRENCY=USD", "XLFILL=b")</f>
        <v>1676.7396000000003</v>
      </c>
      <c r="G248" s="9">
        <f>_xll.BQL("SAVE US Equity", "BS_CUR_LIAB/1M", "FPT=A", "FPO=3A", "ACT_EST_MAPPING=PRECISE", "FS=MRC", "CURRENCY=USD", "XLFILL=b")</f>
        <v>1396.0373056214344</v>
      </c>
      <c r="H248" s="9">
        <f>_xll.BQL("SAVE US Equity", "BS_CUR_LIAB/1M", "FPT=A", "FPO=2A", "ACT_EST_MAPPING=PRECISE", "FS=MRC", "CURRENCY=USD", "XLFILL=b")</f>
        <v>1461.2887073834727</v>
      </c>
      <c r="I248" s="9">
        <f>_xll.BQL("SAVE US Equity", "BS_CUR_LIAB/1M", "FPT=A", "FPO=1A", "ACT_EST_MAPPING=PRECISE", "FS=MRC", "CURRENCY=USD", "XLFILL=b")</f>
        <v>1425.7643414295774</v>
      </c>
      <c r="J248" s="9">
        <f>_xll.BQL("SAVE US Equity", "BS_CUR_LIAB/1M", "FPT=A", "FPO=0A", "ACT_EST_MAPPING=PRECISE", "FS=MRC", "CURRENCY=USD", "XLFILL=b")</f>
        <v>1671.5920000000001</v>
      </c>
      <c r="K248" s="9">
        <f>_xll.BQL("SAVE US Equity", "BS_CUR_LIAB/1M", "FPT=A", "FPO=-1A", "ACT_EST_MAPPING=PRECISE", "FS=MRC", "CURRENCY=USD", "XLFILL=b")</f>
        <v>1596.5809999999999</v>
      </c>
      <c r="L248" s="9">
        <f>_xll.BQL("SAVE US Equity", "BS_CUR_LIAB/1M", "FPT=A", "FPO=-2A", "ACT_EST_MAPPING=PRECISE", "FS=MRC", "CURRENCY=USD", "XLFILL=b")</f>
        <v>1275.6020000000001</v>
      </c>
      <c r="M248" s="9">
        <f>_xll.BQL("SAVE US Equity", "BS_CUR_LIAB/1M", "FPT=A", "FPO=-3A", "ACT_EST_MAPPING=PRECISE", "FS=MRC", "CURRENCY=USD", "XLFILL=b")</f>
        <v>1342.0219999999999</v>
      </c>
      <c r="N248" s="9">
        <f>_xll.BQL("SAVE US Equity", "BS_CUR_LIAB/1M", "FPT=A", "FPO=-4A", "ACT_EST_MAPPING=PRECISE", "FS=MRC", "CURRENCY=USD", "XLFILL=b")</f>
        <v>1112.0440000000001</v>
      </c>
    </row>
    <row r="249" spans="1:14" x14ac:dyDescent="0.2">
      <c r="A249" s="8" t="s">
        <v>44</v>
      </c>
      <c r="B249" s="4" t="s">
        <v>266</v>
      </c>
      <c r="C249" s="4" t="s">
        <v>267</v>
      </c>
      <c r="D249" s="4"/>
      <c r="E249" s="9">
        <f>_xll.BQL("SAVE US Equity", "FA_GROWTH(BS_CUR_LIAB, YOY)", "FPT=A", "FPO=5A", "ACT_EST_MAPPING=PRECISE", "FS=MRC", "CURRENCY=USD", "XLFILL=b")</f>
        <v>4.9665791873705372</v>
      </c>
      <c r="F249" s="9">
        <f>_xll.BQL("SAVE US Equity", "FA_GROWTH(BS_CUR_LIAB, YOY)", "FPT=A", "FPO=4A", "ACT_EST_MAPPING=PRECISE", "FS=MRC", "CURRENCY=USD", "XLFILL=b")</f>
        <v>20.10707688456889</v>
      </c>
      <c r="G249" s="9">
        <f>_xll.BQL("SAVE US Equity", "FA_GROWTH(BS_CUR_LIAB, YOY)", "FPT=A", "FPO=3A", "ACT_EST_MAPPING=PRECISE", "FS=MRC", "CURRENCY=USD", "XLFILL=b")</f>
        <v>-4.4653326500329209</v>
      </c>
      <c r="H249" s="9">
        <f>_xll.BQL("SAVE US Equity", "FA_GROWTH(BS_CUR_LIAB, YOY)", "FPT=A", "FPO=2A", "ACT_EST_MAPPING=PRECISE", "FS=MRC", "CURRENCY=USD", "XLFILL=b")</f>
        <v>2.4916015165785366</v>
      </c>
      <c r="I249" s="9">
        <f>_xll.BQL("SAVE US Equity", "FA_GROWTH(BS_CUR_LIAB, YOY)", "FPT=A", "FPO=1A", "ACT_EST_MAPPING=PRECISE", "FS=MRC", "CURRENCY=USD", "XLFILL=b")</f>
        <v>-14.706199752716133</v>
      </c>
      <c r="J249" s="9">
        <f>_xll.BQL("SAVE US Equity", "FA_GROWTH(BS_CUR_LIAB, YOY)", "FPT=A", "FPO=0A", "ACT_EST_MAPPING=PRECISE", "FS=MRC", "CURRENCY=USD", "XLFILL=b")</f>
        <v>4.6982270238716355</v>
      </c>
      <c r="K249" s="9">
        <f>_xll.BQL("SAVE US Equity", "FA_GROWTH(BS_CUR_LIAB, YOY)", "FPT=A", "FPO=-1A", "ACT_EST_MAPPING=PRECISE", "FS=MRC", "CURRENCY=USD", "XLFILL=b")</f>
        <v>25.162942673341686</v>
      </c>
      <c r="L249" s="9">
        <f>_xll.BQL("SAVE US Equity", "FA_GROWTH(BS_CUR_LIAB, YOY)", "FPT=A", "FPO=-2A", "ACT_EST_MAPPING=PRECISE", "FS=MRC", "CURRENCY=USD", "XLFILL=b")</f>
        <v>-4.9492482239486391</v>
      </c>
      <c r="M249" s="9">
        <f>_xll.BQL("SAVE US Equity", "FA_GROWTH(BS_CUR_LIAB, YOY)", "FPT=A", "FPO=-3A", "ACT_EST_MAPPING=PRECISE", "FS=MRC", "CURRENCY=USD", "XLFILL=b")</f>
        <v>20.680656520785149</v>
      </c>
      <c r="N249" s="9">
        <f>_xll.BQL("SAVE US Equity", "FA_GROWTH(BS_CUR_LIAB, YOY)", "FPT=A", "FPO=-4A", "ACT_EST_MAPPING=PRECISE", "FS=MRC", "CURRENCY=USD", "XLFILL=b")</f>
        <v>33.253128987999304</v>
      </c>
    </row>
    <row r="250" spans="1:14" x14ac:dyDescent="0.2">
      <c r="A250" s="8" t="s">
        <v>268</v>
      </c>
      <c r="B250" s="4" t="s">
        <v>269</v>
      </c>
      <c r="C250" s="4" t="s">
        <v>270</v>
      </c>
      <c r="D250" s="4"/>
      <c r="E250" s="9">
        <f>_xll.BQL("SAVE US Equity", "BS_ACCT_PAYABLE/1M", "FPT=A", "FPO=5A", "ACT_EST_MAPPING=PRECISE", "FS=MRC", "CURRENCY=USD", "XLFILL=b")</f>
        <v>89.621999999999986</v>
      </c>
      <c r="F250" s="9">
        <f>_xll.BQL("SAVE US Equity", "BS_ACCT_PAYABLE/1M", "FPT=A", "FPO=4A", "ACT_EST_MAPPING=PRECISE", "FS=MRC", "CURRENCY=USD", "XLFILL=b")</f>
        <v>81.032599999999988</v>
      </c>
      <c r="G250" s="9">
        <f>_xll.BQL("SAVE US Equity", "BS_ACCT_PAYABLE/1M", "FPT=A", "FPO=3A", "ACT_EST_MAPPING=PRECISE", "FS=MRC", "CURRENCY=USD", "XLFILL=b")</f>
        <v>70.483520613173056</v>
      </c>
      <c r="H250" s="9">
        <f>_xll.BQL("SAVE US Equity", "BS_ACCT_PAYABLE/1M", "FPT=A", "FPO=2A", "ACT_EST_MAPPING=PRECISE", "FS=MRC", "CURRENCY=USD", "XLFILL=b")</f>
        <v>63.555864649240462</v>
      </c>
      <c r="I250" s="9">
        <f>_xll.BQL("SAVE US Equity", "BS_ACCT_PAYABLE/1M", "FPT=A", "FPO=1A", "ACT_EST_MAPPING=PRECISE", "FS=MRC", "CURRENCY=USD", "XLFILL=b")</f>
        <v>63.960565222827576</v>
      </c>
      <c r="J250" s="9">
        <f>_xll.BQL("SAVE US Equity", "BS_ACCT_PAYABLE/1M", "FPT=A", "FPO=0A", "ACT_EST_MAPPING=PRECISE", "FS=MRC", "CURRENCY=USD", "XLFILL=b")</f>
        <v>42.097999999999999</v>
      </c>
      <c r="K250" s="9">
        <f>_xll.BQL("SAVE US Equity", "BS_ACCT_PAYABLE/1M", "FPT=A", "FPO=-1A", "ACT_EST_MAPPING=PRECISE", "FS=MRC", "CURRENCY=USD", "XLFILL=b")</f>
        <v>75.448999999999998</v>
      </c>
      <c r="L250" s="9">
        <f>_xll.BQL("SAVE US Equity", "BS_ACCT_PAYABLE/1M", "FPT=A", "FPO=-2A", "ACT_EST_MAPPING=PRECISE", "FS=MRC", "CURRENCY=USD", "XLFILL=b")</f>
        <v>44.951999999999998</v>
      </c>
      <c r="M250" s="9">
        <f>_xll.BQL("SAVE US Equity", "BS_ACCT_PAYABLE/1M", "FPT=A", "FPO=-3A", "ACT_EST_MAPPING=PRECISE", "FS=MRC", "CURRENCY=USD", "XLFILL=b")</f>
        <v>28.454000000000001</v>
      </c>
      <c r="N250" s="9">
        <f>_xll.BQL("SAVE US Equity", "BS_ACCT_PAYABLE/1M", "FPT=A", "FPO=-4A", "ACT_EST_MAPPING=PRECISE", "FS=MRC", "CURRENCY=USD", "XLFILL=b")</f>
        <v>43.600999999999999</v>
      </c>
    </row>
    <row r="251" spans="1:14" x14ac:dyDescent="0.2">
      <c r="A251" s="8" t="s">
        <v>44</v>
      </c>
      <c r="B251" s="4" t="s">
        <v>269</v>
      </c>
      <c r="C251" s="4" t="s">
        <v>270</v>
      </c>
      <c r="D251" s="4"/>
      <c r="E251" s="9">
        <f>_xll.BQL("SAVE US Equity", "FA_GROWTH(BS_ACCT_PAYABLE, YOY)", "FPT=A", "FPO=5A", "ACT_EST_MAPPING=PRECISE", "FS=MRC", "CURRENCY=USD", "XLFILL=b")</f>
        <v>10.599931385639856</v>
      </c>
      <c r="F251" s="9">
        <f>_xll.BQL("SAVE US Equity", "FA_GROWTH(BS_ACCT_PAYABLE, YOY)", "FPT=A", "FPO=4A", "ACT_EST_MAPPING=PRECISE", "FS=MRC", "CURRENCY=USD", "XLFILL=b")</f>
        <v>14.966731648837866</v>
      </c>
      <c r="G251" s="9">
        <f>_xll.BQL("SAVE US Equity", "FA_GROWTH(BS_ACCT_PAYABLE, YOY)", "FPT=A", "FPO=3A", "ACT_EST_MAPPING=PRECISE", "FS=MRC", "CURRENCY=USD", "XLFILL=b")</f>
        <v>10.900104974050382</v>
      </c>
      <c r="H251" s="9">
        <f>_xll.BQL("SAVE US Equity", "FA_GROWTH(BS_ACCT_PAYABLE, YOY)", "FPT=A", "FPO=2A", "ACT_EST_MAPPING=PRECISE", "FS=MRC", "CURRENCY=USD", "XLFILL=b")</f>
        <v>-0.63273451724074847</v>
      </c>
      <c r="I251" s="9">
        <f>_xll.BQL("SAVE US Equity", "FA_GROWTH(BS_ACCT_PAYABLE, YOY)", "FPT=A", "FPO=1A", "ACT_EST_MAPPING=PRECISE", "FS=MRC", "CURRENCY=USD", "XLFILL=b")</f>
        <v>51.932550769223191</v>
      </c>
      <c r="J251" s="9">
        <f>_xll.BQL("SAVE US Equity", "FA_GROWTH(BS_ACCT_PAYABLE, YOY)", "FPT=A", "FPO=0A", "ACT_EST_MAPPING=PRECISE", "FS=MRC", "CURRENCY=USD", "XLFILL=b")</f>
        <v>-44.203369163275852</v>
      </c>
      <c r="K251" s="9">
        <f>_xll.BQL("SAVE US Equity", "FA_GROWTH(BS_ACCT_PAYABLE, YOY)", "FPT=A", "FPO=-1A", "ACT_EST_MAPPING=PRECISE", "FS=MRC", "CURRENCY=USD", "XLFILL=b")</f>
        <v>67.843477487097346</v>
      </c>
      <c r="L251" s="9">
        <f>_xll.BQL("SAVE US Equity", "FA_GROWTH(BS_ACCT_PAYABLE, YOY)", "FPT=A", "FPO=-2A", "ACT_EST_MAPPING=PRECISE", "FS=MRC", "CURRENCY=USD", "XLFILL=b")</f>
        <v>57.981303155971041</v>
      </c>
      <c r="M251" s="9">
        <f>_xll.BQL("SAVE US Equity", "FA_GROWTH(BS_ACCT_PAYABLE, YOY)", "FPT=A", "FPO=-3A", "ACT_EST_MAPPING=PRECISE", "FS=MRC", "CURRENCY=USD", "XLFILL=b")</f>
        <v>-34.740028898419759</v>
      </c>
      <c r="N251" s="9">
        <f>_xll.BQL("SAVE US Equity", "FA_GROWTH(BS_ACCT_PAYABLE, YOY)", "FPT=A", "FPO=-4A", "ACT_EST_MAPPING=PRECISE", "FS=MRC", "CURRENCY=USD", "XLFILL=b")</f>
        <v>10.887589013224822</v>
      </c>
    </row>
    <row r="252" spans="1:14" x14ac:dyDescent="0.2">
      <c r="A252" s="8" t="s">
        <v>271</v>
      </c>
      <c r="B252" s="4" t="s">
        <v>272</v>
      </c>
      <c r="C252" s="4" t="s">
        <v>273</v>
      </c>
      <c r="D252" s="4"/>
      <c r="E252" s="9">
        <f>_xll.BQL("SAVE US Equity", "BS_CURR_PORTION_LT_DEBT/1M", "FPT=A", "FPO=5A", "ACT_EST_MAPPING=PRECISE", "FS=MRC", "CURRENCY=USD", "XLFILL=b")</f>
        <v>142.815</v>
      </c>
      <c r="F252" s="9">
        <f>_xll.BQL("SAVE US Equity", "BS_CURR_PORTION_LT_DEBT/1M", "FPT=A", "FPO=4A", "ACT_EST_MAPPING=PRECISE", "FS=MRC", "CURRENCY=USD", "XLFILL=b")</f>
        <v>142.815</v>
      </c>
      <c r="G252" s="9">
        <f>_xll.BQL("SAVE US Equity", "BS_CURR_PORTION_LT_DEBT/1M", "FPT=A", "FPO=3A", "ACT_EST_MAPPING=PRECISE", "FS=MRC", "CURRENCY=USD", "XLFILL=b")</f>
        <v>163.56075566214935</v>
      </c>
      <c r="H252" s="9">
        <f>_xll.BQL("SAVE US Equity", "BS_CURR_PORTION_LT_DEBT/1M", "FPT=A", "FPO=2A", "ACT_EST_MAPPING=PRECISE", "FS=MRC", "CURRENCY=USD", "XLFILL=b")</f>
        <v>181.95303895524827</v>
      </c>
      <c r="I252" s="9">
        <f>_xll.BQL("SAVE US Equity", "BS_CURR_PORTION_LT_DEBT/1M", "FPT=A", "FPO=1A", "ACT_EST_MAPPING=PRECISE", "FS=MRC", "CURRENCY=USD", "XLFILL=b")</f>
        <v>192.01694641942049</v>
      </c>
      <c r="J252" s="9">
        <f>_xll.BQL("SAVE US Equity", "BS_CURR_PORTION_LT_DEBT/1M", "FPT=A", "FPO=0A", "ACT_EST_MAPPING=PRECISE", "FS=MRC", "CURRENCY=USD", "XLFILL=b")</f>
        <v>315.34399999999999</v>
      </c>
      <c r="K252" s="9">
        <f>_xll.BQL("SAVE US Equity", "BS_CURR_PORTION_LT_DEBT/1M", "FPT=A", "FPO=-1A", "ACT_EST_MAPPING=PRECISE", "FS=MRC", "CURRENCY=USD", "XLFILL=b")</f>
        <v>346.44400000000002</v>
      </c>
      <c r="L252" s="9">
        <f>_xll.BQL("SAVE US Equity", "BS_CURR_PORTION_LT_DEBT/1M", "FPT=A", "FPO=-2A", "ACT_EST_MAPPING=PRECISE", "FS=MRC", "CURRENCY=USD", "XLFILL=b")</f>
        <v>208.16300000000001</v>
      </c>
      <c r="M252" s="9">
        <f>_xll.BQL("SAVE US Equity", "BS_CURR_PORTION_LT_DEBT/1M", "FPT=A", "FPO=-3A", "ACT_EST_MAPPING=PRECISE", "FS=MRC", "CURRENCY=USD", "XLFILL=b")</f>
        <v>383.52600000000001</v>
      </c>
      <c r="N252" s="9">
        <f>_xll.BQL("SAVE US Equity", "BS_CURR_PORTION_LT_DEBT/1M", "FPT=A", "FPO=-4A", "ACT_EST_MAPPING=PRECISE", "FS=MRC", "CURRENCY=USD", "XLFILL=b")</f>
        <v>214.05600000000001</v>
      </c>
    </row>
    <row r="253" spans="1:14" x14ac:dyDescent="0.2">
      <c r="A253" s="8" t="s">
        <v>92</v>
      </c>
      <c r="B253" s="4" t="s">
        <v>272</v>
      </c>
      <c r="C253" s="4" t="s">
        <v>273</v>
      </c>
      <c r="D253" s="4"/>
      <c r="E253" s="9">
        <f>_xll.BQL("SAVE US Equity", "FA_GROWTH(BS_CURR_PORTION_LT_DEBT, YOY)", "FPT=A", "FPO=5A", "ACT_EST_MAPPING=PRECISE", "FS=MRC", "CURRENCY=USD", "XLFILL=b")</f>
        <v>0</v>
      </c>
      <c r="F253" s="9">
        <f>_xll.BQL("SAVE US Equity", "FA_GROWTH(BS_CURR_PORTION_LT_DEBT, YOY)", "FPT=A", "FPO=4A", "ACT_EST_MAPPING=PRECISE", "FS=MRC", "CURRENCY=USD", "XLFILL=b")</f>
        <v>-12.683822337554931</v>
      </c>
      <c r="G253" s="9">
        <f>_xll.BQL("SAVE US Equity", "FA_GROWTH(BS_CURR_PORTION_LT_DEBT, YOY)", "FPT=A", "FPO=3A", "ACT_EST_MAPPING=PRECISE", "FS=MRC", "CURRENCY=USD", "XLFILL=b")</f>
        <v>-10.108258371888224</v>
      </c>
      <c r="H253" s="9">
        <f>_xll.BQL("SAVE US Equity", "FA_GROWTH(BS_CURR_PORTION_LT_DEBT, YOY)", "FPT=A", "FPO=2A", "ACT_EST_MAPPING=PRECISE", "FS=MRC", "CURRENCY=USD", "XLFILL=b")</f>
        <v>-5.2411558728726648</v>
      </c>
      <c r="I253" s="9">
        <f>_xll.BQL("SAVE US Equity", "FA_GROWTH(BS_CURR_PORTION_LT_DEBT, YOY)", "FPT=A", "FPO=1A", "ACT_EST_MAPPING=PRECISE", "FS=MRC", "CURRENCY=USD", "XLFILL=b")</f>
        <v>-39.108736357939115</v>
      </c>
      <c r="J253" s="9">
        <f>_xll.BQL("SAVE US Equity", "FA_GROWTH(BS_CURR_PORTION_LT_DEBT, YOY)", "FPT=A", "FPO=0A", "ACT_EST_MAPPING=PRECISE", "FS=MRC", "CURRENCY=USD", "XLFILL=b")</f>
        <v>-8.9769197907886991</v>
      </c>
      <c r="K253" s="9">
        <f>_xll.BQL("SAVE US Equity", "FA_GROWTH(BS_CURR_PORTION_LT_DEBT, YOY)", "FPT=A", "FPO=-1A", "ACT_EST_MAPPING=PRECISE", "FS=MRC", "CURRENCY=USD", "XLFILL=b")</f>
        <v>66.429192507794369</v>
      </c>
      <c r="L253" s="9">
        <f>_xll.BQL("SAVE US Equity", "FA_GROWTH(BS_CURR_PORTION_LT_DEBT, YOY)", "FPT=A", "FPO=-2A", "ACT_EST_MAPPING=PRECISE", "FS=MRC", "CURRENCY=USD", "XLFILL=b")</f>
        <v>-45.723888341338004</v>
      </c>
      <c r="M253" s="9">
        <f>_xll.BQL("SAVE US Equity", "FA_GROWTH(BS_CURR_PORTION_LT_DEBT, YOY)", "FPT=A", "FPO=-3A", "ACT_EST_MAPPING=PRECISE", "FS=MRC", "CURRENCY=USD", "XLFILL=b")</f>
        <v>79.170871173898419</v>
      </c>
      <c r="N253" s="9">
        <f>_xll.BQL("SAVE US Equity", "FA_GROWTH(BS_CURR_PORTION_LT_DEBT, YOY)", "FPT=A", "FPO=-4A", "ACT_EST_MAPPING=PRECISE", "FS=MRC", "CURRENCY=USD", "XLFILL=b")</f>
        <v>30.875474605183513</v>
      </c>
    </row>
    <row r="254" spans="1:14" x14ac:dyDescent="0.2">
      <c r="A254" s="8" t="s">
        <v>274</v>
      </c>
      <c r="B254" s="4" t="s">
        <v>275</v>
      </c>
      <c r="C254" s="4" t="s">
        <v>276</v>
      </c>
      <c r="D254" s="4"/>
      <c r="E254" s="9">
        <f>_xll.BQL("SAVE US Equity", "ST_DEFERRED_REVENUE/1M", "FPT=A", "FPO=5A", "ACT_EST_MAPPING=PRECISE", "FS=MRC", "CURRENCY=USD", "XLFILL=b")</f>
        <v>726.24520000000018</v>
      </c>
      <c r="F254" s="9">
        <f>_xll.BQL("SAVE US Equity", "ST_DEFERRED_REVENUE/1M", "FPT=A", "FPO=4A", "ACT_EST_MAPPING=PRECISE", "FS=MRC", "CURRENCY=USD", "XLFILL=b")</f>
        <v>651.55800000000022</v>
      </c>
      <c r="G254" s="9">
        <f>_xll.BQL("SAVE US Equity", "ST_DEFERRED_REVENUE/1M", "FPT=A", "FPO=3A", "ACT_EST_MAPPING=PRECISE", "FS=MRC", "CURRENCY=USD", "XLFILL=b")</f>
        <v>446.93226561819267</v>
      </c>
      <c r="H254" s="9">
        <f>_xll.BQL("SAVE US Equity", "ST_DEFERRED_REVENUE/1M", "FPT=A", "FPO=2A", "ACT_EST_MAPPING=PRECISE", "FS=MRC", "CURRENCY=USD", "XLFILL=b")</f>
        <v>400.65468372737274</v>
      </c>
      <c r="I254" s="9">
        <f>_xll.BQL("SAVE US Equity", "ST_DEFERRED_REVENUE/1M", "FPT=A", "FPO=1A", "ACT_EST_MAPPING=PRECISE", "FS=MRC", "CURRENCY=USD", "XLFILL=b")</f>
        <v>352.34526955115615</v>
      </c>
      <c r="J254" s="9">
        <f>_xll.BQL("SAVE US Equity", "ST_DEFERRED_REVENUE/1M", "FPT=A", "FPO=0A", "ACT_EST_MAPPING=PRECISE", "FS=MRC", "CURRENCY=USD", "XLFILL=b")</f>
        <v>383.75099999999998</v>
      </c>
      <c r="K254" s="9">
        <f>_xll.BQL("SAVE US Equity", "ST_DEFERRED_REVENUE/1M", "FPT=A", "FPO=-1A", "ACT_EST_MAPPING=PRECISE", "FS=MRC", "CURRENCY=USD", "XLFILL=b")</f>
        <v>429.61799999999999</v>
      </c>
      <c r="L254" s="9">
        <f>_xll.BQL("SAVE US Equity", "ST_DEFERRED_REVENUE/1M", "FPT=A", "FPO=-2A", "ACT_EST_MAPPING=PRECISE", "FS=MRC", "CURRENCY=USD", "XLFILL=b")</f>
        <v>382.31700000000001</v>
      </c>
      <c r="M254" s="9">
        <f>_xll.BQL("SAVE US Equity", "ST_DEFERRED_REVENUE/1M", "FPT=A", "FPO=-3A", "ACT_EST_MAPPING=PRECISE", "FS=MRC", "CURRENCY=USD", "XLFILL=b")</f>
        <v>401.96600000000001</v>
      </c>
      <c r="N254" s="9">
        <f>_xll.BQL("SAVE US Equity", "ST_DEFERRED_REVENUE/1M", "FPT=A", "FPO=-4A", "ACT_EST_MAPPING=PRECISE", "FS=MRC", "CURRENCY=USD", "XLFILL=b")</f>
        <v>315.40800000000002</v>
      </c>
    </row>
    <row r="255" spans="1:14" x14ac:dyDescent="0.2">
      <c r="A255" s="8" t="s">
        <v>92</v>
      </c>
      <c r="B255" s="4" t="s">
        <v>275</v>
      </c>
      <c r="C255" s="4" t="s">
        <v>276</v>
      </c>
      <c r="D255" s="4"/>
      <c r="E255" s="9">
        <f>_xll.BQL("SAVE US Equity", "FA_GROWTH(ST_DEFERRED_REVENUE, YOY)", "FPT=A", "FPO=5A", "ACT_EST_MAPPING=PRECISE", "FS=MRC", "CURRENCY=USD", "XLFILL=b")</f>
        <v>11.462862861019275</v>
      </c>
      <c r="F255" s="9">
        <f>_xll.BQL("SAVE US Equity", "FA_GROWTH(ST_DEFERRED_REVENUE, YOY)", "FPT=A", "FPO=4A", "ACT_EST_MAPPING=PRECISE", "FS=MRC", "CURRENCY=USD", "XLFILL=b")</f>
        <v>45.784506987601596</v>
      </c>
      <c r="G255" s="9">
        <f>_xll.BQL("SAVE US Equity", "FA_GROWTH(ST_DEFERRED_REVENUE, YOY)", "FPT=A", "FPO=3A", "ACT_EST_MAPPING=PRECISE", "FS=MRC", "CURRENCY=USD", "XLFILL=b")</f>
        <v>11.550490676981502</v>
      </c>
      <c r="H255" s="9">
        <f>_xll.BQL("SAVE US Equity", "FA_GROWTH(ST_DEFERRED_REVENUE, YOY)", "FPT=A", "FPO=2A", "ACT_EST_MAPPING=PRECISE", "FS=MRC", "CURRENCY=USD", "XLFILL=b")</f>
        <v>13.710816733188091</v>
      </c>
      <c r="I255" s="9">
        <f>_xll.BQL("SAVE US Equity", "FA_GROWTH(ST_DEFERRED_REVENUE, YOY)", "FPT=A", "FPO=1A", "ACT_EST_MAPPING=PRECISE", "FS=MRC", "CURRENCY=USD", "XLFILL=b")</f>
        <v>-8.1838823739466058</v>
      </c>
      <c r="J255" s="9">
        <f>_xll.BQL("SAVE US Equity", "FA_GROWTH(ST_DEFERRED_REVENUE, YOY)", "FPT=A", "FPO=0A", "ACT_EST_MAPPING=PRECISE", "FS=MRC", "CURRENCY=USD", "XLFILL=b")</f>
        <v>-10.676228649637585</v>
      </c>
      <c r="K255" s="9">
        <f>_xll.BQL("SAVE US Equity", "FA_GROWTH(ST_DEFERRED_REVENUE, YOY)", "FPT=A", "FPO=-1A", "ACT_EST_MAPPING=PRECISE", "FS=MRC", "CURRENCY=USD", "XLFILL=b")</f>
        <v>12.372193755443782</v>
      </c>
      <c r="L255" s="9">
        <f>_xll.BQL("SAVE US Equity", "FA_GROWTH(ST_DEFERRED_REVENUE, YOY)", "FPT=A", "FPO=-2A", "ACT_EST_MAPPING=PRECISE", "FS=MRC", "CURRENCY=USD", "XLFILL=b")</f>
        <v>-4.8882243771861305</v>
      </c>
      <c r="M255" s="9">
        <f>_xll.BQL("SAVE US Equity", "FA_GROWTH(ST_DEFERRED_REVENUE, YOY)", "FPT=A", "FPO=-3A", "ACT_EST_MAPPING=PRECISE", "FS=MRC", "CURRENCY=USD", "XLFILL=b")</f>
        <v>27.443184700451479</v>
      </c>
      <c r="N255" s="9">
        <f>_xll.BQL("SAVE US Equity", "FA_GROWTH(ST_DEFERRED_REVENUE, YOY)", "FPT=A", "FPO=-4A", "ACT_EST_MAPPING=PRECISE", "FS=MRC", "CURRENCY=USD", "XLFILL=b")</f>
        <v>8.0234672804052316</v>
      </c>
    </row>
    <row r="256" spans="1:14" x14ac:dyDescent="0.2">
      <c r="A256" s="8" t="s">
        <v>277</v>
      </c>
      <c r="B256" s="4"/>
      <c r="C256" s="4"/>
      <c r="D256" s="4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x14ac:dyDescent="0.2">
      <c r="A257" s="8" t="s">
        <v>278</v>
      </c>
      <c r="B257" s="4" t="s">
        <v>279</v>
      </c>
      <c r="C257" s="4" t="s">
        <v>280</v>
      </c>
      <c r="D257" s="4"/>
      <c r="E257" s="9">
        <f>_xll.BQL("SAVE US Equity", "BS_ST_OPERATING_LEASE_LIABS/1M", "FPT=A", "FPO=5A", "ACT_EST_MAPPING=PRECISE", "FS=MRC", "CURRENCY=USD", "XLFILL=b")</f>
        <v>243.52799999999999</v>
      </c>
      <c r="F257" s="9">
        <f>_xll.BQL("SAVE US Equity", "BS_ST_OPERATING_LEASE_LIABS/1M", "FPT=A", "FPO=4A", "ACT_EST_MAPPING=PRECISE", "FS=MRC", "CURRENCY=USD", "XLFILL=b")</f>
        <v>243.52799999999999</v>
      </c>
      <c r="G257" s="9">
        <f>_xll.BQL("SAVE US Equity", "BS_ST_OPERATING_LEASE_LIABS/1M", "FPT=A", "FPO=3A", "ACT_EST_MAPPING=PRECISE", "FS=MRC", "CURRENCY=USD", "XLFILL=b")</f>
        <v>236.93624150121911</v>
      </c>
      <c r="H257" s="9">
        <f>_xll.BQL("SAVE US Equity", "BS_ST_OPERATING_LEASE_LIABS/1M", "FPT=A", "FPO=2A", "ACT_EST_MAPPING=PRECISE", "FS=MRC", "CURRENCY=USD", "XLFILL=b")</f>
        <v>236.93424320410782</v>
      </c>
      <c r="I257" s="9">
        <f>_xll.BQL("SAVE US Equity", "BS_ST_OPERATING_LEASE_LIABS/1M", "FPT=A", "FPO=1A", "ACT_EST_MAPPING=PRECISE", "FS=MRC", "CURRENCY=USD", "XLFILL=b")</f>
        <v>240.71036954078684</v>
      </c>
      <c r="J257" s="9">
        <f>_xll.BQL("SAVE US Equity", "BS_ST_OPERATING_LEASE_LIABS/1M", "FPT=A", "FPO=0A", "ACT_EST_MAPPING=PRECISE", "FS=MRC", "CURRENCY=USD", "XLFILL=b")</f>
        <v>224.86500000000001</v>
      </c>
      <c r="K257" s="9">
        <f>_xll.BQL("SAVE US Equity", "BS_ST_OPERATING_LEASE_LIABS/1M", "FPT=A", "FPO=-1A", "ACT_EST_MAPPING=PRECISE", "FS=MRC", "CURRENCY=USD", "XLFILL=b")</f>
        <v>188.29599999999999</v>
      </c>
      <c r="L257" s="9">
        <f>_xll.BQL("SAVE US Equity", "BS_ST_OPERATING_LEASE_LIABS/1M", "FPT=A", "FPO=-2A", "ACT_EST_MAPPING=PRECISE", "FS=MRC", "CURRENCY=USD", "XLFILL=b")</f>
        <v>158.631</v>
      </c>
      <c r="M257" s="9">
        <f>_xll.BQL("SAVE US Equity", "BS_ST_OPERATING_LEASE_LIABS/1M", "FPT=A", "FPO=-3A", "ACT_EST_MAPPING=PRECISE", "FS=MRC", "CURRENCY=USD", "XLFILL=b")</f>
        <v>133.791</v>
      </c>
      <c r="N257" s="9">
        <f>_xll.BQL("SAVE US Equity", "BS_ST_OPERATING_LEASE_LIABS/1M", "FPT=A", "FPO=-4A", "ACT_EST_MAPPING=PRECISE", "FS=MRC", "CURRENCY=USD", "XLFILL=b")</f>
        <v>120.66200000000001</v>
      </c>
    </row>
    <row r="258" spans="1:14" x14ac:dyDescent="0.2">
      <c r="A258" s="8" t="s">
        <v>242</v>
      </c>
      <c r="B258" s="4" t="s">
        <v>279</v>
      </c>
      <c r="C258" s="4" t="s">
        <v>280</v>
      </c>
      <c r="D258" s="4"/>
      <c r="E258" s="9">
        <f>_xll.BQL("SAVE US Equity", "FA_GROWTH(BS_ST_OPERATING_LEASE_LIABS, YOY)", "FPT=A", "FPO=5A", "ACT_EST_MAPPING=PRECISE", "FS=MRC", "CURRENCY=USD", "XLFILL=b")</f>
        <v>0</v>
      </c>
      <c r="F258" s="9">
        <f>_xll.BQL("SAVE US Equity", "FA_GROWTH(BS_ST_OPERATING_LEASE_LIABS, YOY)", "FPT=A", "FPO=4A", "ACT_EST_MAPPING=PRECISE", "FS=MRC", "CURRENCY=USD", "XLFILL=b")</f>
        <v>2.7820811442841089</v>
      </c>
      <c r="G258" s="9">
        <f>_xll.BQL("SAVE US Equity", "FA_GROWTH(BS_ST_OPERATING_LEASE_LIABS, YOY)", "FPT=A", "FPO=3A", "ACT_EST_MAPPING=PRECISE", "FS=MRC", "CURRENCY=USD", "XLFILL=b")</f>
        <v>8.4339734277293738E-4</v>
      </c>
      <c r="H258" s="9">
        <f>_xll.BQL("SAVE US Equity", "FA_GROWTH(BS_ST_OPERATING_LEASE_LIABS, YOY)", "FPT=A", "FPO=2A", "ACT_EST_MAPPING=PRECISE", "FS=MRC", "CURRENCY=USD", "XLFILL=b")</f>
        <v>-1.5687426943354723</v>
      </c>
      <c r="I258" s="9">
        <f>_xll.BQL("SAVE US Equity", "FA_GROWTH(BS_ST_OPERATING_LEASE_LIABS, YOY)", "FPT=A", "FPO=1A", "ACT_EST_MAPPING=PRECISE", "FS=MRC", "CURRENCY=USD", "XLFILL=b")</f>
        <v>7.0466144312306644</v>
      </c>
      <c r="J258" s="9">
        <f>_xll.BQL("SAVE US Equity", "FA_GROWTH(BS_ST_OPERATING_LEASE_LIABS, YOY)", "FPT=A", "FPO=0A", "ACT_EST_MAPPING=PRECISE", "FS=MRC", "CURRENCY=USD", "XLFILL=b")</f>
        <v>19.421017971704124</v>
      </c>
      <c r="K258" s="9">
        <f>_xll.BQL("SAVE US Equity", "FA_GROWTH(BS_ST_OPERATING_LEASE_LIABS, YOY)", "FPT=A", "FPO=-1A", "ACT_EST_MAPPING=PRECISE", "FS=MRC", "CURRENCY=USD", "XLFILL=b")</f>
        <v>18.700632284988433</v>
      </c>
      <c r="L258" s="9">
        <f>_xll.BQL("SAVE US Equity", "FA_GROWTH(BS_ST_OPERATING_LEASE_LIABS, YOY)", "FPT=A", "FPO=-2A", "ACT_EST_MAPPING=PRECISE", "FS=MRC", "CURRENCY=USD", "XLFILL=b")</f>
        <v>18.5662712738525</v>
      </c>
      <c r="M258" s="9">
        <f>_xll.BQL("SAVE US Equity", "FA_GROWTH(BS_ST_OPERATING_LEASE_LIABS, YOY)", "FPT=A", "FPO=-3A", "ACT_EST_MAPPING=PRECISE", "FS=MRC", "CURRENCY=USD", "XLFILL=b")</f>
        <v>10.880807545043178</v>
      </c>
      <c r="N258" s="9" t="str">
        <f>_xll.BQL("SAVE US Equity", "FA_GROWTH(BS_ST_OPERATING_LEASE_LIABS, YOY)", "FPT=A", "FPO=-4A", "ACT_EST_MAPPING=PRECISE", "FS=MRC", "CURRENCY=USD", "XLFILL=b")</f>
        <v/>
      </c>
    </row>
    <row r="259" spans="1:14" x14ac:dyDescent="0.2">
      <c r="A259" s="8" t="s">
        <v>281</v>
      </c>
      <c r="B259" s="4" t="s">
        <v>282</v>
      </c>
      <c r="C259" s="4" t="s">
        <v>283</v>
      </c>
      <c r="D259" s="4"/>
      <c r="E259" s="9" t="str">
        <f>_xll.BQL("SAVE US Equity", "PREPAID_EXPNSS_AND_OTHR/1M", "FPT=A", "FPO=5A", "ACT_EST_MAPPING=PRECISE", "FS=MRC", "CURRENCY=USD", "XLFILL=b")</f>
        <v/>
      </c>
      <c r="F259" s="9" t="str">
        <f>_xll.BQL("SAVE US Equity", "PREPAID_EXPNSS_AND_OTHR/1M", "FPT=A", "FPO=4A", "ACT_EST_MAPPING=PRECISE", "FS=MRC", "CURRENCY=USD", "XLFILL=b")</f>
        <v/>
      </c>
      <c r="G259" s="9">
        <f>_xll.BQL("SAVE US Equity", "PREPAID_EXPNSS_AND_OTHR/1M", "FPT=A", "FPO=3A", "ACT_EST_MAPPING=PRECISE", "FS=MRC", "CURRENCY=USD", "XLFILL=b")</f>
        <v>249.35267090673412</v>
      </c>
      <c r="H259" s="9">
        <f>_xll.BQL("SAVE US Equity", "PREPAID_EXPNSS_AND_OTHR/1M", "FPT=A", "FPO=2A", "ACT_EST_MAPPING=PRECISE", "FS=MRC", "CURRENCY=USD", "XLFILL=b")</f>
        <v>199.77678740853491</v>
      </c>
      <c r="I259" s="9">
        <f>_xll.BQL("SAVE US Equity", "PREPAID_EXPNSS_AND_OTHR/1M", "FPT=A", "FPO=1A", "ACT_EST_MAPPING=PRECISE", "FS=MRC", "CURRENCY=USD", "XLFILL=b")</f>
        <v>197.88923203443625</v>
      </c>
      <c r="J259" s="9">
        <f>_xll.BQL("SAVE US Equity", "PREPAID_EXPNSS_AND_OTHR/1M", "FPT=A", "FPO=0A", "ACT_EST_MAPPING=PRECISE", "FS=MRC", "CURRENCY=USD", "XLFILL=b")</f>
        <v>209.547</v>
      </c>
      <c r="K259" s="9">
        <f>_xll.BQL("SAVE US Equity", "PREPAID_EXPNSS_AND_OTHR/1M", "FPT=A", "FPO=-1A", "ACT_EST_MAPPING=PRECISE", "FS=MRC", "CURRENCY=USD", "XLFILL=b")</f>
        <v>187.589</v>
      </c>
      <c r="L259" s="9">
        <f>_xll.BQL("SAVE US Equity", "PREPAID_EXPNSS_AND_OTHR/1M", "FPT=A", "FPO=-2A", "ACT_EST_MAPPING=PRECISE", "FS=MRC", "CURRENCY=USD", "XLFILL=b")</f>
        <v>129.827</v>
      </c>
      <c r="M259" s="9">
        <f>_xll.BQL("SAVE US Equity", "PREPAID_EXPNSS_AND_OTHR/1M", "FPT=A", "FPO=-3A", "ACT_EST_MAPPING=PRECISE", "FS=MRC", "CURRENCY=USD", "XLFILL=b")</f>
        <v>124.983</v>
      </c>
      <c r="N259" s="9">
        <f>_xll.BQL("SAVE US Equity", "PREPAID_EXPNSS_AND_OTHR/1M", "FPT=A", "FPO=-4A", "ACT_EST_MAPPING=PRECISE", "FS=MRC", "CURRENCY=USD", "XLFILL=b")</f>
        <v>103.43899999999999</v>
      </c>
    </row>
    <row r="260" spans="1:14" x14ac:dyDescent="0.2">
      <c r="A260" s="8" t="s">
        <v>92</v>
      </c>
      <c r="B260" s="4" t="s">
        <v>282</v>
      </c>
      <c r="C260" s="4" t="s">
        <v>283</v>
      </c>
      <c r="D260" s="4"/>
      <c r="E260" s="9" t="str">
        <f>_xll.BQL("SAVE US Equity", "FA_GROWTH(PREPAID_EXPNSS_AND_OTHR, YOY)", "FPT=A", "FPO=5A", "ACT_EST_MAPPING=PRECISE", "FS=MRC", "CURRENCY=USD", "XLFILL=b")</f>
        <v/>
      </c>
      <c r="F260" s="9" t="str">
        <f>_xll.BQL("SAVE US Equity", "FA_GROWTH(PREPAID_EXPNSS_AND_OTHR, YOY)", "FPT=A", "FPO=4A", "ACT_EST_MAPPING=PRECISE", "FS=MRC", "CURRENCY=USD", "XLFILL=b")</f>
        <v/>
      </c>
      <c r="G260" s="9">
        <f>_xll.BQL("SAVE US Equity", "FA_GROWTH(PREPAID_EXPNSS_AND_OTHR, YOY)", "FPT=A", "FPO=3A", "ACT_EST_MAPPING=PRECISE", "FS=MRC", "CURRENCY=USD", "XLFILL=b")</f>
        <v>24.815637562946016</v>
      </c>
      <c r="H260" s="9">
        <f>_xll.BQL("SAVE US Equity", "FA_GROWTH(PREPAID_EXPNSS_AND_OTHR, YOY)", "FPT=A", "FPO=2A", "ACT_EST_MAPPING=PRECISE", "FS=MRC", "CURRENCY=USD", "XLFILL=b")</f>
        <v>0.95384440815364335</v>
      </c>
      <c r="I260" s="9">
        <f>_xll.BQL("SAVE US Equity", "FA_GROWTH(PREPAID_EXPNSS_AND_OTHR, YOY)", "FPT=A", "FPO=1A", "ACT_EST_MAPPING=PRECISE", "FS=MRC", "CURRENCY=USD", "XLFILL=b")</f>
        <v>-5.5633189525804454</v>
      </c>
      <c r="J260" s="9">
        <f>_xll.BQL("SAVE US Equity", "FA_GROWTH(PREPAID_EXPNSS_AND_OTHR, YOY)", "FPT=A", "FPO=0A", "ACT_EST_MAPPING=PRECISE", "FS=MRC", "CURRENCY=USD", "XLFILL=b")</f>
        <v>11.705377180964769</v>
      </c>
      <c r="K260" s="9">
        <f>_xll.BQL("SAVE US Equity", "FA_GROWTH(PREPAID_EXPNSS_AND_OTHR, YOY)", "FPT=A", "FPO=-1A", "ACT_EST_MAPPING=PRECISE", "FS=MRC", "CURRENCY=USD", "XLFILL=b")</f>
        <v>44.491515632341503</v>
      </c>
      <c r="L260" s="9">
        <f>_xll.BQL("SAVE US Equity", "FA_GROWTH(PREPAID_EXPNSS_AND_OTHR, YOY)", "FPT=A", "FPO=-2A", "ACT_EST_MAPPING=PRECISE", "FS=MRC", "CURRENCY=USD", "XLFILL=b")</f>
        <v>3.8757270988854486</v>
      </c>
      <c r="M260" s="9">
        <f>_xll.BQL("SAVE US Equity", "FA_GROWTH(PREPAID_EXPNSS_AND_OTHR, YOY)", "FPT=A", "FPO=-3A", "ACT_EST_MAPPING=PRECISE", "FS=MRC", "CURRENCY=USD", "XLFILL=b")</f>
        <v>20.827734220168409</v>
      </c>
      <c r="N260" s="9">
        <f>_xll.BQL("SAVE US Equity", "FA_GROWTH(PREPAID_EXPNSS_AND_OTHR, YOY)", "FPT=A", "FPO=-4A", "ACT_EST_MAPPING=PRECISE", "FS=MRC", "CURRENCY=USD", "XLFILL=b")</f>
        <v>24.052864492762314</v>
      </c>
    </row>
    <row r="261" spans="1:14" x14ac:dyDescent="0.2">
      <c r="A261" s="8" t="s">
        <v>232</v>
      </c>
      <c r="B261" s="4" t="s">
        <v>284</v>
      </c>
      <c r="C261" s="4" t="s">
        <v>283</v>
      </c>
      <c r="D261" s="4"/>
      <c r="E261" s="9">
        <f>_xll.BQL("SAVE US Equity", "BS_OTHER_CUR_LIAB/1M", "FPT=A", "FPO=5A", "ACT_EST_MAPPING=PRECISE", "FS=MRC", "CURRENCY=USD", "XLFILL=b")</f>
        <v>557.80600000000004</v>
      </c>
      <c r="F261" s="9">
        <f>_xll.BQL("SAVE US Equity", "BS_OTHER_CUR_LIAB/1M", "FPT=A", "FPO=4A", "ACT_EST_MAPPING=PRECISE", "FS=MRC", "CURRENCY=USD", "XLFILL=b")</f>
        <v>557.80600000000004</v>
      </c>
      <c r="G261" s="9">
        <f>_xll.BQL("SAVE US Equity", "BS_OTHER_CUR_LIAB/1M", "FPT=A", "FPO=3A", "ACT_EST_MAPPING=PRECISE", "FS=MRC", "CURRENCY=USD", "XLFILL=b")</f>
        <v>578.24877151754231</v>
      </c>
      <c r="H261" s="9">
        <f>_xll.BQL("SAVE US Equity", "BS_OTHER_CUR_LIAB/1M", "FPT=A", "FPO=2A", "ACT_EST_MAPPING=PRECISE", "FS=MRC", "CURRENCY=USD", "XLFILL=b")</f>
        <v>620.8140556922566</v>
      </c>
      <c r="I261" s="9">
        <f>_xll.BQL("SAVE US Equity", "BS_OTHER_CUR_LIAB/1M", "FPT=A", "FPO=1A", "ACT_EST_MAPPING=PRECISE", "FS=MRC", "CURRENCY=USD", "XLFILL=b")</f>
        <v>619.27658418006229</v>
      </c>
      <c r="J261" s="9">
        <f>_xll.BQL("SAVE US Equity", "BS_OTHER_CUR_LIAB/1M", "FPT=A", "FPO=0A", "ACT_EST_MAPPING=PRECISE", "FS=MRC", "CURRENCY=USD", "XLFILL=b")</f>
        <v>705.298</v>
      </c>
      <c r="K261" s="9">
        <f>_xll.BQL("SAVE US Equity", "BS_OTHER_CUR_LIAB/1M", "FPT=A", "FPO=-1A", "ACT_EST_MAPPING=PRECISE", "FS=MRC", "CURRENCY=USD", "XLFILL=b")</f>
        <v>556.33000000000004</v>
      </c>
      <c r="L261" s="9">
        <f>_xll.BQL("SAVE US Equity", "BS_OTHER_CUR_LIAB/1M", "FPT=A", "FPO=-2A", "ACT_EST_MAPPING=PRECISE", "FS=MRC", "CURRENCY=USD", "XLFILL=b")</f>
        <v>480.75400000000002</v>
      </c>
      <c r="M261" s="9">
        <f>_xll.BQL("SAVE US Equity", "BS_OTHER_CUR_LIAB/1M", "FPT=A", "FPO=-3A", "ACT_EST_MAPPING=PRECISE", "FS=MRC", "CURRENCY=USD", "XLFILL=b")</f>
        <v>393.61399999999998</v>
      </c>
      <c r="N261" s="9">
        <f>_xll.BQL("SAVE US Equity", "BS_OTHER_CUR_LIAB/1M", "FPT=A", "FPO=-4A", "ACT_EST_MAPPING=PRECISE", "FS=MRC", "CURRENCY=USD", "XLFILL=b")</f>
        <v>373.52100000000002</v>
      </c>
    </row>
    <row r="262" spans="1:14" x14ac:dyDescent="0.2">
      <c r="A262" s="8" t="s">
        <v>92</v>
      </c>
      <c r="B262" s="4" t="s">
        <v>284</v>
      </c>
      <c r="C262" s="4" t="s">
        <v>283</v>
      </c>
      <c r="D262" s="4"/>
      <c r="E262" s="9">
        <f>_xll.BQL("SAVE US Equity", "FA_GROWTH(BS_OTHER_CUR_LIAB, YOY)", "FPT=A", "FPO=5A", "ACT_EST_MAPPING=PRECISE", "FS=MRC", "CURRENCY=USD", "XLFILL=b")</f>
        <v>0</v>
      </c>
      <c r="F262" s="9">
        <f>_xll.BQL("SAVE US Equity", "FA_GROWTH(BS_OTHER_CUR_LIAB, YOY)", "FPT=A", "FPO=4A", "ACT_EST_MAPPING=PRECISE", "FS=MRC", "CURRENCY=USD", "XLFILL=b")</f>
        <v>-3.535290090438556</v>
      </c>
      <c r="G262" s="9">
        <f>_xll.BQL("SAVE US Equity", "FA_GROWTH(BS_OTHER_CUR_LIAB, YOY)", "FPT=A", "FPO=3A", "ACT_EST_MAPPING=PRECISE", "FS=MRC", "CURRENCY=USD", "XLFILL=b")</f>
        <v>-6.8563660542850569</v>
      </c>
      <c r="H262" s="9">
        <f>_xll.BQL("SAVE US Equity", "FA_GROWTH(BS_OTHER_CUR_LIAB, YOY)", "FPT=A", "FPO=2A", "ACT_EST_MAPPING=PRECISE", "FS=MRC", "CURRENCY=USD", "XLFILL=b")</f>
        <v>0.24826895630648244</v>
      </c>
      <c r="I262" s="9">
        <f>_xll.BQL("SAVE US Equity", "FA_GROWTH(BS_OTHER_CUR_LIAB, YOY)", "FPT=A", "FPO=1A", "ACT_EST_MAPPING=PRECISE", "FS=MRC", "CURRENCY=USD", "XLFILL=b")</f>
        <v>-12.196463880506922</v>
      </c>
      <c r="J262" s="9">
        <f>_xll.BQL("SAVE US Equity", "FA_GROWTH(BS_OTHER_CUR_LIAB, YOY)", "FPT=A", "FPO=0A", "ACT_EST_MAPPING=PRECISE", "FS=MRC", "CURRENCY=USD", "XLFILL=b")</f>
        <v>26.77691298330128</v>
      </c>
      <c r="K262" s="9">
        <f>_xll.BQL("SAVE US Equity", "FA_GROWTH(BS_OTHER_CUR_LIAB, YOY)", "FPT=A", "FPO=-1A", "ACT_EST_MAPPING=PRECISE", "FS=MRC", "CURRENCY=USD", "XLFILL=b")</f>
        <v>15.720306019294691</v>
      </c>
      <c r="L262" s="9">
        <f>_xll.BQL("SAVE US Equity", "FA_GROWTH(BS_OTHER_CUR_LIAB, YOY)", "FPT=A", "FPO=-2A", "ACT_EST_MAPPING=PRECISE", "FS=MRC", "CURRENCY=USD", "XLFILL=b")</f>
        <v>22.138440197757195</v>
      </c>
      <c r="M262" s="9">
        <f>_xll.BQL("SAVE US Equity", "FA_GROWTH(BS_OTHER_CUR_LIAB, YOY)", "FPT=A", "FPO=-3A", "ACT_EST_MAPPING=PRECISE", "FS=MRC", "CURRENCY=USD", "XLFILL=b")</f>
        <v>5.3793494877128731</v>
      </c>
      <c r="N262" s="9">
        <f>_xll.BQL("SAVE US Equity", "FA_GROWTH(BS_OTHER_CUR_LIAB, YOY)", "FPT=A", "FPO=-4A", "ACT_EST_MAPPING=PRECISE", "FS=MRC", "CURRENCY=USD", "XLFILL=b")</f>
        <v>10.197488759603017</v>
      </c>
    </row>
    <row r="263" spans="1:14" x14ac:dyDescent="0.2">
      <c r="A263" s="8" t="s">
        <v>285</v>
      </c>
      <c r="B263" s="4" t="s">
        <v>286</v>
      </c>
      <c r="C263" s="4" t="s">
        <v>287</v>
      </c>
      <c r="D263" s="4"/>
      <c r="E263" s="9" t="str">
        <f>_xll.BQL("SAVE US Equity", "BS_ADJ_TOTAL_LT_LIABILITIES/1M", "FPT=A", "FPO=5A", "ACT_EST_MAPPING=PRECISE", "FS=MRC", "CURRENCY=USD", "XLFILL=b")</f>
        <v/>
      </c>
      <c r="F263" s="9" t="str">
        <f>_xll.BQL("SAVE US Equity", "BS_ADJ_TOTAL_LT_LIABILITIES/1M", "FPT=A", "FPO=4A", "ACT_EST_MAPPING=PRECISE", "FS=MRC", "CURRENCY=USD", "XLFILL=b")</f>
        <v/>
      </c>
      <c r="G263" s="9" t="str">
        <f>_xll.BQL("SAVE US Equity", "BS_ADJ_TOTAL_LT_LIABILITIES/1M", "FPT=A", "FPO=3A", "ACT_EST_MAPPING=PRECISE", "FS=MRC", "CURRENCY=USD", "XLFILL=b")</f>
        <v/>
      </c>
      <c r="H263" s="9" t="str">
        <f>_xll.BQL("SAVE US Equity", "BS_ADJ_TOTAL_LT_LIABILITIES/1M", "FPT=A", "FPO=2A", "ACT_EST_MAPPING=PRECISE", "FS=MRC", "CURRENCY=USD", "XLFILL=b")</f>
        <v/>
      </c>
      <c r="I263" s="9" t="str">
        <f>_xll.BQL("SAVE US Equity", "BS_ADJ_TOTAL_LT_LIABILITIES/1M", "FPT=A", "FPO=1A", "ACT_EST_MAPPING=PRECISE", "FS=MRC", "CURRENCY=USD", "XLFILL=b")</f>
        <v/>
      </c>
      <c r="J263" s="9">
        <f>_xll.BQL("SAVE US Equity", "BS_ADJ_TOTAL_LT_LIABILITIES/1M", "FPT=A", "FPO=0A", "ACT_EST_MAPPING=PRECISE", "FS=MRC", "CURRENCY=USD", "XLFILL=b")</f>
        <v>6611.3029999999999</v>
      </c>
      <c r="K263" s="9">
        <f>_xll.BQL("SAVE US Equity", "BS_ADJ_TOTAL_LT_LIABILITIES/1M", "FPT=A", "FPO=-1A", "ACT_EST_MAPPING=PRECISE", "FS=MRC", "CURRENCY=USD", "XLFILL=b")</f>
        <v>6016.5420000000004</v>
      </c>
      <c r="L263" s="9">
        <f>_xll.BQL("SAVE US Equity", "BS_ADJ_TOTAL_LT_LIABILITIES/1M", "FPT=A", "FPO=-2A", "ACT_EST_MAPPING=PRECISE", "FS=MRC", "CURRENCY=USD", "XLFILL=b")</f>
        <v>5150.3879999999999</v>
      </c>
      <c r="M263" s="9">
        <f>_xll.BQL("SAVE US Equity", "BS_ADJ_TOTAL_LT_LIABILITIES/1M", "FPT=A", "FPO=-3A", "ACT_EST_MAPPING=PRECISE", "FS=MRC", "CURRENCY=USD", "XLFILL=b")</f>
        <v>4807.1080000000002</v>
      </c>
      <c r="N263" s="9">
        <f>_xll.BQL("SAVE US Equity", "BS_ADJ_TOTAL_LT_LIABILITIES/1M", "FPT=A", "FPO=-4A", "ACT_EST_MAPPING=PRECISE", "FS=MRC", "CURRENCY=USD", "XLFILL=b")</f>
        <v>3670.0360000000001</v>
      </c>
    </row>
    <row r="264" spans="1:14" x14ac:dyDescent="0.2">
      <c r="A264" s="8" t="s">
        <v>44</v>
      </c>
      <c r="B264" s="4" t="s">
        <v>286</v>
      </c>
      <c r="C264" s="4" t="s">
        <v>287</v>
      </c>
      <c r="D264" s="4"/>
      <c r="E264" s="9" t="str">
        <f>_xll.BQL("SAVE US Equity", "FA_GROWTH(BS_ADJ_TOTAL_LT_LIABILITIES, YOY)", "FPT=A", "FPO=5A", "ACT_EST_MAPPING=PRECISE", "FS=MRC", "CURRENCY=USD", "XLFILL=b")</f>
        <v/>
      </c>
      <c r="F264" s="9" t="str">
        <f>_xll.BQL("SAVE US Equity", "FA_GROWTH(BS_ADJ_TOTAL_LT_LIABILITIES, YOY)", "FPT=A", "FPO=4A", "ACT_EST_MAPPING=PRECISE", "FS=MRC", "CURRENCY=USD", "XLFILL=b")</f>
        <v/>
      </c>
      <c r="G264" s="9" t="str">
        <f>_xll.BQL("SAVE US Equity", "FA_GROWTH(BS_ADJ_TOTAL_LT_LIABILITIES, YOY)", "FPT=A", "FPO=3A", "ACT_EST_MAPPING=PRECISE", "FS=MRC", "CURRENCY=USD", "XLFILL=b")</f>
        <v/>
      </c>
      <c r="H264" s="9" t="str">
        <f>_xll.BQL("SAVE US Equity", "FA_GROWTH(BS_ADJ_TOTAL_LT_LIABILITIES, YOY)", "FPT=A", "FPO=2A", "ACT_EST_MAPPING=PRECISE", "FS=MRC", "CURRENCY=USD", "XLFILL=b")</f>
        <v/>
      </c>
      <c r="I264" s="9" t="str">
        <f>_xll.BQL("SAVE US Equity", "FA_GROWTH(BS_ADJ_TOTAL_LT_LIABILITIES, YOY)", "FPT=A", "FPO=1A", "ACT_EST_MAPPING=PRECISE", "FS=MRC", "CURRENCY=USD", "XLFILL=b")</f>
        <v/>
      </c>
      <c r="J264" s="9">
        <f>_xll.BQL("SAVE US Equity", "FA_GROWTH(BS_ADJ_TOTAL_LT_LIABILITIES, YOY)", "FPT=A", "FPO=0A", "ACT_EST_MAPPING=PRECISE", "FS=MRC", "CURRENCY=USD", "XLFILL=b")</f>
        <v>9.8854292050151074</v>
      </c>
      <c r="K264" s="9">
        <f>_xll.BQL("SAVE US Equity", "FA_GROWTH(BS_ADJ_TOTAL_LT_LIABILITIES, YOY)", "FPT=A", "FPO=-1A", "ACT_EST_MAPPING=PRECISE", "FS=MRC", "CURRENCY=USD", "XLFILL=b")</f>
        <v>16.817257262947958</v>
      </c>
      <c r="L264" s="9">
        <f>_xll.BQL("SAVE US Equity", "FA_GROWTH(BS_ADJ_TOTAL_LT_LIABILITIES, YOY)", "FPT=A", "FPO=-2A", "ACT_EST_MAPPING=PRECISE", "FS=MRC", "CURRENCY=USD", "XLFILL=b")</f>
        <v>7.1410918997451276</v>
      </c>
      <c r="M264" s="9">
        <f>_xll.BQL("SAVE US Equity", "FA_GROWTH(BS_ADJ_TOTAL_LT_LIABILITIES, YOY)", "FPT=A", "FPO=-3A", "ACT_EST_MAPPING=PRECISE", "FS=MRC", "CURRENCY=USD", "XLFILL=b")</f>
        <v>30.982584367019832</v>
      </c>
      <c r="N264" s="9">
        <f>_xll.BQL("SAVE US Equity", "FA_GROWTH(BS_ADJ_TOTAL_LT_LIABILITIES, YOY)", "FPT=A", "FPO=-4A", "ACT_EST_MAPPING=PRECISE", "FS=MRC", "CURRENCY=USD", "XLFILL=b")</f>
        <v>52.764256678063518</v>
      </c>
    </row>
    <row r="265" spans="1:14" x14ac:dyDescent="0.2">
      <c r="A265" s="8" t="s">
        <v>288</v>
      </c>
      <c r="B265" s="4" t="s">
        <v>289</v>
      </c>
      <c r="C265" s="4" t="s">
        <v>290</v>
      </c>
      <c r="D265" s="4"/>
      <c r="E265" s="9">
        <f>_xll.BQL("SAVE US Equity", "BS_LONG_TERM_BORROWINGS/1M", "FPT=A", "FPO=5A", "ACT_EST_MAPPING=PRECISE", "FS=MRC", "CURRENCY=USD", "XLFILL=b")</f>
        <v>4920.2289999999985</v>
      </c>
      <c r="F265" s="9">
        <f>_xll.BQL("SAVE US Equity", "BS_LONG_TERM_BORROWINGS/1M", "FPT=A", "FPO=4A", "ACT_EST_MAPPING=PRECISE", "FS=MRC", "CURRENCY=USD", "XLFILL=b")</f>
        <v>4228.9289999999992</v>
      </c>
      <c r="G265" s="9">
        <f>_xll.BQL("SAVE US Equity", "BS_LONG_TERM_BORROWINGS/1M", "FPT=A", "FPO=3A", "ACT_EST_MAPPING=PRECISE", "FS=MRC", "CURRENCY=USD", "XLFILL=b")</f>
        <v>3796.89525</v>
      </c>
      <c r="H265" s="9">
        <f>_xll.BQL("SAVE US Equity", "BS_LONG_TERM_BORROWINGS/1M", "FPT=A", "FPO=2A", "ACT_EST_MAPPING=PRECISE", "FS=MRC", "CURRENCY=USD", "XLFILL=b")</f>
        <v>3708.1630166666664</v>
      </c>
      <c r="I265" s="9">
        <f>_xll.BQL("SAVE US Equity", "BS_LONG_TERM_BORROWINGS/1M", "FPT=A", "FPO=1A", "ACT_EST_MAPPING=PRECISE", "FS=MRC", "CURRENCY=USD", "XLFILL=b")</f>
        <v>3247.5296833333337</v>
      </c>
      <c r="J265" s="9">
        <f>_xll.BQL("SAVE US Equity", "BS_LONG_TERM_BORROWINGS/1M", "FPT=A", "FPO=0A", "ACT_EST_MAPPING=PRECISE", "FS=MRC", "CURRENCY=USD", "XLFILL=b")</f>
        <v>3054.9769999999999</v>
      </c>
      <c r="K265" s="9">
        <f>_xll.BQL("SAVE US Equity", "BS_LONG_TERM_BORROWINGS/1M", "FPT=A", "FPO=-1A", "ACT_EST_MAPPING=PRECISE", "FS=MRC", "CURRENCY=USD", "XLFILL=b")</f>
        <v>3200.0169999999998</v>
      </c>
      <c r="L265" s="9">
        <f>_xll.BQL("SAVE US Equity", "BS_LONG_TERM_BORROWINGS/1M", "FPT=A", "FPO=-2A", "ACT_EST_MAPPING=PRECISE", "FS=MRC", "CURRENCY=USD", "XLFILL=b")</f>
        <v>2975.02</v>
      </c>
      <c r="M265" s="9">
        <f>_xll.BQL("SAVE US Equity", "BS_LONG_TERM_BORROWINGS/1M", "FPT=A", "FPO=-3A", "ACT_EST_MAPPING=PRECISE", "FS=MRC", "CURRENCY=USD", "XLFILL=b")</f>
        <v>3065.518</v>
      </c>
      <c r="N265" s="9">
        <f>_xll.BQL("SAVE US Equity", "BS_LONG_TERM_BORROWINGS/1M", "FPT=A", "FPO=-4A", "ACT_EST_MAPPING=PRECISE", "FS=MRC", "CURRENCY=USD", "XLFILL=b")</f>
        <v>1959.1679999999999</v>
      </c>
    </row>
    <row r="266" spans="1:14" x14ac:dyDescent="0.2">
      <c r="A266" s="8" t="s">
        <v>92</v>
      </c>
      <c r="B266" s="4" t="s">
        <v>289</v>
      </c>
      <c r="C266" s="4" t="s">
        <v>290</v>
      </c>
      <c r="D266" s="4"/>
      <c r="E266" s="9">
        <f>_xll.BQL("SAVE US Equity", "FA_GROWTH(BS_LONG_TERM_BORROWINGS, YOY)", "FPT=A", "FPO=5A", "ACT_EST_MAPPING=PRECISE", "FS=MRC", "CURRENCY=USD", "XLFILL=b")</f>
        <v>16.346928501282459</v>
      </c>
      <c r="F266" s="9">
        <f>_xll.BQL("SAVE US Equity", "FA_GROWTH(BS_LONG_TERM_BORROWINGS, YOY)", "FPT=A", "FPO=4A", "ACT_EST_MAPPING=PRECISE", "FS=MRC", "CURRENCY=USD", "XLFILL=b")</f>
        <v>11.378605980768079</v>
      </c>
      <c r="G266" s="9">
        <f>_xll.BQL("SAVE US Equity", "FA_GROWTH(BS_LONG_TERM_BORROWINGS, YOY)", "FPT=A", "FPO=3A", "ACT_EST_MAPPING=PRECISE", "FS=MRC", "CURRENCY=USD", "XLFILL=b")</f>
        <v>2.3928892266741948</v>
      </c>
      <c r="H266" s="9">
        <f>_xll.BQL("SAVE US Equity", "FA_GROWTH(BS_LONG_TERM_BORROWINGS, YOY)", "FPT=A", "FPO=2A", "ACT_EST_MAPPING=PRECISE", "FS=MRC", "CURRENCY=USD", "XLFILL=b")</f>
        <v>14.184114642503564</v>
      </c>
      <c r="I266" s="9">
        <f>_xll.BQL("SAVE US Equity", "FA_GROWTH(BS_LONG_TERM_BORROWINGS, YOY)", "FPT=A", "FPO=1A", "ACT_EST_MAPPING=PRECISE", "FS=MRC", "CURRENCY=USD", "XLFILL=b")</f>
        <v>6.3029176106181328</v>
      </c>
      <c r="J266" s="9">
        <f>_xll.BQL("SAVE US Equity", "FA_GROWTH(BS_LONG_TERM_BORROWINGS, YOY)", "FPT=A", "FPO=0A", "ACT_EST_MAPPING=PRECISE", "FS=MRC", "CURRENCY=USD", "XLFILL=b")</f>
        <v>-4.5324759212216685</v>
      </c>
      <c r="K266" s="9">
        <f>_xll.BQL("SAVE US Equity", "FA_GROWTH(BS_LONG_TERM_BORROWINGS, YOY)", "FPT=A", "FPO=-1A", "ACT_EST_MAPPING=PRECISE", "FS=MRC", "CURRENCY=USD", "XLFILL=b")</f>
        <v>7.5628735269006597</v>
      </c>
      <c r="L266" s="9">
        <f>_xll.BQL("SAVE US Equity", "FA_GROWTH(BS_LONG_TERM_BORROWINGS, YOY)", "FPT=A", "FPO=-2A", "ACT_EST_MAPPING=PRECISE", "FS=MRC", "CURRENCY=USD", "XLFILL=b")</f>
        <v>-2.9521275034105168</v>
      </c>
      <c r="M266" s="9">
        <f>_xll.BQL("SAVE US Equity", "FA_GROWTH(BS_LONG_TERM_BORROWINGS, YOY)", "FPT=A", "FPO=-3A", "ACT_EST_MAPPING=PRECISE", "FS=MRC", "CURRENCY=USD", "XLFILL=b")</f>
        <v>56.470399679864109</v>
      </c>
      <c r="N266" s="9">
        <f>_xll.BQL("SAVE US Equity", "FA_GROWTH(BS_LONG_TERM_BORROWINGS, YOY)", "FPT=A", "FPO=-4A", "ACT_EST_MAPPING=PRECISE", "FS=MRC", "CURRENCY=USD", "XLFILL=b")</f>
        <v>-3.2401640874487723</v>
      </c>
    </row>
    <row r="267" spans="1:14" x14ac:dyDescent="0.2">
      <c r="A267" s="8" t="s">
        <v>291</v>
      </c>
      <c r="B267" s="4" t="s">
        <v>292</v>
      </c>
      <c r="C267" s="4" t="s">
        <v>293</v>
      </c>
      <c r="D267" s="4"/>
      <c r="E267" s="9" t="str">
        <f>_xll.BQL("SAVE US Equity", "BS_DEFERRED_TAX_LIABILITIES_LT/1M", "FPT=A", "FPO=5A", "ACT_EST_MAPPING=PRECISE", "FS=MRC", "CURRENCY=USD", "XLFILL=b")</f>
        <v/>
      </c>
      <c r="F267" s="9" t="str">
        <f>_xll.BQL("SAVE US Equity", "BS_DEFERRED_TAX_LIABILITIES_LT/1M", "FPT=A", "FPO=4A", "ACT_EST_MAPPING=PRECISE", "FS=MRC", "CURRENCY=USD", "XLFILL=b")</f>
        <v/>
      </c>
      <c r="G267" s="9">
        <f>_xll.BQL("SAVE US Equity", "BS_DEFERRED_TAX_LIABILITIES_LT/1M", "FPT=A", "FPO=3A", "ACT_EST_MAPPING=PRECISE", "FS=MRC", "CURRENCY=USD", "XLFILL=b")</f>
        <v>121.65073482104413</v>
      </c>
      <c r="H267" s="9">
        <f>_xll.BQL("SAVE US Equity", "BS_DEFERRED_TAX_LIABILITIES_LT/1M", "FPT=A", "FPO=2A", "ACT_EST_MAPPING=PRECISE", "FS=MRC", "CURRENCY=USD", "XLFILL=b")</f>
        <v>16.82176899708027</v>
      </c>
      <c r="I267" s="9">
        <f>_xll.BQL("SAVE US Equity", "BS_DEFERRED_TAX_LIABILITIES_LT/1M", "FPT=A", "FPO=1A", "ACT_EST_MAPPING=PRECISE", "FS=MRC", "CURRENCY=USD", "XLFILL=b")</f>
        <v>66.634303374754879</v>
      </c>
      <c r="J267" s="9">
        <f>_xll.BQL("SAVE US Equity", "BS_DEFERRED_TAX_LIABILITIES_LT/1M", "FPT=A", "FPO=0A", "ACT_EST_MAPPING=PRECISE", "FS=MRC", "CURRENCY=USD", "XLFILL=b")</f>
        <v>107.761</v>
      </c>
      <c r="K267" s="9">
        <f>_xll.BQL("SAVE US Equity", "BS_DEFERRED_TAX_LIABILITIES_LT/1M", "FPT=A", "FPO=-1A", "ACT_EST_MAPPING=PRECISE", "FS=MRC", "CURRENCY=USD", "XLFILL=b")</f>
        <v>226.84299999999999</v>
      </c>
      <c r="L267" s="9">
        <f>_xll.BQL("SAVE US Equity", "BS_DEFERRED_TAX_LIABILITIES_LT/1M", "FPT=A", "FPO=-2A", "ACT_EST_MAPPING=PRECISE", "FS=MRC", "CURRENCY=USD", "XLFILL=b")</f>
        <v>375.47199999999998</v>
      </c>
      <c r="M267" s="9">
        <f>_xll.BQL("SAVE US Equity", "BS_DEFERRED_TAX_LIABILITIES_LT/1M", "FPT=A", "FPO=-3A", "ACT_EST_MAPPING=PRECISE", "FS=MRC", "CURRENCY=USD", "XLFILL=b")</f>
        <v>439.89400000000001</v>
      </c>
      <c r="N267" s="9">
        <f>_xll.BQL("SAVE US Equity", "BS_DEFERRED_TAX_LIABILITIES_LT/1M", "FPT=A", "FPO=-4A", "ACT_EST_MAPPING=PRECISE", "FS=MRC", "CURRENCY=USD", "XLFILL=b")</f>
        <v>469.29199999999997</v>
      </c>
    </row>
    <row r="268" spans="1:14" x14ac:dyDescent="0.2">
      <c r="A268" s="8" t="s">
        <v>92</v>
      </c>
      <c r="B268" s="4" t="s">
        <v>292</v>
      </c>
      <c r="C268" s="4" t="s">
        <v>293</v>
      </c>
      <c r="D268" s="4"/>
      <c r="E268" s="9" t="str">
        <f>_xll.BQL("SAVE US Equity", "FA_GROWTH(BS_DEFERRED_TAX_LIABILITIES_LT, YOY)", "FPT=A", "FPO=5A", "ACT_EST_MAPPING=PRECISE", "FS=MRC", "CURRENCY=USD", "XLFILL=b")</f>
        <v/>
      </c>
      <c r="F268" s="9" t="str">
        <f>_xll.BQL("SAVE US Equity", "FA_GROWTH(BS_DEFERRED_TAX_LIABILITIES_LT, YOY)", "FPT=A", "FPO=4A", "ACT_EST_MAPPING=PRECISE", "FS=MRC", "CURRENCY=USD", "XLFILL=b")</f>
        <v/>
      </c>
      <c r="G268" s="9">
        <f>_xll.BQL("SAVE US Equity", "FA_GROWTH(BS_DEFERRED_TAX_LIABILITIES_LT, YOY)", "FPT=A", "FPO=3A", "ACT_EST_MAPPING=PRECISE", "FS=MRC", "CURRENCY=USD", "XLFILL=b")</f>
        <v>623.17444641023712</v>
      </c>
      <c r="H268" s="9">
        <f>_xll.BQL("SAVE US Equity", "FA_GROWTH(BS_DEFERRED_TAX_LIABILITIES_LT, YOY)", "FPT=A", "FPO=2A", "ACT_EST_MAPPING=PRECISE", "FS=MRC", "CURRENCY=USD", "XLFILL=b")</f>
        <v>-74.755091379174871</v>
      </c>
      <c r="I268" s="9">
        <f>_xll.BQL("SAVE US Equity", "FA_GROWTH(BS_DEFERRED_TAX_LIABILITIES_LT, YOY)", "FPT=A", "FPO=1A", "ACT_EST_MAPPING=PRECISE", "FS=MRC", "CURRENCY=USD", "XLFILL=b")</f>
        <v>-38.164731790949531</v>
      </c>
      <c r="J268" s="9">
        <f>_xll.BQL("SAVE US Equity", "FA_GROWTH(BS_DEFERRED_TAX_LIABILITIES_LT, YOY)", "FPT=A", "FPO=0A", "ACT_EST_MAPPING=PRECISE", "FS=MRC", "CURRENCY=USD", "XLFILL=b")</f>
        <v>-52.495338185441035</v>
      </c>
      <c r="K268" s="9">
        <f>_xll.BQL("SAVE US Equity", "FA_GROWTH(BS_DEFERRED_TAX_LIABILITIES_LT, YOY)", "FPT=A", "FPO=-1A", "ACT_EST_MAPPING=PRECISE", "FS=MRC", "CURRENCY=USD", "XLFILL=b")</f>
        <v>-39.584576213406059</v>
      </c>
      <c r="L268" s="9">
        <f>_xll.BQL("SAVE US Equity", "FA_GROWTH(BS_DEFERRED_TAX_LIABILITIES_LT, YOY)", "FPT=A", "FPO=-2A", "ACT_EST_MAPPING=PRECISE", "FS=MRC", "CURRENCY=USD", "XLFILL=b")</f>
        <v>-14.644891723915308</v>
      </c>
      <c r="M268" s="9">
        <f>_xll.BQL("SAVE US Equity", "FA_GROWTH(BS_DEFERRED_TAX_LIABILITIES_LT, YOY)", "FPT=A", "FPO=-3A", "ACT_EST_MAPPING=PRECISE", "FS=MRC", "CURRENCY=USD", "XLFILL=b")</f>
        <v>-6.2643300972528833</v>
      </c>
      <c r="N268" s="9">
        <f>_xll.BQL("SAVE US Equity", "FA_GROWTH(BS_DEFERRED_TAX_LIABILITIES_LT, YOY)", "FPT=A", "FPO=-4A", "ACT_EST_MAPPING=PRECISE", "FS=MRC", "CURRENCY=USD", "XLFILL=b")</f>
        <v>32.142444831771044</v>
      </c>
    </row>
    <row r="269" spans="1:14" x14ac:dyDescent="0.2">
      <c r="A269" s="8" t="s">
        <v>294</v>
      </c>
      <c r="B269" s="4" t="s">
        <v>295</v>
      </c>
      <c r="C269" s="4" t="s">
        <v>296</v>
      </c>
      <c r="D269" s="4"/>
      <c r="E269" s="9" t="str">
        <f>_xll.BQL("SAVE US Equity", "CB_BS_OTHER_NONCURRENT_LIABS/1M", "FPT=A", "FPO=5A", "ACT_EST_MAPPING=PRECISE", "FS=MRC", "CURRENCY=USD", "XLFILL=b")</f>
        <v/>
      </c>
      <c r="F269" s="9" t="str">
        <f>_xll.BQL("SAVE US Equity", "CB_BS_OTHER_NONCURRENT_LIABS/1M", "FPT=A", "FPO=4A", "ACT_EST_MAPPING=PRECISE", "FS=MRC", "CURRENCY=USD", "XLFILL=b")</f>
        <v/>
      </c>
      <c r="G269" s="9">
        <f>_xll.BQL("SAVE US Equity", "CB_BS_OTHER_NONCURRENT_LIABS/1M", "FPT=A", "FPO=3A", "ACT_EST_MAPPING=PRECISE", "FS=MRC", "CURRENCY=USD", "XLFILL=b")</f>
        <v>115.15046763535095</v>
      </c>
      <c r="H269" s="9">
        <f>_xll.BQL("SAVE US Equity", "CB_BS_OTHER_NONCURRENT_LIABS/1M", "FPT=A", "FPO=2A", "ACT_EST_MAPPING=PRECISE", "FS=MRC", "CURRENCY=USD", "XLFILL=b")</f>
        <v>126.00406284797943</v>
      </c>
      <c r="I269" s="9">
        <f>_xll.BQL("SAVE US Equity", "CB_BS_OTHER_NONCURRENT_LIABS/1M", "FPT=A", "FPO=1A", "ACT_EST_MAPPING=PRECISE", "FS=MRC", "CURRENCY=USD", "XLFILL=b")</f>
        <v>128.37624855117241</v>
      </c>
      <c r="J269" s="9">
        <f>_xll.BQL("SAVE US Equity", "CB_BS_OTHER_NONCURRENT_LIABS/1M", "FPT=A", "FPO=0A", "ACT_EST_MAPPING=PRECISE", "FS=MRC", "CURRENCY=USD", "XLFILL=b")</f>
        <v>149.44999999999999</v>
      </c>
      <c r="K269" s="9">
        <f>_xll.BQL("SAVE US Equity", "CB_BS_OTHER_NONCURRENT_LIABS/1M", "FPT=A", "FPO=-1A", "ACT_EST_MAPPING=PRECISE", "FS=MRC", "CURRENCY=USD", "XLFILL=b")</f>
        <v>133.70400000000001</v>
      </c>
      <c r="L269" s="9">
        <f>_xll.BQL("SAVE US Equity", "CB_BS_OTHER_NONCURRENT_LIABS/1M", "FPT=A", "FPO=-2A", "ACT_EST_MAPPING=PRECISE", "FS=MRC", "CURRENCY=USD", "XLFILL=b")</f>
        <v>47.741999999999997</v>
      </c>
      <c r="M269" s="9">
        <f>_xll.BQL("SAVE US Equity", "CB_BS_OTHER_NONCURRENT_LIABS/1M", "FPT=A", "FPO=-3A", "ACT_EST_MAPPING=PRECISE", "FS=MRC", "CURRENCY=USD", "XLFILL=b")</f>
        <v>52.06</v>
      </c>
      <c r="N269" s="9">
        <f>_xll.BQL("SAVE US Equity", "CB_BS_OTHER_NONCURRENT_LIABS/1M", "FPT=A", "FPO=-4A", "ACT_EST_MAPPING=PRECISE", "FS=MRC", "CURRENCY=USD", "XLFILL=b")</f>
        <v>22.277000000000001</v>
      </c>
    </row>
    <row r="270" spans="1:14" x14ac:dyDescent="0.2">
      <c r="A270" s="8" t="s">
        <v>92</v>
      </c>
      <c r="B270" s="4" t="s">
        <v>295</v>
      </c>
      <c r="C270" s="4" t="s">
        <v>296</v>
      </c>
      <c r="D270" s="4"/>
      <c r="E270" s="9" t="str">
        <f>_xll.BQL("SAVE US Equity", "FA_GROWTH(CB_BS_OTHER_NONCURRENT_LIABS, YOY)", "FPT=A", "FPO=5A", "ACT_EST_MAPPING=PRECISE", "FS=MRC", "CURRENCY=USD", "XLFILL=b")</f>
        <v/>
      </c>
      <c r="F270" s="9" t="str">
        <f>_xll.BQL("SAVE US Equity", "FA_GROWTH(CB_BS_OTHER_NONCURRENT_LIABS, YOY)", "FPT=A", "FPO=4A", "ACT_EST_MAPPING=PRECISE", "FS=MRC", "CURRENCY=USD", "XLFILL=b")</f>
        <v/>
      </c>
      <c r="G270" s="9">
        <f>_xll.BQL("SAVE US Equity", "FA_GROWTH(CB_BS_OTHER_NONCURRENT_LIABS, YOY)", "FPT=A", "FPO=3A", "ACT_EST_MAPPING=PRECISE", "FS=MRC", "CURRENCY=USD", "XLFILL=b")</f>
        <v>-8.6136867076445469</v>
      </c>
      <c r="H270" s="9">
        <f>_xll.BQL("SAVE US Equity", "FA_GROWTH(CB_BS_OTHER_NONCURRENT_LIABS, YOY)", "FPT=A", "FPO=2A", "ACT_EST_MAPPING=PRECISE", "FS=MRC", "CURRENCY=USD", "XLFILL=b")</f>
        <v>-1.8478384669788785</v>
      </c>
      <c r="I270" s="9">
        <f>_xll.BQL("SAVE US Equity", "FA_GROWTH(CB_BS_OTHER_NONCURRENT_LIABS, YOY)", "FPT=A", "FPO=1A", "ACT_EST_MAPPING=PRECISE", "FS=MRC", "CURRENCY=USD", "XLFILL=b")</f>
        <v>-14.100870825578854</v>
      </c>
      <c r="J270" s="9">
        <f>_xll.BQL("SAVE US Equity", "FA_GROWTH(CB_BS_OTHER_NONCURRENT_LIABS, YOY)", "FPT=A", "FPO=0A", "ACT_EST_MAPPING=PRECISE", "FS=MRC", "CURRENCY=USD", "XLFILL=b")</f>
        <v>11.776760605516651</v>
      </c>
      <c r="K270" s="9">
        <f>_xll.BQL("SAVE US Equity", "FA_GROWTH(CB_BS_OTHER_NONCURRENT_LIABS, YOY)", "FPT=A", "FPO=-1A", "ACT_EST_MAPPING=PRECISE", "FS=MRC", "CURRENCY=USD", "XLFILL=b")</f>
        <v>180.05529722257137</v>
      </c>
      <c r="L270" s="9">
        <f>_xll.BQL("SAVE US Equity", "FA_GROWTH(CB_BS_OTHER_NONCURRENT_LIABS, YOY)", "FPT=A", "FPO=-2A", "ACT_EST_MAPPING=PRECISE", "FS=MRC", "CURRENCY=USD", "XLFILL=b")</f>
        <v>-8.2942758355743376</v>
      </c>
      <c r="M270" s="9">
        <f>_xll.BQL("SAVE US Equity", "FA_GROWTH(CB_BS_OTHER_NONCURRENT_LIABS, YOY)", "FPT=A", "FPO=-3A", "ACT_EST_MAPPING=PRECISE", "FS=MRC", "CURRENCY=USD", "XLFILL=b")</f>
        <v>133.69394442698749</v>
      </c>
      <c r="N270" s="9">
        <f>_xll.BQL("SAVE US Equity", "FA_GROWTH(CB_BS_OTHER_NONCURRENT_LIABS, YOY)", "FPT=A", "FPO=-4A", "ACT_EST_MAPPING=PRECISE", "FS=MRC", "CURRENCY=USD", "XLFILL=b")</f>
        <v>-1.0043105363729281</v>
      </c>
    </row>
    <row r="271" spans="1:14" x14ac:dyDescent="0.2">
      <c r="A271" s="8" t="s">
        <v>297</v>
      </c>
      <c r="B271" s="4" t="s">
        <v>298</v>
      </c>
      <c r="C271" s="4"/>
      <c r="D271" s="4"/>
      <c r="E271" s="9" t="str">
        <f>_xll.BQL("SAVE US Equity", "BS_TOT_CPTL_LEA_AND_OP_LEA_LIABS/1M", "FPT=A", "FPO=5A", "ACT_EST_MAPPING=PRECISE", "FS=MRC", "CURRENCY=USD", "XLFILL=b")</f>
        <v/>
      </c>
      <c r="F271" s="9" t="str">
        <f>_xll.BQL("SAVE US Equity", "BS_TOT_CPTL_LEA_AND_OP_LEA_LIABS/1M", "FPT=A", "FPO=4A", "ACT_EST_MAPPING=PRECISE", "FS=MRC", "CURRENCY=USD", "XLFILL=b")</f>
        <v/>
      </c>
      <c r="G271" s="9">
        <f>_xll.BQL("SAVE US Equity", "BS_TOT_CPTL_LEA_AND_OP_LEA_LIABS/1M", "FPT=A", "FPO=3A", "ACT_EST_MAPPING=PRECISE", "FS=MRC", "CURRENCY=USD", "XLFILL=b")</f>
        <v>4128.9093622518285</v>
      </c>
      <c r="H271" s="9">
        <f>_xll.BQL("SAVE US Equity", "BS_TOT_CPTL_LEA_AND_OP_LEA_LIABS/1M", "FPT=A", "FPO=2A", "ACT_EST_MAPPING=PRECISE", "FS=MRC", "CURRENCY=USD", "XLFILL=b")</f>
        <v>4113.2012474069179</v>
      </c>
      <c r="I271" s="9">
        <f>_xll.BQL("SAVE US Equity", "BS_TOT_CPTL_LEA_AND_OP_LEA_LIABS/1M", "FPT=A", "FPO=1A", "ACT_EST_MAPPING=PRECISE", "FS=MRC", "CURRENCY=USD", "XLFILL=b")</f>
        <v>4161.0259781285022</v>
      </c>
      <c r="J271" s="9">
        <f>_xll.BQL("SAVE US Equity", "BS_TOT_CPTL_LEA_AND_OP_LEA_LIABS/1M", "FPT=A", "FPO=0A", "ACT_EST_MAPPING=PRECISE", "FS=MRC", "CURRENCY=USD", "XLFILL=b")</f>
        <v>3524.2159999999999</v>
      </c>
      <c r="K271" s="9">
        <f>_xll.BQL("SAVE US Equity", "BS_TOT_CPTL_LEA_AND_OP_LEA_LIABS/1M", "FPT=A", "FPO=-1A", "ACT_EST_MAPPING=PRECISE", "FS=MRC", "CURRENCY=USD", "XLFILL=b")</f>
        <v>2644.7179999999998</v>
      </c>
      <c r="L271" s="9">
        <f>_xll.BQL("SAVE US Equity", "BS_TOT_CPTL_LEA_AND_OP_LEA_LIABS/1M", "FPT=A", "FPO=-2A", "ACT_EST_MAPPING=PRECISE", "FS=MRC", "CURRENCY=USD", "XLFILL=b")</f>
        <v>1911.57</v>
      </c>
      <c r="M271" s="9">
        <f>_xll.BQL("SAVE US Equity", "BS_TOT_CPTL_LEA_AND_OP_LEA_LIABS/1M", "FPT=A", "FPO=-3A", "ACT_EST_MAPPING=PRECISE", "FS=MRC", "CURRENCY=USD", "XLFILL=b")</f>
        <v>1411.366</v>
      </c>
      <c r="N271" s="9">
        <f>_xll.BQL("SAVE US Equity", "BS_TOT_CPTL_LEA_AND_OP_LEA_LIABS/1M", "FPT=A", "FPO=-4A", "ACT_EST_MAPPING=PRECISE", "FS=MRC", "CURRENCY=USD", "XLFILL=b")</f>
        <v>1384.7570000000001</v>
      </c>
    </row>
    <row r="272" spans="1:14" x14ac:dyDescent="0.2">
      <c r="A272" s="8" t="s">
        <v>92</v>
      </c>
      <c r="B272" s="4" t="s">
        <v>298</v>
      </c>
      <c r="C272" s="4"/>
      <c r="D272" s="4"/>
      <c r="E272" s="9" t="str">
        <f>_xll.BQL("SAVE US Equity", "FA_GROWTH(BS_TOT_CPTL_LEA_AND_OP_LEA_LIABS, YOY)", "FPT=A", "FPO=5A", "ACT_EST_MAPPING=PRECISE", "FS=MRC", "CURRENCY=USD", "XLFILL=b")</f>
        <v/>
      </c>
      <c r="F272" s="9" t="str">
        <f>_xll.BQL("SAVE US Equity", "FA_GROWTH(BS_TOT_CPTL_LEA_AND_OP_LEA_LIABS, YOY)", "FPT=A", "FPO=4A", "ACT_EST_MAPPING=PRECISE", "FS=MRC", "CURRENCY=USD", "XLFILL=b")</f>
        <v/>
      </c>
      <c r="G272" s="9">
        <f>_xll.BQL("SAVE US Equity", "FA_GROWTH(BS_TOT_CPTL_LEA_AND_OP_LEA_LIABS, YOY)", "FPT=A", "FPO=3A", "ACT_EST_MAPPING=PRECISE", "FS=MRC", "CURRENCY=USD", "XLFILL=b")</f>
        <v>0.38189512012847598</v>
      </c>
      <c r="H272" s="9">
        <f>_xll.BQL("SAVE US Equity", "FA_GROWTH(BS_TOT_CPTL_LEA_AND_OP_LEA_LIABS, YOY)", "FPT=A", "FPO=2A", "ACT_EST_MAPPING=PRECISE", "FS=MRC", "CURRENCY=USD", "XLFILL=b")</f>
        <v>-1.149349486712274</v>
      </c>
      <c r="I272" s="9">
        <f>_xll.BQL("SAVE US Equity", "FA_GROWTH(BS_TOT_CPTL_LEA_AND_OP_LEA_LIABS, YOY)", "FPT=A", "FPO=1A", "ACT_EST_MAPPING=PRECISE", "FS=MRC", "CURRENCY=USD", "XLFILL=b")</f>
        <v>18.069550167427376</v>
      </c>
      <c r="J272" s="9">
        <f>_xll.BQL("SAVE US Equity", "FA_GROWTH(BS_TOT_CPTL_LEA_AND_OP_LEA_LIABS, YOY)", "FPT=A", "FPO=0A", "ACT_EST_MAPPING=PRECISE", "FS=MRC", "CURRENCY=USD", "XLFILL=b")</f>
        <v>33.254887666662384</v>
      </c>
      <c r="K272" s="9">
        <f>_xll.BQL("SAVE US Equity", "FA_GROWTH(BS_TOT_CPTL_LEA_AND_OP_LEA_LIABS, YOY)", "FPT=A", "FPO=-1A", "ACT_EST_MAPPING=PRECISE", "FS=MRC", "CURRENCY=USD", "XLFILL=b")</f>
        <v>38.353186124494528</v>
      </c>
      <c r="L272" s="9">
        <f>_xll.BQL("SAVE US Equity", "FA_GROWTH(BS_TOT_CPTL_LEA_AND_OP_LEA_LIABS, YOY)", "FPT=A", "FPO=-2A", "ACT_EST_MAPPING=PRECISE", "FS=MRC", "CURRENCY=USD", "XLFILL=b")</f>
        <v>35.441125831286854</v>
      </c>
      <c r="M272" s="9">
        <f>_xll.BQL("SAVE US Equity", "FA_GROWTH(BS_TOT_CPTL_LEA_AND_OP_LEA_LIABS, YOY)", "FPT=A", "FPO=-3A", "ACT_EST_MAPPING=PRECISE", "FS=MRC", "CURRENCY=USD", "XLFILL=b")</f>
        <v>1.9215645777562418</v>
      </c>
      <c r="N272" s="9" t="str">
        <f>_xll.BQL("SAVE US Equity", "FA_GROWTH(BS_TOT_CPTL_LEA_AND_OP_LEA_LIABS, YOY)", "FPT=A", "FPO=-4A", "ACT_EST_MAPPING=PRECISE", "FS=MRC", "CURRENCY=USD", "XLFILL=b")</f>
        <v/>
      </c>
    </row>
    <row r="273" spans="1:14" x14ac:dyDescent="0.2">
      <c r="A273" s="8" t="s">
        <v>278</v>
      </c>
      <c r="B273" s="4" t="s">
        <v>299</v>
      </c>
      <c r="C273" s="4" t="s">
        <v>300</v>
      </c>
      <c r="D273" s="4"/>
      <c r="E273" s="9">
        <f>_xll.BQL("SAVE US Equity", "BS_LT_OPERATING_LEASE_LIABS/1M", "FPT=A", "FPO=5A", "ACT_EST_MAPPING=PRECISE", "FS=MRC", "CURRENCY=USD", "XLFILL=b")</f>
        <v>3895.2689999999998</v>
      </c>
      <c r="F273" s="9">
        <f>_xll.BQL("SAVE US Equity", "BS_LT_OPERATING_LEASE_LIABS/1M", "FPT=A", "FPO=4A", "ACT_EST_MAPPING=PRECISE", "FS=MRC", "CURRENCY=USD", "XLFILL=b")</f>
        <v>3895.2689999999998</v>
      </c>
      <c r="G273" s="9">
        <f>_xll.BQL("SAVE US Equity", "BS_LT_OPERATING_LEASE_LIABS/1M", "FPT=A", "FPO=3A", "ACT_EST_MAPPING=PRECISE", "FS=MRC", "CURRENCY=USD", "XLFILL=b")</f>
        <v>3895.2689999999998</v>
      </c>
      <c r="H273" s="9">
        <f>_xll.BQL("SAVE US Equity", "BS_LT_OPERATING_LEASE_LIABS/1M", "FPT=A", "FPO=2A", "ACT_EST_MAPPING=PRECISE", "FS=MRC", "CURRENCY=USD", "XLFILL=b")</f>
        <v>3803.027291398857</v>
      </c>
      <c r="I273" s="9">
        <f>_xll.BQL("SAVE US Equity", "BS_LT_OPERATING_LEASE_LIABS/1M", "FPT=A", "FPO=1A", "ACT_EST_MAPPING=PRECISE", "FS=MRC", "CURRENCY=USD", "XLFILL=b")</f>
        <v>3819.7474782285713</v>
      </c>
      <c r="J273" s="9">
        <f>_xll.BQL("SAVE US Equity", "BS_LT_OPERATING_LEASE_LIABS/1M", "FPT=A", "FPO=0A", "ACT_EST_MAPPING=PRECISE", "FS=MRC", "CURRENCY=USD", "XLFILL=b")</f>
        <v>3298.8710000000001</v>
      </c>
      <c r="K273" s="9">
        <f>_xll.BQL("SAVE US Equity", "BS_LT_OPERATING_LEASE_LIABS/1M", "FPT=A", "FPO=-1A", "ACT_EST_MAPPING=PRECISE", "FS=MRC", "CURRENCY=USD", "XLFILL=b")</f>
        <v>2455.6190000000001</v>
      </c>
      <c r="L273" s="9">
        <f>_xll.BQL("SAVE US Equity", "BS_LT_OPERATING_LEASE_LIABS/1M", "FPT=A", "FPO=-2A", "ACT_EST_MAPPING=PRECISE", "FS=MRC", "CURRENCY=USD", "XLFILL=b")</f>
        <v>1751.3510000000001</v>
      </c>
      <c r="M273" s="9">
        <f>_xll.BQL("SAVE US Equity", "BS_LT_OPERATING_LEASE_LIABS/1M", "FPT=A", "FPO=-3A", "ACT_EST_MAPPING=PRECISE", "FS=MRC", "CURRENCY=USD", "XLFILL=b")</f>
        <v>1248.519</v>
      </c>
      <c r="N273" s="9">
        <f>_xll.BQL("SAVE US Equity", "BS_LT_OPERATING_LEASE_LIABS/1M", "FPT=A", "FPO=-4A", "ACT_EST_MAPPING=PRECISE", "FS=MRC", "CURRENCY=USD", "XLFILL=b")</f>
        <v>1218.0139999999999</v>
      </c>
    </row>
    <row r="274" spans="1:14" x14ac:dyDescent="0.2">
      <c r="A274" s="8" t="s">
        <v>242</v>
      </c>
      <c r="B274" s="4" t="s">
        <v>299</v>
      </c>
      <c r="C274" s="4" t="s">
        <v>300</v>
      </c>
      <c r="D274" s="4"/>
      <c r="E274" s="9">
        <f>_xll.BQL("SAVE US Equity", "FA_GROWTH(BS_LT_OPERATING_LEASE_LIABS, YOY)", "FPT=A", "FPO=5A", "ACT_EST_MAPPING=PRECISE", "FS=MRC", "CURRENCY=USD", "XLFILL=b")</f>
        <v>0</v>
      </c>
      <c r="F274" s="9">
        <f>_xll.BQL("SAVE US Equity", "FA_GROWTH(BS_LT_OPERATING_LEASE_LIABS, YOY)", "FPT=A", "FPO=4A", "ACT_EST_MAPPING=PRECISE", "FS=MRC", "CURRENCY=USD", "XLFILL=b")</f>
        <v>0</v>
      </c>
      <c r="G274" s="9">
        <f>_xll.BQL("SAVE US Equity", "FA_GROWTH(BS_LT_OPERATING_LEASE_LIABS, YOY)", "FPT=A", "FPO=3A", "ACT_EST_MAPPING=PRECISE", "FS=MRC", "CURRENCY=USD", "XLFILL=b")</f>
        <v>2.4254811110549213</v>
      </c>
      <c r="H274" s="9">
        <f>_xll.BQL("SAVE US Equity", "FA_GROWTH(BS_LT_OPERATING_LEASE_LIABS, YOY)", "FPT=A", "FPO=2A", "ACT_EST_MAPPING=PRECISE", "FS=MRC", "CURRENCY=USD", "XLFILL=b")</f>
        <v>-0.43773016213805777</v>
      </c>
      <c r="I274" s="9">
        <f>_xll.BQL("SAVE US Equity", "FA_GROWTH(BS_LT_OPERATING_LEASE_LIABS, YOY)", "FPT=A", "FPO=1A", "ACT_EST_MAPPING=PRECISE", "FS=MRC", "CURRENCY=USD", "XLFILL=b")</f>
        <v>15.789537639652215</v>
      </c>
      <c r="J274" s="9">
        <f>_xll.BQL("SAVE US Equity", "FA_GROWTH(BS_LT_OPERATING_LEASE_LIABS, YOY)", "FPT=A", "FPO=0A", "ACT_EST_MAPPING=PRECISE", "FS=MRC", "CURRENCY=USD", "XLFILL=b")</f>
        <v>34.339691947325704</v>
      </c>
      <c r="K274" s="9">
        <f>_xll.BQL("SAVE US Equity", "FA_GROWTH(BS_LT_OPERATING_LEASE_LIABS, YOY)", "FPT=A", "FPO=-1A", "ACT_EST_MAPPING=PRECISE", "FS=MRC", "CURRENCY=USD", "XLFILL=b")</f>
        <v>40.212841400724358</v>
      </c>
      <c r="L274" s="9">
        <f>_xll.BQL("SAVE US Equity", "FA_GROWTH(BS_LT_OPERATING_LEASE_LIABS, YOY)", "FPT=A", "FPO=-2A", "ACT_EST_MAPPING=PRECISE", "FS=MRC", "CURRENCY=USD", "XLFILL=b")</f>
        <v>40.274276963346175</v>
      </c>
      <c r="M274" s="9">
        <f>_xll.BQL("SAVE US Equity", "FA_GROWTH(BS_LT_OPERATING_LEASE_LIABS, YOY)", "FPT=A", "FPO=-3A", "ACT_EST_MAPPING=PRECISE", "FS=MRC", "CURRENCY=USD", "XLFILL=b")</f>
        <v>2.5044868121384485</v>
      </c>
      <c r="N274" s="9" t="str">
        <f>_xll.BQL("SAVE US Equity", "FA_GROWTH(BS_LT_OPERATING_LEASE_LIABS, YOY)", "FPT=A", "FPO=-4A", "ACT_EST_MAPPING=PRECISE", "FS=MRC", "CURRENCY=USD", "XLFILL=b")</f>
        <v/>
      </c>
    </row>
    <row r="275" spans="1:14" x14ac:dyDescent="0.2">
      <c r="A275" s="8" t="s">
        <v>301</v>
      </c>
      <c r="B275" s="4" t="s">
        <v>302</v>
      </c>
      <c r="C275" s="4" t="s">
        <v>303</v>
      </c>
      <c r="D275" s="4"/>
      <c r="E275" s="9">
        <f>_xll.BQL("SAVE US Equity", "BS_OTHER_LT_LIABILITIES/1M", "FPT=A", "FPO=5A", "ACT_EST_MAPPING=PRECISE", "FS=MRC", "CURRENCY=USD", "XLFILL=b")</f>
        <v>120.77839999999996</v>
      </c>
      <c r="F275" s="9">
        <f>_xll.BQL("SAVE US Equity", "BS_OTHER_LT_LIABILITIES/1M", "FPT=A", "FPO=4A", "ACT_EST_MAPPING=PRECISE", "FS=MRC", "CURRENCY=USD", "XLFILL=b")</f>
        <v>141.82679999999996</v>
      </c>
      <c r="G275" s="9">
        <f>_xll.BQL("SAVE US Equity", "BS_OTHER_LT_LIABILITIES/1M", "FPT=A", "FPO=3A", "ACT_EST_MAPPING=PRECISE", "FS=MRC", "CURRENCY=USD", "XLFILL=b")</f>
        <v>229.08787453391099</v>
      </c>
      <c r="H275" s="9">
        <f>_xll.BQL("SAVE US Equity", "BS_OTHER_LT_LIABILITIES/1M", "FPT=A", "FPO=2A", "ACT_EST_MAPPING=PRECISE", "FS=MRC", "CURRENCY=USD", "XLFILL=b")</f>
        <v>201.91215488271129</v>
      </c>
      <c r="I275" s="9">
        <f>_xll.BQL("SAVE US Equity", "BS_OTHER_LT_LIABILITIES/1M", "FPT=A", "FPO=1A", "ACT_EST_MAPPING=PRECISE", "FS=MRC", "CURRENCY=USD", "XLFILL=b")</f>
        <v>210.94454325212686</v>
      </c>
      <c r="J275" s="9">
        <f>_xll.BQL("SAVE US Equity", "BS_OTHER_LT_LIABILITIES/1M", "FPT=A", "FPO=0A", "ACT_EST_MAPPING=PRECISE", "FS=MRC", "CURRENCY=USD", "XLFILL=b")</f>
        <v>257.21100000000001</v>
      </c>
      <c r="K275" s="9">
        <f>_xll.BQL("SAVE US Equity", "BS_OTHER_LT_LIABILITIES/1M", "FPT=A", "FPO=-1A", "ACT_EST_MAPPING=PRECISE", "FS=MRC", "CURRENCY=USD", "XLFILL=b")</f>
        <v>360.54700000000003</v>
      </c>
      <c r="L275" s="9">
        <f>_xll.BQL("SAVE US Equity", "BS_OTHER_LT_LIABILITIES/1M", "FPT=A", "FPO=-2A", "ACT_EST_MAPPING=PRECISE", "FS=MRC", "CURRENCY=USD", "XLFILL=b")</f>
        <v>423.214</v>
      </c>
      <c r="M275" s="9">
        <f>_xll.BQL("SAVE US Equity", "BS_OTHER_LT_LIABILITIES/1M", "FPT=A", "FPO=-3A", "ACT_EST_MAPPING=PRECISE", "FS=MRC", "CURRENCY=USD", "XLFILL=b")</f>
        <v>491.95400000000001</v>
      </c>
      <c r="N275" s="9">
        <f>_xll.BQL("SAVE US Equity", "BS_OTHER_LT_LIABILITIES/1M", "FPT=A", "FPO=-4A", "ACT_EST_MAPPING=PRECISE", "FS=MRC", "CURRENCY=USD", "XLFILL=b")</f>
        <v>491.56900000000002</v>
      </c>
    </row>
    <row r="276" spans="1:14" x14ac:dyDescent="0.2">
      <c r="A276" s="8" t="s">
        <v>92</v>
      </c>
      <c r="B276" s="4" t="s">
        <v>302</v>
      </c>
      <c r="C276" s="4" t="s">
        <v>303</v>
      </c>
      <c r="D276" s="4"/>
      <c r="E276" s="9">
        <f>_xll.BQL("SAVE US Equity", "FA_GROWTH(BS_OTHER_LT_LIABILITIES, YOY)", "FPT=A", "FPO=5A", "ACT_EST_MAPPING=PRECISE", "FS=MRC", "CURRENCY=USD", "XLFILL=b")</f>
        <v>-14.840918641610767</v>
      </c>
      <c r="F276" s="9">
        <f>_xll.BQL("SAVE US Equity", "FA_GROWTH(BS_OTHER_LT_LIABILITIES, YOY)", "FPT=A", "FPO=4A", "ACT_EST_MAPPING=PRECISE", "FS=MRC", "CURRENCY=USD", "XLFILL=b")</f>
        <v>-38.090656134222456</v>
      </c>
      <c r="G276" s="9">
        <f>_xll.BQL("SAVE US Equity", "FA_GROWTH(BS_OTHER_LT_LIABILITIES, YOY)", "FPT=A", "FPO=3A", "ACT_EST_MAPPING=PRECISE", "FS=MRC", "CURRENCY=USD", "XLFILL=b")</f>
        <v>13.459179645220367</v>
      </c>
      <c r="H276" s="9">
        <f>_xll.BQL("SAVE US Equity", "FA_GROWTH(BS_OTHER_LT_LIABILITIES, YOY)", "FPT=A", "FPO=2A", "ACT_EST_MAPPING=PRECISE", "FS=MRC", "CURRENCY=USD", "XLFILL=b")</f>
        <v>-4.2818781800009944</v>
      </c>
      <c r="I276" s="9">
        <f>_xll.BQL("SAVE US Equity", "FA_GROWTH(BS_OTHER_LT_LIABILITIES, YOY)", "FPT=A", "FPO=1A", "ACT_EST_MAPPING=PRECISE", "FS=MRC", "CURRENCY=USD", "XLFILL=b")</f>
        <v>-17.987744205291811</v>
      </c>
      <c r="J276" s="9">
        <f>_xll.BQL("SAVE US Equity", "FA_GROWTH(BS_OTHER_LT_LIABILITIES, YOY)", "FPT=A", "FPO=0A", "ACT_EST_MAPPING=PRECISE", "FS=MRC", "CURRENCY=USD", "XLFILL=b")</f>
        <v>-28.660895805539916</v>
      </c>
      <c r="K276" s="9">
        <f>_xll.BQL("SAVE US Equity", "FA_GROWTH(BS_OTHER_LT_LIABILITIES, YOY)", "FPT=A", "FPO=-1A", "ACT_EST_MAPPING=PRECISE", "FS=MRC", "CURRENCY=USD", "XLFILL=b")</f>
        <v>-14.807402401621875</v>
      </c>
      <c r="L276" s="9">
        <f>_xll.BQL("SAVE US Equity", "FA_GROWTH(BS_OTHER_LT_LIABILITIES, YOY)", "FPT=A", "FPO=-2A", "ACT_EST_MAPPING=PRECISE", "FS=MRC", "CURRENCY=USD", "XLFILL=b")</f>
        <v>-13.972851120226688</v>
      </c>
      <c r="M276" s="9">
        <f>_xll.BQL("SAVE US Equity", "FA_GROWTH(BS_OTHER_LT_LIABILITIES, YOY)", "FPT=A", "FPO=-3A", "ACT_EST_MAPPING=PRECISE", "FS=MRC", "CURRENCY=USD", "XLFILL=b")</f>
        <v>7.8320642676816474E-2</v>
      </c>
      <c r="N276" s="9">
        <f>_xll.BQL("SAVE US Equity", "FA_GROWTH(BS_OTHER_LT_LIABILITIES, YOY)", "FPT=A", "FPO=-4A", "ACT_EST_MAPPING=PRECISE", "FS=MRC", "CURRENCY=USD", "XLFILL=b")</f>
        <v>30.455401926700461</v>
      </c>
    </row>
    <row r="277" spans="1:14" x14ac:dyDescent="0.2">
      <c r="A277" s="8" t="s">
        <v>304</v>
      </c>
      <c r="B277" s="4" t="s">
        <v>305</v>
      </c>
      <c r="C277" s="4" t="s">
        <v>306</v>
      </c>
      <c r="D277" s="4"/>
      <c r="E277" s="9">
        <f>_xll.BQL("SAVE US Equity", "BS_TOTAL_LIABILITIES/1M", "FPT=A", "FPO=5A", "ACT_EST_MAPPING=PRECISE", "FS=MRC", "CURRENCY=USD", "XLFILL=b")</f>
        <v>10696.292599999997</v>
      </c>
      <c r="F277" s="9">
        <f>_xll.BQL("SAVE US Equity", "BS_TOTAL_LIABILITIES/1M", "FPT=A", "FPO=4A", "ACT_EST_MAPPING=PRECISE", "FS=MRC", "CURRENCY=USD", "XLFILL=b")</f>
        <v>9942.7644</v>
      </c>
      <c r="G277" s="9">
        <f>_xll.BQL("SAVE US Equity", "BS_TOTAL_LIABILITIES/1M", "FPT=A", "FPO=3A", "ACT_EST_MAPPING=PRECISE", "FS=MRC", "CURRENCY=USD", "XLFILL=b")</f>
        <v>8977.6603608129262</v>
      </c>
      <c r="H277" s="9">
        <f>_xll.BQL("SAVE US Equity", "BS_TOTAL_LIABILITIES/1M", "FPT=A", "FPO=2A", "ACT_EST_MAPPING=PRECISE", "FS=MRC", "CURRENCY=USD", "XLFILL=b")</f>
        <v>9394.3641601213967</v>
      </c>
      <c r="I277" s="9">
        <f>_xll.BQL("SAVE US Equity", "BS_TOTAL_LIABILITIES/1M", "FPT=A", "FPO=1A", "ACT_EST_MAPPING=PRECISE", "FS=MRC", "CURRENCY=USD", "XLFILL=b")</f>
        <v>8907.4552282147288</v>
      </c>
      <c r="J277" s="9">
        <f>_xll.BQL("SAVE US Equity", "BS_TOTAL_LIABILITIES/1M", "FPT=A", "FPO=0A", "ACT_EST_MAPPING=PRECISE", "FS=MRC", "CURRENCY=USD", "XLFILL=b")</f>
        <v>8282.8950000000004</v>
      </c>
      <c r="K277" s="9">
        <f>_xll.BQL("SAVE US Equity", "BS_TOTAL_LIABILITIES/1M", "FPT=A", "FPO=-1A", "ACT_EST_MAPPING=PRECISE", "FS=MRC", "CURRENCY=USD", "XLFILL=b")</f>
        <v>7613.1229999999996</v>
      </c>
      <c r="L277" s="9">
        <f>_xll.BQL("SAVE US Equity", "BS_TOTAL_LIABILITIES/1M", "FPT=A", "FPO=-2A", "ACT_EST_MAPPING=PRECISE", "FS=MRC", "CURRENCY=USD", "XLFILL=b")</f>
        <v>6425.99</v>
      </c>
      <c r="M277" s="9">
        <f>_xll.BQL("SAVE US Equity", "BS_TOTAL_LIABILITIES/1M", "FPT=A", "FPO=-3A", "ACT_EST_MAPPING=PRECISE", "FS=MRC", "CURRENCY=USD", "XLFILL=b")</f>
        <v>6149.13</v>
      </c>
      <c r="N277" s="9">
        <f>_xll.BQL("SAVE US Equity", "BS_TOTAL_LIABILITIES/1M", "FPT=A", "FPO=-4A", "ACT_EST_MAPPING=PRECISE", "FS=MRC", "CURRENCY=USD", "XLFILL=b")</f>
        <v>4782.08</v>
      </c>
    </row>
    <row r="278" spans="1:14" x14ac:dyDescent="0.2">
      <c r="A278" s="8" t="s">
        <v>44</v>
      </c>
      <c r="B278" s="4" t="s">
        <v>305</v>
      </c>
      <c r="C278" s="4" t="s">
        <v>306</v>
      </c>
      <c r="D278" s="4"/>
      <c r="E278" s="9">
        <f>_xll.BQL("SAVE US Equity", "FA_GROWTH(BS_TOTAL_LIABILITIES, YOY)", "FPT=A", "FPO=5A", "ACT_EST_MAPPING=PRECISE", "FS=MRC", "CURRENCY=USD", "XLFILL=b")</f>
        <v>7.5786589089850729</v>
      </c>
      <c r="F278" s="9">
        <f>_xll.BQL("SAVE US Equity", "FA_GROWTH(BS_TOTAL_LIABILITIES, YOY)", "FPT=A", "FPO=4A", "ACT_EST_MAPPING=PRECISE", "FS=MRC", "CURRENCY=USD", "XLFILL=b")</f>
        <v>10.75006182456745</v>
      </c>
      <c r="G278" s="9">
        <f>_xll.BQL("SAVE US Equity", "FA_GROWTH(BS_TOTAL_LIABILITIES, YOY)", "FPT=A", "FPO=3A", "ACT_EST_MAPPING=PRECISE", "FS=MRC", "CURRENCY=USD", "XLFILL=b")</f>
        <v>-4.4356785856498764</v>
      </c>
      <c r="H278" s="9">
        <f>_xll.BQL("SAVE US Equity", "FA_GROWTH(BS_TOTAL_LIABILITIES, YOY)", "FPT=A", "FPO=2A", "ACT_EST_MAPPING=PRECISE", "FS=MRC", "CURRENCY=USD", "XLFILL=b")</f>
        <v>5.4663079345531118</v>
      </c>
      <c r="I278" s="9">
        <f>_xll.BQL("SAVE US Equity", "FA_GROWTH(BS_TOTAL_LIABILITIES, YOY)", "FPT=A", "FPO=1A", "ACT_EST_MAPPING=PRECISE", "FS=MRC", "CURRENCY=USD", "XLFILL=b")</f>
        <v>7.5403615307779379</v>
      </c>
      <c r="J278" s="9">
        <f>_xll.BQL("SAVE US Equity", "FA_GROWTH(BS_TOTAL_LIABILITIES, YOY)", "FPT=A", "FPO=0A", "ACT_EST_MAPPING=PRECISE", "FS=MRC", "CURRENCY=USD", "XLFILL=b")</f>
        <v>8.7975985676311819</v>
      </c>
      <c r="K278" s="9">
        <f>_xll.BQL("SAVE US Equity", "FA_GROWTH(BS_TOTAL_LIABILITIES, YOY)", "FPT=A", "FPO=-1A", "ACT_EST_MAPPING=PRECISE", "FS=MRC", "CURRENCY=USD", "XLFILL=b")</f>
        <v>18.473931643217622</v>
      </c>
      <c r="L278" s="9">
        <f>_xll.BQL("SAVE US Equity", "FA_GROWTH(BS_TOTAL_LIABILITIES, YOY)", "FPT=A", "FPO=-2A", "ACT_EST_MAPPING=PRECISE", "FS=MRC", "CURRENCY=USD", "XLFILL=b")</f>
        <v>4.5024255463781051</v>
      </c>
      <c r="M278" s="9">
        <f>_xll.BQL("SAVE US Equity", "FA_GROWTH(BS_TOTAL_LIABILITIES, YOY)", "FPT=A", "FPO=-3A", "ACT_EST_MAPPING=PRECISE", "FS=MRC", "CURRENCY=USD", "XLFILL=b")</f>
        <v>28.586932882762312</v>
      </c>
      <c r="N278" s="9">
        <f>_xll.BQL("SAVE US Equity", "FA_GROWTH(BS_TOTAL_LIABILITIES, YOY)", "FPT=A", "FPO=-4A", "ACT_EST_MAPPING=PRECISE", "FS=MRC", "CURRENCY=USD", "XLFILL=b")</f>
        <v>47.733995519860805</v>
      </c>
    </row>
    <row r="279" spans="1:14" x14ac:dyDescent="0.2">
      <c r="A279" s="8" t="s">
        <v>307</v>
      </c>
      <c r="B279" s="4" t="s">
        <v>308</v>
      </c>
      <c r="C279" s="4" t="s">
        <v>309</v>
      </c>
      <c r="D279" s="4"/>
      <c r="E279" s="9">
        <f>_xll.BQL("SAVE US Equity", "BS_EQTY_BEFORE_MINORITY_INT/1M", "FPT=A", "FPO=5A", "ACT_EST_MAPPING=PRECISE", "FS=MRC", "CURRENCY=USD", "XLFILL=b")</f>
        <v>-562.8992305202413</v>
      </c>
      <c r="F279" s="9">
        <f>_xll.BQL("SAVE US Equity", "BS_EQTY_BEFORE_MINORITY_INT/1M", "FPT=A", "FPO=4A", "ACT_EST_MAPPING=PRECISE", "FS=MRC", "CURRENCY=USD", "XLFILL=b")</f>
        <v>-670.9411711053209</v>
      </c>
      <c r="G279" s="9">
        <f>_xll.BQL("SAVE US Equity", "BS_EQTY_BEFORE_MINORITY_INT/1M", "FPT=A", "FPO=3A", "ACT_EST_MAPPING=PRECISE", "FS=MRC", "CURRENCY=USD", "XLFILL=b")</f>
        <v>-280.73044940028973</v>
      </c>
      <c r="H279" s="9">
        <f>_xll.BQL("SAVE US Equity", "BS_EQTY_BEFORE_MINORITY_INT/1M", "FPT=A", "FPO=2A", "ACT_EST_MAPPING=PRECISE", "FS=MRC", "CURRENCY=USD", "XLFILL=b")</f>
        <v>-38.47895245116765</v>
      </c>
      <c r="I279" s="9">
        <f>_xll.BQL("SAVE US Equity", "BS_EQTY_BEFORE_MINORITY_INT/1M", "FPT=A", "FPO=1A", "ACT_EST_MAPPING=PRECISE", "FS=MRC", "CURRENCY=USD", "XLFILL=b")</f>
        <v>401.52062293715028</v>
      </c>
      <c r="J279" s="9">
        <f>_xll.BQL("SAVE US Equity", "BS_EQTY_BEFORE_MINORITY_INT/1M", "FPT=A", "FPO=0A", "ACT_EST_MAPPING=PRECISE", "FS=MRC", "CURRENCY=USD", "XLFILL=b")</f>
        <v>1134.3420000000001</v>
      </c>
      <c r="K279" s="9">
        <f>_xll.BQL("SAVE US Equity", "BS_EQTY_BEFORE_MINORITY_INT/1M", "FPT=A", "FPO=-1A", "ACT_EST_MAPPING=PRECISE", "FS=MRC", "CURRENCY=USD", "XLFILL=b")</f>
        <v>1571.6510000000001</v>
      </c>
      <c r="L279" s="9">
        <f>_xll.BQL("SAVE US Equity", "BS_EQTY_BEFORE_MINORITY_INT/1M", "FPT=A", "FPO=-2A", "ACT_EST_MAPPING=PRECISE", "FS=MRC", "CURRENCY=USD", "XLFILL=b")</f>
        <v>2114.0349999999999</v>
      </c>
      <c r="M279" s="9">
        <f>_xll.BQL("SAVE US Equity", "BS_EQTY_BEFORE_MINORITY_INT/1M", "FPT=A", "FPO=-3A", "ACT_EST_MAPPING=PRECISE", "FS=MRC", "CURRENCY=USD", "XLFILL=b")</f>
        <v>2249.6950000000002</v>
      </c>
      <c r="N279" s="9">
        <f>_xll.BQL("SAVE US Equity", "BS_EQTY_BEFORE_MINORITY_INT/1M", "FPT=A", "FPO=-4A", "ACT_EST_MAPPING=PRECISE", "FS=MRC", "CURRENCY=USD", "XLFILL=b")</f>
        <v>2261.3319999999999</v>
      </c>
    </row>
    <row r="280" spans="1:14" x14ac:dyDescent="0.2">
      <c r="A280" s="8" t="s">
        <v>44</v>
      </c>
      <c r="B280" s="4" t="s">
        <v>308</v>
      </c>
      <c r="C280" s="4" t="s">
        <v>309</v>
      </c>
      <c r="D280" s="4"/>
      <c r="E280" s="9">
        <f>_xll.BQL("SAVE US Equity", "FA_GROWTH(BS_EQTY_BEFORE_MINORITY_INT, YOY)", "FPT=A", "FPO=5A", "ACT_EST_MAPPING=PRECISE", "FS=MRC", "CURRENCY=USD", "XLFILL=b")</f>
        <v>16.103042299087022</v>
      </c>
      <c r="F280" s="9">
        <f>_xll.BQL("SAVE US Equity", "FA_GROWTH(BS_EQTY_BEFORE_MINORITY_INT, YOY)", "FPT=A", "FPO=4A", "ACT_EST_MAPPING=PRECISE", "FS=MRC", "CURRENCY=USD", "XLFILL=b")</f>
        <v>-138.99836036262496</v>
      </c>
      <c r="G280" s="9">
        <f>_xll.BQL("SAVE US Equity", "FA_GROWTH(BS_EQTY_BEFORE_MINORITY_INT, YOY)", "FPT=A", "FPO=3A", "ACT_EST_MAPPING=PRECISE", "FS=MRC", "CURRENCY=USD", "XLFILL=b")</f>
        <v>-629.56884612842657</v>
      </c>
      <c r="H280" s="9">
        <f>_xll.BQL("SAVE US Equity", "FA_GROWTH(BS_EQTY_BEFORE_MINORITY_INT, YOY)", "FPT=A", "FPO=2A", "ACT_EST_MAPPING=PRECISE", "FS=MRC", "CURRENCY=USD", "XLFILL=b")</f>
        <v>-109.58330662312973</v>
      </c>
      <c r="I280" s="9">
        <f>_xll.BQL("SAVE US Equity", "FA_GROWTH(BS_EQTY_BEFORE_MINORITY_INT, YOY)", "FPT=A", "FPO=1A", "ACT_EST_MAPPING=PRECISE", "FS=MRC", "CURRENCY=USD", "XLFILL=b")</f>
        <v>-64.603212881375256</v>
      </c>
      <c r="J280" s="9">
        <f>_xll.BQL("SAVE US Equity", "FA_GROWTH(BS_EQTY_BEFORE_MINORITY_INT, YOY)", "FPT=A", "FPO=0A", "ACT_EST_MAPPING=PRECISE", "FS=MRC", "CURRENCY=USD", "XLFILL=b")</f>
        <v>-27.824816069216386</v>
      </c>
      <c r="K280" s="9">
        <f>_xll.BQL("SAVE US Equity", "FA_GROWTH(BS_EQTY_BEFORE_MINORITY_INT, YOY)", "FPT=A", "FPO=-1A", "ACT_EST_MAPPING=PRECISE", "FS=MRC", "CURRENCY=USD", "XLFILL=b")</f>
        <v>-25.65633965379002</v>
      </c>
      <c r="L280" s="9">
        <f>_xll.BQL("SAVE US Equity", "FA_GROWTH(BS_EQTY_BEFORE_MINORITY_INT, YOY)", "FPT=A", "FPO=-2A", "ACT_EST_MAPPING=PRECISE", "FS=MRC", "CURRENCY=USD", "XLFILL=b")</f>
        <v>-6.0301507537688543</v>
      </c>
      <c r="M280" s="9">
        <f>_xll.BQL("SAVE US Equity", "FA_GROWTH(BS_EQTY_BEFORE_MINORITY_INT, YOY)", "FPT=A", "FPO=-3A", "ACT_EST_MAPPING=PRECISE", "FS=MRC", "CURRENCY=USD", "XLFILL=b")</f>
        <v>-0.514608204368045</v>
      </c>
      <c r="N280" s="9">
        <f>_xll.BQL("SAVE US Equity", "FA_GROWTH(BS_EQTY_BEFORE_MINORITY_INT, YOY)", "FPT=A", "FPO=-4A", "ACT_EST_MAPPING=PRECISE", "FS=MRC", "CURRENCY=USD", "XLFILL=b")</f>
        <v>17.258351551254236</v>
      </c>
    </row>
    <row r="281" spans="1:14" x14ac:dyDescent="0.2">
      <c r="A281" s="8" t="s">
        <v>310</v>
      </c>
      <c r="B281" s="4" t="s">
        <v>311</v>
      </c>
      <c r="C281" s="4"/>
      <c r="D281" s="4"/>
      <c r="E281" s="9" t="str">
        <f>_xll.BQL("SAVE US Equity", "CB_BS_APIC/1M", "FPT=A", "FPO=5A", "ACT_EST_MAPPING=PRECISE", "FS=MRC", "CURRENCY=USD", "XLFILL=b")</f>
        <v/>
      </c>
      <c r="F281" s="9" t="str">
        <f>_xll.BQL("SAVE US Equity", "CB_BS_APIC/1M", "FPT=A", "FPO=4A", "ACT_EST_MAPPING=PRECISE", "FS=MRC", "CURRENCY=USD", "XLFILL=b")</f>
        <v/>
      </c>
      <c r="G281" s="9">
        <f>_xll.BQL("SAVE US Equity", "CB_BS_APIC/1M", "FPT=A", "FPO=3A", "ACT_EST_MAPPING=PRECISE", "FS=MRC", "CURRENCY=USD", "XLFILL=b")</f>
        <v>1333.2678727890504</v>
      </c>
      <c r="H281" s="9">
        <f>_xll.BQL("SAVE US Equity", "CB_BS_APIC/1M", "FPT=A", "FPO=2A", "ACT_EST_MAPPING=PRECISE", "FS=MRC", "CURRENCY=USD", "XLFILL=b")</f>
        <v>1333.3202541931184</v>
      </c>
      <c r="I281" s="9">
        <f>_xll.BQL("SAVE US Equity", "CB_BS_APIC/1M", "FPT=A", "FPO=1A", "ACT_EST_MAPPING=PRECISE", "FS=MRC", "CURRENCY=USD", "XLFILL=b")</f>
        <v>1260.7145959885675</v>
      </c>
      <c r="J281" s="9">
        <f>_xll.BQL("SAVE US Equity", "CB_BS_APIC/1M", "FPT=A", "FPO=0A", "ACT_EST_MAPPING=PRECISE", "FS=MRC", "CURRENCY=USD", "XLFILL=b")</f>
        <v>1158.278</v>
      </c>
      <c r="K281" s="9">
        <f>_xll.BQL("SAVE US Equity", "CB_BS_APIC/1M", "FPT=A", "FPO=-1A", "ACT_EST_MAPPING=PRECISE", "FS=MRC", "CURRENCY=USD", "XLFILL=b")</f>
        <v>1146.0150000000001</v>
      </c>
      <c r="L281" s="9">
        <f>_xll.BQL("SAVE US Equity", "CB_BS_APIC/1M", "FPT=A", "FPO=-2A", "ACT_EST_MAPPING=PRECISE", "FS=MRC", "CURRENCY=USD", "XLFILL=b")</f>
        <v>1131.826</v>
      </c>
      <c r="M281" s="9">
        <f>_xll.BQL("SAVE US Equity", "CB_BS_APIC/1M", "FPT=A", "FPO=-3A", "ACT_EST_MAPPING=PRECISE", "FS=MRC", "CURRENCY=USD", "XLFILL=b")</f>
        <v>799.54899999999998</v>
      </c>
      <c r="N281" s="9">
        <f>_xll.BQL("SAVE US Equity", "CB_BS_APIC/1M", "FPT=A", "FPO=-4A", "ACT_EST_MAPPING=PRECISE", "FS=MRC", "CURRENCY=USD", "XLFILL=b")</f>
        <v>379.38</v>
      </c>
    </row>
    <row r="282" spans="1:14" x14ac:dyDescent="0.2">
      <c r="A282" s="8" t="s">
        <v>92</v>
      </c>
      <c r="B282" s="4" t="s">
        <v>311</v>
      </c>
      <c r="C282" s="4"/>
      <c r="D282" s="4"/>
      <c r="E282" s="9" t="str">
        <f>_xll.BQL("SAVE US Equity", "FA_GROWTH(CB_BS_APIC, YOY)", "FPT=A", "FPO=5A", "ACT_EST_MAPPING=PRECISE", "FS=MRC", "CURRENCY=USD", "XLFILL=b")</f>
        <v/>
      </c>
      <c r="F282" s="9" t="str">
        <f>_xll.BQL("SAVE US Equity", "FA_GROWTH(CB_BS_APIC, YOY)", "FPT=A", "FPO=4A", "ACT_EST_MAPPING=PRECISE", "FS=MRC", "CURRENCY=USD", "XLFILL=b")</f>
        <v/>
      </c>
      <c r="G282" s="9">
        <f>_xll.BQL("SAVE US Equity", "FA_GROWTH(CB_BS_APIC, YOY)", "FPT=A", "FPO=3A", "ACT_EST_MAPPING=PRECISE", "FS=MRC", "CURRENCY=USD", "XLFILL=b")</f>
        <v>-3.9286438425622412E-3</v>
      </c>
      <c r="H282" s="9">
        <f>_xll.BQL("SAVE US Equity", "FA_GROWTH(CB_BS_APIC, YOY)", "FPT=A", "FPO=2A", "ACT_EST_MAPPING=PRECISE", "FS=MRC", "CURRENCY=USD", "XLFILL=b")</f>
        <v>5.7590876186864897</v>
      </c>
      <c r="I282" s="9">
        <f>_xll.BQL("SAVE US Equity", "FA_GROWTH(CB_BS_APIC, YOY)", "FPT=A", "FPO=1A", "ACT_EST_MAPPING=PRECISE", "FS=MRC", "CURRENCY=USD", "XLFILL=b")</f>
        <v>8.8438696054459598</v>
      </c>
      <c r="J282" s="9">
        <f>_xll.BQL("SAVE US Equity", "FA_GROWTH(CB_BS_APIC, YOY)", "FPT=A", "FPO=0A", "ACT_EST_MAPPING=PRECISE", "FS=MRC", "CURRENCY=USD", "XLFILL=b")</f>
        <v>1.0700558020619277</v>
      </c>
      <c r="K282" s="9">
        <f>_xll.BQL("SAVE US Equity", "FA_GROWTH(CB_BS_APIC, YOY)", "FPT=A", "FPO=-1A", "ACT_EST_MAPPING=PRECISE", "FS=MRC", "CURRENCY=USD", "XLFILL=b")</f>
        <v>1.2536379266777755</v>
      </c>
      <c r="L282" s="9">
        <f>_xll.BQL("SAVE US Equity", "FA_GROWTH(CB_BS_APIC, YOY)", "FPT=A", "FPO=-2A", "ACT_EST_MAPPING=PRECISE", "FS=MRC", "CURRENCY=USD", "XLFILL=b")</f>
        <v>41.558053352577517</v>
      </c>
      <c r="M282" s="9">
        <f>_xll.BQL("SAVE US Equity", "FA_GROWTH(CB_BS_APIC, YOY)", "FPT=A", "FPO=-3A", "ACT_EST_MAPPING=PRECISE", "FS=MRC", "CURRENCY=USD", "XLFILL=b")</f>
        <v>110.75148927197006</v>
      </c>
      <c r="N282" s="9">
        <f>_xll.BQL("SAVE US Equity", "FA_GROWTH(CB_BS_APIC, YOY)", "FPT=A", "FPO=-4A", "ACT_EST_MAPPING=PRECISE", "FS=MRC", "CURRENCY=USD", "XLFILL=b")</f>
        <v>2.1967809280086201</v>
      </c>
    </row>
    <row r="283" spans="1:14" x14ac:dyDescent="0.2">
      <c r="A283" s="8" t="s">
        <v>312</v>
      </c>
      <c r="B283" s="4" t="s">
        <v>313</v>
      </c>
      <c r="C283" s="4"/>
      <c r="D283" s="4"/>
      <c r="E283" s="9" t="str">
        <f>_xll.BQL("SAVE US Equity", "BS_AMT_OF_TSY_STOCK/1M", "FPT=A", "FPO=5A", "ACT_EST_MAPPING=PRECISE", "FS=MRC", "CURRENCY=USD", "XLFILL=b")</f>
        <v/>
      </c>
      <c r="F283" s="9" t="str">
        <f>_xll.BQL("SAVE US Equity", "BS_AMT_OF_TSY_STOCK/1M", "FPT=A", "FPO=4A", "ACT_EST_MAPPING=PRECISE", "FS=MRC", "CURRENCY=USD", "XLFILL=b")</f>
        <v/>
      </c>
      <c r="G283" s="9">
        <f>_xll.BQL("SAVE US Equity", "BS_AMT_OF_TSY_STOCK/1M", "FPT=A", "FPO=3A", "ACT_EST_MAPPING=PRECISE", "FS=MRC", "CURRENCY=USD", "XLFILL=b")</f>
        <v>81.28</v>
      </c>
      <c r="H283" s="9">
        <f>_xll.BQL("SAVE US Equity", "BS_AMT_OF_TSY_STOCK/1M", "FPT=A", "FPO=2A", "ACT_EST_MAPPING=PRECISE", "FS=MRC", "CURRENCY=USD", "XLFILL=b")</f>
        <v>81.28</v>
      </c>
      <c r="I283" s="9">
        <f>_xll.BQL("SAVE US Equity", "BS_AMT_OF_TSY_STOCK/1M", "FPT=A", "FPO=1A", "ACT_EST_MAPPING=PRECISE", "FS=MRC", "CURRENCY=USD", "XLFILL=b")</f>
        <v>81.28</v>
      </c>
      <c r="J283" s="9">
        <f>_xll.BQL("SAVE US Equity", "BS_AMT_OF_TSY_STOCK/1M", "FPT=A", "FPO=0A", "ACT_EST_MAPPING=PRECISE", "FS=MRC", "CURRENCY=USD", "XLFILL=b")</f>
        <v>80.635000000000005</v>
      </c>
      <c r="K283" s="9">
        <f>_xll.BQL("SAVE US Equity", "BS_AMT_OF_TSY_STOCK/1M", "FPT=A", "FPO=-1A", "ACT_EST_MAPPING=PRECISE", "FS=MRC", "CURRENCY=USD", "XLFILL=b")</f>
        <v>77.998000000000005</v>
      </c>
      <c r="L283" s="9">
        <f>_xll.BQL("SAVE US Equity", "BS_AMT_OF_TSY_STOCK/1M", "FPT=A", "FPO=-2A", "ACT_EST_MAPPING=PRECISE", "FS=MRC", "CURRENCY=USD", "XLFILL=b")</f>
        <v>75.638999999999996</v>
      </c>
      <c r="M283" s="9">
        <f>_xll.BQL("SAVE US Equity", "BS_AMT_OF_TSY_STOCK/1M", "FPT=A", "FPO=-3A", "ACT_EST_MAPPING=PRECISE", "FS=MRC", "CURRENCY=USD", "XLFILL=b")</f>
        <v>74.123999999999995</v>
      </c>
      <c r="N283" s="9">
        <f>_xll.BQL("SAVE US Equity", "BS_AMT_OF_TSY_STOCK/1M", "FPT=A", "FPO=-4A", "ACT_EST_MAPPING=PRECISE", "FS=MRC", "CURRENCY=USD", "XLFILL=b")</f>
        <v>72.454999999999998</v>
      </c>
    </row>
    <row r="284" spans="1:14" x14ac:dyDescent="0.2">
      <c r="A284" s="8" t="s">
        <v>92</v>
      </c>
      <c r="B284" s="4" t="s">
        <v>313</v>
      </c>
      <c r="C284" s="4"/>
      <c r="D284" s="4"/>
      <c r="E284" s="9" t="str">
        <f>_xll.BQL("SAVE US Equity", "FA_GROWTH(BS_AMT_OF_TSY_STOCK, YOY)", "FPT=A", "FPO=5A", "ACT_EST_MAPPING=PRECISE", "FS=MRC", "CURRENCY=USD", "XLFILL=b")</f>
        <v/>
      </c>
      <c r="F284" s="9" t="str">
        <f>_xll.BQL("SAVE US Equity", "FA_GROWTH(BS_AMT_OF_TSY_STOCK, YOY)", "FPT=A", "FPO=4A", "ACT_EST_MAPPING=PRECISE", "FS=MRC", "CURRENCY=USD", "XLFILL=b")</f>
        <v/>
      </c>
      <c r="G284" s="9">
        <f>_xll.BQL("SAVE US Equity", "FA_GROWTH(BS_AMT_OF_TSY_STOCK, YOY)", "FPT=A", "FPO=3A", "ACT_EST_MAPPING=PRECISE", "FS=MRC", "CURRENCY=USD", "XLFILL=b")</f>
        <v>0</v>
      </c>
      <c r="H284" s="9">
        <f>_xll.BQL("SAVE US Equity", "FA_GROWTH(BS_AMT_OF_TSY_STOCK, YOY)", "FPT=A", "FPO=2A", "ACT_EST_MAPPING=PRECISE", "FS=MRC", "CURRENCY=USD", "XLFILL=b")</f>
        <v>0</v>
      </c>
      <c r="I284" s="9">
        <f>_xll.BQL("SAVE US Equity", "FA_GROWTH(BS_AMT_OF_TSY_STOCK, YOY)", "FPT=A", "FPO=1A", "ACT_EST_MAPPING=PRECISE", "FS=MRC", "CURRENCY=USD", "XLFILL=b")</f>
        <v>0.79990078749922489</v>
      </c>
      <c r="J284" s="9">
        <f>_xll.BQL("SAVE US Equity", "FA_GROWTH(BS_AMT_OF_TSY_STOCK, YOY)", "FPT=A", "FPO=0A", "ACT_EST_MAPPING=PRECISE", "FS=MRC", "CURRENCY=USD", "XLFILL=b")</f>
        <v>3.3808559193825483</v>
      </c>
      <c r="K284" s="9">
        <f>_xll.BQL("SAVE US Equity", "FA_GROWTH(BS_AMT_OF_TSY_STOCK, YOY)", "FPT=A", "FPO=-1A", "ACT_EST_MAPPING=PRECISE", "FS=MRC", "CURRENCY=USD", "XLFILL=b")</f>
        <v>3.1187614854770689</v>
      </c>
      <c r="L284" s="9">
        <f>_xll.BQL("SAVE US Equity", "FA_GROWTH(BS_AMT_OF_TSY_STOCK, YOY)", "FPT=A", "FPO=-2A", "ACT_EST_MAPPING=PRECISE", "FS=MRC", "CURRENCY=USD", "XLFILL=b")</f>
        <v>2.043872429982192</v>
      </c>
      <c r="M284" s="9">
        <f>_xll.BQL("SAVE US Equity", "FA_GROWTH(BS_AMT_OF_TSY_STOCK, YOY)", "FPT=A", "FPO=-3A", "ACT_EST_MAPPING=PRECISE", "FS=MRC", "CURRENCY=USD", "XLFILL=b")</f>
        <v>2.3034987233455246</v>
      </c>
      <c r="N284" s="9">
        <f>_xll.BQL("SAVE US Equity", "FA_GROWTH(BS_AMT_OF_TSY_STOCK, YOY)", "FPT=A", "FPO=-4A", "ACT_EST_MAPPING=PRECISE", "FS=MRC", "CURRENCY=USD", "XLFILL=b")</f>
        <v>8.1159723051211543</v>
      </c>
    </row>
    <row r="285" spans="1:14" x14ac:dyDescent="0.2">
      <c r="A285" s="8" t="s">
        <v>314</v>
      </c>
      <c r="B285" s="4" t="s">
        <v>315</v>
      </c>
      <c r="C285" s="4"/>
      <c r="D285" s="4"/>
      <c r="E285" s="9" t="str">
        <f>_xll.BQL("SAVE US Equity", "BS_PURE_RETAINED_EARNINGS/1M", "FPT=A", "FPO=5A", "ACT_EST_MAPPING=PRECISE", "FS=MRC", "CURRENCY=USD", "XLFILL=b")</f>
        <v/>
      </c>
      <c r="F285" s="9" t="str">
        <f>_xll.BQL("SAVE US Equity", "BS_PURE_RETAINED_EARNINGS/1M", "FPT=A", "FPO=4A", "ACT_EST_MAPPING=PRECISE", "FS=MRC", "CURRENCY=USD", "XLFILL=b")</f>
        <v/>
      </c>
      <c r="G285" s="9">
        <f>_xll.BQL("SAVE US Equity", "BS_PURE_RETAINED_EARNINGS/1M", "FPT=A", "FPO=3A", "ACT_EST_MAPPING=PRECISE", "FS=MRC", "CURRENCY=USD", "XLFILL=b")</f>
        <v>-1900.7171761960103</v>
      </c>
      <c r="H285" s="9">
        <f>_xll.BQL("SAVE US Equity", "BS_PURE_RETAINED_EARNINGS/1M", "FPT=A", "FPO=2A", "ACT_EST_MAPPING=PRECISE", "FS=MRC", "CURRENCY=USD", "XLFILL=b")</f>
        <v>-1679.1305311926355</v>
      </c>
      <c r="I285" s="9">
        <f>_xll.BQL("SAVE US Equity", "BS_PURE_RETAINED_EARNINGS/1M", "FPT=A", "FPO=1A", "ACT_EST_MAPPING=PRECISE", "FS=MRC", "CURRENCY=USD", "XLFILL=b")</f>
        <v>-1121.2264119198935</v>
      </c>
      <c r="J285" s="9">
        <f>_xll.BQL("SAVE US Equity", "BS_PURE_RETAINED_EARNINGS/1M", "FPT=A", "FPO=0A", "ACT_EST_MAPPING=PRECISE", "FS=MRC", "CURRENCY=USD", "XLFILL=b")</f>
        <v>56.755000000000003</v>
      </c>
      <c r="K285" s="9">
        <f>_xll.BQL("SAVE US Equity", "BS_PURE_RETAINED_EARNINGS/1M", "FPT=A", "FPO=-1A", "ACT_EST_MAPPING=PRECISE", "FS=MRC", "CURRENCY=USD", "XLFILL=b")</f>
        <v>504.21899999999999</v>
      </c>
      <c r="L285" s="9">
        <f>_xll.BQL("SAVE US Equity", "BS_PURE_RETAINED_EARNINGS/1M", "FPT=A", "FPO=-2A", "ACT_EST_MAPPING=PRECISE", "FS=MRC", "CURRENCY=USD", "XLFILL=b")</f>
        <v>1058.3689999999999</v>
      </c>
      <c r="M285" s="9">
        <f>_xll.BQL("SAVE US Equity", "BS_PURE_RETAINED_EARNINGS/1M", "FPT=A", "FPO=-3A", "ACT_EST_MAPPING=PRECISE", "FS=MRC", "CURRENCY=USD", "XLFILL=b")</f>
        <v>1524.8779999999999</v>
      </c>
      <c r="N285" s="9">
        <f>_xll.BQL("SAVE US Equity", "BS_PURE_RETAINED_EARNINGS/1M", "FPT=A", "FPO=-4A", "ACT_EST_MAPPING=PRECISE", "FS=MRC", "CURRENCY=USD", "XLFILL=b")</f>
        <v>1955.1869999999999</v>
      </c>
    </row>
    <row r="286" spans="1:14" x14ac:dyDescent="0.2">
      <c r="A286" s="8" t="s">
        <v>92</v>
      </c>
      <c r="B286" s="4" t="s">
        <v>315</v>
      </c>
      <c r="C286" s="4"/>
      <c r="D286" s="4"/>
      <c r="E286" s="9" t="str">
        <f>_xll.BQL("SAVE US Equity", "FA_GROWTH(BS_PURE_RETAINED_EARNINGS, YOY)", "FPT=A", "FPO=5A", "ACT_EST_MAPPING=PRECISE", "FS=MRC", "CURRENCY=USD", "XLFILL=b")</f>
        <v/>
      </c>
      <c r="F286" s="9" t="str">
        <f>_xll.BQL("SAVE US Equity", "FA_GROWTH(BS_PURE_RETAINED_EARNINGS, YOY)", "FPT=A", "FPO=4A", "ACT_EST_MAPPING=PRECISE", "FS=MRC", "CURRENCY=USD", "XLFILL=b")</f>
        <v/>
      </c>
      <c r="G286" s="9">
        <f>_xll.BQL("SAVE US Equity", "FA_GROWTH(BS_PURE_RETAINED_EARNINGS, YOY)", "FPT=A", "FPO=3A", "ACT_EST_MAPPING=PRECISE", "FS=MRC", "CURRENCY=USD", "XLFILL=b")</f>
        <v>-13.196510985122076</v>
      </c>
      <c r="H286" s="9">
        <f>_xll.BQL("SAVE US Equity", "FA_GROWTH(BS_PURE_RETAINED_EARNINGS, YOY)", "FPT=A", "FPO=2A", "ACT_EST_MAPPING=PRECISE", "FS=MRC", "CURRENCY=USD", "XLFILL=b")</f>
        <v>-49.758381834533672</v>
      </c>
      <c r="I286" s="9">
        <f>_xll.BQL("SAVE US Equity", "FA_GROWTH(BS_PURE_RETAINED_EARNINGS, YOY)", "FPT=A", "FPO=1A", "ACT_EST_MAPPING=PRECISE", "FS=MRC", "CURRENCY=USD", "XLFILL=b")</f>
        <v>-2075.5553024753654</v>
      </c>
      <c r="J286" s="9">
        <f>_xll.BQL("SAVE US Equity", "FA_GROWTH(BS_PURE_RETAINED_EARNINGS, YOY)", "FPT=A", "FPO=0A", "ACT_EST_MAPPING=PRECISE", "FS=MRC", "CURRENCY=USD", "XLFILL=b")</f>
        <v>-88.743978311011688</v>
      </c>
      <c r="K286" s="9">
        <f>_xll.BQL("SAVE US Equity", "FA_GROWTH(BS_PURE_RETAINED_EARNINGS, YOY)", "FPT=A", "FPO=-1A", "ACT_EST_MAPPING=PRECISE", "FS=MRC", "CURRENCY=USD", "XLFILL=b")</f>
        <v>-52.35886538626886</v>
      </c>
      <c r="L286" s="9">
        <f>_xll.BQL("SAVE US Equity", "FA_GROWTH(BS_PURE_RETAINED_EARNINGS, YOY)", "FPT=A", "FPO=-2A", "ACT_EST_MAPPING=PRECISE", "FS=MRC", "CURRENCY=USD", "XLFILL=b")</f>
        <v>-30.593201554485024</v>
      </c>
      <c r="M286" s="9">
        <f>_xll.BQL("SAVE US Equity", "FA_GROWTH(BS_PURE_RETAINED_EARNINGS, YOY)", "FPT=A", "FPO=-3A", "ACT_EST_MAPPING=PRECISE", "FS=MRC", "CURRENCY=USD", "XLFILL=b")</f>
        <v>-22.008585368049193</v>
      </c>
      <c r="N286" s="9">
        <f>_xll.BQL("SAVE US Equity", "FA_GROWTH(BS_PURE_RETAINED_EARNINGS, YOY)", "FPT=A", "FPO=-4A", "ACT_EST_MAPPING=PRECISE", "FS=MRC", "CURRENCY=USD", "XLFILL=b")</f>
        <v>20.283596055567553</v>
      </c>
    </row>
    <row r="287" spans="1:14" x14ac:dyDescent="0.2">
      <c r="A287" s="8" t="s">
        <v>316</v>
      </c>
      <c r="B287" s="4" t="s">
        <v>317</v>
      </c>
      <c r="C287" s="4"/>
      <c r="D287" s="4"/>
      <c r="E287" s="9" t="str">
        <f>_xll.BQL("SAVE US Equity", "BS_ACCUMULATED_OTHER_COMP_INC/1M", "FPT=A", "FPO=5A", "ACT_EST_MAPPING=PRECISE", "FS=MRC", "CURRENCY=USD", "XLFILL=b")</f>
        <v/>
      </c>
      <c r="F287" s="9" t="str">
        <f>_xll.BQL("SAVE US Equity", "BS_ACCUMULATED_OTHER_COMP_INC/1M", "FPT=A", "FPO=4A", "ACT_EST_MAPPING=PRECISE", "FS=MRC", "CURRENCY=USD", "XLFILL=b")</f>
        <v/>
      </c>
      <c r="G287" s="9">
        <f>_xll.BQL("SAVE US Equity", "BS_ACCUMULATED_OTHER_COMP_INC/1M", "FPT=A", "FPO=3A", "ACT_EST_MAPPING=PRECISE", "FS=MRC", "CURRENCY=USD", "XLFILL=b")</f>
        <v>-61.537333333333336</v>
      </c>
      <c r="H287" s="9">
        <f>_xll.BQL("SAVE US Equity", "BS_ACCUMULATED_OTHER_COMP_INC/1M", "FPT=A", "FPO=2A", "ACT_EST_MAPPING=PRECISE", "FS=MRC", "CURRENCY=USD", "XLFILL=b")</f>
        <v>-0.16600000000000001</v>
      </c>
      <c r="I287" s="9">
        <f>_xll.BQL("SAVE US Equity", "BS_ACCUMULATED_OTHER_COMP_INC/1M", "FPT=A", "FPO=1A", "ACT_EST_MAPPING=PRECISE", "FS=MRC", "CURRENCY=USD", "XLFILL=b")</f>
        <v>-0.16600000000000001</v>
      </c>
      <c r="J287" s="9">
        <f>_xll.BQL("SAVE US Equity", "BS_ACCUMULATED_OTHER_COMP_INC/1M", "FPT=A", "FPO=0A", "ACT_EST_MAPPING=PRECISE", "FS=MRC", "CURRENCY=USD", "XLFILL=b")</f>
        <v>-6.7000000000000004E-2</v>
      </c>
      <c r="K287" s="9">
        <f>_xll.BQL("SAVE US Equity", "BS_ACCUMULATED_OTHER_COMP_INC/1M", "FPT=A", "FPO=-1A", "ACT_EST_MAPPING=PRECISE", "FS=MRC", "CURRENCY=USD", "XLFILL=b")</f>
        <v>-0.59599999999999997</v>
      </c>
      <c r="L287" s="9">
        <f>_xll.BQL("SAVE US Equity", "BS_ACCUMULATED_OTHER_COMP_INC/1M", "FPT=A", "FPO=-2A", "ACT_EST_MAPPING=PRECISE", "FS=MRC", "CURRENCY=USD", "XLFILL=b")</f>
        <v>-0.53200000000000003</v>
      </c>
      <c r="M287" s="9">
        <f>_xll.BQL("SAVE US Equity", "BS_ACCUMULATED_OTHER_COMP_INC/1M", "FPT=A", "FPO=-3A", "ACT_EST_MAPPING=PRECISE", "FS=MRC", "CURRENCY=USD", "XLFILL=b")</f>
        <v>-0.61799999999999999</v>
      </c>
      <c r="N287" s="9">
        <f>_xll.BQL("SAVE US Equity", "BS_ACCUMULATED_OTHER_COMP_INC/1M", "FPT=A", "FPO=-4A", "ACT_EST_MAPPING=PRECISE", "FS=MRC", "CURRENCY=USD", "XLFILL=b")</f>
        <v>-0.78700000000000003</v>
      </c>
    </row>
    <row r="288" spans="1:14" x14ac:dyDescent="0.2">
      <c r="A288" s="8" t="s">
        <v>92</v>
      </c>
      <c r="B288" s="4" t="s">
        <v>317</v>
      </c>
      <c r="C288" s="4"/>
      <c r="D288" s="4"/>
      <c r="E288" s="9" t="str">
        <f>_xll.BQL("SAVE US Equity", "FA_GROWTH(BS_ACCUMULATED_OTHER_COMP_INC, YOY)", "FPT=A", "FPO=5A", "ACT_EST_MAPPING=PRECISE", "FS=MRC", "CURRENCY=USD", "XLFILL=b")</f>
        <v/>
      </c>
      <c r="F288" s="9" t="str">
        <f>_xll.BQL("SAVE US Equity", "FA_GROWTH(BS_ACCUMULATED_OTHER_COMP_INC, YOY)", "FPT=A", "FPO=4A", "ACT_EST_MAPPING=PRECISE", "FS=MRC", "CURRENCY=USD", "XLFILL=b")</f>
        <v/>
      </c>
      <c r="G288" s="9">
        <f>_xll.BQL("SAVE US Equity", "FA_GROWTH(BS_ACCUMULATED_OTHER_COMP_INC, YOY)", "FPT=A", "FPO=3A", "ACT_EST_MAPPING=PRECISE", "FS=MRC", "CURRENCY=USD", "XLFILL=b")</f>
        <v>-36970.682730923698</v>
      </c>
      <c r="H288" s="9">
        <f>_xll.BQL("SAVE US Equity", "FA_GROWTH(BS_ACCUMULATED_OTHER_COMP_INC, YOY)", "FPT=A", "FPO=2A", "ACT_EST_MAPPING=PRECISE", "FS=MRC", "CURRENCY=USD", "XLFILL=b")</f>
        <v>0</v>
      </c>
      <c r="I288" s="9">
        <f>_xll.BQL("SAVE US Equity", "FA_GROWTH(BS_ACCUMULATED_OTHER_COMP_INC, YOY)", "FPT=A", "FPO=1A", "ACT_EST_MAPPING=PRECISE", "FS=MRC", "CURRENCY=USD", "XLFILL=b")</f>
        <v>-147.76119402985074</v>
      </c>
      <c r="J288" s="9">
        <f>_xll.BQL("SAVE US Equity", "FA_GROWTH(BS_ACCUMULATED_OTHER_COMP_INC, YOY)", "FPT=A", "FPO=0A", "ACT_EST_MAPPING=PRECISE", "FS=MRC", "CURRENCY=USD", "XLFILL=b")</f>
        <v>88.758389261744966</v>
      </c>
      <c r="K288" s="9">
        <f>_xll.BQL("SAVE US Equity", "FA_GROWTH(BS_ACCUMULATED_OTHER_COMP_INC, YOY)", "FPT=A", "FPO=-1A", "ACT_EST_MAPPING=PRECISE", "FS=MRC", "CURRENCY=USD", "XLFILL=b")</f>
        <v>-12.030075187969924</v>
      </c>
      <c r="L288" s="9">
        <f>_xll.BQL("SAVE US Equity", "FA_GROWTH(BS_ACCUMULATED_OTHER_COMP_INC, YOY)", "FPT=A", "FPO=-2A", "ACT_EST_MAPPING=PRECISE", "FS=MRC", "CURRENCY=USD", "XLFILL=b")</f>
        <v>13.915857605177994</v>
      </c>
      <c r="M288" s="9">
        <f>_xll.BQL("SAVE US Equity", "FA_GROWTH(BS_ACCUMULATED_OTHER_COMP_INC, YOY)", "FPT=A", "FPO=-3A", "ACT_EST_MAPPING=PRECISE", "FS=MRC", "CURRENCY=USD", "XLFILL=b")</f>
        <v>21.473951715374842</v>
      </c>
      <c r="N288" s="9">
        <f>_xll.BQL("SAVE US Equity", "FA_GROWTH(BS_ACCUMULATED_OTHER_COMP_INC, YOY)", "FPT=A", "FPO=-4A", "ACT_EST_MAPPING=PRECISE", "FS=MRC", "CURRENCY=USD", "XLFILL=b")</f>
        <v>34.031852472757755</v>
      </c>
    </row>
    <row r="289" spans="1:14" x14ac:dyDescent="0.2">
      <c r="A289" s="8" t="s">
        <v>318</v>
      </c>
      <c r="B289" s="4" t="s">
        <v>261</v>
      </c>
      <c r="C289" s="4" t="s">
        <v>319</v>
      </c>
      <c r="D289" s="4"/>
      <c r="E289" s="9">
        <f>_xll.BQL("SAVE US Equity", "BS_TOT_ASSET/1M", "FPT=A", "FPO=5A", "ACT_EST_MAPPING=PRECISE", "FS=MRC", "CURRENCY=USD", "XLFILL=b")</f>
        <v>10133.393369479756</v>
      </c>
      <c r="F289" s="9">
        <f>_xll.BQL("SAVE US Equity", "BS_TOT_ASSET/1M", "FPT=A", "FPO=4A", "ACT_EST_MAPPING=PRECISE", "FS=MRC", "CURRENCY=USD", "XLFILL=b")</f>
        <v>9271.8232288946783</v>
      </c>
      <c r="G289" s="9">
        <f>_xll.BQL("SAVE US Equity", "BS_TOT_ASSET/1M", "FPT=A", "FPO=3A", "ACT_EST_MAPPING=PRECISE", "FS=MRC", "CURRENCY=USD", "XLFILL=b")</f>
        <v>8631.2424613070725</v>
      </c>
      <c r="H289" s="9">
        <f>_xll.BQL("SAVE US Equity", "BS_TOT_ASSET/1M", "FPT=A", "FPO=2A", "ACT_EST_MAPPING=PRECISE", "FS=MRC", "CURRENCY=USD", "XLFILL=b")</f>
        <v>8714.427016311065</v>
      </c>
      <c r="I289" s="9">
        <f>_xll.BQL("SAVE US Equity", "BS_TOT_ASSET/1M", "FPT=A", "FPO=1A", "ACT_EST_MAPPING=PRECISE", "FS=MRC", "CURRENCY=USD", "XLFILL=b")</f>
        <v>9008.5884300929811</v>
      </c>
      <c r="J289" s="9">
        <f>_xll.BQL("SAVE US Equity", "BS_TOT_ASSET/1M", "FPT=A", "FPO=0A", "ACT_EST_MAPPING=PRECISE", "FS=MRC", "CURRENCY=USD", "XLFILL=b")</f>
        <v>9417.2369999999992</v>
      </c>
      <c r="K289" s="9">
        <f>_xll.BQL("SAVE US Equity", "BS_TOT_ASSET/1M", "FPT=A", "FPO=-1A", "ACT_EST_MAPPING=PRECISE", "FS=MRC", "CURRENCY=USD", "XLFILL=b")</f>
        <v>9184.7739999999994</v>
      </c>
      <c r="L289" s="9">
        <f>_xll.BQL("SAVE US Equity", "BS_TOT_ASSET/1M", "FPT=A", "FPO=-2A", "ACT_EST_MAPPING=PRECISE", "FS=MRC", "CURRENCY=USD", "XLFILL=b")</f>
        <v>8540.0249999999996</v>
      </c>
      <c r="M289" s="9">
        <f>_xll.BQL("SAVE US Equity", "BS_TOT_ASSET/1M", "FPT=A", "FPO=-3A", "ACT_EST_MAPPING=PRECISE", "FS=MRC", "CURRENCY=USD", "XLFILL=b")</f>
        <v>8398.8250000000007</v>
      </c>
      <c r="N289" s="9">
        <f>_xll.BQL("SAVE US Equity", "BS_TOT_ASSET/1M", "FPT=A", "FPO=-4A", "ACT_EST_MAPPING=PRECISE", "FS=MRC", "CURRENCY=USD", "XLFILL=b")</f>
        <v>7043.4120000000003</v>
      </c>
    </row>
    <row r="290" spans="1:14" x14ac:dyDescent="0.2">
      <c r="A290" s="8" t="s">
        <v>44</v>
      </c>
      <c r="B290" s="4" t="s">
        <v>261</v>
      </c>
      <c r="C290" s="4" t="s">
        <v>319</v>
      </c>
      <c r="D290" s="4"/>
      <c r="E290" s="9">
        <f>_xll.BQL("SAVE US Equity", "FA_GROWTH(BS_TOT_ASSET, YOY)", "FPT=A", "FPO=5A", "ACT_EST_MAPPING=PRECISE", "FS=MRC", "CURRENCY=USD", "XLFILL=b")</f>
        <v>9.2923486494013705</v>
      </c>
      <c r="F290" s="9">
        <f>_xll.BQL("SAVE US Equity", "FA_GROWTH(BS_TOT_ASSET, YOY)", "FPT=A", "FPO=4A", "ACT_EST_MAPPING=PRECISE", "FS=MRC", "CURRENCY=USD", "XLFILL=b")</f>
        <v>7.4216518706230401</v>
      </c>
      <c r="G290" s="9">
        <f>_xll.BQL("SAVE US Equity", "FA_GROWTH(BS_TOT_ASSET, YOY)", "FPT=A", "FPO=3A", "ACT_EST_MAPPING=PRECISE", "FS=MRC", "CURRENCY=USD", "XLFILL=b")</f>
        <v>-0.9545613825016247</v>
      </c>
      <c r="H290" s="9">
        <f>_xll.BQL("SAVE US Equity", "FA_GROWTH(BS_TOT_ASSET, YOY)", "FPT=A", "FPO=2A", "ACT_EST_MAPPING=PRECISE", "FS=MRC", "CURRENCY=USD", "XLFILL=b")</f>
        <v>-3.2653441331527175</v>
      </c>
      <c r="I290" s="9">
        <f>_xll.BQL("SAVE US Equity", "FA_GROWTH(BS_TOT_ASSET, YOY)", "FPT=A", "FPO=1A", "ACT_EST_MAPPING=PRECISE", "FS=MRC", "CURRENCY=USD", "XLFILL=b")</f>
        <v>-4.3393680110951722</v>
      </c>
      <c r="J290" s="9">
        <f>_xll.BQL("SAVE US Equity", "FA_GROWTH(BS_TOT_ASSET, YOY)", "FPT=A", "FPO=0A", "ACT_EST_MAPPING=PRECISE", "FS=MRC", "CURRENCY=USD", "XLFILL=b")</f>
        <v>2.5309604787227209</v>
      </c>
      <c r="K290" s="9">
        <f>_xll.BQL("SAVE US Equity", "FA_GROWTH(BS_TOT_ASSET, YOY)", "FPT=A", "FPO=-1A", "ACT_EST_MAPPING=PRECISE", "FS=MRC", "CURRENCY=USD", "XLFILL=b")</f>
        <v>7.549731997271671</v>
      </c>
      <c r="L290" s="9">
        <f>_xll.BQL("SAVE US Equity", "FA_GROWTH(BS_TOT_ASSET, YOY)", "FPT=A", "FPO=-2A", "ACT_EST_MAPPING=PRECISE", "FS=MRC", "CURRENCY=USD", "XLFILL=b")</f>
        <v>1.6811875470675841</v>
      </c>
      <c r="M290" s="9">
        <f>_xll.BQL("SAVE US Equity", "FA_GROWTH(BS_TOT_ASSET, YOY)", "FPT=A", "FPO=-3A", "ACT_EST_MAPPING=PRECISE", "FS=MRC", "CURRENCY=USD", "XLFILL=b")</f>
        <v>19.243698934550483</v>
      </c>
      <c r="N290" s="9">
        <f>_xll.BQL("SAVE US Equity", "FA_GROWTH(BS_TOT_ASSET, YOY)", "FPT=A", "FPO=-4A", "ACT_EST_MAPPING=PRECISE", "FS=MRC", "CURRENCY=USD", "XLFILL=b")</f>
        <v>36.356028130715252</v>
      </c>
    </row>
    <row r="291" spans="1:14" x14ac:dyDescent="0.2">
      <c r="A291" s="8" t="s">
        <v>16</v>
      </c>
      <c r="B291" s="4"/>
      <c r="C291" s="4"/>
      <c r="D291" s="4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1:14" x14ac:dyDescent="0.2">
      <c r="A292" s="8" t="s">
        <v>320</v>
      </c>
      <c r="B292" s="4"/>
      <c r="C292" s="4" t="s">
        <v>321</v>
      </c>
      <c r="D292" s="4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1:14" x14ac:dyDescent="0.2">
      <c r="A293" s="8" t="s">
        <v>322</v>
      </c>
      <c r="B293" s="4" t="s">
        <v>323</v>
      </c>
      <c r="C293" s="4" t="s">
        <v>324</v>
      </c>
      <c r="D293" s="4"/>
      <c r="E293" s="9">
        <f>_xll.BQL("SAVE US Equity", "NET_DEBT/1M", "FPT=A", "FPO=5A", "ACT_EST_MAPPING=PRECISE", "FS=MRC", "CURRENCY=USD", "XLFILL=b")</f>
        <v>8784.0370305202396</v>
      </c>
      <c r="F293" s="9">
        <f>_xll.BQL("SAVE US Equity", "NET_DEBT/1M", "FPT=A", "FPO=4A", "ACT_EST_MAPPING=PRECISE", "FS=MRC", "CURRENCY=USD", "XLFILL=b")</f>
        <v>8277.3439711053197</v>
      </c>
      <c r="G293" s="9">
        <f>_xll.BQL("SAVE US Equity", "NET_DEBT/1M", "FPT=A", "FPO=3A", "ACT_EST_MAPPING=PRECISE", "FS=MRC", "CURRENCY=USD", "XLFILL=b")</f>
        <v>7536.9940744057603</v>
      </c>
      <c r="H293" s="9">
        <f>_xll.BQL("SAVE US Equity", "NET_DEBT/1M", "FPT=A", "FPO=2A", "ACT_EST_MAPPING=PRECISE", "FS=MRC", "CURRENCY=USD", "XLFILL=b")</f>
        <v>7953.7001549889683</v>
      </c>
      <c r="I293" s="9">
        <f>_xll.BQL("SAVE US Equity", "NET_DEBT/1M", "FPT=A", "FPO=1A", "ACT_EST_MAPPING=PRECISE", "FS=MRC", "CURRENCY=USD", "XLFILL=b")</f>
        <v>6981.247182343147</v>
      </c>
      <c r="J293" s="9">
        <f>_xll.BQL("SAVE US Equity", "NET_DEBT/1M", "FPT=A", "FPO=0A", "ACT_EST_MAPPING=PRECISE", "FS=MRC", "CURRENCY=USD", "XLFILL=b")</f>
        <v>5916.8249999999989</v>
      </c>
      <c r="K293" s="9">
        <f>_xll.BQL("SAVE US Equity", "NET_DEBT/1M", "FPT=A", "FPO=-1A", "ACT_EST_MAPPING=PRECISE", "FS=MRC", "CURRENCY=USD", "XLFILL=b")</f>
        <v>4737.7139999999999</v>
      </c>
      <c r="L293" s="9">
        <f>_xll.BQL("SAVE US Equity", "NET_DEBT/1M", "FPT=A", "FPO=-2A", "ACT_EST_MAPPING=PRECISE", "FS=MRC", "CURRENCY=USD", "XLFILL=b")</f>
        <v>3654.9329999999995</v>
      </c>
      <c r="M293" s="9">
        <f>_xll.BQL("SAVE US Equity", "NET_DEBT/1M", "FPT=A", "FPO=-3A", "ACT_EST_MAPPING=PRECISE", "FS=MRC", "CURRENCY=USD", "XLFILL=b")</f>
        <v>2937.0800000000008</v>
      </c>
      <c r="N293" s="9">
        <f>_xll.BQL("SAVE US Equity", "NET_DEBT/1M", "FPT=A", "FPO=-4A", "ACT_EST_MAPPING=PRECISE", "FS=MRC", "CURRENCY=USD", "XLFILL=b")</f>
        <v>2473.7030000000004</v>
      </c>
    </row>
    <row r="294" spans="1:14" x14ac:dyDescent="0.2">
      <c r="A294" s="8" t="s">
        <v>44</v>
      </c>
      <c r="B294" s="4" t="s">
        <v>323</v>
      </c>
      <c r="C294" s="4" t="s">
        <v>324</v>
      </c>
      <c r="D294" s="4"/>
      <c r="E294" s="9">
        <f>_xll.BQL("SAVE US Equity", "FA_GROWTH(NET_DEBT, YOY)", "FPT=A", "FPO=5A", "ACT_EST_MAPPING=PRECISE", "FS=MRC", "CURRENCY=USD", "XLFILL=b")</f>
        <v>6.1214450092166137</v>
      </c>
      <c r="F294" s="9">
        <f>_xll.BQL("SAVE US Equity", "FA_GROWTH(NET_DEBT, YOY)", "FPT=A", "FPO=4A", "ACT_EST_MAPPING=PRECISE", "FS=MRC", "CURRENCY=USD", "XLFILL=b")</f>
        <v>9.8228801746527914</v>
      </c>
      <c r="G294" s="9">
        <f>_xll.BQL("SAVE US Equity", "FA_GROWTH(NET_DEBT, YOY)", "FPT=A", "FPO=3A", "ACT_EST_MAPPING=PRECISE", "FS=MRC", "CURRENCY=USD", "XLFILL=b")</f>
        <v>-5.2391474717817683</v>
      </c>
      <c r="H294" s="9">
        <f>_xll.BQL("SAVE US Equity", "FA_GROWTH(NET_DEBT, YOY)", "FPT=A", "FPO=2A", "ACT_EST_MAPPING=PRECISE", "FS=MRC", "CURRENCY=USD", "XLFILL=b")</f>
        <v>13.929502096779101</v>
      </c>
      <c r="I294" s="9">
        <f>_xll.BQL("SAVE US Equity", "FA_GROWTH(NET_DEBT, YOY)", "FPT=A", "FPO=1A", "ACT_EST_MAPPING=PRECISE", "FS=MRC", "CURRENCY=USD", "XLFILL=b")</f>
        <v>17.989752651855486</v>
      </c>
      <c r="J294" s="9">
        <f>_xll.BQL("SAVE US Equity", "FA_GROWTH(NET_DEBT, YOY)", "FPT=A", "FPO=0A", "ACT_EST_MAPPING=PRECISE", "FS=MRC", "CURRENCY=USD", "XLFILL=b")</f>
        <v>24.887762325881198</v>
      </c>
      <c r="K294" s="9">
        <f>_xll.BQL("SAVE US Equity", "FA_GROWTH(NET_DEBT, YOY)", "FPT=A", "FPO=-1A", "ACT_EST_MAPPING=PRECISE", "FS=MRC", "CURRENCY=USD", "XLFILL=b")</f>
        <v>29.625194223806581</v>
      </c>
      <c r="L294" s="9">
        <f>_xll.BQL("SAVE US Equity", "FA_GROWTH(NET_DEBT, YOY)", "FPT=A", "FPO=-2A", "ACT_EST_MAPPING=PRECISE", "FS=MRC", "CURRENCY=USD", "XLFILL=b")</f>
        <v>24.441043485366365</v>
      </c>
      <c r="M294" s="9">
        <f>_xll.BQL("SAVE US Equity", "FA_GROWTH(NET_DEBT, YOY)", "FPT=A", "FPO=-3A", "ACT_EST_MAPPING=PRECISE", "FS=MRC", "CURRENCY=USD", "XLFILL=b")</f>
        <v>18.732119417731248</v>
      </c>
      <c r="N294" s="9">
        <f>_xll.BQL("SAVE US Equity", "FA_GROWTH(NET_DEBT, YOY)", "FPT=A", "FPO=-4A", "ACT_EST_MAPPING=PRECISE", "FS=MRC", "CURRENCY=USD", "XLFILL=b")</f>
        <v>128.54631159203379</v>
      </c>
    </row>
    <row r="295" spans="1:14" x14ac:dyDescent="0.2">
      <c r="A295" s="8" t="s">
        <v>325</v>
      </c>
      <c r="B295" s="4" t="s">
        <v>326</v>
      </c>
      <c r="C295" s="4" t="s">
        <v>327</v>
      </c>
      <c r="D295" s="4"/>
      <c r="E295" s="9" t="str">
        <f>_xll.BQL("SAVE US Equity", "TOT_DEBT_AND_PFD_EQTY_TO_TOT_CPTL", "FPT=A", "FPO=5A", "ACT_EST_MAPPING=PRECISE", "FS=MRC", "CURRENCY=USD", "XLFILL=b")</f>
        <v/>
      </c>
      <c r="F295" s="9" t="str">
        <f>_xll.BQL("SAVE US Equity", "TOT_DEBT_AND_PFD_EQTY_TO_TOT_CPTL", "FPT=A", "FPO=4A", "ACT_EST_MAPPING=PRECISE", "FS=MRC", "CURRENCY=USD", "XLFILL=b")</f>
        <v/>
      </c>
      <c r="G295" s="9">
        <f>_xll.BQL("SAVE US Equity", "TOT_DEBT_AND_PFD_EQTY_TO_TOT_CPTL", "FPT=A", "FPO=3A", "ACT_EST_MAPPING=PRECISE", "FS=MRC", "CURRENCY=USD", "XLFILL=b")</f>
        <v>107.96804958419469</v>
      </c>
      <c r="H295" s="9">
        <f>_xll.BQL("SAVE US Equity", "TOT_DEBT_AND_PFD_EQTY_TO_TOT_CPTL", "FPT=A", "FPO=2A", "ACT_EST_MAPPING=PRECISE", "FS=MRC", "CURRENCY=USD", "XLFILL=b")</f>
        <v>103.30719944324494</v>
      </c>
      <c r="I295" s="9">
        <f>_xll.BQL("SAVE US Equity", "TOT_DEBT_AND_PFD_EQTY_TO_TOT_CPTL", "FPT=A", "FPO=1A", "ACT_EST_MAPPING=PRECISE", "FS=MRC", "CURRENCY=USD", "XLFILL=b")</f>
        <v>95.599803533532565</v>
      </c>
      <c r="J295" s="9">
        <f>_xll.BQL("SAVE US Equity", "TOT_DEBT_AND_PFD_EQTY_TO_TOT_CPTL", "FPT=A", "FPO=0A", "ACT_EST_MAPPING=PRECISE", "FS=MRC", "CURRENCY=USD", "XLFILL=b")</f>
        <v>85.871726302015517</v>
      </c>
      <c r="K295" s="9">
        <f>_xll.BQL("SAVE US Equity", "TOT_DEBT_AND_PFD_EQTY_TO_TOT_CPTL", "FPT=A", "FPO=-1A", "ACT_EST_MAPPING=PRECISE", "FS=MRC", "CURRENCY=USD", "XLFILL=b")</f>
        <v>79.754148937951754</v>
      </c>
      <c r="L295" s="9">
        <f>_xll.BQL("SAVE US Equity", "TOT_DEBT_AND_PFD_EQTY_TO_TOT_CPTL", "FPT=A", "FPO=-2A", "ACT_EST_MAPPING=PRECISE", "FS=MRC", "CURRENCY=USD", "XLFILL=b")</f>
        <v>70.674196550099694</v>
      </c>
      <c r="M295" s="9">
        <f>_xll.BQL("SAVE US Equity", "TOT_DEBT_AND_PFD_EQTY_TO_TOT_CPTL", "FPT=A", "FPO=-3A", "ACT_EST_MAPPING=PRECISE", "FS=MRC", "CURRENCY=USD", "XLFILL=b")</f>
        <v>68.237374374138497</v>
      </c>
      <c r="N295" s="9">
        <f>_xll.BQL("SAVE US Equity", "TOT_DEBT_AND_PFD_EQTY_TO_TOT_CPTL", "FPT=A", "FPO=-4A", "ACT_EST_MAPPING=PRECISE", "FS=MRC", "CURRENCY=USD", "XLFILL=b")</f>
        <v>61.140911306884504</v>
      </c>
    </row>
    <row r="296" spans="1:14" x14ac:dyDescent="0.2">
      <c r="A296" s="8" t="s">
        <v>44</v>
      </c>
      <c r="B296" s="4" t="s">
        <v>326</v>
      </c>
      <c r="C296" s="4" t="s">
        <v>327</v>
      </c>
      <c r="D296" s="4"/>
      <c r="E296" s="9" t="str">
        <f>_xll.BQL("SAVE US Equity", "FA_GROWTH(TOT_DEBT_AND_PFD_EQTY_TO_TOT_CPTL, YOY)", "FPT=A", "FPO=5A", "ACT_EST_MAPPING=PRECISE", "FS=MRC", "CURRENCY=USD", "XLFILL=b")</f>
        <v/>
      </c>
      <c r="F296" s="9" t="str">
        <f>_xll.BQL("SAVE US Equity", "FA_GROWTH(TOT_DEBT_AND_PFD_EQTY_TO_TOT_CPTL, YOY)", "FPT=A", "FPO=4A", "ACT_EST_MAPPING=PRECISE", "FS=MRC", "CURRENCY=USD", "XLFILL=b")</f>
        <v/>
      </c>
      <c r="G296" s="9">
        <f>_xll.BQL("SAVE US Equity", "FA_GROWTH(TOT_DEBT_AND_PFD_EQTY_TO_TOT_CPTL, YOY)", "FPT=A", "FPO=3A", "ACT_EST_MAPPING=PRECISE", "FS=MRC", "CURRENCY=USD", "XLFILL=b")</f>
        <v>4.5116411693168903</v>
      </c>
      <c r="H296" s="9">
        <f>_xll.BQL("SAVE US Equity", "FA_GROWTH(TOT_DEBT_AND_PFD_EQTY_TO_TOT_CPTL, YOY)", "FPT=A", "FPO=2A", "ACT_EST_MAPPING=PRECISE", "FS=MRC", "CURRENCY=USD", "XLFILL=b")</f>
        <v>8.0621461810943273</v>
      </c>
      <c r="I296" s="9">
        <f>_xll.BQL("SAVE US Equity", "FA_GROWTH(TOT_DEBT_AND_PFD_EQTY_TO_TOT_CPTL, YOY)", "FPT=A", "FPO=1A", "ACT_EST_MAPPING=PRECISE", "FS=MRC", "CURRENCY=USD", "XLFILL=b")</f>
        <v>11.328614959134363</v>
      </c>
      <c r="J296" s="9">
        <f>_xll.BQL("SAVE US Equity", "FA_GROWTH(TOT_DEBT_AND_PFD_EQTY_TO_TOT_CPTL, YOY)", "FPT=A", "FPO=0A", "ACT_EST_MAPPING=PRECISE", "FS=MRC", "CURRENCY=USD", "XLFILL=b")</f>
        <v>7.670544348511827</v>
      </c>
      <c r="K296" s="9">
        <f>_xll.BQL("SAVE US Equity", "FA_GROWTH(TOT_DEBT_AND_PFD_EQTY_TO_TOT_CPTL, YOY)", "FPT=A", "FPO=-1A", "ACT_EST_MAPPING=PRECISE", "FS=MRC", "CURRENCY=USD", "XLFILL=b")</f>
        <v>12.847620250504642</v>
      </c>
      <c r="L296" s="9">
        <f>_xll.BQL("SAVE US Equity", "FA_GROWTH(TOT_DEBT_AND_PFD_EQTY_TO_TOT_CPTL, YOY)", "FPT=A", "FPO=-2A", "ACT_EST_MAPPING=PRECISE", "FS=MRC", "CURRENCY=USD", "XLFILL=b")</f>
        <v>3.5710960427644123</v>
      </c>
      <c r="M296" s="9">
        <f>_xll.BQL("SAVE US Equity", "FA_GROWTH(TOT_DEBT_AND_PFD_EQTY_TO_TOT_CPTL, YOY)", "FPT=A", "FPO=-3A", "ACT_EST_MAPPING=PRECISE", "FS=MRC", "CURRENCY=USD", "XLFILL=b")</f>
        <v>11.606734207206568</v>
      </c>
      <c r="N296" s="9">
        <f>_xll.BQL("SAVE US Equity", "FA_GROWTH(TOT_DEBT_AND_PFD_EQTY_TO_TOT_CPTL, YOY)", "FPT=A", "FPO=-4A", "ACT_EST_MAPPING=PRECISE", "FS=MRC", "CURRENCY=USD", "XLFILL=b")</f>
        <v>14.984121418722282</v>
      </c>
    </row>
    <row r="297" spans="1:14" x14ac:dyDescent="0.2">
      <c r="A297" s="8" t="s">
        <v>328</v>
      </c>
      <c r="B297" s="4" t="s">
        <v>329</v>
      </c>
      <c r="C297" s="4"/>
      <c r="D297" s="4"/>
      <c r="E297" s="9">
        <f>_xll.BQL("SAVE US Equity", "ANNUALIZED_DAYS_SALES_OUTSTDG", "FPT=A", "FPO=5A", "ACT_EST_MAPPING=PRECISE", "FS=MRC", "CURRENCY=USD", "XLFILL=b")</f>
        <v>15.71769783541016</v>
      </c>
      <c r="F297" s="9">
        <f>_xll.BQL("SAVE US Equity", "ANNUALIZED_DAYS_SALES_OUTSTDG", "FPT=A", "FPO=4A", "ACT_EST_MAPPING=PRECISE", "FS=MRC", "CURRENCY=USD", "XLFILL=b")</f>
        <v>16.662687649333378</v>
      </c>
      <c r="G297" s="9">
        <f>_xll.BQL("SAVE US Equity", "ANNUALIZED_DAYS_SALES_OUTSTDG", "FPT=A", "FPO=3A", "ACT_EST_MAPPING=PRECISE", "FS=MRC", "CURRENCY=USD", "XLFILL=b")</f>
        <v>17.681519115558633</v>
      </c>
      <c r="H297" s="9">
        <f>_xll.BQL("SAVE US Equity", "ANNUALIZED_DAYS_SALES_OUTSTDG", "FPT=A", "FPO=2A", "ACT_EST_MAPPING=PRECISE", "FS=MRC", "CURRENCY=USD", "XLFILL=b")</f>
        <v>17.715034961109552</v>
      </c>
      <c r="I297" s="9">
        <f>_xll.BQL("SAVE US Equity", "ANNUALIZED_DAYS_SALES_OUTSTDG", "FPT=A", "FPO=1A", "ACT_EST_MAPPING=PRECISE", "FS=MRC", "CURRENCY=USD", "XLFILL=b")</f>
        <v>16.793156167404288</v>
      </c>
      <c r="J297" s="9">
        <f>_xll.BQL("SAVE US Equity", "ANNUALIZED_DAYS_SALES_OUTSTDG", "FPT=A", "FPO=0A", "ACT_EST_MAPPING=PRECISE", "FS=MRC", "CURRENCY=USD", "XLFILL=b")</f>
        <v>13.985106709514449</v>
      </c>
      <c r="K297" s="9">
        <f>_xll.BQL("SAVE US Equity", "ANNUALIZED_DAYS_SALES_OUTSTDG", "FPT=A", "FPO=-1A", "ACT_EST_MAPPING=PRECISE", "FS=MRC", "CURRENCY=USD", "XLFILL=b")</f>
        <v>14.206667249356657</v>
      </c>
      <c r="L297" s="9">
        <f>_xll.BQL("SAVE US Equity", "ANNUALIZED_DAYS_SALES_OUTSTDG", "FPT=A", "FPO=-2A", "ACT_EST_MAPPING=PRECISE", "FS=MRC", "CURRENCY=USD", "XLFILL=b")</f>
        <v>14.554470676540458</v>
      </c>
      <c r="M297" s="9">
        <f>_xll.BQL("SAVE US Equity", "ANNUALIZED_DAYS_SALES_OUTSTDG", "FPT=A", "FPO=-3A", "ACT_EST_MAPPING=PRECISE", "FS=MRC", "CURRENCY=USD", "XLFILL=b")</f>
        <v>8.6827894909564645</v>
      </c>
      <c r="N297" s="9">
        <f>_xll.BQL("SAVE US Equity", "ANNUALIZED_DAYS_SALES_OUTSTDG", "FPT=A", "FPO=-4A", "ACT_EST_MAPPING=PRECISE", "FS=MRC", "CURRENCY=USD", "XLFILL=b")</f>
        <v>7.0328421401078076</v>
      </c>
    </row>
    <row r="298" spans="1:14" x14ac:dyDescent="0.2">
      <c r="A298" s="8" t="s">
        <v>44</v>
      </c>
      <c r="B298" s="4" t="s">
        <v>329</v>
      </c>
      <c r="C298" s="4"/>
      <c r="D298" s="4"/>
      <c r="E298" s="9">
        <f>_xll.BQL("SAVE US Equity", "FA_GROWTH(ANNUALIZED_DAYS_SALES_OUTSTDG, YOY)", "FPT=A", "FPO=5A", "ACT_EST_MAPPING=PRECISE", "FS=MRC", "CURRENCY=USD", "XLFILL=b")</f>
        <v>-5.6712928538933776</v>
      </c>
      <c r="F298" s="9">
        <f>_xll.BQL("SAVE US Equity", "FA_GROWTH(ANNUALIZED_DAYS_SALES_OUTSTDG, YOY)", "FPT=A", "FPO=4A", "ACT_EST_MAPPING=PRECISE", "FS=MRC", "CURRENCY=USD", "XLFILL=b")</f>
        <v>-5.7621263171259214</v>
      </c>
      <c r="G298" s="9">
        <f>_xll.BQL("SAVE US Equity", "FA_GROWTH(ANNUALIZED_DAYS_SALES_OUTSTDG, YOY)", "FPT=A", "FPO=3A", "ACT_EST_MAPPING=PRECISE", "FS=MRC", "CURRENCY=USD", "XLFILL=b")</f>
        <v>-0.18919435171591811</v>
      </c>
      <c r="H298" s="9">
        <f>_xll.BQL("SAVE US Equity", "FA_GROWTH(ANNUALIZED_DAYS_SALES_OUTSTDG, YOY)", "FPT=A", "FPO=2A", "ACT_EST_MAPPING=PRECISE", "FS=MRC", "CURRENCY=USD", "XLFILL=b")</f>
        <v>5.4896100799362664</v>
      </c>
      <c r="I298" s="9">
        <f>_xll.BQL("SAVE US Equity", "FA_GROWTH(ANNUALIZED_DAYS_SALES_OUTSTDG, YOY)", "FPT=A", "FPO=1A", "ACT_EST_MAPPING=PRECISE", "FS=MRC", "CURRENCY=USD", "XLFILL=b")</f>
        <v>20.078856144726061</v>
      </c>
      <c r="J298" s="9">
        <f>_xll.BQL("SAVE US Equity", "FA_GROWTH(ANNUALIZED_DAYS_SALES_OUTSTDG, YOY)", "FPT=A", "FPO=0A", "ACT_EST_MAPPING=PRECISE", "FS=MRC", "CURRENCY=USD", "XLFILL=b")</f>
        <v>-1.5595532432298063</v>
      </c>
      <c r="K298" s="9">
        <f>_xll.BQL("SAVE US Equity", "FA_GROWTH(ANNUALIZED_DAYS_SALES_OUTSTDG, YOY)", "FPT=A", "FPO=-1A", "ACT_EST_MAPPING=PRECISE", "FS=MRC", "CURRENCY=USD", "XLFILL=b")</f>
        <v>-2.3896673050735209</v>
      </c>
      <c r="L298" s="9">
        <f>_xll.BQL("SAVE US Equity", "FA_GROWTH(ANNUALIZED_DAYS_SALES_OUTSTDG, YOY)", "FPT=A", "FPO=-2A", "ACT_EST_MAPPING=PRECISE", "FS=MRC", "CURRENCY=USD", "XLFILL=b")</f>
        <v>67.624364171210487</v>
      </c>
      <c r="M298" s="9">
        <f>_xll.BQL("SAVE US Equity", "FA_GROWTH(ANNUALIZED_DAYS_SALES_OUTSTDG, YOY)", "FPT=A", "FPO=-3A", "ACT_EST_MAPPING=PRECISE", "FS=MRC", "CURRENCY=USD", "XLFILL=b")</f>
        <v>23.460605513084424</v>
      </c>
      <c r="N298" s="9">
        <f>_xll.BQL("SAVE US Equity", "FA_GROWTH(ANNUALIZED_DAYS_SALES_OUTSTDG, YOY)", "FPT=A", "FPO=-4A", "ACT_EST_MAPPING=PRECISE", "FS=MRC", "CURRENCY=USD", "XLFILL=b")</f>
        <v>34.344147461246664</v>
      </c>
    </row>
    <row r="299" spans="1:14" x14ac:dyDescent="0.2">
      <c r="A299" s="8" t="s">
        <v>330</v>
      </c>
      <c r="B299" s="4" t="s">
        <v>331</v>
      </c>
      <c r="C299" s="4"/>
      <c r="D299" s="4"/>
      <c r="E299" s="9">
        <f>_xll.BQL("SAVE US Equity", "WORKING_CAPITAL/1M", "FPT=A", "FPO=5A", "ACT_EST_MAPPING=PRECISE", "FS=MRC", "CURRENCY=USD", "XLFILL=b")</f>
        <v>-490.56583052024223</v>
      </c>
      <c r="F299" s="9">
        <f>_xll.BQL("SAVE US Equity", "WORKING_CAPITAL/1M", "FPT=A", "FPO=4A", "ACT_EST_MAPPING=PRECISE", "FS=MRC", "CURRENCY=USD", "XLFILL=b")</f>
        <v>-653.80337110532139</v>
      </c>
      <c r="G299" s="9">
        <f>_xll.BQL("SAVE US Equity", "WORKING_CAPITAL/1M", "FPT=A", "FPO=3A", "ACT_EST_MAPPING=PRECISE", "FS=MRC", "CURRENCY=USD", "XLFILL=b")</f>
        <v>-400.35610496830407</v>
      </c>
      <c r="H299" s="9">
        <f>_xll.BQL("SAVE US Equity", "WORKING_CAPITAL/1M", "FPT=A", "FPO=2A", "ACT_EST_MAPPING=PRECISE", "FS=MRC", "CURRENCY=USD", "XLFILL=b")</f>
        <v>-460.49313820673586</v>
      </c>
      <c r="I299" s="9">
        <f>_xll.BQL("SAVE US Equity", "WORKING_CAPITAL/1M", "FPT=A", "FPO=1A", "ACT_EST_MAPPING=PRECISE", "FS=MRC", "CURRENCY=USD", "XLFILL=b")</f>
        <v>-478.17002660903512</v>
      </c>
      <c r="J299" s="9">
        <f>_xll.BQL("SAVE US Equity", "WORKING_CAPITAL/1M", "FPT=A", "FPO=0A", "ACT_EST_MAPPING=PRECISE", "FS=MRC", "CURRENCY=USD", "XLFILL=b")</f>
        <v>-159.465</v>
      </c>
      <c r="K299" s="9">
        <f>_xll.BQL("SAVE US Equity", "WORKING_CAPITAL/1M", "FPT=A", "FPO=-1A", "ACT_EST_MAPPING=PRECISE", "FS=MRC", "CURRENCY=USD", "XLFILL=b")</f>
        <v>397.40199999999999</v>
      </c>
      <c r="L299" s="9">
        <f>_xll.BQL("SAVE US Equity", "WORKING_CAPITAL/1M", "FPT=A", "FPO=-2A", "ACT_EST_MAPPING=PRECISE", "FS=MRC", "CURRENCY=USD", "XLFILL=b")</f>
        <v>566.88900000000001</v>
      </c>
      <c r="M299" s="9">
        <f>_xll.BQL("SAVE US Equity", "WORKING_CAPITAL/1M", "FPT=A", "FPO=-3A", "ACT_EST_MAPPING=PRECISE", "FS=MRC", "CURRENCY=USD", "XLFILL=b")</f>
        <v>1013.958</v>
      </c>
      <c r="N299" s="9">
        <f>_xll.BQL("SAVE US Equity", "WORKING_CAPITAL/1M", "FPT=A", "FPO=-4A", "ACT_EST_MAPPING=PRECISE", "FS=MRC", "CURRENCY=USD", "XLFILL=b")</f>
        <v>273.399</v>
      </c>
    </row>
    <row r="300" spans="1:14" x14ac:dyDescent="0.2">
      <c r="A300" s="8" t="s">
        <v>44</v>
      </c>
      <c r="B300" s="4" t="s">
        <v>331</v>
      </c>
      <c r="C300" s="4"/>
      <c r="D300" s="4"/>
      <c r="E300" s="9">
        <f>_xll.BQL("SAVE US Equity", "FA_GROWTH(WORKING_CAPITAL, YOY)", "FPT=A", "FPO=5A", "ACT_EST_MAPPING=PRECISE", "FS=MRC", "CURRENCY=USD", "XLFILL=b")</f>
        <v>24.967375177204953</v>
      </c>
      <c r="F300" s="9">
        <f>_xll.BQL("SAVE US Equity", "FA_GROWTH(WORKING_CAPITAL, YOY)", "FPT=A", "FPO=4A", "ACT_EST_MAPPING=PRECISE", "FS=MRC", "CURRENCY=USD", "XLFILL=b")</f>
        <v>-63.30545806391104</v>
      </c>
      <c r="G300" s="9">
        <f>_xll.BQL("SAVE US Equity", "FA_GROWTH(WORKING_CAPITAL, YOY)", "FPT=A", "FPO=3A", "ACT_EST_MAPPING=PRECISE", "FS=MRC", "CURRENCY=USD", "XLFILL=b")</f>
        <v>13.059268043085069</v>
      </c>
      <c r="H300" s="9">
        <f>_xll.BQL("SAVE US Equity", "FA_GROWTH(WORKING_CAPITAL, YOY)", "FPT=A", "FPO=2A", "ACT_EST_MAPPING=PRECISE", "FS=MRC", "CURRENCY=USD", "XLFILL=b")</f>
        <v>3.6967788482385142</v>
      </c>
      <c r="I300" s="9">
        <f>_xll.BQL("SAVE US Equity", "FA_GROWTH(WORKING_CAPITAL, YOY)", "FPT=A", "FPO=1A", "ACT_EST_MAPPING=PRECISE", "FS=MRC", "CURRENCY=USD", "XLFILL=b")</f>
        <v>-199.85891989404269</v>
      </c>
      <c r="J300" s="9">
        <f>_xll.BQL("SAVE US Equity", "FA_GROWTH(WORKING_CAPITAL, YOY)", "FPT=A", "FPO=0A", "ACT_EST_MAPPING=PRECISE", "FS=MRC", "CURRENCY=USD", "XLFILL=b")</f>
        <v>-140.12687404693483</v>
      </c>
      <c r="K300" s="9">
        <f>_xll.BQL("SAVE US Equity", "FA_GROWTH(WORKING_CAPITAL, YOY)", "FPT=A", "FPO=-1A", "ACT_EST_MAPPING=PRECISE", "FS=MRC", "CURRENCY=USD", "XLFILL=b")</f>
        <v>-29.897740121963913</v>
      </c>
      <c r="L300" s="9">
        <f>_xll.BQL("SAVE US Equity", "FA_GROWTH(WORKING_CAPITAL, YOY)", "FPT=A", "FPO=-2A", "ACT_EST_MAPPING=PRECISE", "FS=MRC", "CURRENCY=USD", "XLFILL=b")</f>
        <v>-44.091471244371071</v>
      </c>
      <c r="M300" s="9">
        <f>_xll.BQL("SAVE US Equity", "FA_GROWTH(WORKING_CAPITAL, YOY)", "FPT=A", "FPO=-3A", "ACT_EST_MAPPING=PRECISE", "FS=MRC", "CURRENCY=USD", "XLFILL=b")</f>
        <v>270.87114437141321</v>
      </c>
      <c r="N300" s="9">
        <f>_xll.BQL("SAVE US Equity", "FA_GROWTH(WORKING_CAPITAL, YOY)", "FPT=A", "FPO=-4A", "ACT_EST_MAPPING=PRECISE", "FS=MRC", "CURRENCY=USD", "XLFILL=b")</f>
        <v>-46.490034857935811</v>
      </c>
    </row>
    <row r="301" spans="1:14" x14ac:dyDescent="0.2">
      <c r="A301" s="8" t="s">
        <v>332</v>
      </c>
      <c r="B301" s="4" t="s">
        <v>333</v>
      </c>
      <c r="C301" s="4"/>
      <c r="D301" s="4"/>
      <c r="E301" s="9" t="str">
        <f>_xll.BQL("SAVE US Equity", "BOOK_VAL_PER_SH", "FPT=A", "FPO=5A", "ACT_EST_MAPPING=PRECISE", "FS=MRC", "CURRENCY=USD", "XLFILL=b")</f>
        <v/>
      </c>
      <c r="F301" s="9" t="str">
        <f>_xll.BQL("SAVE US Equity", "BOOK_VAL_PER_SH", "FPT=A", "FPO=4A", "ACT_EST_MAPPING=PRECISE", "FS=MRC", "CURRENCY=USD", "XLFILL=b")</f>
        <v/>
      </c>
      <c r="G301" s="9">
        <f>_xll.BQL("SAVE US Equity", "BOOK_VAL_PER_SH", "FPT=A", "FPO=3A", "ACT_EST_MAPPING=PRECISE", "FS=MRC", "CURRENCY=USD", "XLFILL=b")</f>
        <v>-5.2081737476098198</v>
      </c>
      <c r="H301" s="9">
        <f>_xll.BQL("SAVE US Equity", "BOOK_VAL_PER_SH", "FPT=A", "FPO=2A", "ACT_EST_MAPPING=PRECISE", "FS=MRC", "CURRENCY=USD", "XLFILL=b")</f>
        <v>-1.1223746186416095</v>
      </c>
      <c r="I301" s="9">
        <f>_xll.BQL("SAVE US Equity", "BOOK_VAL_PER_SH", "FPT=A", "FPO=1A", "ACT_EST_MAPPING=PRECISE", "FS=MRC", "CURRENCY=USD", "XLFILL=b")</f>
        <v>3.3668263598130661</v>
      </c>
      <c r="J301" s="9">
        <f>_xll.BQL("SAVE US Equity", "BOOK_VAL_PER_SH", "FPT=A", "FPO=0A", "ACT_EST_MAPPING=PRECISE", "FS=MRC", "CURRENCY=USD", "XLFILL=b")</f>
        <v>10.381757302025513</v>
      </c>
      <c r="K301" s="9">
        <f>_xll.BQL("SAVE US Equity", "BOOK_VAL_PER_SH", "FPT=A", "FPO=-1A", "ACT_EST_MAPPING=PRECISE", "FS=MRC", "CURRENCY=USD", "XLFILL=b")</f>
        <v>14.426503590169883</v>
      </c>
      <c r="L301" s="9">
        <f>_xll.BQL("SAVE US Equity", "BOOK_VAL_PER_SH", "FPT=A", "FPO=-2A", "ACT_EST_MAPPING=PRECISE", "FS=MRC", "CURRENCY=USD", "XLFILL=b")</f>
        <v>19.496803218177224</v>
      </c>
      <c r="M301" s="9">
        <f>_xll.BQL("SAVE US Equity", "BOOK_VAL_PER_SH", "FPT=A", "FPO=-3A", "ACT_EST_MAPPING=PRECISE", "FS=MRC", "CURRENCY=USD", "XLFILL=b")</f>
        <v>23.029016307706009</v>
      </c>
      <c r="N301" s="9">
        <f>_xll.BQL("SAVE US Equity", "BOOK_VAL_PER_SH", "FPT=A", "FPO=-4A", "ACT_EST_MAPPING=PRECISE", "FS=MRC", "CURRENCY=USD", "XLFILL=b")</f>
        <v>33.033841744616765</v>
      </c>
    </row>
    <row r="302" spans="1:14" x14ac:dyDescent="0.2">
      <c r="A302" s="8" t="s">
        <v>44</v>
      </c>
      <c r="B302" s="4" t="s">
        <v>333</v>
      </c>
      <c r="C302" s="4"/>
      <c r="D302" s="4"/>
      <c r="E302" s="9" t="str">
        <f>_xll.BQL("SAVE US Equity", "FA_GROWTH(BOOK_VAL_PER_SH, YOY)", "FPT=A", "FPO=5A", "ACT_EST_MAPPING=PRECISE", "FS=MRC", "CURRENCY=USD", "XLFILL=b")</f>
        <v/>
      </c>
      <c r="F302" s="9" t="str">
        <f>_xll.BQL("SAVE US Equity", "FA_GROWTH(BOOK_VAL_PER_SH, YOY)", "FPT=A", "FPO=4A", "ACT_EST_MAPPING=PRECISE", "FS=MRC", "CURRENCY=USD", "XLFILL=b")</f>
        <v/>
      </c>
      <c r="G302" s="9">
        <f>_xll.BQL("SAVE US Equity", "FA_GROWTH(BOOK_VAL_PER_SH, YOY)", "FPT=A", "FPO=3A", "ACT_EST_MAPPING=PRECISE", "FS=MRC", "CURRENCY=USD", "XLFILL=b")</f>
        <v>-364.03167544123386</v>
      </c>
      <c r="H302" s="9">
        <f>_xll.BQL("SAVE US Equity", "FA_GROWTH(BOOK_VAL_PER_SH, YOY)", "FPT=A", "FPO=2A", "ACT_EST_MAPPING=PRECISE", "FS=MRC", "CURRENCY=USD", "XLFILL=b")</f>
        <v>-133.33627869968103</v>
      </c>
      <c r="I302" s="9">
        <f>_xll.BQL("SAVE US Equity", "FA_GROWTH(BOOK_VAL_PER_SH, YOY)", "FPT=A", "FPO=1A", "ACT_EST_MAPPING=PRECISE", "FS=MRC", "CURRENCY=USD", "XLFILL=b")</f>
        <v>-67.569783593802683</v>
      </c>
      <c r="J302" s="9">
        <f>_xll.BQL("SAVE US Equity", "FA_GROWTH(BOOK_VAL_PER_SH, YOY)", "FPT=A", "FPO=0A", "ACT_EST_MAPPING=PRECISE", "FS=MRC", "CURRENCY=USD", "XLFILL=b")</f>
        <v>-28.03691319149868</v>
      </c>
      <c r="K302" s="9">
        <f>_xll.BQL("SAVE US Equity", "FA_GROWTH(BOOK_VAL_PER_SH, YOY)", "FPT=A", "FPO=-1A", "ACT_EST_MAPPING=PRECISE", "FS=MRC", "CURRENCY=USD", "XLFILL=b")</f>
        <v>-26.005799880465577</v>
      </c>
      <c r="L302" s="9">
        <f>_xll.BQL("SAVE US Equity", "FA_GROWTH(BOOK_VAL_PER_SH, YOY)", "FPT=A", "FPO=-2A", "ACT_EST_MAPPING=PRECISE", "FS=MRC", "CURRENCY=USD", "XLFILL=b")</f>
        <v>-15.338097999204724</v>
      </c>
      <c r="M302" s="9">
        <f>_xll.BQL("SAVE US Equity", "FA_GROWTH(BOOK_VAL_PER_SH, YOY)", "FPT=A", "FPO=-3A", "ACT_EST_MAPPING=PRECISE", "FS=MRC", "CURRENCY=USD", "XLFILL=b")</f>
        <v>-30.286593712767772</v>
      </c>
      <c r="N302" s="9">
        <f>_xll.BQL("SAVE US Equity", "FA_GROWTH(BOOK_VAL_PER_SH, YOY)", "FPT=A", "FPO=-4A", "ACT_EST_MAPPING=PRECISE", "FS=MRC", "CURRENCY=USD", "XLFILL=b")</f>
        <v>16.940699747136183</v>
      </c>
    </row>
    <row r="303" spans="1:14" x14ac:dyDescent="0.2">
      <c r="A303" s="8" t="s">
        <v>334</v>
      </c>
      <c r="B303" s="4" t="s">
        <v>335</v>
      </c>
      <c r="C303" s="4"/>
      <c r="D303" s="4"/>
      <c r="E303" s="9" t="str">
        <f>_xll.BQL("SAVE US Equity", "BS_FLIGHT_EQUIPMNT/1M", "FPT=A", "FPO=5A", "ACT_EST_MAPPING=PRECISE", "FS=MRC", "CURRENCY=USD", "XLFILL=b")</f>
        <v/>
      </c>
      <c r="F303" s="9" t="str">
        <f>_xll.BQL("SAVE US Equity", "BS_FLIGHT_EQUIPMNT/1M", "FPT=A", "FPO=4A", "ACT_EST_MAPPING=PRECISE", "FS=MRC", "CURRENCY=USD", "XLFILL=b")</f>
        <v/>
      </c>
      <c r="G303" s="9">
        <f>_xll.BQL("SAVE US Equity", "BS_FLIGHT_EQUIPMNT/1M", "FPT=A", "FPO=3A", "ACT_EST_MAPPING=PRECISE", "FS=MRC", "CURRENCY=USD", "XLFILL=b")</f>
        <v>4243.9870000000001</v>
      </c>
      <c r="H303" s="9">
        <f>_xll.BQL("SAVE US Equity", "BS_FLIGHT_EQUIPMNT/1M", "FPT=A", "FPO=2A", "ACT_EST_MAPPING=PRECISE", "FS=MRC", "CURRENCY=USD", "XLFILL=b")</f>
        <v>4043.9870000000001</v>
      </c>
      <c r="I303" s="9">
        <f>_xll.BQL("SAVE US Equity", "BS_FLIGHT_EQUIPMNT/1M", "FPT=A", "FPO=1A", "ACT_EST_MAPPING=PRECISE", "FS=MRC", "CURRENCY=USD", "XLFILL=b")</f>
        <v>3870.2370000000001</v>
      </c>
      <c r="J303" s="9">
        <f>_xll.BQL("SAVE US Equity", "BS_FLIGHT_EQUIPMNT/1M", "FPT=A", "FPO=0A", "ACT_EST_MAPPING=PRECISE", "FS=MRC", "CURRENCY=USD", "XLFILL=b")</f>
        <v>3961.7849999999999</v>
      </c>
      <c r="K303" s="9">
        <f>_xll.BQL("SAVE US Equity", "BS_FLIGHT_EQUIPMNT/1M", "FPT=A", "FPO=-1A", "ACT_EST_MAPPING=PRECISE", "FS=MRC", "CURRENCY=USD", "XLFILL=b")</f>
        <v>4326.5150000000003</v>
      </c>
      <c r="L303" s="9">
        <f>_xll.BQL("SAVE US Equity", "BS_FLIGHT_EQUIPMNT/1M", "FPT=A", "FPO=-2A", "ACT_EST_MAPPING=PRECISE", "FS=MRC", "CURRENCY=USD", "XLFILL=b")</f>
        <v>4356.5230000000001</v>
      </c>
      <c r="M303" s="9">
        <f>_xll.BQL("SAVE US Equity", "BS_FLIGHT_EQUIPMNT/1M", "FPT=A", "FPO=-3A", "ACT_EST_MAPPING=PRECISE", "FS=MRC", "CURRENCY=USD", "XLFILL=b")</f>
        <v>4177.6310000000003</v>
      </c>
      <c r="N303" s="9">
        <f>_xll.BQL("SAVE US Equity", "BS_FLIGHT_EQUIPMNT/1M", "FPT=A", "FPO=-4A", "ACT_EST_MAPPING=PRECISE", "FS=MRC", "CURRENCY=USD", "XLFILL=b")</f>
        <v>3730.7510000000002</v>
      </c>
    </row>
    <row r="304" spans="1:14" x14ac:dyDescent="0.2">
      <c r="A304" s="8" t="s">
        <v>44</v>
      </c>
      <c r="B304" s="4" t="s">
        <v>335</v>
      </c>
      <c r="C304" s="4"/>
      <c r="D304" s="4"/>
      <c r="E304" s="9" t="str">
        <f>_xll.BQL("SAVE US Equity", "FA_GROWTH(BS_FLIGHT_EQUIPMNT, YOY)", "FPT=A", "FPO=5A", "ACT_EST_MAPPING=PRECISE", "FS=MRC", "CURRENCY=USD", "XLFILL=b")</f>
        <v/>
      </c>
      <c r="F304" s="9" t="str">
        <f>_xll.BQL("SAVE US Equity", "FA_GROWTH(BS_FLIGHT_EQUIPMNT, YOY)", "FPT=A", "FPO=4A", "ACT_EST_MAPPING=PRECISE", "FS=MRC", "CURRENCY=USD", "XLFILL=b")</f>
        <v/>
      </c>
      <c r="G304" s="9">
        <f>_xll.BQL("SAVE US Equity", "FA_GROWTH(BS_FLIGHT_EQUIPMNT, YOY)", "FPT=A", "FPO=3A", "ACT_EST_MAPPING=PRECISE", "FS=MRC", "CURRENCY=USD", "XLFILL=b")</f>
        <v>4.9456143157730228</v>
      </c>
      <c r="H304" s="9">
        <f>_xll.BQL("SAVE US Equity", "FA_GROWTH(BS_FLIGHT_EQUIPMNT, YOY)", "FPT=A", "FPO=2A", "ACT_EST_MAPPING=PRECISE", "FS=MRC", "CURRENCY=USD", "XLFILL=b")</f>
        <v>4.4893891511036665</v>
      </c>
      <c r="I304" s="9">
        <f>_xll.BQL("SAVE US Equity", "FA_GROWTH(BS_FLIGHT_EQUIPMNT, YOY)", "FPT=A", "FPO=1A", "ACT_EST_MAPPING=PRECISE", "FS=MRC", "CURRENCY=USD", "XLFILL=b")</f>
        <v>-2.3107765817680668</v>
      </c>
      <c r="J304" s="9">
        <f>_xll.BQL("SAVE US Equity", "FA_GROWTH(BS_FLIGHT_EQUIPMNT, YOY)", "FPT=A", "FPO=0A", "ACT_EST_MAPPING=PRECISE", "FS=MRC", "CURRENCY=USD", "XLFILL=b")</f>
        <v>-8.4301106086538464</v>
      </c>
      <c r="K304" s="9">
        <f>_xll.BQL("SAVE US Equity", "FA_GROWTH(BS_FLIGHT_EQUIPMNT, YOY)", "FPT=A", "FPO=-1A", "ACT_EST_MAPPING=PRECISE", "FS=MRC", "CURRENCY=USD", "XLFILL=b")</f>
        <v>-0.68880618787046455</v>
      </c>
      <c r="L304" s="9">
        <f>_xll.BQL("SAVE US Equity", "FA_GROWTH(BS_FLIGHT_EQUIPMNT, YOY)", "FPT=A", "FPO=-2A", "ACT_EST_MAPPING=PRECISE", "FS=MRC", "CURRENCY=USD", "XLFILL=b")</f>
        <v>4.2821398060288125</v>
      </c>
      <c r="M304" s="9">
        <f>_xll.BQL("SAVE US Equity", "FA_GROWTH(BS_FLIGHT_EQUIPMNT, YOY)", "FPT=A", "FPO=-3A", "ACT_EST_MAPPING=PRECISE", "FS=MRC", "CURRENCY=USD", "XLFILL=b")</f>
        <v>11.978285337188154</v>
      </c>
      <c r="N304" s="9">
        <f>_xll.BQL("SAVE US Equity", "FA_GROWTH(BS_FLIGHT_EQUIPMNT, YOY)", "FPT=A", "FPO=-4A", "ACT_EST_MAPPING=PRECISE", "FS=MRC", "CURRENCY=USD", "XLFILL=b")</f>
        <v>14.538063959548264</v>
      </c>
    </row>
    <row r="305" spans="1:14" x14ac:dyDescent="0.2">
      <c r="A305" s="8" t="s">
        <v>336</v>
      </c>
      <c r="B305" s="4" t="s">
        <v>337</v>
      </c>
      <c r="C305" s="4"/>
      <c r="D305" s="4"/>
      <c r="E305" s="9" t="str">
        <f>_xll.BQL("SAVE US Equity", "BS_SHARES_REPURCHASED_NUMBER/1M", "FPT=A", "FPO=5A", "ACT_EST_MAPPING=PRECISE", "FS=MRC", "CURRENCY=USD", "XLFILL=b")</f>
        <v/>
      </c>
      <c r="F305" s="9" t="str">
        <f>_xll.BQL("SAVE US Equity", "BS_SHARES_REPURCHASED_NUMBER/1M", "FPT=A", "FPO=4A", "ACT_EST_MAPPING=PRECISE", "FS=MRC", "CURRENCY=USD", "XLFILL=b")</f>
        <v/>
      </c>
      <c r="G305" s="9" t="str">
        <f>_xll.BQL("SAVE US Equity", "BS_SHARES_REPURCHASED_NUMBER/1M", "FPT=A", "FPO=3A", "ACT_EST_MAPPING=PRECISE", "FS=MRC", "CURRENCY=USD", "XLFILL=b")</f>
        <v/>
      </c>
      <c r="H305" s="9" t="str">
        <f>_xll.BQL("SAVE US Equity", "BS_SHARES_REPURCHASED_NUMBER/1M", "FPT=A", "FPO=2A", "ACT_EST_MAPPING=PRECISE", "FS=MRC", "CURRENCY=USD", "XLFILL=b")</f>
        <v/>
      </c>
      <c r="I305" s="9">
        <f>_xll.BQL("SAVE US Equity", "BS_SHARES_REPURCHASED_NUMBER/1M", "FPT=A", "FPO=1A", "ACT_EST_MAPPING=PRECISE", "FS=MRC", "CURRENCY=USD", "XLFILL=b")</f>
        <v>9.327400000000001E-2</v>
      </c>
      <c r="J305" s="9">
        <f>_xll.BQL("SAVE US Equity", "BS_SHARES_REPURCHASED_NUMBER/1M", "FPT=A", "FPO=0A", "ACT_EST_MAPPING=PRECISE", "FS=MRC", "CURRENCY=USD", "XLFILL=b")</f>
        <v>0.14182400000000001</v>
      </c>
      <c r="K305" s="9">
        <f>_xll.BQL("SAVE US Equity", "BS_SHARES_REPURCHASED_NUMBER/1M", "FPT=A", "FPO=-1A", "ACT_EST_MAPPING=PRECISE", "FS=MRC", "CURRENCY=USD", "XLFILL=b")</f>
        <v>0.10671899999999999</v>
      </c>
      <c r="L305" s="9">
        <f>_xll.BQL("SAVE US Equity", "BS_SHARES_REPURCHASED_NUMBER/1M", "FPT=A", "FPO=-2A", "ACT_EST_MAPPING=PRECISE", "FS=MRC", "CURRENCY=USD", "XLFILL=b")</f>
        <v>5.4491999999999999E-2</v>
      </c>
      <c r="M305" s="9">
        <f>_xll.BQL("SAVE US Equity", "BS_SHARES_REPURCHASED_NUMBER/1M", "FPT=A", "FPO=-3A", "ACT_EST_MAPPING=PRECISE", "FS=MRC", "CURRENCY=USD", "XLFILL=b")</f>
        <v>4.0715000000000001E-2</v>
      </c>
      <c r="N305" s="9">
        <f>_xll.BQL("SAVE US Equity", "BS_SHARES_REPURCHASED_NUMBER/1M", "FPT=A", "FPO=-4A", "ACT_EST_MAPPING=PRECISE", "FS=MRC", "CURRENCY=USD", "XLFILL=b")</f>
        <v>9.1407000000000002E-2</v>
      </c>
    </row>
    <row r="306" spans="1:14" x14ac:dyDescent="0.2">
      <c r="A306" s="8" t="s">
        <v>44</v>
      </c>
      <c r="B306" s="4" t="s">
        <v>337</v>
      </c>
      <c r="C306" s="4"/>
      <c r="D306" s="4"/>
      <c r="E306" s="9" t="str">
        <f>_xll.BQL("SAVE US Equity", "FA_GROWTH(BS_SHARES_REPURCHASED_NUMBER, YOY)", "FPT=A", "FPO=5A", "ACT_EST_MAPPING=PRECISE", "FS=MRC", "CURRENCY=USD", "XLFILL=b")</f>
        <v/>
      </c>
      <c r="F306" s="9" t="str">
        <f>_xll.BQL("SAVE US Equity", "FA_GROWTH(BS_SHARES_REPURCHASED_NUMBER, YOY)", "FPT=A", "FPO=4A", "ACT_EST_MAPPING=PRECISE", "FS=MRC", "CURRENCY=USD", "XLFILL=b")</f>
        <v/>
      </c>
      <c r="G306" s="9" t="str">
        <f>_xll.BQL("SAVE US Equity", "FA_GROWTH(BS_SHARES_REPURCHASED_NUMBER, YOY)", "FPT=A", "FPO=3A", "ACT_EST_MAPPING=PRECISE", "FS=MRC", "CURRENCY=USD", "XLFILL=b")</f>
        <v/>
      </c>
      <c r="H306" s="9" t="str">
        <f>_xll.BQL("SAVE US Equity", "FA_GROWTH(BS_SHARES_REPURCHASED_NUMBER, YOY)", "FPT=A", "FPO=2A", "ACT_EST_MAPPING=PRECISE", "FS=MRC", "CURRENCY=USD", "XLFILL=b")</f>
        <v/>
      </c>
      <c r="I306" s="9">
        <f>_xll.BQL("SAVE US Equity", "FA_GROWTH(BS_SHARES_REPURCHASED_NUMBER, YOY)", "FPT=A", "FPO=1A", "ACT_EST_MAPPING=PRECISE", "FS=MRC", "CURRENCY=USD", "XLFILL=b")</f>
        <v>-34.232569945848361</v>
      </c>
      <c r="J306" s="9">
        <f>_xll.BQL("SAVE US Equity", "FA_GROWTH(BS_SHARES_REPURCHASED_NUMBER, YOY)", "FPT=A", "FPO=0A", "ACT_EST_MAPPING=PRECISE", "FS=MRC", "CURRENCY=USD", "XLFILL=b")</f>
        <v>32.894798489491095</v>
      </c>
      <c r="K306" s="9">
        <f>_xll.BQL("SAVE US Equity", "FA_GROWTH(BS_SHARES_REPURCHASED_NUMBER, YOY)", "FPT=A", "FPO=-1A", "ACT_EST_MAPPING=PRECISE", "FS=MRC", "CURRENCY=USD", "XLFILL=b")</f>
        <v>95.843426558026863</v>
      </c>
      <c r="L306" s="9">
        <f>_xll.BQL("SAVE US Equity", "FA_GROWTH(BS_SHARES_REPURCHASED_NUMBER, YOY)", "FPT=A", "FPO=-2A", "ACT_EST_MAPPING=PRECISE", "FS=MRC", "CURRENCY=USD", "XLFILL=b")</f>
        <v>33.837651971018055</v>
      </c>
      <c r="M306" s="9">
        <f>_xll.BQL("SAVE US Equity", "FA_GROWTH(BS_SHARES_REPURCHASED_NUMBER, YOY)", "FPT=A", "FPO=-3A", "ACT_EST_MAPPING=PRECISE", "FS=MRC", "CURRENCY=USD", "XLFILL=b")</f>
        <v>-55.45745949434945</v>
      </c>
      <c r="N306" s="9">
        <f>_xll.BQL("SAVE US Equity", "FA_GROWTH(BS_SHARES_REPURCHASED_NUMBER, YOY)", "FPT=A", "FPO=-4A", "ACT_EST_MAPPING=PRECISE", "FS=MRC", "CURRENCY=USD", "XLFILL=b")</f>
        <v>222.87884139879901</v>
      </c>
    </row>
    <row r="307" spans="1:14" x14ac:dyDescent="0.2">
      <c r="A307" s="8" t="s">
        <v>338</v>
      </c>
      <c r="B307" s="4" t="s">
        <v>339</v>
      </c>
      <c r="C307" s="4"/>
      <c r="D307" s="4"/>
      <c r="E307" s="9" t="str">
        <f>_xll.BQL("SAVE US Equity", "BS_AVG_PX_PAID_FOR_REPURCHASE", "FPT=A", "FPO=5A", "ACT_EST_MAPPING=PRECISE", "FS=MRC", "CURRENCY=USD", "XLFILL=b")</f>
        <v/>
      </c>
      <c r="F307" s="9" t="str">
        <f>_xll.BQL("SAVE US Equity", "BS_AVG_PX_PAID_FOR_REPURCHASE", "FPT=A", "FPO=4A", "ACT_EST_MAPPING=PRECISE", "FS=MRC", "CURRENCY=USD", "XLFILL=b")</f>
        <v/>
      </c>
      <c r="G307" s="9" t="str">
        <f>_xll.BQL("SAVE US Equity", "BS_AVG_PX_PAID_FOR_REPURCHASE", "FPT=A", "FPO=3A", "ACT_EST_MAPPING=PRECISE", "FS=MRC", "CURRENCY=USD", "XLFILL=b")</f>
        <v/>
      </c>
      <c r="H307" s="9" t="str">
        <f>_xll.BQL("SAVE US Equity", "BS_AVG_PX_PAID_FOR_REPURCHASE", "FPT=A", "FPO=2A", "ACT_EST_MAPPING=PRECISE", "FS=MRC", "CURRENCY=USD", "XLFILL=b")</f>
        <v/>
      </c>
      <c r="I307" s="9">
        <f>_xll.BQL("SAVE US Equity", "BS_AVG_PX_PAID_FOR_REPURCHASE", "FPT=A", "FPO=1A", "ACT_EST_MAPPING=PRECISE", "FS=MRC", "CURRENCY=USD", "XLFILL=b")</f>
        <v>6.9371964769305352</v>
      </c>
      <c r="J307" s="9">
        <f>_xll.BQL("SAVE US Equity", "BS_AVG_PX_PAID_FOR_REPURCHASE", "FPT=A", "FPO=0A", "ACT_EST_MAPPING=PRECISE", "FS=MRC", "CURRENCY=USD", "XLFILL=b")</f>
        <v>17.809999999999999</v>
      </c>
      <c r="K307" s="9">
        <f>_xll.BQL("SAVE US Equity", "BS_AVG_PX_PAID_FOR_REPURCHASE", "FPT=A", "FPO=-1A", "ACT_EST_MAPPING=PRECISE", "FS=MRC", "CURRENCY=USD", "XLFILL=b")</f>
        <v>22.104987000000001</v>
      </c>
      <c r="L307" s="9">
        <f>_xll.BQL("SAVE US Equity", "BS_AVG_PX_PAID_FOR_REPURCHASE", "FPT=A", "FPO=-2A", "ACT_EST_MAPPING=PRECISE", "FS=MRC", "CURRENCY=USD", "XLFILL=b")</f>
        <v>27.8</v>
      </c>
      <c r="M307" s="9">
        <f>_xll.BQL("SAVE US Equity", "BS_AVG_PX_PAID_FOR_REPURCHASE", "FPT=A", "FPO=-3A", "ACT_EST_MAPPING=PRECISE", "FS=MRC", "CURRENCY=USD", "XLFILL=b")</f>
        <v>37.74</v>
      </c>
      <c r="N307" s="9">
        <f>_xll.BQL("SAVE US Equity", "BS_AVG_PX_PAID_FOR_REPURCHASE", "FPT=A", "FPO=-4A", "ACT_EST_MAPPING=PRECISE", "FS=MRC", "CURRENCY=USD", "XLFILL=b")</f>
        <v>46.24</v>
      </c>
    </row>
    <row r="308" spans="1:14" x14ac:dyDescent="0.2">
      <c r="A308" s="8" t="s">
        <v>44</v>
      </c>
      <c r="B308" s="4" t="s">
        <v>339</v>
      </c>
      <c r="C308" s="4"/>
      <c r="D308" s="4"/>
      <c r="E308" s="9" t="str">
        <f>_xll.BQL("SAVE US Equity", "FA_GROWTH(BS_AVG_PX_PAID_FOR_REPURCHASE, YOY)", "FPT=A", "FPO=5A", "ACT_EST_MAPPING=PRECISE", "FS=MRC", "CURRENCY=USD", "XLFILL=b")</f>
        <v/>
      </c>
      <c r="F308" s="9" t="str">
        <f>_xll.BQL("SAVE US Equity", "FA_GROWTH(BS_AVG_PX_PAID_FOR_REPURCHASE, YOY)", "FPT=A", "FPO=4A", "ACT_EST_MAPPING=PRECISE", "FS=MRC", "CURRENCY=USD", "XLFILL=b")</f>
        <v/>
      </c>
      <c r="G308" s="9" t="str">
        <f>_xll.BQL("SAVE US Equity", "FA_GROWTH(BS_AVG_PX_PAID_FOR_REPURCHASE, YOY)", "FPT=A", "FPO=3A", "ACT_EST_MAPPING=PRECISE", "FS=MRC", "CURRENCY=USD", "XLFILL=b")</f>
        <v/>
      </c>
      <c r="H308" s="9" t="str">
        <f>_xll.BQL("SAVE US Equity", "FA_GROWTH(BS_AVG_PX_PAID_FOR_REPURCHASE, YOY)", "FPT=A", "FPO=2A", "ACT_EST_MAPPING=PRECISE", "FS=MRC", "CURRENCY=USD", "XLFILL=b")</f>
        <v/>
      </c>
      <c r="I308" s="9">
        <f>_xll.BQL("SAVE US Equity", "FA_GROWTH(BS_AVG_PX_PAID_FOR_REPURCHASE, YOY)", "FPT=A", "FPO=1A", "ACT_EST_MAPPING=PRECISE", "FS=MRC", "CURRENCY=USD", "XLFILL=b")</f>
        <v>-61.048868742669654</v>
      </c>
      <c r="J308" s="9">
        <f>_xll.BQL("SAVE US Equity", "FA_GROWTH(BS_AVG_PX_PAID_FOR_REPURCHASE, YOY)", "FPT=A", "FPO=0A", "ACT_EST_MAPPING=PRECISE", "FS=MRC", "CURRENCY=USD", "XLFILL=b")</f>
        <v>-19.429945830775665</v>
      </c>
      <c r="K308" s="9">
        <f>_xll.BQL("SAVE US Equity", "FA_GROWTH(BS_AVG_PX_PAID_FOR_REPURCHASE, YOY)", "FPT=A", "FPO=-1A", "ACT_EST_MAPPING=PRECISE", "FS=MRC", "CURRENCY=USD", "XLFILL=b")</f>
        <v>-20.48565827338129</v>
      </c>
      <c r="L308" s="9">
        <f>_xll.BQL("SAVE US Equity", "FA_GROWTH(BS_AVG_PX_PAID_FOR_REPURCHASE, YOY)", "FPT=A", "FPO=-2A", "ACT_EST_MAPPING=PRECISE", "FS=MRC", "CURRENCY=USD", "XLFILL=b")</f>
        <v>-26.338102808691044</v>
      </c>
      <c r="M308" s="9">
        <f>_xll.BQL("SAVE US Equity", "FA_GROWTH(BS_AVG_PX_PAID_FOR_REPURCHASE, YOY)", "FPT=A", "FPO=-3A", "ACT_EST_MAPPING=PRECISE", "FS=MRC", "CURRENCY=USD", "XLFILL=b")</f>
        <v>-18.382352941176471</v>
      </c>
      <c r="N308" s="9">
        <f>_xll.BQL("SAVE US Equity", "FA_GROWTH(BS_AVG_PX_PAID_FOR_REPURCHASE, YOY)", "FPT=A", "FPO=-4A", "ACT_EST_MAPPING=PRECISE", "FS=MRC", "CURRENCY=USD", "XLFILL=b")</f>
        <v>17.250672555842023</v>
      </c>
    </row>
    <row r="309" spans="1:14" x14ac:dyDescent="0.2">
      <c r="A309" s="8" t="s">
        <v>16</v>
      </c>
      <c r="B309" s="4"/>
      <c r="C309" s="4"/>
      <c r="D309" s="4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1:14" x14ac:dyDescent="0.2">
      <c r="A310" s="8" t="s">
        <v>340</v>
      </c>
      <c r="B310" s="4"/>
      <c r="C310" s="4" t="s">
        <v>341</v>
      </c>
      <c r="D310" s="4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1:14" x14ac:dyDescent="0.2">
      <c r="A311" s="8" t="s">
        <v>342</v>
      </c>
      <c r="B311" s="4"/>
      <c r="C311" s="4" t="s">
        <v>343</v>
      </c>
      <c r="D311" s="4"/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1:14" x14ac:dyDescent="0.2">
      <c r="A312" s="8" t="s">
        <v>193</v>
      </c>
      <c r="B312" s="4" t="s">
        <v>157</v>
      </c>
      <c r="C312" s="4"/>
      <c r="D312" s="4"/>
      <c r="E312" s="9">
        <f>_xll.BQL("SAVE US Equity", "IS_COMP_NET_INCOME_GAAP/1M", "FPT=A", "FPO=5A", "ACT_EST_MAPPING=PRECISE", "FS=MRC", "CURRENCY=USD", "XLFILL=b")</f>
        <v>108</v>
      </c>
      <c r="F312" s="9">
        <f>_xll.BQL("SAVE US Equity", "IS_COMP_NET_INCOME_GAAP/1M", "FPT=A", "FPO=4A", "ACT_EST_MAPPING=PRECISE", "FS=MRC", "CURRENCY=USD", "XLFILL=b")</f>
        <v>-101</v>
      </c>
      <c r="G312" s="9">
        <f>_xll.BQL("SAVE US Equity", "IS_COMP_NET_INCOME_GAAP/1M", "FPT=A", "FPO=3A", "ACT_EST_MAPPING=PRECISE", "FS=MRC", "CURRENCY=USD", "XLFILL=b")</f>
        <v>-201.25</v>
      </c>
      <c r="H312" s="9">
        <f>_xll.BQL("SAVE US Equity", "IS_COMP_NET_INCOME_GAAP/1M", "FPT=A", "FPO=2A", "ACT_EST_MAPPING=PRECISE", "FS=MRC", "CURRENCY=USD", "XLFILL=b")</f>
        <v>-521.88888888888891</v>
      </c>
      <c r="I312" s="9">
        <f>_xll.BQL("SAVE US Equity", "IS_COMP_NET_INCOME_GAAP/1M", "FPT=A", "FPO=1A", "ACT_EST_MAPPING=PRECISE", "FS=MRC", "CURRENCY=USD", "XLFILL=b")</f>
        <v>-785.66666666666663</v>
      </c>
      <c r="J312" s="9">
        <f>_xll.BQL("SAVE US Equity", "IS_COMP_NET_INCOME_GAAP/1M", "FPT=A", "FPO=0A", "ACT_EST_MAPPING=PRECISE", "FS=MRC", "CURRENCY=USD", "XLFILL=b")</f>
        <v>-447.464</v>
      </c>
      <c r="K312" s="9">
        <f>_xll.BQL("SAVE US Equity", "IS_COMP_NET_INCOME_GAAP/1M", "FPT=A", "FPO=-1A", "ACT_EST_MAPPING=PRECISE", "FS=MRC", "CURRENCY=USD", "XLFILL=b")</f>
        <v>-554.15</v>
      </c>
      <c r="L312" s="9">
        <f>_xll.BQL("SAVE US Equity", "IS_COMP_NET_INCOME_GAAP/1M", "FPT=A", "FPO=-2A", "ACT_EST_MAPPING=PRECISE", "FS=MRC", "CURRENCY=USD", "XLFILL=b")</f>
        <v>-472.56900000000002</v>
      </c>
      <c r="M312" s="9">
        <f>_xll.BQL("SAVE US Equity", "IS_COMP_NET_INCOME_GAAP/1M", "FPT=A", "FPO=-3A", "ACT_EST_MAPPING=PRECISE", "FS=MRC", "CURRENCY=USD", "XLFILL=b")</f>
        <v>-428.7</v>
      </c>
      <c r="N312" s="9">
        <f>_xll.BQL("SAVE US Equity", "IS_COMP_NET_INCOME_GAAP/1M", "FPT=A", "FPO=-4A", "ACT_EST_MAPPING=PRECISE", "FS=MRC", "CURRENCY=USD", "XLFILL=b")</f>
        <v>335.255</v>
      </c>
    </row>
    <row r="313" spans="1:14" x14ac:dyDescent="0.2">
      <c r="A313" s="8" t="s">
        <v>44</v>
      </c>
      <c r="B313" s="4" t="s">
        <v>157</v>
      </c>
      <c r="C313" s="4"/>
      <c r="D313" s="4"/>
      <c r="E313" s="9">
        <f>_xll.BQL("SAVE US Equity", "FA_GROWTH(IS_COMP_NET_INCOME_GAAP, YOY)", "FPT=A", "FPO=5A", "ACT_EST_MAPPING=PRECISE", "FS=MRC", "CURRENCY=USD", "XLFILL=b")</f>
        <v>206.93069306930693</v>
      </c>
      <c r="F313" s="9">
        <f>_xll.BQL("SAVE US Equity", "FA_GROWTH(IS_COMP_NET_INCOME_GAAP, YOY)", "FPT=A", "FPO=4A", "ACT_EST_MAPPING=PRECISE", "FS=MRC", "CURRENCY=USD", "XLFILL=b")</f>
        <v>49.813664596273291</v>
      </c>
      <c r="G313" s="9">
        <f>_xll.BQL("SAVE US Equity", "FA_GROWTH(IS_COMP_NET_INCOME_GAAP, YOY)", "FPT=A", "FPO=3A", "ACT_EST_MAPPING=PRECISE", "FS=MRC", "CURRENCY=USD", "XLFILL=b")</f>
        <v>61.438152011922504</v>
      </c>
      <c r="H313" s="9">
        <f>_xll.BQL("SAVE US Equity", "FA_GROWTH(IS_COMP_NET_INCOME_GAAP, YOY)", "FPT=A", "FPO=2A", "ACT_EST_MAPPING=PRECISE", "FS=MRC", "CURRENCY=USD", "XLFILL=b")</f>
        <v>33.573751944562297</v>
      </c>
      <c r="I313" s="9">
        <f>_xll.BQL("SAVE US Equity", "FA_GROWTH(IS_COMP_NET_INCOME_GAAP, YOY)", "FPT=A", "FPO=1A", "ACT_EST_MAPPING=PRECISE", "FS=MRC", "CURRENCY=USD", "XLFILL=b")</f>
        <v>-75.5820952449061</v>
      </c>
      <c r="J313" s="9">
        <f>_xll.BQL("SAVE US Equity", "FA_GROWTH(IS_COMP_NET_INCOME_GAAP, YOY)", "FPT=A", "FPO=0A", "ACT_EST_MAPPING=PRECISE", "FS=MRC", "CURRENCY=USD", "XLFILL=b")</f>
        <v>19.252188035730398</v>
      </c>
      <c r="K313" s="9">
        <f>_xll.BQL("SAVE US Equity", "FA_GROWTH(IS_COMP_NET_INCOME_GAAP, YOY)", "FPT=A", "FPO=-1A", "ACT_EST_MAPPING=PRECISE", "FS=MRC", "CURRENCY=USD", "XLFILL=b")</f>
        <v>-17.263299116107913</v>
      </c>
      <c r="L313" s="9">
        <f>_xll.BQL("SAVE US Equity", "FA_GROWTH(IS_COMP_NET_INCOME_GAAP, YOY)", "FPT=A", "FPO=-2A", "ACT_EST_MAPPING=PRECISE", "FS=MRC", "CURRENCY=USD", "XLFILL=b")</f>
        <v>-10.233030090972708</v>
      </c>
      <c r="M313" s="9">
        <f>_xll.BQL("SAVE US Equity", "FA_GROWTH(IS_COMP_NET_INCOME_GAAP, YOY)", "FPT=A", "FPO=-3A", "ACT_EST_MAPPING=PRECISE", "FS=MRC", "CURRENCY=USD", "XLFILL=b")</f>
        <v>-227.87281323171914</v>
      </c>
      <c r="N313" s="9">
        <f>_xll.BQL("SAVE US Equity", "FA_GROWTH(IS_COMP_NET_INCOME_GAAP, YOY)", "FPT=A", "FPO=-4A", "ACT_EST_MAPPING=PRECISE", "FS=MRC", "CURRENCY=USD", "XLFILL=b")</f>
        <v>115.25338846477345</v>
      </c>
    </row>
    <row r="314" spans="1:14" x14ac:dyDescent="0.2">
      <c r="A314" s="8" t="s">
        <v>112</v>
      </c>
      <c r="B314" s="4" t="s">
        <v>113</v>
      </c>
      <c r="C314" s="4" t="s">
        <v>171</v>
      </c>
      <c r="D314" s="4"/>
      <c r="E314" s="9">
        <f>_xll.BQL("SAVE US Equity", "CF_DEPR_AMORT/1M", "FPT=A", "FPO=5A", "ACT_EST_MAPPING=PRECISE", "FS=MRC", "CURRENCY=USD", "XLFILL=b")</f>
        <v>502.94400000000002</v>
      </c>
      <c r="F314" s="9">
        <f>_xll.BQL("SAVE US Equity", "CF_DEPR_AMORT/1M", "FPT=A", "FPO=4A", "ACT_EST_MAPPING=PRECISE", "FS=MRC", "CURRENCY=USD", "XLFILL=b")</f>
        <v>462.94400000000002</v>
      </c>
      <c r="G314" s="9">
        <f>_xll.BQL("SAVE US Equity", "CF_DEPR_AMORT/1M", "FPT=A", "FPO=3A", "ACT_EST_MAPPING=PRECISE", "FS=MRC", "CURRENCY=USD", "XLFILL=b")</f>
        <v>332.10117157294803</v>
      </c>
      <c r="H314" s="9">
        <f>_xll.BQL("SAVE US Equity", "CF_DEPR_AMORT/1M", "FPT=A", "FPO=2A", "ACT_EST_MAPPING=PRECISE", "FS=MRC", "CURRENCY=USD", "XLFILL=b")</f>
        <v>335.5166214888572</v>
      </c>
      <c r="I314" s="9">
        <f>_xll.BQL("SAVE US Equity", "CF_DEPR_AMORT/1M", "FPT=A", "FPO=1A", "ACT_EST_MAPPING=PRECISE", "FS=MRC", "CURRENCY=USD", "XLFILL=b")</f>
        <v>336.28845186783337</v>
      </c>
      <c r="J314" s="9">
        <f>_xll.BQL("SAVE US Equity", "CF_DEPR_AMORT/1M", "FPT=A", "FPO=0A", "ACT_EST_MAPPING=PRECISE", "FS=MRC", "CURRENCY=USD", "XLFILL=b")</f>
        <v>320.87200000000001</v>
      </c>
      <c r="K314" s="9">
        <f>_xll.BQL("SAVE US Equity", "CF_DEPR_AMORT/1M", "FPT=A", "FPO=-1A", "ACT_EST_MAPPING=PRECISE", "FS=MRC", "CURRENCY=USD", "XLFILL=b")</f>
        <v>313.08999999999997</v>
      </c>
      <c r="L314" s="9">
        <f>_xll.BQL("SAVE US Equity", "CF_DEPR_AMORT/1M", "FPT=A", "FPO=-2A", "ACT_EST_MAPPING=PRECISE", "FS=MRC", "CURRENCY=USD", "XLFILL=b")</f>
        <v>297.21100000000001</v>
      </c>
      <c r="M314" s="9">
        <f>_xll.BQL("SAVE US Equity", "CF_DEPR_AMORT/1M", "FPT=A", "FPO=-3A", "ACT_EST_MAPPING=PRECISE", "FS=MRC", "CURRENCY=USD", "XLFILL=b")</f>
        <v>278.58800000000002</v>
      </c>
      <c r="N314" s="9">
        <f>_xll.BQL("SAVE US Equity", "CF_DEPR_AMORT/1M", "FPT=A", "FPO=-4A", "ACT_EST_MAPPING=PRECISE", "FS=MRC", "CURRENCY=USD", "XLFILL=b")</f>
        <v>225.26400000000001</v>
      </c>
    </row>
    <row r="315" spans="1:14" x14ac:dyDescent="0.2">
      <c r="A315" s="8" t="s">
        <v>44</v>
      </c>
      <c r="B315" s="4" t="s">
        <v>113</v>
      </c>
      <c r="C315" s="4" t="s">
        <v>171</v>
      </c>
      <c r="D315" s="4"/>
      <c r="E315" s="9">
        <f>_xll.BQL("SAVE US Equity", "FA_GROWTH(CF_DEPR_AMORT, YOY)", "FPT=A", "FPO=5A", "ACT_EST_MAPPING=PRECISE", "FS=MRC", "CURRENCY=USD", "XLFILL=b")</f>
        <v>8.6403539088961079</v>
      </c>
      <c r="F315" s="9">
        <f>_xll.BQL("SAVE US Equity", "FA_GROWTH(CF_DEPR_AMORT, YOY)", "FPT=A", "FPO=4A", "ACT_EST_MAPPING=PRECISE", "FS=MRC", "CURRENCY=USD", "XLFILL=b")</f>
        <v>39.398484445969963</v>
      </c>
      <c r="G315" s="9">
        <f>_xll.BQL("SAVE US Equity", "FA_GROWTH(CF_DEPR_AMORT, YOY)", "FPT=A", "FPO=3A", "ACT_EST_MAPPING=PRECISE", "FS=MRC", "CURRENCY=USD", "XLFILL=b")</f>
        <v>-1.0179674261004088</v>
      </c>
      <c r="H315" s="9">
        <f>_xll.BQL("SAVE US Equity", "FA_GROWTH(CF_DEPR_AMORT, YOY)", "FPT=A", "FPO=2A", "ACT_EST_MAPPING=PRECISE", "FS=MRC", "CURRENCY=USD", "XLFILL=b")</f>
        <v>-0.22951438703565941</v>
      </c>
      <c r="I315" s="9">
        <f>_xll.BQL("SAVE US Equity", "FA_GROWTH(CF_DEPR_AMORT, YOY)", "FPT=A", "FPO=1A", "ACT_EST_MAPPING=PRECISE", "FS=MRC", "CURRENCY=USD", "XLFILL=b")</f>
        <v>4.8045488131820093</v>
      </c>
      <c r="J315" s="9">
        <f>_xll.BQL("SAVE US Equity", "FA_GROWTH(CF_DEPR_AMORT, YOY)", "FPT=A", "FPO=0A", "ACT_EST_MAPPING=PRECISE", "FS=MRC", "CURRENCY=USD", "XLFILL=b")</f>
        <v>2.4855472867226678</v>
      </c>
      <c r="K315" s="9">
        <f>_xll.BQL("SAVE US Equity", "FA_GROWTH(CF_DEPR_AMORT, YOY)", "FPT=A", "FPO=-1A", "ACT_EST_MAPPING=PRECISE", "FS=MRC", "CURRENCY=USD", "XLFILL=b")</f>
        <v>5.3426690129234782</v>
      </c>
      <c r="L315" s="9">
        <f>_xll.BQL("SAVE US Equity", "FA_GROWTH(CF_DEPR_AMORT, YOY)", "FPT=A", "FPO=-2A", "ACT_EST_MAPPING=PRECISE", "FS=MRC", "CURRENCY=USD", "XLFILL=b")</f>
        <v>6.6847818283630307</v>
      </c>
      <c r="M315" s="9">
        <f>_xll.BQL("SAVE US Equity", "FA_GROWTH(CF_DEPR_AMORT, YOY)", "FPT=A", "FPO=-3A", "ACT_EST_MAPPING=PRECISE", "FS=MRC", "CURRENCY=USD", "XLFILL=b")</f>
        <v>23.671780666240501</v>
      </c>
      <c r="N315" s="9">
        <f>_xll.BQL("SAVE US Equity", "FA_GROWTH(CF_DEPR_AMORT, YOY)", "FPT=A", "FPO=-4A", "ACT_EST_MAPPING=PRECISE", "FS=MRC", "CURRENCY=USD", "XLFILL=b")</f>
        <v>27.46439423517629</v>
      </c>
    </row>
    <row r="316" spans="1:14" x14ac:dyDescent="0.2">
      <c r="A316" s="8" t="s">
        <v>344</v>
      </c>
      <c r="B316" s="4" t="s">
        <v>345</v>
      </c>
      <c r="C316" s="4" t="s">
        <v>171</v>
      </c>
      <c r="D316" s="4"/>
      <c r="E316" s="9" t="str">
        <f>_xll.BQL("SAVE US Equity", "CF_AMORTIZATN_OF_DEFRRD_COMPNSTN/1M", "FPT=A", "FPO=5A", "ACT_EST_MAPPING=PRECISE", "FS=MRC", "CURRENCY=USD", "XLFILL=b")</f>
        <v/>
      </c>
      <c r="F316" s="9" t="str">
        <f>_xll.BQL("SAVE US Equity", "CF_AMORTIZATN_OF_DEFRRD_COMPNSTN/1M", "FPT=A", "FPO=4A", "ACT_EST_MAPPING=PRECISE", "FS=MRC", "CURRENCY=USD", "XLFILL=b")</f>
        <v/>
      </c>
      <c r="G316" s="9" t="str">
        <f>_xll.BQL("SAVE US Equity", "CF_AMORTIZATN_OF_DEFRRD_COMPNSTN/1M", "FPT=A", "FPO=3A", "ACT_EST_MAPPING=PRECISE", "FS=MRC", "CURRENCY=USD", "XLFILL=b")</f>
        <v/>
      </c>
      <c r="H316" s="9">
        <f>_xll.BQL("SAVE US Equity", "CF_AMORTIZATN_OF_DEFRRD_COMPNSTN/1M", "FPT=A", "FPO=2A", "ACT_EST_MAPPING=PRECISE", "FS=MRC", "CURRENCY=USD", "XLFILL=b")</f>
        <v>6</v>
      </c>
      <c r="I316" s="9">
        <f>_xll.BQL("SAVE US Equity", "CF_AMORTIZATN_OF_DEFRRD_COMPNSTN/1M", "FPT=A", "FPO=1A", "ACT_EST_MAPPING=PRECISE", "FS=MRC", "CURRENCY=USD", "XLFILL=b")</f>
        <v>6</v>
      </c>
      <c r="J316" s="9">
        <f>_xll.BQL("SAVE US Equity", "CF_AMORTIZATN_OF_DEFRRD_COMPNSTN/1M", "FPT=A", "FPO=0A", "ACT_EST_MAPPING=PRECISE", "FS=MRC", "CURRENCY=USD", "XLFILL=b")</f>
        <v>15.454000000000001</v>
      </c>
      <c r="K316" s="9">
        <f>_xll.BQL("SAVE US Equity", "CF_AMORTIZATN_OF_DEFRRD_COMPNSTN/1M", "FPT=A", "FPO=-1A", "ACT_EST_MAPPING=PRECISE", "FS=MRC", "CURRENCY=USD", "XLFILL=b")</f>
        <v>13.468</v>
      </c>
      <c r="L316" s="9">
        <f>_xll.BQL("SAVE US Equity", "CF_AMORTIZATN_OF_DEFRRD_COMPNSTN/1M", "FPT=A", "FPO=-2A", "ACT_EST_MAPPING=PRECISE", "FS=MRC", "CURRENCY=USD", "XLFILL=b")</f>
        <v>12.912000000000001</v>
      </c>
      <c r="M316" s="9">
        <f>_xll.BQL("SAVE US Equity", "CF_AMORTIZATN_OF_DEFRRD_COMPNSTN/1M", "FPT=A", "FPO=-3A", "ACT_EST_MAPPING=PRECISE", "FS=MRC", "CURRENCY=USD", "XLFILL=b")</f>
        <v>10.752000000000001</v>
      </c>
      <c r="N316" s="9">
        <f>_xll.BQL("SAVE US Equity", "CF_AMORTIZATN_OF_DEFRRD_COMPNSTN/1M", "FPT=A", "FPO=-4A", "ACT_EST_MAPPING=PRECISE", "FS=MRC", "CURRENCY=USD", "XLFILL=b")</f>
        <v>8.6539999999999999</v>
      </c>
    </row>
    <row r="317" spans="1:14" x14ac:dyDescent="0.2">
      <c r="A317" s="8" t="s">
        <v>44</v>
      </c>
      <c r="B317" s="4" t="s">
        <v>345</v>
      </c>
      <c r="C317" s="4" t="s">
        <v>171</v>
      </c>
      <c r="D317" s="4"/>
      <c r="E317" s="9" t="str">
        <f>_xll.BQL("SAVE US Equity", "FA_GROWTH(CF_AMORTIZATN_OF_DEFRRD_COMPNSTN, YOY)", "FPT=A", "FPO=5A", "ACT_EST_MAPPING=PRECISE", "FS=MRC", "CURRENCY=USD", "XLFILL=b")</f>
        <v/>
      </c>
      <c r="F317" s="9" t="str">
        <f>_xll.BQL("SAVE US Equity", "FA_GROWTH(CF_AMORTIZATN_OF_DEFRRD_COMPNSTN, YOY)", "FPT=A", "FPO=4A", "ACT_EST_MAPPING=PRECISE", "FS=MRC", "CURRENCY=USD", "XLFILL=b")</f>
        <v/>
      </c>
      <c r="G317" s="9" t="str">
        <f>_xll.BQL("SAVE US Equity", "FA_GROWTH(CF_AMORTIZATN_OF_DEFRRD_COMPNSTN, YOY)", "FPT=A", "FPO=3A", "ACT_EST_MAPPING=PRECISE", "FS=MRC", "CURRENCY=USD", "XLFILL=b")</f>
        <v/>
      </c>
      <c r="H317" s="9">
        <f>_xll.BQL("SAVE US Equity", "FA_GROWTH(CF_AMORTIZATN_OF_DEFRRD_COMPNSTN, YOY)", "FPT=A", "FPO=2A", "ACT_EST_MAPPING=PRECISE", "FS=MRC", "CURRENCY=USD", "XLFILL=b")</f>
        <v>0</v>
      </c>
      <c r="I317" s="9">
        <f>_xll.BQL("SAVE US Equity", "FA_GROWTH(CF_AMORTIZATN_OF_DEFRRD_COMPNSTN, YOY)", "FPT=A", "FPO=1A", "ACT_EST_MAPPING=PRECISE", "FS=MRC", "CURRENCY=USD", "XLFILL=b")</f>
        <v>-61.175100297657565</v>
      </c>
      <c r="J317" s="9">
        <f>_xll.BQL("SAVE US Equity", "FA_GROWTH(CF_AMORTIZATN_OF_DEFRRD_COMPNSTN, YOY)", "FPT=A", "FPO=0A", "ACT_EST_MAPPING=PRECISE", "FS=MRC", "CURRENCY=USD", "XLFILL=b")</f>
        <v>14.746064746064746</v>
      </c>
      <c r="K317" s="9">
        <f>_xll.BQL("SAVE US Equity", "FA_GROWTH(CF_AMORTIZATN_OF_DEFRRD_COMPNSTN, YOY)", "FPT=A", "FPO=-1A", "ACT_EST_MAPPING=PRECISE", "FS=MRC", "CURRENCY=USD", "XLFILL=b")</f>
        <v>4.3060718711276333</v>
      </c>
      <c r="L317" s="9">
        <f>_xll.BQL("SAVE US Equity", "FA_GROWTH(CF_AMORTIZATN_OF_DEFRRD_COMPNSTN, YOY)", "FPT=A", "FPO=-2A", "ACT_EST_MAPPING=PRECISE", "FS=MRC", "CURRENCY=USD", "XLFILL=b")</f>
        <v>20.089285714285715</v>
      </c>
      <c r="M317" s="9">
        <f>_xll.BQL("SAVE US Equity", "FA_GROWTH(CF_AMORTIZATN_OF_DEFRRD_COMPNSTN, YOY)", "FPT=A", "FPO=-3A", "ACT_EST_MAPPING=PRECISE", "FS=MRC", "CURRENCY=USD", "XLFILL=b")</f>
        <v>24.243124566674371</v>
      </c>
      <c r="N317" s="9">
        <f>_xll.BQL("SAVE US Equity", "FA_GROWTH(CF_AMORTIZATN_OF_DEFRRD_COMPNSTN, YOY)", "FPT=A", "FPO=-4A", "ACT_EST_MAPPING=PRECISE", "FS=MRC", "CURRENCY=USD", "XLFILL=b")</f>
        <v>-1.8709604263521942</v>
      </c>
    </row>
    <row r="318" spans="1:14" x14ac:dyDescent="0.2">
      <c r="A318" s="8" t="s">
        <v>346</v>
      </c>
      <c r="B318" s="4" t="s">
        <v>347</v>
      </c>
      <c r="C318" s="4" t="s">
        <v>348</v>
      </c>
      <c r="D318" s="4"/>
      <c r="E318" s="9" t="str">
        <f>_xll.BQL("SAVE US Equity", "CF_STOCK_BASED_COMPENSATION/1M", "FPT=A", "FPO=5A", "ACT_EST_MAPPING=PRECISE", "FS=MRC", "CURRENCY=USD", "XLFILL=b")</f>
        <v/>
      </c>
      <c r="F318" s="9" t="str">
        <f>_xll.BQL("SAVE US Equity", "CF_STOCK_BASED_COMPENSATION/1M", "FPT=A", "FPO=4A", "ACT_EST_MAPPING=PRECISE", "FS=MRC", "CURRENCY=USD", "XLFILL=b")</f>
        <v/>
      </c>
      <c r="G318" s="9" t="str">
        <f>_xll.BQL("SAVE US Equity", "CF_STOCK_BASED_COMPENSATION/1M", "FPT=A", "FPO=3A", "ACT_EST_MAPPING=PRECISE", "FS=MRC", "CURRENCY=USD", "XLFILL=b")</f>
        <v/>
      </c>
      <c r="H318" s="9">
        <f>_xll.BQL("SAVE US Equity", "CF_STOCK_BASED_COMPENSATION/1M", "FPT=A", "FPO=2A", "ACT_EST_MAPPING=PRECISE", "FS=MRC", "CURRENCY=USD", "XLFILL=b")</f>
        <v>12</v>
      </c>
      <c r="I318" s="9">
        <f>_xll.BQL("SAVE US Equity", "CF_STOCK_BASED_COMPENSATION/1M", "FPT=A", "FPO=1A", "ACT_EST_MAPPING=PRECISE", "FS=MRC", "CURRENCY=USD", "XLFILL=b")</f>
        <v>6.2813333333333334</v>
      </c>
      <c r="J318" s="9">
        <f>_xll.BQL("SAVE US Equity", "CF_STOCK_BASED_COMPENSATION/1M", "FPT=A", "FPO=0A", "ACT_EST_MAPPING=PRECISE", "FS=MRC", "CURRENCY=USD", "XLFILL=b")</f>
        <v>11.962999999999999</v>
      </c>
      <c r="K318" s="9">
        <f>_xll.BQL("SAVE US Equity", "CF_STOCK_BASED_COMPENSATION/1M", "FPT=A", "FPO=-1A", "ACT_EST_MAPPING=PRECISE", "FS=MRC", "CURRENCY=USD", "XLFILL=b")</f>
        <v>11.483000000000001</v>
      </c>
      <c r="L318" s="9">
        <f>_xll.BQL("SAVE US Equity", "CF_STOCK_BASED_COMPENSATION/1M", "FPT=A", "FPO=-2A", "ACT_EST_MAPPING=PRECISE", "FS=MRC", "CURRENCY=USD", "XLFILL=b")</f>
        <v>12.536</v>
      </c>
      <c r="M318" s="9">
        <f>_xll.BQL("SAVE US Equity", "CF_STOCK_BASED_COMPENSATION/1M", "FPT=A", "FPO=-3A", "ACT_EST_MAPPING=PRECISE", "FS=MRC", "CURRENCY=USD", "XLFILL=b")</f>
        <v>11.574999999999999</v>
      </c>
      <c r="N318" s="9">
        <f>_xll.BQL("SAVE US Equity", "CF_STOCK_BASED_COMPENSATION/1M", "FPT=A", "FPO=-4A", "ACT_EST_MAPPING=PRECISE", "FS=MRC", "CURRENCY=USD", "XLFILL=b")</f>
        <v>8.1539999999999999</v>
      </c>
    </row>
    <row r="319" spans="1:14" x14ac:dyDescent="0.2">
      <c r="A319" s="8" t="s">
        <v>44</v>
      </c>
      <c r="B319" s="4" t="s">
        <v>347</v>
      </c>
      <c r="C319" s="4" t="s">
        <v>348</v>
      </c>
      <c r="D319" s="4"/>
      <c r="E319" s="9" t="str">
        <f>_xll.BQL("SAVE US Equity", "FA_GROWTH(CF_STOCK_BASED_COMPENSATION, YOY)", "FPT=A", "FPO=5A", "ACT_EST_MAPPING=PRECISE", "FS=MRC", "CURRENCY=USD", "XLFILL=b")</f>
        <v/>
      </c>
      <c r="F319" s="9" t="str">
        <f>_xll.BQL("SAVE US Equity", "FA_GROWTH(CF_STOCK_BASED_COMPENSATION, YOY)", "FPT=A", "FPO=4A", "ACT_EST_MAPPING=PRECISE", "FS=MRC", "CURRENCY=USD", "XLFILL=b")</f>
        <v/>
      </c>
      <c r="G319" s="9" t="str">
        <f>_xll.BQL("SAVE US Equity", "FA_GROWTH(CF_STOCK_BASED_COMPENSATION, YOY)", "FPT=A", "FPO=3A", "ACT_EST_MAPPING=PRECISE", "FS=MRC", "CURRENCY=USD", "XLFILL=b")</f>
        <v/>
      </c>
      <c r="H319" s="9">
        <f>_xll.BQL("SAVE US Equity", "FA_GROWTH(CF_STOCK_BASED_COMPENSATION, YOY)", "FPT=A", "FPO=2A", "ACT_EST_MAPPING=PRECISE", "FS=MRC", "CURRENCY=USD", "XLFILL=b")</f>
        <v>91.042241562301015</v>
      </c>
      <c r="I319" s="9">
        <f>_xll.BQL("SAVE US Equity", "FA_GROWTH(CF_STOCK_BASED_COMPENSATION, YOY)", "FPT=A", "FPO=1A", "ACT_EST_MAPPING=PRECISE", "FS=MRC", "CURRENCY=USD", "XLFILL=b")</f>
        <v>-47.493661010337433</v>
      </c>
      <c r="J319" s="9">
        <f>_xll.BQL("SAVE US Equity", "FA_GROWTH(CF_STOCK_BASED_COMPENSATION, YOY)", "FPT=A", "FPO=0A", "ACT_EST_MAPPING=PRECISE", "FS=MRC", "CURRENCY=USD", "XLFILL=b")</f>
        <v>4.1800923103718537</v>
      </c>
      <c r="K319" s="9">
        <f>_xll.BQL("SAVE US Equity", "FA_GROWTH(CF_STOCK_BASED_COMPENSATION, YOY)", "FPT=A", "FPO=-1A", "ACT_EST_MAPPING=PRECISE", "FS=MRC", "CURRENCY=USD", "XLFILL=b")</f>
        <v>-8.3998085513720486</v>
      </c>
      <c r="L319" s="9">
        <f>_xll.BQL("SAVE US Equity", "FA_GROWTH(CF_STOCK_BASED_COMPENSATION, YOY)", "FPT=A", "FPO=-2A", "ACT_EST_MAPPING=PRECISE", "FS=MRC", "CURRENCY=USD", "XLFILL=b")</f>
        <v>8.3023758099352047</v>
      </c>
      <c r="M319" s="9">
        <f>_xll.BQL("SAVE US Equity", "FA_GROWTH(CF_STOCK_BASED_COMPENSATION, YOY)", "FPT=A", "FPO=-3A", "ACT_EST_MAPPING=PRECISE", "FS=MRC", "CURRENCY=USD", "XLFILL=b")</f>
        <v>41.954868776060827</v>
      </c>
      <c r="N319" s="9">
        <f>_xll.BQL("SAVE US Equity", "FA_GROWTH(CF_STOCK_BASED_COMPENSATION, YOY)", "FPT=A", "FPO=-4A", "ACT_EST_MAPPING=PRECISE", "FS=MRC", "CURRENCY=USD", "XLFILL=b")</f>
        <v>-26.013973323654842</v>
      </c>
    </row>
    <row r="320" spans="1:14" x14ac:dyDescent="0.2">
      <c r="A320" s="8" t="s">
        <v>349</v>
      </c>
      <c r="B320" s="4" t="s">
        <v>350</v>
      </c>
      <c r="C320" s="4" t="s">
        <v>351</v>
      </c>
      <c r="D320" s="4"/>
      <c r="E320" s="9" t="str">
        <f>_xll.BQL("SAVE US Equity", "CF_DEF_INC_TAX/1M", "FPT=A", "FPO=5A", "ACT_EST_MAPPING=PRECISE", "FS=MRC", "CURRENCY=USD", "XLFILL=b")</f>
        <v/>
      </c>
      <c r="F320" s="9" t="str">
        <f>_xll.BQL("SAVE US Equity", "CF_DEF_INC_TAX/1M", "FPT=A", "FPO=4A", "ACT_EST_MAPPING=PRECISE", "FS=MRC", "CURRENCY=USD", "XLFILL=b")</f>
        <v/>
      </c>
      <c r="G320" s="9">
        <f>_xll.BQL("SAVE US Equity", "CF_DEF_INC_TAX/1M", "FPT=A", "FPO=3A", "ACT_EST_MAPPING=PRECISE", "FS=MRC", "CURRENCY=USD", "XLFILL=b")</f>
        <v>-44.358872818206748</v>
      </c>
      <c r="H320" s="9">
        <f>_xll.BQL("SAVE US Equity", "CF_DEF_INC_TAX/1M", "FPT=A", "FPO=2A", "ACT_EST_MAPPING=PRECISE", "FS=MRC", "CURRENCY=USD", "XLFILL=b")</f>
        <v>-147.81651770794875</v>
      </c>
      <c r="I320" s="9">
        <f>_xll.BQL("SAVE US Equity", "CF_DEF_INC_TAX/1M", "FPT=A", "FPO=1A", "ACT_EST_MAPPING=PRECISE", "FS=MRC", "CURRENCY=USD", "XLFILL=b")</f>
        <v>-152.76753720012633</v>
      </c>
      <c r="J320" s="9">
        <f>_xll.BQL("SAVE US Equity", "CF_DEF_INC_TAX/1M", "FPT=A", "FPO=0A", "ACT_EST_MAPPING=PRECISE", "FS=MRC", "CURRENCY=USD", "XLFILL=b")</f>
        <v>-119.239</v>
      </c>
      <c r="K320" s="9">
        <f>_xll.BQL("SAVE US Equity", "CF_DEF_INC_TAX/1M", "FPT=A", "FPO=-1A", "ACT_EST_MAPPING=PRECISE", "FS=MRC", "CURRENCY=USD", "XLFILL=b")</f>
        <v>-148.61099999999999</v>
      </c>
      <c r="L320" s="9">
        <f>_xll.BQL("SAVE US Equity", "CF_DEF_INC_TAX/1M", "FPT=A", "FPO=-2A", "ACT_EST_MAPPING=PRECISE", "FS=MRC", "CURRENCY=USD", "XLFILL=b")</f>
        <v>-49.502000000000002</v>
      </c>
      <c r="M320" s="9">
        <f>_xll.BQL("SAVE US Equity", "CF_DEF_INC_TAX/1M", "FPT=A", "FPO=-3A", "ACT_EST_MAPPING=PRECISE", "FS=MRC", "CURRENCY=USD", "XLFILL=b")</f>
        <v>-46.085999999999999</v>
      </c>
      <c r="N320" s="9">
        <f>_xll.BQL("SAVE US Equity", "CF_DEF_INC_TAX/1M", "FPT=A", "FPO=-4A", "ACT_EST_MAPPING=PRECISE", "FS=MRC", "CURRENCY=USD", "XLFILL=b")</f>
        <v>115.68899999999999</v>
      </c>
    </row>
    <row r="321" spans="1:14" x14ac:dyDescent="0.2">
      <c r="A321" s="8" t="s">
        <v>44</v>
      </c>
      <c r="B321" s="4" t="s">
        <v>350</v>
      </c>
      <c r="C321" s="4" t="s">
        <v>351</v>
      </c>
      <c r="D321" s="4"/>
      <c r="E321" s="9" t="str">
        <f>_xll.BQL("SAVE US Equity", "FA_GROWTH(CF_DEF_INC_TAX, YOY)", "FPT=A", "FPO=5A", "ACT_EST_MAPPING=PRECISE", "FS=MRC", "CURRENCY=USD", "XLFILL=b")</f>
        <v/>
      </c>
      <c r="F321" s="9" t="str">
        <f>_xll.BQL("SAVE US Equity", "FA_GROWTH(CF_DEF_INC_TAX, YOY)", "FPT=A", "FPO=4A", "ACT_EST_MAPPING=PRECISE", "FS=MRC", "CURRENCY=USD", "XLFILL=b")</f>
        <v/>
      </c>
      <c r="G321" s="9">
        <f>_xll.BQL("SAVE US Equity", "FA_GROWTH(CF_DEF_INC_TAX, YOY)", "FPT=A", "FPO=3A", "ACT_EST_MAPPING=PRECISE", "FS=MRC", "CURRENCY=USD", "XLFILL=b")</f>
        <v>69.990584607161679</v>
      </c>
      <c r="H321" s="9">
        <f>_xll.BQL("SAVE US Equity", "FA_GROWTH(CF_DEF_INC_TAX, YOY)", "FPT=A", "FPO=2A", "ACT_EST_MAPPING=PRECISE", "FS=MRC", "CURRENCY=USD", "XLFILL=b")</f>
        <v>3.2408845379838209</v>
      </c>
      <c r="I321" s="9">
        <f>_xll.BQL("SAVE US Equity", "FA_GROWTH(CF_DEF_INC_TAX, YOY)", "FPT=A", "FPO=1A", "ACT_EST_MAPPING=PRECISE", "FS=MRC", "CURRENCY=USD", "XLFILL=b")</f>
        <v>-28.118767517445065</v>
      </c>
      <c r="J321" s="9">
        <f>_xll.BQL("SAVE US Equity", "FA_GROWTH(CF_DEF_INC_TAX, YOY)", "FPT=A", "FPO=0A", "ACT_EST_MAPPING=PRECISE", "FS=MRC", "CURRENCY=USD", "XLFILL=b")</f>
        <v>19.764351225683161</v>
      </c>
      <c r="K321" s="9">
        <f>_xll.BQL("SAVE US Equity", "FA_GROWTH(CF_DEF_INC_TAX, YOY)", "FPT=A", "FPO=-1A", "ACT_EST_MAPPING=PRECISE", "FS=MRC", "CURRENCY=USD", "XLFILL=b")</f>
        <v>-200.21211264191345</v>
      </c>
      <c r="L321" s="9">
        <f>_xll.BQL("SAVE US Equity", "FA_GROWTH(CF_DEF_INC_TAX, YOY)", "FPT=A", "FPO=-2A", "ACT_EST_MAPPING=PRECISE", "FS=MRC", "CURRENCY=USD", "XLFILL=b")</f>
        <v>-7.4122293104196499</v>
      </c>
      <c r="M321" s="9">
        <f>_xll.BQL("SAVE US Equity", "FA_GROWTH(CF_DEF_INC_TAX, YOY)", "FPT=A", "FPO=-3A", "ACT_EST_MAPPING=PRECISE", "FS=MRC", "CURRENCY=USD", "XLFILL=b")</f>
        <v>-139.83611233565853</v>
      </c>
      <c r="N321" s="9">
        <f>_xll.BQL("SAVE US Equity", "FA_GROWTH(CF_DEF_INC_TAX, YOY)", "FPT=A", "FPO=-4A", "ACT_EST_MAPPING=PRECISE", "FS=MRC", "CURRENCY=USD", "XLFILL=b")</f>
        <v>149.85206142150616</v>
      </c>
    </row>
    <row r="322" spans="1:14" x14ac:dyDescent="0.2">
      <c r="A322" s="8" t="s">
        <v>352</v>
      </c>
      <c r="B322" s="4" t="s">
        <v>353</v>
      </c>
      <c r="C322" s="4"/>
      <c r="D322" s="4"/>
      <c r="E322" s="9" t="str">
        <f>_xll.BQL("SAVE US Equity", "CB_CF_PROVISION_FOR_DOUBTFUL_DEBT/1M", "FPT=A", "FPO=5A", "ACT_EST_MAPPING=PRECISE", "FS=MRC", "CURRENCY=USD", "XLFILL=b")</f>
        <v/>
      </c>
      <c r="F322" s="9" t="str">
        <f>_xll.BQL("SAVE US Equity", "CB_CF_PROVISION_FOR_DOUBTFUL_DEBT/1M", "FPT=A", "FPO=4A", "ACT_EST_MAPPING=PRECISE", "FS=MRC", "CURRENCY=USD", "XLFILL=b")</f>
        <v/>
      </c>
      <c r="G322" s="9" t="str">
        <f>_xll.BQL("SAVE US Equity", "CB_CF_PROVISION_FOR_DOUBTFUL_DEBT/1M", "FPT=A", "FPO=3A", "ACT_EST_MAPPING=PRECISE", "FS=MRC", "CURRENCY=USD", "XLFILL=b")</f>
        <v/>
      </c>
      <c r="H322" s="9" t="str">
        <f>_xll.BQL("SAVE US Equity", "CB_CF_PROVISION_FOR_DOUBTFUL_DEBT/1M", "FPT=A", "FPO=2A", "ACT_EST_MAPPING=PRECISE", "FS=MRC", "CURRENCY=USD", "XLFILL=b")</f>
        <v/>
      </c>
      <c r="I322" s="9">
        <f>_xll.BQL("SAVE US Equity", "CB_CF_PROVISION_FOR_DOUBTFUL_DEBT/1M", "FPT=A", "FPO=1A", "ACT_EST_MAPPING=PRECISE", "FS=MRC", "CURRENCY=USD", "XLFILL=b")</f>
        <v>0.82299999999999995</v>
      </c>
      <c r="J322" s="9">
        <f>_xll.BQL("SAVE US Equity", "CB_CF_PROVISION_FOR_DOUBTFUL_DEBT/1M", "FPT=A", "FPO=0A", "ACT_EST_MAPPING=PRECISE", "FS=MRC", "CURRENCY=USD", "XLFILL=b")</f>
        <v>0.159</v>
      </c>
      <c r="K322" s="9">
        <f>_xll.BQL("SAVE US Equity", "CB_CF_PROVISION_FOR_DOUBTFUL_DEBT/1M", "FPT=A", "FPO=-1A", "ACT_EST_MAPPING=PRECISE", "FS=MRC", "CURRENCY=USD", "XLFILL=b")</f>
        <v>-0.108</v>
      </c>
      <c r="L322" s="9">
        <f>_xll.BQL("SAVE US Equity", "CB_CF_PROVISION_FOR_DOUBTFUL_DEBT/1M", "FPT=A", "FPO=-2A", "ACT_EST_MAPPING=PRECISE", "FS=MRC", "CURRENCY=USD", "XLFILL=b")</f>
        <v>-8.7999999999999995E-2</v>
      </c>
      <c r="M322" s="9">
        <f>_xll.BQL("SAVE US Equity", "CB_CF_PROVISION_FOR_DOUBTFUL_DEBT/1M", "FPT=A", "FPO=-3A", "ACT_EST_MAPPING=PRECISE", "FS=MRC", "CURRENCY=USD", "XLFILL=b")</f>
        <v>-0.249</v>
      </c>
      <c r="N322" s="9">
        <f>_xll.BQL("SAVE US Equity", "CB_CF_PROVISION_FOR_DOUBTFUL_DEBT/1M", "FPT=A", "FPO=-4A", "ACT_EST_MAPPING=PRECISE", "FS=MRC", "CURRENCY=USD", "XLFILL=b")</f>
        <v>0</v>
      </c>
    </row>
    <row r="323" spans="1:14" x14ac:dyDescent="0.2">
      <c r="A323" s="8" t="s">
        <v>44</v>
      </c>
      <c r="B323" s="4" t="s">
        <v>353</v>
      </c>
      <c r="C323" s="4"/>
      <c r="D323" s="4"/>
      <c r="E323" s="9" t="str">
        <f>_xll.BQL("SAVE US Equity", "FA_GROWTH(CB_CF_PROVISION_FOR_DOUBTFUL_DEBT, YOY)", "FPT=A", "FPO=5A", "ACT_EST_MAPPING=PRECISE", "FS=MRC", "CURRENCY=USD", "XLFILL=b")</f>
        <v/>
      </c>
      <c r="F323" s="9" t="str">
        <f>_xll.BQL("SAVE US Equity", "FA_GROWTH(CB_CF_PROVISION_FOR_DOUBTFUL_DEBT, YOY)", "FPT=A", "FPO=4A", "ACT_EST_MAPPING=PRECISE", "FS=MRC", "CURRENCY=USD", "XLFILL=b")</f>
        <v/>
      </c>
      <c r="G323" s="9" t="str">
        <f>_xll.BQL("SAVE US Equity", "FA_GROWTH(CB_CF_PROVISION_FOR_DOUBTFUL_DEBT, YOY)", "FPT=A", "FPO=3A", "ACT_EST_MAPPING=PRECISE", "FS=MRC", "CURRENCY=USD", "XLFILL=b")</f>
        <v/>
      </c>
      <c r="H323" s="9" t="str">
        <f>_xll.BQL("SAVE US Equity", "FA_GROWTH(CB_CF_PROVISION_FOR_DOUBTFUL_DEBT, YOY)", "FPT=A", "FPO=2A", "ACT_EST_MAPPING=PRECISE", "FS=MRC", "CURRENCY=USD", "XLFILL=b")</f>
        <v/>
      </c>
      <c r="I323" s="9">
        <f>_xll.BQL("SAVE US Equity", "FA_GROWTH(CB_CF_PROVISION_FOR_DOUBTFUL_DEBT, YOY)", "FPT=A", "FPO=1A", "ACT_EST_MAPPING=PRECISE", "FS=MRC", "CURRENCY=USD", "XLFILL=b")</f>
        <v>417.61006289308176</v>
      </c>
      <c r="J323" s="9">
        <f>_xll.BQL("SAVE US Equity", "FA_GROWTH(CB_CF_PROVISION_FOR_DOUBTFUL_DEBT, YOY)", "FPT=A", "FPO=0A", "ACT_EST_MAPPING=PRECISE", "FS=MRC", "CURRENCY=USD", "XLFILL=b")</f>
        <v>247.22222222222223</v>
      </c>
      <c r="K323" s="9">
        <f>_xll.BQL("SAVE US Equity", "FA_GROWTH(CB_CF_PROVISION_FOR_DOUBTFUL_DEBT, YOY)", "FPT=A", "FPO=-1A", "ACT_EST_MAPPING=PRECISE", "FS=MRC", "CURRENCY=USD", "XLFILL=b")</f>
        <v>-22.727272727272727</v>
      </c>
      <c r="L323" s="9">
        <f>_xll.BQL("SAVE US Equity", "FA_GROWTH(CB_CF_PROVISION_FOR_DOUBTFUL_DEBT, YOY)", "FPT=A", "FPO=-2A", "ACT_EST_MAPPING=PRECISE", "FS=MRC", "CURRENCY=USD", "XLFILL=b")</f>
        <v>64.658634538152612</v>
      </c>
      <c r="M323" s="9" t="str">
        <f>_xll.BQL("SAVE US Equity", "FA_GROWTH(CB_CF_PROVISION_FOR_DOUBTFUL_DEBT, YOY)", "FPT=A", "FPO=-3A", "ACT_EST_MAPPING=PRECISE", "FS=MRC", "CURRENCY=USD", "XLFILL=b")</f>
        <v/>
      </c>
      <c r="N323" s="9">
        <f>_xll.BQL("SAVE US Equity", "FA_GROWTH(CB_CF_PROVISION_FOR_DOUBTFUL_DEBT, YOY)", "FPT=A", "FPO=-4A", "ACT_EST_MAPPING=PRECISE", "FS=MRC", "CURRENCY=USD", "XLFILL=b")</f>
        <v>100</v>
      </c>
    </row>
    <row r="324" spans="1:14" x14ac:dyDescent="0.2">
      <c r="A324" s="8" t="s">
        <v>354</v>
      </c>
      <c r="B324" s="4"/>
      <c r="C324" s="4"/>
      <c r="D324" s="4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x14ac:dyDescent="0.2">
      <c r="A325" s="8" t="s">
        <v>223</v>
      </c>
      <c r="B325" s="4" t="s">
        <v>355</v>
      </c>
      <c r="C325" s="4" t="s">
        <v>351</v>
      </c>
      <c r="D325" s="4"/>
      <c r="E325" s="9" t="str">
        <f>_xll.BQL("SAVE US Equity", "CB_CF_CHANGE_IN_ACCOUNTS_RECEIVABLE/1M", "FPT=A", "FPO=5A", "ACT_EST_MAPPING=PRECISE", "FS=MRC", "CURRENCY=USD", "XLFILL=b")</f>
        <v/>
      </c>
      <c r="F325" s="9" t="str">
        <f>_xll.BQL("SAVE US Equity", "CB_CF_CHANGE_IN_ACCOUNTS_RECEIVABLE/1M", "FPT=A", "FPO=4A", "ACT_EST_MAPPING=PRECISE", "FS=MRC", "CURRENCY=USD", "XLFILL=b")</f>
        <v/>
      </c>
      <c r="G325" s="9" t="str">
        <f>_xll.BQL("SAVE US Equity", "CB_CF_CHANGE_IN_ACCOUNTS_RECEIVABLE/1M", "FPT=A", "FPO=3A", "ACT_EST_MAPPING=PRECISE", "FS=MRC", "CURRENCY=USD", "XLFILL=b")</f>
        <v/>
      </c>
      <c r="H325" s="9">
        <f>_xll.BQL("SAVE US Equity", "CB_CF_CHANGE_IN_ACCOUNTS_RECEIVABLE/1M", "FPT=A", "FPO=2A", "ACT_EST_MAPPING=PRECISE", "FS=MRC", "CURRENCY=USD", "XLFILL=b")</f>
        <v>11.027327561916309</v>
      </c>
      <c r="I325" s="9">
        <f>_xll.BQL("SAVE US Equity", "CB_CF_CHANGE_IN_ACCOUNTS_RECEIVABLE/1M", "FPT=A", "FPO=1A", "ACT_EST_MAPPING=PRECISE", "FS=MRC", "CURRENCY=USD", "XLFILL=b")</f>
        <v>4.1901619978079774</v>
      </c>
      <c r="J325" s="9">
        <f>_xll.BQL("SAVE US Equity", "CB_CF_CHANGE_IN_ACCOUNTS_RECEIVABLE/1M", "FPT=A", "FPO=0A", "ACT_EST_MAPPING=PRECISE", "FS=MRC", "CURRENCY=USD", "XLFILL=b")</f>
        <v>-8.3510000000000009</v>
      </c>
      <c r="K325" s="9">
        <f>_xll.BQL("SAVE US Equity", "CB_CF_CHANGE_IN_ACCOUNTS_RECEIVABLE/1M", "FPT=A", "FPO=-1A", "ACT_EST_MAPPING=PRECISE", "FS=MRC", "CURRENCY=USD", "XLFILL=b")</f>
        <v>-68.34</v>
      </c>
      <c r="L325" s="9">
        <f>_xll.BQL("SAVE US Equity", "CB_CF_CHANGE_IN_ACCOUNTS_RECEIVABLE/1M", "FPT=A", "FPO=-2A", "ACT_EST_MAPPING=PRECISE", "FS=MRC", "CURRENCY=USD", "XLFILL=b")</f>
        <v>-85.8</v>
      </c>
      <c r="M325" s="9">
        <f>_xll.BQL("SAVE US Equity", "CB_CF_CHANGE_IN_ACCOUNTS_RECEIVABLE/1M", "FPT=A", "FPO=-3A", "ACT_EST_MAPPING=PRECISE", "FS=MRC", "CURRENCY=USD", "XLFILL=b")</f>
        <v>30.486000000000001</v>
      </c>
      <c r="N325" s="9">
        <f>_xll.BQL("SAVE US Equity", "CB_CF_CHANGE_IN_ACCOUNTS_RECEIVABLE/1M", "FPT=A", "FPO=-4A", "ACT_EST_MAPPING=PRECISE", "FS=MRC", "CURRENCY=USD", "XLFILL=b")</f>
        <v>-26.146999999999998</v>
      </c>
    </row>
    <row r="326" spans="1:14" x14ac:dyDescent="0.2">
      <c r="A326" s="8" t="s">
        <v>92</v>
      </c>
      <c r="B326" s="4" t="s">
        <v>355</v>
      </c>
      <c r="C326" s="4" t="s">
        <v>351</v>
      </c>
      <c r="D326" s="4"/>
      <c r="E326" s="9" t="str">
        <f>_xll.BQL("SAVE US Equity", "FA_GROWTH(CB_CF_CHANGE_IN_ACCOUNTS_RECEIVABLE, YOY)", "FPT=A", "FPO=5A", "ACT_EST_MAPPING=PRECISE", "FS=MRC", "CURRENCY=USD", "XLFILL=b")</f>
        <v/>
      </c>
      <c r="F326" s="9" t="str">
        <f>_xll.BQL("SAVE US Equity", "FA_GROWTH(CB_CF_CHANGE_IN_ACCOUNTS_RECEIVABLE, YOY)", "FPT=A", "FPO=4A", "ACT_EST_MAPPING=PRECISE", "FS=MRC", "CURRENCY=USD", "XLFILL=b")</f>
        <v/>
      </c>
      <c r="G326" s="9" t="str">
        <f>_xll.BQL("SAVE US Equity", "FA_GROWTH(CB_CF_CHANGE_IN_ACCOUNTS_RECEIVABLE, YOY)", "FPT=A", "FPO=3A", "ACT_EST_MAPPING=PRECISE", "FS=MRC", "CURRENCY=USD", "XLFILL=b")</f>
        <v/>
      </c>
      <c r="H326" s="9">
        <f>_xll.BQL("SAVE US Equity", "FA_GROWTH(CB_CF_CHANGE_IN_ACCOUNTS_RECEIVABLE, YOY)", "FPT=A", "FPO=2A", "ACT_EST_MAPPING=PRECISE", "FS=MRC", "CURRENCY=USD", "XLFILL=b")</f>
        <v>163.17186704678949</v>
      </c>
      <c r="I326" s="9">
        <f>_xll.BQL("SAVE US Equity", "FA_GROWTH(CB_CF_CHANGE_IN_ACCOUNTS_RECEIVABLE, YOY)", "FPT=A", "FPO=1A", "ACT_EST_MAPPING=PRECISE", "FS=MRC", "CURRENCY=USD", "XLFILL=b")</f>
        <v>150.1755717615612</v>
      </c>
      <c r="J326" s="9">
        <f>_xll.BQL("SAVE US Equity", "FA_GROWTH(CB_CF_CHANGE_IN_ACCOUNTS_RECEIVABLE, YOY)", "FPT=A", "FPO=0A", "ACT_EST_MAPPING=PRECISE", "FS=MRC", "CURRENCY=USD", "XLFILL=b")</f>
        <v>87.780216564237634</v>
      </c>
      <c r="K326" s="9">
        <f>_xll.BQL("SAVE US Equity", "FA_GROWTH(CB_CF_CHANGE_IN_ACCOUNTS_RECEIVABLE, YOY)", "FPT=A", "FPO=-1A", "ACT_EST_MAPPING=PRECISE", "FS=MRC", "CURRENCY=USD", "XLFILL=b")</f>
        <v>20.34965034965035</v>
      </c>
      <c r="L326" s="9">
        <f>_xll.BQL("SAVE US Equity", "FA_GROWTH(CB_CF_CHANGE_IN_ACCOUNTS_RECEIVABLE, YOY)", "FPT=A", "FPO=-2A", "ACT_EST_MAPPING=PRECISE", "FS=MRC", "CURRENCY=USD", "XLFILL=b")</f>
        <v>-381.4406612871482</v>
      </c>
      <c r="M326" s="9">
        <f>_xll.BQL("SAVE US Equity", "FA_GROWTH(CB_CF_CHANGE_IN_ACCOUNTS_RECEIVABLE, YOY)", "FPT=A", "FPO=-3A", "ACT_EST_MAPPING=PRECISE", "FS=MRC", "CURRENCY=USD", "XLFILL=b")</f>
        <v>216.59463800818449</v>
      </c>
      <c r="N326" s="9">
        <f>_xll.BQL("SAVE US Equity", "FA_GROWTH(CB_CF_CHANGE_IN_ACCOUNTS_RECEIVABLE, YOY)", "FPT=A", "FPO=-4A", "ACT_EST_MAPPING=PRECISE", "FS=MRC", "CURRENCY=USD", "XLFILL=b")</f>
        <v>-1661.9474313022699</v>
      </c>
    </row>
    <row r="327" spans="1:14" x14ac:dyDescent="0.2">
      <c r="A327" s="8" t="s">
        <v>356</v>
      </c>
      <c r="B327" s="4" t="s">
        <v>357</v>
      </c>
      <c r="C327" s="4" t="s">
        <v>351</v>
      </c>
      <c r="D327" s="4"/>
      <c r="E327" s="9" t="str">
        <f>_xll.BQL("SAVE US Equity", "CF_CHANGE_IN_ACCOUNTS_PAYABLE/1M", "FPT=A", "FPO=5A", "ACT_EST_MAPPING=PRECISE", "FS=MRC", "CURRENCY=USD", "XLFILL=b")</f>
        <v/>
      </c>
      <c r="F327" s="9" t="str">
        <f>_xll.BQL("SAVE US Equity", "CF_CHANGE_IN_ACCOUNTS_PAYABLE/1M", "FPT=A", "FPO=4A", "ACT_EST_MAPPING=PRECISE", "FS=MRC", "CURRENCY=USD", "XLFILL=b")</f>
        <v/>
      </c>
      <c r="G327" s="9" t="str">
        <f>_xll.BQL("SAVE US Equity", "CF_CHANGE_IN_ACCOUNTS_PAYABLE/1M", "FPT=A", "FPO=3A", "ACT_EST_MAPPING=PRECISE", "FS=MRC", "CURRENCY=USD", "XLFILL=b")</f>
        <v/>
      </c>
      <c r="H327" s="9">
        <f>_xll.BQL("SAVE US Equity", "CF_CHANGE_IN_ACCOUNTS_PAYABLE/1M", "FPT=A", "FPO=2A", "ACT_EST_MAPPING=PRECISE", "FS=MRC", "CURRENCY=USD", "XLFILL=b")</f>
        <v>-0.10743163861916116</v>
      </c>
      <c r="I327" s="9">
        <f>_xll.BQL("SAVE US Equity", "CF_CHANGE_IN_ACCOUNTS_PAYABLE/1M", "FPT=A", "FPO=1A", "ACT_EST_MAPPING=PRECISE", "FS=MRC", "CURRENCY=USD", "XLFILL=b")</f>
        <v>9.8229062796732052</v>
      </c>
      <c r="J327" s="9">
        <f>_xll.BQL("SAVE US Equity", "CF_CHANGE_IN_ACCOUNTS_PAYABLE/1M", "FPT=A", "FPO=0A", "ACT_EST_MAPPING=PRECISE", "FS=MRC", "CURRENCY=USD", "XLFILL=b")</f>
        <v>-34.051000000000002</v>
      </c>
      <c r="K327" s="9">
        <f>_xll.BQL("SAVE US Equity", "CF_CHANGE_IN_ACCOUNTS_PAYABLE/1M", "FPT=A", "FPO=-1A", "ACT_EST_MAPPING=PRECISE", "FS=MRC", "CURRENCY=USD", "XLFILL=b")</f>
        <v>9.032</v>
      </c>
      <c r="L327" s="9">
        <f>_xll.BQL("SAVE US Equity", "CF_CHANGE_IN_ACCOUNTS_PAYABLE/1M", "FPT=A", "FPO=-2A", "ACT_EST_MAPPING=PRECISE", "FS=MRC", "CURRENCY=USD", "XLFILL=b")</f>
        <v>13.057</v>
      </c>
      <c r="M327" s="9">
        <f>_xll.BQL("SAVE US Equity", "CF_CHANGE_IN_ACCOUNTS_PAYABLE/1M", "FPT=A", "FPO=-3A", "ACT_EST_MAPPING=PRECISE", "FS=MRC", "CURRENCY=USD", "XLFILL=b")</f>
        <v>-17.052</v>
      </c>
      <c r="N327" s="9">
        <f>_xll.BQL("SAVE US Equity", "CF_CHANGE_IN_ACCOUNTS_PAYABLE/1M", "FPT=A", "FPO=-4A", "ACT_EST_MAPPING=PRECISE", "FS=MRC", "CURRENCY=USD", "XLFILL=b")</f>
        <v>0.56899999999999995</v>
      </c>
    </row>
    <row r="328" spans="1:14" x14ac:dyDescent="0.2">
      <c r="A328" s="8" t="s">
        <v>92</v>
      </c>
      <c r="B328" s="4" t="s">
        <v>357</v>
      </c>
      <c r="C328" s="4" t="s">
        <v>351</v>
      </c>
      <c r="D328" s="4"/>
      <c r="E328" s="9" t="str">
        <f>_xll.BQL("SAVE US Equity", "FA_GROWTH(CF_CHANGE_IN_ACCOUNTS_PAYABLE, YOY)", "FPT=A", "FPO=5A", "ACT_EST_MAPPING=PRECISE", "FS=MRC", "CURRENCY=USD", "XLFILL=b")</f>
        <v/>
      </c>
      <c r="F328" s="9" t="str">
        <f>_xll.BQL("SAVE US Equity", "FA_GROWTH(CF_CHANGE_IN_ACCOUNTS_PAYABLE, YOY)", "FPT=A", "FPO=4A", "ACT_EST_MAPPING=PRECISE", "FS=MRC", "CURRENCY=USD", "XLFILL=b")</f>
        <v/>
      </c>
      <c r="G328" s="9" t="str">
        <f>_xll.BQL("SAVE US Equity", "FA_GROWTH(CF_CHANGE_IN_ACCOUNTS_PAYABLE, YOY)", "FPT=A", "FPO=3A", "ACT_EST_MAPPING=PRECISE", "FS=MRC", "CURRENCY=USD", "XLFILL=b")</f>
        <v/>
      </c>
      <c r="H328" s="9">
        <f>_xll.BQL("SAVE US Equity", "FA_GROWTH(CF_CHANGE_IN_ACCOUNTS_PAYABLE, YOY)", "FPT=A", "FPO=2A", "ACT_EST_MAPPING=PRECISE", "FS=MRC", "CURRENCY=USD", "XLFILL=b")</f>
        <v>-101.09368485823255</v>
      </c>
      <c r="I328" s="9">
        <f>_xll.BQL("SAVE US Equity", "FA_GROWTH(CF_CHANGE_IN_ACCOUNTS_PAYABLE, YOY)", "FPT=A", "FPO=1A", "ACT_EST_MAPPING=PRECISE", "FS=MRC", "CURRENCY=USD", "XLFILL=b")</f>
        <v>128.8476293785005</v>
      </c>
      <c r="J328" s="9">
        <f>_xll.BQL("SAVE US Equity", "FA_GROWTH(CF_CHANGE_IN_ACCOUNTS_PAYABLE, YOY)", "FPT=A", "FPO=0A", "ACT_EST_MAPPING=PRECISE", "FS=MRC", "CURRENCY=USD", "XLFILL=b")</f>
        <v>-477.00398582816649</v>
      </c>
      <c r="K328" s="9">
        <f>_xll.BQL("SAVE US Equity", "FA_GROWTH(CF_CHANGE_IN_ACCOUNTS_PAYABLE, YOY)", "FPT=A", "FPO=-1A", "ACT_EST_MAPPING=PRECISE", "FS=MRC", "CURRENCY=USD", "XLFILL=b")</f>
        <v>-30.826376656199738</v>
      </c>
      <c r="L328" s="9">
        <f>_xll.BQL("SAVE US Equity", "FA_GROWTH(CF_CHANGE_IN_ACCOUNTS_PAYABLE, YOY)", "FPT=A", "FPO=-2A", "ACT_EST_MAPPING=PRECISE", "FS=MRC", "CURRENCY=USD", "XLFILL=b")</f>
        <v>176.57166314801782</v>
      </c>
      <c r="M328" s="9">
        <f>_xll.BQL("SAVE US Equity", "FA_GROWTH(CF_CHANGE_IN_ACCOUNTS_PAYABLE, YOY)", "FPT=A", "FPO=-3A", "ACT_EST_MAPPING=PRECISE", "FS=MRC", "CURRENCY=USD", "XLFILL=b")</f>
        <v>-3096.8365553602812</v>
      </c>
      <c r="N328" s="9">
        <f>_xll.BQL("SAVE US Equity", "FA_GROWTH(CF_CHANGE_IN_ACCOUNTS_PAYABLE, YOY)", "FPT=A", "FPO=-4A", "ACT_EST_MAPPING=PRECISE", "FS=MRC", "CURRENCY=USD", "XLFILL=b")</f>
        <v>-96.285173336815305</v>
      </c>
    </row>
    <row r="329" spans="1:14" x14ac:dyDescent="0.2">
      <c r="A329" s="8" t="s">
        <v>358</v>
      </c>
      <c r="B329" s="4" t="s">
        <v>359</v>
      </c>
      <c r="C329" s="4" t="s">
        <v>351</v>
      </c>
      <c r="D329" s="4"/>
      <c r="E329" s="9">
        <f>_xll.BQL("SAVE US Equity", "CB_CF_CHG_IN_AIR_TRAFFIC_LIAB/1M", "FPT=A", "FPO=5A", "ACT_EST_MAPPING=PRECISE", "FS=MRC", "CURRENCY=USD", "XLFILL=b")</f>
        <v>74.687200000000075</v>
      </c>
      <c r="F329" s="9">
        <f>_xll.BQL("SAVE US Equity", "CB_CF_CHG_IN_AIR_TRAFFIC_LIAB/1M", "FPT=A", "FPO=4A", "ACT_EST_MAPPING=PRECISE", "FS=MRC", "CURRENCY=USD", "XLFILL=b")</f>
        <v>74.687200000000075</v>
      </c>
      <c r="G329" s="9">
        <f>_xll.BQL("SAVE US Equity", "CB_CF_CHG_IN_AIR_TRAFFIC_LIAB/1M", "FPT=A", "FPO=3A", "ACT_EST_MAPPING=PRECISE", "FS=MRC", "CURRENCY=USD", "XLFILL=b")</f>
        <v>74.687200000000075</v>
      </c>
      <c r="H329" s="9">
        <f>_xll.BQL("SAVE US Equity", "CB_CF_CHG_IN_AIR_TRAFFIC_LIAB/1M", "FPT=A", "FPO=2A", "ACT_EST_MAPPING=PRECISE", "FS=MRC", "CURRENCY=USD", "XLFILL=b")</f>
        <v>64.5053664923539</v>
      </c>
      <c r="I329" s="9">
        <f>_xll.BQL("SAVE US Equity", "CB_CF_CHG_IN_AIR_TRAFFIC_LIAB/1M", "FPT=A", "FPO=1A", "ACT_EST_MAPPING=PRECISE", "FS=MRC", "CURRENCY=USD", "XLFILL=b")</f>
        <v>59.777544034029503</v>
      </c>
      <c r="J329" s="9">
        <f>_xll.BQL("SAVE US Equity", "CB_CF_CHG_IN_AIR_TRAFFIC_LIAB/1M", "FPT=A", "FPO=0A", "ACT_EST_MAPPING=PRECISE", "FS=MRC", "CURRENCY=USD", "XLFILL=b")</f>
        <v>-45.866999999999997</v>
      </c>
      <c r="K329" s="9">
        <f>_xll.BQL("SAVE US Equity", "CB_CF_CHG_IN_AIR_TRAFFIC_LIAB/1M", "FPT=A", "FPO=-1A", "ACT_EST_MAPPING=PRECISE", "FS=MRC", "CURRENCY=USD", "XLFILL=b")</f>
        <v>47.301000000000002</v>
      </c>
      <c r="L329" s="9">
        <f>_xll.BQL("SAVE US Equity", "CB_CF_CHG_IN_AIR_TRAFFIC_LIAB/1M", "FPT=A", "FPO=-2A", "ACT_EST_MAPPING=PRECISE", "FS=MRC", "CURRENCY=USD", "XLFILL=b")</f>
        <v>-19.649000000000001</v>
      </c>
      <c r="M329" s="9">
        <f>_xll.BQL("SAVE US Equity", "CB_CF_CHG_IN_AIR_TRAFFIC_LIAB/1M", "FPT=A", "FPO=-3A", "ACT_EST_MAPPING=PRECISE", "FS=MRC", "CURRENCY=USD", "XLFILL=b")</f>
        <v>86.558000000000007</v>
      </c>
      <c r="N329" s="9">
        <f>_xll.BQL("SAVE US Equity", "CB_CF_CHG_IN_AIR_TRAFFIC_LIAB/1M", "FPT=A", "FPO=-4A", "ACT_EST_MAPPING=PRECISE", "FS=MRC", "CURRENCY=USD", "XLFILL=b")</f>
        <v>23.428999999999998</v>
      </c>
    </row>
    <row r="330" spans="1:14" x14ac:dyDescent="0.2">
      <c r="A330" s="8" t="s">
        <v>92</v>
      </c>
      <c r="B330" s="4" t="s">
        <v>359</v>
      </c>
      <c r="C330" s="4" t="s">
        <v>351</v>
      </c>
      <c r="D330" s="4"/>
      <c r="E330" s="9">
        <f>_xll.BQL("SAVE US Equity", "FA_GROWTH(CB_CF_CHG_IN_AIR_TRAFFIC_LIAB, YOY)", "FPT=A", "FPO=5A", "ACT_EST_MAPPING=PRECISE", "FS=MRC", "CURRENCY=USD", "XLFILL=b")</f>
        <v>0</v>
      </c>
      <c r="F330" s="9">
        <f>_xll.BQL("SAVE US Equity", "FA_GROWTH(CB_CF_CHG_IN_AIR_TRAFFIC_LIAB, YOY)", "FPT=A", "FPO=4A", "ACT_EST_MAPPING=PRECISE", "FS=MRC", "CURRENCY=USD", "XLFILL=b")</f>
        <v>0</v>
      </c>
      <c r="G330" s="9">
        <f>_xll.BQL("SAVE US Equity", "FA_GROWTH(CB_CF_CHG_IN_AIR_TRAFFIC_LIAB, YOY)", "FPT=A", "FPO=3A", "ACT_EST_MAPPING=PRECISE", "FS=MRC", "CURRENCY=USD", "XLFILL=b")</f>
        <v>15.784475093018932</v>
      </c>
      <c r="H330" s="9">
        <f>_xll.BQL("SAVE US Equity", "FA_GROWTH(CB_CF_CHG_IN_AIR_TRAFFIC_LIAB, YOY)", "FPT=A", "FPO=2A", "ACT_EST_MAPPING=PRECISE", "FS=MRC", "CURRENCY=USD", "XLFILL=b")</f>
        <v>7.9090276034642448</v>
      </c>
      <c r="I330" s="9">
        <f>_xll.BQL("SAVE US Equity", "FA_GROWTH(CB_CF_CHG_IN_AIR_TRAFFIC_LIAB, YOY)", "FPT=A", "FPO=1A", "ACT_EST_MAPPING=PRECISE", "FS=MRC", "CURRENCY=USD", "XLFILL=b")</f>
        <v>230.32800059744375</v>
      </c>
      <c r="J330" s="9">
        <f>_xll.BQL("SAVE US Equity", "FA_GROWTH(CB_CF_CHG_IN_AIR_TRAFFIC_LIAB, YOY)", "FPT=A", "FPO=0A", "ACT_EST_MAPPING=PRECISE", "FS=MRC", "CURRENCY=USD", "XLFILL=b")</f>
        <v>-196.96835162047313</v>
      </c>
      <c r="K330" s="9">
        <f>_xll.BQL("SAVE US Equity", "FA_GROWTH(CB_CF_CHG_IN_AIR_TRAFFIC_LIAB, YOY)", "FPT=A", "FPO=-1A", "ACT_EST_MAPPING=PRECISE", "FS=MRC", "CURRENCY=USD", "XLFILL=b")</f>
        <v>340.72980813272937</v>
      </c>
      <c r="L330" s="9">
        <f>_xll.BQL("SAVE US Equity", "FA_GROWTH(CB_CF_CHG_IN_AIR_TRAFFIC_LIAB, YOY)", "FPT=A", "FPO=-2A", "ACT_EST_MAPPING=PRECISE", "FS=MRC", "CURRENCY=USD", "XLFILL=b")</f>
        <v>-122.70038586843503</v>
      </c>
      <c r="M330" s="9">
        <f>_xll.BQL("SAVE US Equity", "FA_GROWTH(CB_CF_CHG_IN_AIR_TRAFFIC_LIAB, YOY)", "FPT=A", "FPO=-3A", "ACT_EST_MAPPING=PRECISE", "FS=MRC", "CURRENCY=USD", "XLFILL=b")</f>
        <v>269.44811985146612</v>
      </c>
      <c r="N330" s="9">
        <f>_xll.BQL("SAVE US Equity", "FA_GROWTH(CB_CF_CHG_IN_AIR_TRAFFIC_LIAB, YOY)", "FPT=A", "FPO=-4A", "ACT_EST_MAPPING=PRECISE", "FS=MRC", "CURRENCY=USD", "XLFILL=b")</f>
        <v>-17.124159886805803</v>
      </c>
    </row>
    <row r="331" spans="1:14" x14ac:dyDescent="0.2">
      <c r="A331" s="8" t="s">
        <v>360</v>
      </c>
      <c r="B331" s="4" t="s">
        <v>361</v>
      </c>
      <c r="C331" s="4" t="s">
        <v>351</v>
      </c>
      <c r="D331" s="4"/>
      <c r="E331" s="9" t="str">
        <f>_xll.BQL("SAVE US Equity", "CF_CHANGE_IN_OTHR_LIBLTS/1M", "FPT=A", "FPO=5A", "ACT_EST_MAPPING=PRECISE", "FS=MRC", "CURRENCY=USD", "XLFILL=b")</f>
        <v/>
      </c>
      <c r="F331" s="9" t="str">
        <f>_xll.BQL("SAVE US Equity", "CF_CHANGE_IN_OTHR_LIBLTS/1M", "FPT=A", "FPO=4A", "ACT_EST_MAPPING=PRECISE", "FS=MRC", "CURRENCY=USD", "XLFILL=b")</f>
        <v/>
      </c>
      <c r="G331" s="9" t="str">
        <f>_xll.BQL("SAVE US Equity", "CF_CHANGE_IN_OTHR_LIBLTS/1M", "FPT=A", "FPO=3A", "ACT_EST_MAPPING=PRECISE", "FS=MRC", "CURRENCY=USD", "XLFILL=b")</f>
        <v/>
      </c>
      <c r="H331" s="9">
        <f>_xll.BQL("SAVE US Equity", "CF_CHANGE_IN_OTHR_LIBLTS/1M", "FPT=A", "FPO=2A", "ACT_EST_MAPPING=PRECISE", "FS=MRC", "CURRENCY=USD", "XLFILL=b")</f>
        <v>64.819729946513689</v>
      </c>
      <c r="I331" s="9">
        <f>_xll.BQL("SAVE US Equity", "CF_CHANGE_IN_OTHR_LIBLTS/1M", "FPT=A", "FPO=1A", "ACT_EST_MAPPING=PRECISE", "FS=MRC", "CURRENCY=USD", "XLFILL=b")</f>
        <v>-67.755341006264644</v>
      </c>
      <c r="J331" s="9">
        <f>_xll.BQL("SAVE US Equity", "CF_CHANGE_IN_OTHR_LIBLTS/1M", "FPT=A", "FPO=0A", "ACT_EST_MAPPING=PRECISE", "FS=MRC", "CURRENCY=USD", "XLFILL=b")</f>
        <v>176.44</v>
      </c>
      <c r="K331" s="9">
        <f>_xll.BQL("SAVE US Equity", "CF_CHANGE_IN_OTHR_LIBLTS/1M", "FPT=A", "FPO=-1A", "ACT_EST_MAPPING=PRECISE", "FS=MRC", "CURRENCY=USD", "XLFILL=b")</f>
        <v>68.388999999999996</v>
      </c>
      <c r="L331" s="9">
        <f>_xll.BQL("SAVE US Equity", "CF_CHANGE_IN_OTHR_LIBLTS/1M", "FPT=A", "FPO=-2A", "ACT_EST_MAPPING=PRECISE", "FS=MRC", "CURRENCY=USD", "XLFILL=b")</f>
        <v>80.102999999999994</v>
      </c>
      <c r="M331" s="9">
        <f>_xll.BQL("SAVE US Equity", "CF_CHANGE_IN_OTHR_LIBLTS/1M", "FPT=A", "FPO=-3A", "ACT_EST_MAPPING=PRECISE", "FS=MRC", "CURRENCY=USD", "XLFILL=b")</f>
        <v>27.193999999999999</v>
      </c>
      <c r="N331" s="9">
        <f>_xll.BQL("SAVE US Equity", "CF_CHANGE_IN_OTHR_LIBLTS/1M", "FPT=A", "FPO=-4A", "ACT_EST_MAPPING=PRECISE", "FS=MRC", "CURRENCY=USD", "XLFILL=b")</f>
        <v>1.698</v>
      </c>
    </row>
    <row r="332" spans="1:14" x14ac:dyDescent="0.2">
      <c r="A332" s="8" t="s">
        <v>92</v>
      </c>
      <c r="B332" s="4" t="s">
        <v>361</v>
      </c>
      <c r="C332" s="4" t="s">
        <v>351</v>
      </c>
      <c r="D332" s="4"/>
      <c r="E332" s="9" t="str">
        <f>_xll.BQL("SAVE US Equity", "FA_GROWTH(CF_CHANGE_IN_OTHR_LIBLTS, YOY)", "FPT=A", "FPO=5A", "ACT_EST_MAPPING=PRECISE", "FS=MRC", "CURRENCY=USD", "XLFILL=b")</f>
        <v/>
      </c>
      <c r="F332" s="9" t="str">
        <f>_xll.BQL("SAVE US Equity", "FA_GROWTH(CF_CHANGE_IN_OTHR_LIBLTS, YOY)", "FPT=A", "FPO=4A", "ACT_EST_MAPPING=PRECISE", "FS=MRC", "CURRENCY=USD", "XLFILL=b")</f>
        <v/>
      </c>
      <c r="G332" s="9" t="str">
        <f>_xll.BQL("SAVE US Equity", "FA_GROWTH(CF_CHANGE_IN_OTHR_LIBLTS, YOY)", "FPT=A", "FPO=3A", "ACT_EST_MAPPING=PRECISE", "FS=MRC", "CURRENCY=USD", "XLFILL=b")</f>
        <v/>
      </c>
      <c r="H332" s="9">
        <f>_xll.BQL("SAVE US Equity", "FA_GROWTH(CF_CHANGE_IN_OTHR_LIBLTS, YOY)", "FPT=A", "FPO=2A", "ACT_EST_MAPPING=PRECISE", "FS=MRC", "CURRENCY=USD", "XLFILL=b")</f>
        <v>195.66733630714143</v>
      </c>
      <c r="I332" s="9">
        <f>_xll.BQL("SAVE US Equity", "FA_GROWTH(CF_CHANGE_IN_OTHR_LIBLTS, YOY)", "FPT=A", "FPO=1A", "ACT_EST_MAPPING=PRECISE", "FS=MRC", "CURRENCY=USD", "XLFILL=b")</f>
        <v>-138.40134947079156</v>
      </c>
      <c r="J332" s="9">
        <f>_xll.BQL("SAVE US Equity", "FA_GROWTH(CF_CHANGE_IN_OTHR_LIBLTS, YOY)", "FPT=A", "FPO=0A", "ACT_EST_MAPPING=PRECISE", "FS=MRC", "CURRENCY=USD", "XLFILL=b")</f>
        <v>157.99470675108569</v>
      </c>
      <c r="K332" s="9">
        <f>_xll.BQL("SAVE US Equity", "FA_GROWTH(CF_CHANGE_IN_OTHR_LIBLTS, YOY)", "FPT=A", "FPO=-1A", "ACT_EST_MAPPING=PRECISE", "FS=MRC", "CURRENCY=USD", "XLFILL=b")</f>
        <v>-14.623672022271325</v>
      </c>
      <c r="L332" s="9">
        <f>_xll.BQL("SAVE US Equity", "FA_GROWTH(CF_CHANGE_IN_OTHR_LIBLTS, YOY)", "FPT=A", "FPO=-2A", "ACT_EST_MAPPING=PRECISE", "FS=MRC", "CURRENCY=USD", "XLFILL=b")</f>
        <v>194.56130028682799</v>
      </c>
      <c r="M332" s="9">
        <f>_xll.BQL("SAVE US Equity", "FA_GROWTH(CF_CHANGE_IN_OTHR_LIBLTS, YOY)", "FPT=A", "FPO=-3A", "ACT_EST_MAPPING=PRECISE", "FS=MRC", "CURRENCY=USD", "XLFILL=b")</f>
        <v>1501.5312131919907</v>
      </c>
      <c r="N332" s="9">
        <f>_xll.BQL("SAVE US Equity", "FA_GROWTH(CF_CHANGE_IN_OTHR_LIBLTS, YOY)", "FPT=A", "FPO=-4A", "ACT_EST_MAPPING=PRECISE", "FS=MRC", "CURRENCY=USD", "XLFILL=b")</f>
        <v>-97.706583105972612</v>
      </c>
    </row>
    <row r="333" spans="1:14" x14ac:dyDescent="0.2">
      <c r="A333" s="8" t="s">
        <v>362</v>
      </c>
      <c r="B333" s="4" t="s">
        <v>363</v>
      </c>
      <c r="C333" s="4" t="s">
        <v>364</v>
      </c>
      <c r="D333" s="4"/>
      <c r="E333" s="9">
        <f>_xll.BQL("SAVE US Equity", "CB_CF_NET_CASH_OPERATING_ACT/1M", "FPT=A", "FPO=5A", "ACT_EST_MAPPING=PRECISE", "FS=MRC", "CURRENCY=USD", "XLFILL=b")</f>
        <v>611.30694058507959</v>
      </c>
      <c r="F333" s="9">
        <f>_xll.BQL("SAVE US Equity", "CB_CF_NET_CASH_OPERATING_ACT/1M", "FPT=A", "FPO=4A", "ACT_EST_MAPPING=PRECISE", "FS=MRC", "CURRENCY=USD", "XLFILL=b")</f>
        <v>362.65010330044004</v>
      </c>
      <c r="G333" s="9">
        <f>_xll.BQL("SAVE US Equity", "CB_CF_NET_CASH_OPERATING_ACT/1M", "FPT=A", "FPO=3A", "ACT_EST_MAPPING=PRECISE", "FS=MRC", "CURRENCY=USD", "XLFILL=b")</f>
        <v>126.29369973403236</v>
      </c>
      <c r="H333" s="9">
        <f>_xll.BQL("SAVE US Equity", "CB_CF_NET_CASH_OPERATING_ACT/1M", "FPT=A", "FPO=2A", "ACT_EST_MAPPING=PRECISE", "FS=MRC", "CURRENCY=USD", "XLFILL=b")</f>
        <v>-212.72321143542743</v>
      </c>
      <c r="I333" s="9">
        <f>_xll.BQL("SAVE US Equity", "CB_CF_NET_CASH_OPERATING_ACT/1M", "FPT=A", "FPO=1A", "ACT_EST_MAPPING=PRECISE", "FS=MRC", "CURRENCY=USD", "XLFILL=b")</f>
        <v>-610.94061951359845</v>
      </c>
      <c r="J333" s="9">
        <f>_xll.BQL("SAVE US Equity", "CB_CF_NET_CASH_OPERATING_ACT/1M", "FPT=A", "FPO=0A", "ACT_EST_MAPPING=PRECISE", "FS=MRC", "CURRENCY=USD", "XLFILL=b")</f>
        <v>-246.661</v>
      </c>
      <c r="K333" s="9">
        <f>_xll.BQL("SAVE US Equity", "CB_CF_NET_CASH_OPERATING_ACT/1M", "FPT=A", "FPO=-1A", "ACT_EST_MAPPING=PRECISE", "FS=MRC", "CURRENCY=USD", "XLFILL=b")</f>
        <v>-89.022000000000006</v>
      </c>
      <c r="L333" s="9">
        <f>_xll.BQL("SAVE US Equity", "CB_CF_NET_CASH_OPERATING_ACT/1M", "FPT=A", "FPO=-2A", "ACT_EST_MAPPING=PRECISE", "FS=MRC", "CURRENCY=USD", "XLFILL=b")</f>
        <v>208.88800000000001</v>
      </c>
      <c r="M333" s="9">
        <f>_xll.BQL("SAVE US Equity", "CB_CF_NET_CASH_OPERATING_ACT/1M", "FPT=A", "FPO=-3A", "ACT_EST_MAPPING=PRECISE", "FS=MRC", "CURRENCY=USD", "XLFILL=b")</f>
        <v>-225.274</v>
      </c>
      <c r="N333" s="9">
        <f>_xll.BQL("SAVE US Equity", "CB_CF_NET_CASH_OPERATING_ACT/1M", "FPT=A", "FPO=-4A", "ACT_EST_MAPPING=PRECISE", "FS=MRC", "CURRENCY=USD", "XLFILL=b")</f>
        <v>551.32100000000003</v>
      </c>
    </row>
    <row r="334" spans="1:14" x14ac:dyDescent="0.2">
      <c r="A334" s="8" t="s">
        <v>12</v>
      </c>
      <c r="B334" s="4" t="s">
        <v>363</v>
      </c>
      <c r="C334" s="4" t="s">
        <v>364</v>
      </c>
      <c r="D334" s="4"/>
      <c r="E334" s="9">
        <f>_xll.BQL("SAVE US Equity", "FA_GROWTH(CB_CF_NET_CASH_OPERATING_ACT, YOY)", "FPT=A", "FPO=5A", "ACT_EST_MAPPING=PRECISE", "FS=MRC", "CURRENCY=USD", "XLFILL=b")</f>
        <v>68.566597671320125</v>
      </c>
      <c r="F334" s="9">
        <f>_xll.BQL("SAVE US Equity", "FA_GROWTH(CB_CF_NET_CASH_OPERATING_ACT, YOY)", "FPT=A", "FPO=4A", "ACT_EST_MAPPING=PRECISE", "FS=MRC", "CURRENCY=USD", "XLFILL=b")</f>
        <v>187.14821409473421</v>
      </c>
      <c r="G334" s="9">
        <f>_xll.BQL("SAVE US Equity", "FA_GROWTH(CB_CF_NET_CASH_OPERATING_ACT, YOY)", "FPT=A", "FPO=3A", "ACT_EST_MAPPING=PRECISE", "FS=MRC", "CURRENCY=USD", "XLFILL=b")</f>
        <v>159.36996667256932</v>
      </c>
      <c r="H334" s="9">
        <f>_xll.BQL("SAVE US Equity", "FA_GROWTH(CB_CF_NET_CASH_OPERATING_ACT, YOY)", "FPT=A", "FPO=2A", "ACT_EST_MAPPING=PRECISE", "FS=MRC", "CURRENCY=USD", "XLFILL=b")</f>
        <v>65.181033206666228</v>
      </c>
      <c r="I334" s="9">
        <f>_xll.BQL("SAVE US Equity", "FA_GROWTH(CB_CF_NET_CASH_OPERATING_ACT, YOY)", "FPT=A", "FPO=1A", "ACT_EST_MAPPING=PRECISE", "FS=MRC", "CURRENCY=USD", "XLFILL=b")</f>
        <v>-147.68431957771941</v>
      </c>
      <c r="J334" s="9">
        <f>_xll.BQL("SAVE US Equity", "FA_GROWTH(CB_CF_NET_CASH_OPERATING_ACT, YOY)", "FPT=A", "FPO=0A", "ACT_EST_MAPPING=PRECISE", "FS=MRC", "CURRENCY=USD", "XLFILL=b")</f>
        <v>-177.0786996472782</v>
      </c>
      <c r="K334" s="9">
        <f>_xll.BQL("SAVE US Equity", "FA_GROWTH(CB_CF_NET_CASH_OPERATING_ACT, YOY)", "FPT=A", "FPO=-1A", "ACT_EST_MAPPING=PRECISE", "FS=MRC", "CURRENCY=USD", "XLFILL=b")</f>
        <v>-142.61709624296273</v>
      </c>
      <c r="L334" s="9">
        <f>_xll.BQL("SAVE US Equity", "FA_GROWTH(CB_CF_NET_CASH_OPERATING_ACT, YOY)", "FPT=A", "FPO=-2A", "ACT_EST_MAPPING=PRECISE", "FS=MRC", "CURRENCY=USD", "XLFILL=b")</f>
        <v>192.72619121603026</v>
      </c>
      <c r="M334" s="9">
        <f>_xll.BQL("SAVE US Equity", "FA_GROWTH(CB_CF_NET_CASH_OPERATING_ACT, YOY)", "FPT=A", "FPO=-3A", "ACT_EST_MAPPING=PRECISE", "FS=MRC", "CURRENCY=USD", "XLFILL=b")</f>
        <v>-140.86076895311442</v>
      </c>
      <c r="N334" s="9">
        <f>_xll.BQL("SAVE US Equity", "FA_GROWTH(CB_CF_NET_CASH_OPERATING_ACT, YOY)", "FPT=A", "FPO=-4A", "ACT_EST_MAPPING=PRECISE", "FS=MRC", "CURRENCY=USD", "XLFILL=b")</f>
        <v>8.8571129579061054</v>
      </c>
    </row>
    <row r="335" spans="1:14" x14ac:dyDescent="0.2">
      <c r="A335" s="8" t="s">
        <v>16</v>
      </c>
      <c r="B335" s="4"/>
      <c r="C335" s="4"/>
      <c r="D335" s="4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4" x14ac:dyDescent="0.2">
      <c r="A336" s="8" t="s">
        <v>365</v>
      </c>
      <c r="B336" s="4"/>
      <c r="C336" s="4" t="s">
        <v>366</v>
      </c>
      <c r="D336" s="4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x14ac:dyDescent="0.2">
      <c r="A337" s="8" t="s">
        <v>367</v>
      </c>
      <c r="B337" s="4" t="s">
        <v>368</v>
      </c>
      <c r="C337" s="4"/>
      <c r="D337" s="4"/>
      <c r="E337" s="9" t="str">
        <f>_xll.BQL("SAVE US Equity", "HEADLINE_CAPEX/1M", "FPT=A", "FPO=5A", "ACT_EST_MAPPING=PRECISE", "FS=MRC", "CURRENCY=USD", "XLFILL=b")</f>
        <v/>
      </c>
      <c r="F337" s="9" t="str">
        <f>_xll.BQL("SAVE US Equity", "HEADLINE_CAPEX/1M", "FPT=A", "FPO=4A", "ACT_EST_MAPPING=PRECISE", "FS=MRC", "CURRENCY=USD", "XLFILL=b")</f>
        <v/>
      </c>
      <c r="G337" s="9">
        <f>_xll.BQL("SAVE US Equity", "HEADLINE_CAPEX/1M", "FPT=A", "FPO=3A", "ACT_EST_MAPPING=PRECISE", "FS=MRC", "CURRENCY=USD", "XLFILL=b")</f>
        <v>-200</v>
      </c>
      <c r="H337" s="9">
        <f>_xll.BQL("SAVE US Equity", "HEADLINE_CAPEX/1M", "FPT=A", "FPO=2A", "ACT_EST_MAPPING=PRECISE", "FS=MRC", "CURRENCY=USD", "XLFILL=b")</f>
        <v>-222</v>
      </c>
      <c r="I337" s="9">
        <f>_xll.BQL("SAVE US Equity", "HEADLINE_CAPEX/1M", "FPT=A", "FPO=1A", "ACT_EST_MAPPING=PRECISE", "FS=MRC", "CURRENCY=USD", "XLFILL=b")</f>
        <v>-121</v>
      </c>
      <c r="J337" s="9">
        <f>_xll.BQL("SAVE US Equity", "HEADLINE_CAPEX/1M", "FPT=A", "FPO=0A", "ACT_EST_MAPPING=PRECISE", "FS=MRC", "CURRENCY=USD", "XLFILL=b")</f>
        <v>-255.56299999999999</v>
      </c>
      <c r="K337" s="9">
        <f>_xll.BQL("SAVE US Equity", "HEADLINE_CAPEX/1M", "FPT=A", "FPO=-1A", "ACT_EST_MAPPING=PRECISE", "FS=MRC", "CURRENCY=USD", "XLFILL=b")</f>
        <v>-237.584</v>
      </c>
      <c r="L337" s="9">
        <f>_xll.BQL("SAVE US Equity", "HEADLINE_CAPEX/1M", "FPT=A", "FPO=-2A", "ACT_EST_MAPPING=PRECISE", "FS=MRC", "CURRENCY=USD", "XLFILL=b")</f>
        <v>-213.767</v>
      </c>
      <c r="M337" s="9">
        <f>_xll.BQL("SAVE US Equity", "HEADLINE_CAPEX/1M", "FPT=A", "FPO=-3A", "ACT_EST_MAPPING=PRECISE", "FS=MRC", "CURRENCY=USD", "XLFILL=b")</f>
        <v>-393.375</v>
      </c>
      <c r="N337" s="9">
        <f>_xll.BQL("SAVE US Equity", "HEADLINE_CAPEX/1M", "FPT=A", "FPO=-4A", "ACT_EST_MAPPING=PRECISE", "FS=MRC", "CURRENCY=USD", "XLFILL=b")</f>
        <v>-334.53699999999998</v>
      </c>
    </row>
    <row r="338" spans="1:14" x14ac:dyDescent="0.2">
      <c r="A338" s="8" t="s">
        <v>44</v>
      </c>
      <c r="B338" s="4" t="s">
        <v>368</v>
      </c>
      <c r="C338" s="4"/>
      <c r="D338" s="4"/>
      <c r="E338" s="9" t="str">
        <f>_xll.BQL("SAVE US Equity", "FA_GROWTH(HEADLINE_CAPEX, YOY)", "FPT=A", "FPO=5A", "ACT_EST_MAPPING=PRECISE", "FS=MRC", "CURRENCY=USD", "XLFILL=b")</f>
        <v/>
      </c>
      <c r="F338" s="9" t="str">
        <f>_xll.BQL("SAVE US Equity", "FA_GROWTH(HEADLINE_CAPEX, YOY)", "FPT=A", "FPO=4A", "ACT_EST_MAPPING=PRECISE", "FS=MRC", "CURRENCY=USD", "XLFILL=b")</f>
        <v/>
      </c>
      <c r="G338" s="9">
        <f>_xll.BQL("SAVE US Equity", "FA_GROWTH(HEADLINE_CAPEX, YOY)", "FPT=A", "FPO=3A", "ACT_EST_MAPPING=PRECISE", "FS=MRC", "CURRENCY=USD", "XLFILL=b")</f>
        <v>9.9099099099099099</v>
      </c>
      <c r="H338" s="9">
        <f>_xll.BQL("SAVE US Equity", "FA_GROWTH(HEADLINE_CAPEX, YOY)", "FPT=A", "FPO=2A", "ACT_EST_MAPPING=PRECISE", "FS=MRC", "CURRENCY=USD", "XLFILL=b")</f>
        <v>-83.471074380165291</v>
      </c>
      <c r="I338" s="9">
        <f>_xll.BQL("SAVE US Equity", "FA_GROWTH(HEADLINE_CAPEX, YOY)", "FPT=A", "FPO=1A", "ACT_EST_MAPPING=PRECISE", "FS=MRC", "CURRENCY=USD", "XLFILL=b")</f>
        <v>52.653553135626048</v>
      </c>
      <c r="J338" s="9">
        <f>_xll.BQL("SAVE US Equity", "FA_GROWTH(HEADLINE_CAPEX, YOY)", "FPT=A", "FPO=0A", "ACT_EST_MAPPING=PRECISE", "FS=MRC", "CURRENCY=USD", "XLFILL=b")</f>
        <v>-7.5674287830830362</v>
      </c>
      <c r="K338" s="9">
        <f>_xll.BQL("SAVE US Equity", "FA_GROWTH(HEADLINE_CAPEX, YOY)", "FPT=A", "FPO=-1A", "ACT_EST_MAPPING=PRECISE", "FS=MRC", "CURRENCY=USD", "XLFILL=b")</f>
        <v>-11.141570027179124</v>
      </c>
      <c r="L338" s="9">
        <f>_xll.BQL("SAVE US Equity", "FA_GROWTH(HEADLINE_CAPEX, YOY)", "FPT=A", "FPO=-2A", "ACT_EST_MAPPING=PRECISE", "FS=MRC", "CURRENCY=USD", "XLFILL=b")</f>
        <v>45.658214172227517</v>
      </c>
      <c r="M338" s="9">
        <f>_xll.BQL("SAVE US Equity", "FA_GROWTH(HEADLINE_CAPEX, YOY)", "FPT=A", "FPO=-3A", "ACT_EST_MAPPING=PRECISE", "FS=MRC", "CURRENCY=USD", "XLFILL=b")</f>
        <v>-17.587890128745101</v>
      </c>
      <c r="N338" s="9">
        <f>_xll.BQL("SAVE US Equity", "FA_GROWTH(HEADLINE_CAPEX, YOY)", "FPT=A", "FPO=-4A", "ACT_EST_MAPPING=PRECISE", "FS=MRC", "CURRENCY=USD", "XLFILL=b")</f>
        <v>44.884187218170226</v>
      </c>
    </row>
    <row r="339" spans="1:14" x14ac:dyDescent="0.2">
      <c r="A339" s="8" t="s">
        <v>369</v>
      </c>
      <c r="B339" s="4" t="s">
        <v>370</v>
      </c>
      <c r="C339" s="4"/>
      <c r="D339" s="4"/>
      <c r="E339" s="9" t="str">
        <f>_xll.BQL("SAVE US Equity", "CB_CF_PROCEEDS_FROM_ST_INV/1M", "FPT=A", "FPO=5A", "ACT_EST_MAPPING=PRECISE", "FS=MRC", "CURRENCY=USD", "XLFILL=b")</f>
        <v/>
      </c>
      <c r="F339" s="9" t="str">
        <f>_xll.BQL("SAVE US Equity", "CB_CF_PROCEEDS_FROM_ST_INV/1M", "FPT=A", "FPO=4A", "ACT_EST_MAPPING=PRECISE", "FS=MRC", "CURRENCY=USD", "XLFILL=b")</f>
        <v/>
      </c>
      <c r="G339" s="9" t="str">
        <f>_xll.BQL("SAVE US Equity", "CB_CF_PROCEEDS_FROM_ST_INV/1M", "FPT=A", "FPO=3A", "ACT_EST_MAPPING=PRECISE", "FS=MRC", "CURRENCY=USD", "XLFILL=b")</f>
        <v/>
      </c>
      <c r="H339" s="9" t="str">
        <f>_xll.BQL("SAVE US Equity", "CB_CF_PROCEEDS_FROM_ST_INV/1M", "FPT=A", "FPO=2A", "ACT_EST_MAPPING=PRECISE", "FS=MRC", "CURRENCY=USD", "XLFILL=b")</f>
        <v/>
      </c>
      <c r="I339" s="9">
        <f>_xll.BQL("SAVE US Equity", "CB_CF_PROCEEDS_FROM_ST_INV/1M", "FPT=A", "FPO=1A", "ACT_EST_MAPPING=PRECISE", "FS=MRC", "CURRENCY=USD", "XLFILL=b")</f>
        <v>105.906125</v>
      </c>
      <c r="J339" s="9">
        <f>_xll.BQL("SAVE US Equity", "CB_CF_PROCEEDS_FROM_ST_INV/1M", "FPT=A", "FPO=0A", "ACT_EST_MAPPING=PRECISE", "FS=MRC", "CURRENCY=USD", "XLFILL=b")</f>
        <v>125.57</v>
      </c>
      <c r="K339" s="9">
        <f>_xll.BQL("SAVE US Equity", "CB_CF_PROCEEDS_FROM_ST_INV/1M", "FPT=A", "FPO=-1A", "ACT_EST_MAPPING=PRECISE", "FS=MRC", "CURRENCY=USD", "XLFILL=b")</f>
        <v>109.5</v>
      </c>
      <c r="L339" s="9">
        <f>_xll.BQL("SAVE US Equity", "CB_CF_PROCEEDS_FROM_ST_INV/1M", "FPT=A", "FPO=-2A", "ACT_EST_MAPPING=PRECISE", "FS=MRC", "CURRENCY=USD", "XLFILL=b")</f>
        <v>104.5</v>
      </c>
      <c r="M339" s="9">
        <f>_xll.BQL("SAVE US Equity", "CB_CF_PROCEEDS_FROM_ST_INV/1M", "FPT=A", "FPO=-3A", "ACT_EST_MAPPING=PRECISE", "FS=MRC", "CURRENCY=USD", "XLFILL=b")</f>
        <v>117.66500000000001</v>
      </c>
      <c r="N339" s="9">
        <f>_xll.BQL("SAVE US Equity", "CB_CF_PROCEEDS_FROM_ST_INV/1M", "FPT=A", "FPO=-4A", "ACT_EST_MAPPING=PRECISE", "FS=MRC", "CURRENCY=USD", "XLFILL=b")</f>
        <v>120.83</v>
      </c>
    </row>
    <row r="340" spans="1:14" x14ac:dyDescent="0.2">
      <c r="A340" s="8" t="s">
        <v>44</v>
      </c>
      <c r="B340" s="4" t="s">
        <v>370</v>
      </c>
      <c r="C340" s="4"/>
      <c r="D340" s="4"/>
      <c r="E340" s="9" t="str">
        <f>_xll.BQL("SAVE US Equity", "FA_GROWTH(CB_CF_PROCEEDS_FROM_ST_INV, YOY)", "FPT=A", "FPO=5A", "ACT_EST_MAPPING=PRECISE", "FS=MRC", "CURRENCY=USD", "XLFILL=b")</f>
        <v/>
      </c>
      <c r="F340" s="9" t="str">
        <f>_xll.BQL("SAVE US Equity", "FA_GROWTH(CB_CF_PROCEEDS_FROM_ST_INV, YOY)", "FPT=A", "FPO=4A", "ACT_EST_MAPPING=PRECISE", "FS=MRC", "CURRENCY=USD", "XLFILL=b")</f>
        <v/>
      </c>
      <c r="G340" s="9" t="str">
        <f>_xll.BQL("SAVE US Equity", "FA_GROWTH(CB_CF_PROCEEDS_FROM_ST_INV, YOY)", "FPT=A", "FPO=3A", "ACT_EST_MAPPING=PRECISE", "FS=MRC", "CURRENCY=USD", "XLFILL=b")</f>
        <v/>
      </c>
      <c r="H340" s="9" t="str">
        <f>_xll.BQL("SAVE US Equity", "FA_GROWTH(CB_CF_PROCEEDS_FROM_ST_INV, YOY)", "FPT=A", "FPO=2A", "ACT_EST_MAPPING=PRECISE", "FS=MRC", "CURRENCY=USD", "XLFILL=b")</f>
        <v/>
      </c>
      <c r="I340" s="9">
        <f>_xll.BQL("SAVE US Equity", "FA_GROWTH(CB_CF_PROCEEDS_FROM_ST_INV, YOY)", "FPT=A", "FPO=1A", "ACT_EST_MAPPING=PRECISE", "FS=MRC", "CURRENCY=USD", "XLFILL=b")</f>
        <v>-15.659691805367524</v>
      </c>
      <c r="J340" s="9">
        <f>_xll.BQL("SAVE US Equity", "FA_GROWTH(CB_CF_PROCEEDS_FROM_ST_INV, YOY)", "FPT=A", "FPO=0A", "ACT_EST_MAPPING=PRECISE", "FS=MRC", "CURRENCY=USD", "XLFILL=b")</f>
        <v>14.675799086757991</v>
      </c>
      <c r="K340" s="9">
        <f>_xll.BQL("SAVE US Equity", "FA_GROWTH(CB_CF_PROCEEDS_FROM_ST_INV, YOY)", "FPT=A", "FPO=-1A", "ACT_EST_MAPPING=PRECISE", "FS=MRC", "CURRENCY=USD", "XLFILL=b")</f>
        <v>4.7846889952153111</v>
      </c>
      <c r="L340" s="9">
        <f>_xll.BQL("SAVE US Equity", "FA_GROWTH(CB_CF_PROCEEDS_FROM_ST_INV, YOY)", "FPT=A", "FPO=-2A", "ACT_EST_MAPPING=PRECISE", "FS=MRC", "CURRENCY=USD", "XLFILL=b")</f>
        <v>-11.188543747078571</v>
      </c>
      <c r="M340" s="9">
        <f>_xll.BQL("SAVE US Equity", "FA_GROWTH(CB_CF_PROCEEDS_FROM_ST_INV, YOY)", "FPT=A", "FPO=-3A", "ACT_EST_MAPPING=PRECISE", "FS=MRC", "CURRENCY=USD", "XLFILL=b")</f>
        <v>-2.6193826036580319</v>
      </c>
      <c r="N340" s="9">
        <f>_xll.BQL("SAVE US Equity", "FA_GROWTH(CB_CF_PROCEEDS_FROM_ST_INV, YOY)", "FPT=A", "FPO=-4A", "ACT_EST_MAPPING=PRECISE", "FS=MRC", "CURRENCY=USD", "XLFILL=b")</f>
        <v>-1.7218801597436293</v>
      </c>
    </row>
    <row r="341" spans="1:14" x14ac:dyDescent="0.2">
      <c r="A341" s="8" t="s">
        <v>371</v>
      </c>
      <c r="B341" s="4" t="s">
        <v>372</v>
      </c>
      <c r="C341" s="4" t="s">
        <v>373</v>
      </c>
      <c r="D341" s="4"/>
      <c r="E341" s="9">
        <f>_xll.BQL("SAVE US Equity", "CB_CF_NET_CASH_INVESTING_ACT/1M", "FPT=A", "FPO=5A", "ACT_EST_MAPPING=PRECISE", "FS=MRC", "CURRENCY=USD", "XLFILL=b")</f>
        <v>-1118</v>
      </c>
      <c r="F341" s="9">
        <f>_xll.BQL("SAVE US Equity", "CB_CF_NET_CASH_INVESTING_ACT/1M", "FPT=A", "FPO=4A", "ACT_EST_MAPPING=PRECISE", "FS=MRC", "CURRENCY=USD", "XLFILL=b")</f>
        <v>-1103</v>
      </c>
      <c r="G341" s="9">
        <f>_xll.BQL("SAVE US Equity", "CB_CF_NET_CASH_INVESTING_ACT/1M", "FPT=A", "FPO=3A", "ACT_EST_MAPPING=PRECISE", "FS=MRC", "CURRENCY=USD", "XLFILL=b")</f>
        <v>-298.875</v>
      </c>
      <c r="H341" s="9">
        <f>_xll.BQL("SAVE US Equity", "CB_CF_NET_CASH_INVESTING_ACT/1M", "FPT=A", "FPO=2A", "ACT_EST_MAPPING=PRECISE", "FS=MRC", "CURRENCY=USD", "XLFILL=b")</f>
        <v>-244.27600000000001</v>
      </c>
      <c r="I341" s="9">
        <f>_xll.BQL("SAVE US Equity", "CB_CF_NET_CASH_INVESTING_ACT/1M", "FPT=A", "FPO=1A", "ACT_EST_MAPPING=PRECISE", "FS=MRC", "CURRENCY=USD", "XLFILL=b")</f>
        <v>139.09382646450752</v>
      </c>
      <c r="J341" s="9">
        <f>_xll.BQL("SAVE US Equity", "CB_CF_NET_CASH_INVESTING_ACT/1M", "FPT=A", "FPO=0A", "ACT_EST_MAPPING=PRECISE", "FS=MRC", "CURRENCY=USD", "XLFILL=b")</f>
        <v>-36.508000000000003</v>
      </c>
      <c r="K341" s="9">
        <f>_xll.BQL("SAVE US Equity", "CB_CF_NET_CASH_INVESTING_ACT/1M", "FPT=A", "FPO=-1A", "ACT_EST_MAPPING=PRECISE", "FS=MRC", "CURRENCY=USD", "XLFILL=b")</f>
        <v>-265.44</v>
      </c>
      <c r="L341" s="9">
        <f>_xll.BQL("SAVE US Equity", "CB_CF_NET_CASH_INVESTING_ACT/1M", "FPT=A", "FPO=-2A", "ACT_EST_MAPPING=PRECISE", "FS=MRC", "CURRENCY=USD", "XLFILL=b")</f>
        <v>-352.44499999999999</v>
      </c>
      <c r="M341" s="9">
        <f>_xll.BQL("SAVE US Equity", "CB_CF_NET_CASH_INVESTING_ACT/1M", "FPT=A", "FPO=-3A", "ACT_EST_MAPPING=PRECISE", "FS=MRC", "CURRENCY=USD", "XLFILL=b")</f>
        <v>-554</v>
      </c>
      <c r="N341" s="9">
        <f>_xll.BQL("SAVE US Equity", "CB_CF_NET_CASH_INVESTING_ACT/1M", "FPT=A", "FPO=-4A", "ACT_EST_MAPPING=PRECISE", "FS=MRC", "CURRENCY=USD", "XLFILL=b")</f>
        <v>-456.92899999999997</v>
      </c>
    </row>
    <row r="342" spans="1:14" x14ac:dyDescent="0.2">
      <c r="A342" s="8" t="s">
        <v>12</v>
      </c>
      <c r="B342" s="4" t="s">
        <v>372</v>
      </c>
      <c r="C342" s="4" t="s">
        <v>373</v>
      </c>
      <c r="D342" s="4"/>
      <c r="E342" s="9">
        <f>_xll.BQL("SAVE US Equity", "FA_GROWTH(CB_CF_NET_CASH_INVESTING_ACT, YOY)", "FPT=A", "FPO=5A", "ACT_EST_MAPPING=PRECISE", "FS=MRC", "CURRENCY=USD", "XLFILL=b")</f>
        <v>-1.3599274705349047</v>
      </c>
      <c r="F342" s="9">
        <f>_xll.BQL("SAVE US Equity", "FA_GROWTH(CB_CF_NET_CASH_INVESTING_ACT, YOY)", "FPT=A", "FPO=4A", "ACT_EST_MAPPING=PRECISE", "FS=MRC", "CURRENCY=USD", "XLFILL=b")</f>
        <v>-269.05060644081976</v>
      </c>
      <c r="G342" s="9">
        <f>_xll.BQL("SAVE US Equity", "FA_GROWTH(CB_CF_NET_CASH_INVESTING_ACT, YOY)", "FPT=A", "FPO=3A", "ACT_EST_MAPPING=PRECISE", "FS=MRC", "CURRENCY=USD", "XLFILL=b")</f>
        <v>-22.351356662136272</v>
      </c>
      <c r="H342" s="9">
        <f>_xll.BQL("SAVE US Equity", "FA_GROWTH(CB_CF_NET_CASH_INVESTING_ACT, YOY)", "FPT=A", "FPO=2A", "ACT_EST_MAPPING=PRECISE", "FS=MRC", "CURRENCY=USD", "XLFILL=b")</f>
        <v>-275.61958442658255</v>
      </c>
      <c r="I342" s="9">
        <f>_xll.BQL("SAVE US Equity", "FA_GROWTH(CB_CF_NET_CASH_INVESTING_ACT, YOY)", "FPT=A", "FPO=1A", "ACT_EST_MAPPING=PRECISE", "FS=MRC", "CURRENCY=USD", "XLFILL=b")</f>
        <v>480.99547075848449</v>
      </c>
      <c r="J342" s="9">
        <f>_xll.BQL("SAVE US Equity", "FA_GROWTH(CB_CF_NET_CASH_INVESTING_ACT, YOY)", "FPT=A", "FPO=0A", "ACT_EST_MAPPING=PRECISE", "FS=MRC", "CURRENCY=USD", "XLFILL=b")</f>
        <v>86.246232670283305</v>
      </c>
      <c r="K342" s="9">
        <f>_xll.BQL("SAVE US Equity", "FA_GROWTH(CB_CF_NET_CASH_INVESTING_ACT, YOY)", "FPT=A", "FPO=-1A", "ACT_EST_MAPPING=PRECISE", "FS=MRC", "CURRENCY=USD", "XLFILL=b")</f>
        <v>24.686121238774845</v>
      </c>
      <c r="L342" s="9">
        <f>_xll.BQL("SAVE US Equity", "FA_GROWTH(CB_CF_NET_CASH_INVESTING_ACT, YOY)", "FPT=A", "FPO=-2A", "ACT_EST_MAPPING=PRECISE", "FS=MRC", "CURRENCY=USD", "XLFILL=b")</f>
        <v>36.381768953068594</v>
      </c>
      <c r="M342" s="9">
        <f>_xll.BQL("SAVE US Equity", "FA_GROWTH(CB_CF_NET_CASH_INVESTING_ACT, YOY)", "FPT=A", "FPO=-3A", "ACT_EST_MAPPING=PRECISE", "FS=MRC", "CURRENCY=USD", "XLFILL=b")</f>
        <v>-21.244219561463598</v>
      </c>
      <c r="N342" s="9">
        <f>_xll.BQL("SAVE US Equity", "FA_GROWTH(CB_CF_NET_CASH_INVESTING_ACT, YOY)", "FPT=A", "FPO=-4A", "ACT_EST_MAPPING=PRECISE", "FS=MRC", "CURRENCY=USD", "XLFILL=b")</f>
        <v>41.696524726045922</v>
      </c>
    </row>
    <row r="343" spans="1:14" x14ac:dyDescent="0.2">
      <c r="A343" s="8" t="s">
        <v>16</v>
      </c>
      <c r="B343" s="4"/>
      <c r="C343" s="4"/>
      <c r="D343" s="4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x14ac:dyDescent="0.2">
      <c r="A344" s="8" t="s">
        <v>374</v>
      </c>
      <c r="B344" s="4"/>
      <c r="C344" s="4" t="s">
        <v>375</v>
      </c>
      <c r="D344" s="4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x14ac:dyDescent="0.2">
      <c r="A345" s="8" t="s">
        <v>376</v>
      </c>
      <c r="B345" s="4"/>
      <c r="C345" s="4"/>
      <c r="D345" s="4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x14ac:dyDescent="0.2">
      <c r="A346" s="8" t="s">
        <v>377</v>
      </c>
      <c r="B346" s="4" t="s">
        <v>378</v>
      </c>
      <c r="C346" s="4" t="s">
        <v>379</v>
      </c>
      <c r="D346" s="4"/>
      <c r="E346" s="9" t="str">
        <f>_xll.BQL("SAVE US Equity", "CB_CF_DEBT_ISSUANCE_COSTS/1M", "FPT=A", "FPO=5A", "ACT_EST_MAPPING=PRECISE", "FS=MRC", "CURRENCY=USD", "XLFILL=b")</f>
        <v/>
      </c>
      <c r="F346" s="9" t="str">
        <f>_xll.BQL("SAVE US Equity", "CB_CF_DEBT_ISSUANCE_COSTS/1M", "FPT=A", "FPO=4A", "ACT_EST_MAPPING=PRECISE", "FS=MRC", "CURRENCY=USD", "XLFILL=b")</f>
        <v/>
      </c>
      <c r="G346" s="9" t="str">
        <f>_xll.BQL("SAVE US Equity", "CB_CF_DEBT_ISSUANCE_COSTS/1M", "FPT=A", "FPO=3A", "ACT_EST_MAPPING=PRECISE", "FS=MRC", "CURRENCY=USD", "XLFILL=b")</f>
        <v/>
      </c>
      <c r="H346" s="9" t="str">
        <f>_xll.BQL("SAVE US Equity", "CB_CF_DEBT_ISSUANCE_COSTS/1M", "FPT=A", "FPO=2A", "ACT_EST_MAPPING=PRECISE", "FS=MRC", "CURRENCY=USD", "XLFILL=b")</f>
        <v/>
      </c>
      <c r="I346" s="9" t="str">
        <f>_xll.BQL("SAVE US Equity", "CB_CF_DEBT_ISSUANCE_COSTS/1M", "FPT=A", "FPO=1A", "ACT_EST_MAPPING=PRECISE", "FS=MRC", "CURRENCY=USD", "XLFILL=b")</f>
        <v/>
      </c>
      <c r="J346" s="9">
        <f>_xll.BQL("SAVE US Equity", "CB_CF_DEBT_ISSUANCE_COSTS/1M", "FPT=A", "FPO=0A", "ACT_EST_MAPPING=PRECISE", "FS=MRC", "CURRENCY=USD", "XLFILL=b")</f>
        <v>-3.0270000000000001</v>
      </c>
      <c r="K346" s="9">
        <f>_xll.BQL("SAVE US Equity", "CB_CF_DEBT_ISSUANCE_COSTS/1M", "FPT=A", "FPO=-1A", "ACT_EST_MAPPING=PRECISE", "FS=MRC", "CURRENCY=USD", "XLFILL=b")</f>
        <v>-3.4710000000000001</v>
      </c>
      <c r="L346" s="9">
        <f>_xll.BQL("SAVE US Equity", "CB_CF_DEBT_ISSUANCE_COSTS/1M", "FPT=A", "FPO=-2A", "ACT_EST_MAPPING=PRECISE", "FS=MRC", "CURRENCY=USD", "XLFILL=b")</f>
        <v>-2.7749999999999999</v>
      </c>
      <c r="M346" s="9">
        <f>_xll.BQL("SAVE US Equity", "CB_CF_DEBT_ISSUANCE_COSTS/1M", "FPT=A", "FPO=-3A", "ACT_EST_MAPPING=PRECISE", "FS=MRC", "CURRENCY=USD", "XLFILL=b")</f>
        <v>-40.551000000000002</v>
      </c>
      <c r="N346" s="9">
        <f>_xll.BQL("SAVE US Equity", "CB_CF_DEBT_ISSUANCE_COSTS/1M", "FPT=A", "FPO=-4A", "ACT_EST_MAPPING=PRECISE", "FS=MRC", "CURRENCY=USD", "XLFILL=b")</f>
        <v>-2.9089999999999998</v>
      </c>
    </row>
    <row r="347" spans="1:14" x14ac:dyDescent="0.2">
      <c r="A347" s="8" t="s">
        <v>92</v>
      </c>
      <c r="B347" s="4" t="s">
        <v>378</v>
      </c>
      <c r="C347" s="4" t="s">
        <v>379</v>
      </c>
      <c r="D347" s="4"/>
      <c r="E347" s="9" t="str">
        <f>_xll.BQL("SAVE US Equity", "FA_GROWTH(CB_CF_DEBT_ISSUANCE_COSTS, YOY)", "FPT=A", "FPO=5A", "ACT_EST_MAPPING=PRECISE", "FS=MRC", "CURRENCY=USD", "XLFILL=b")</f>
        <v/>
      </c>
      <c r="F347" s="9" t="str">
        <f>_xll.BQL("SAVE US Equity", "FA_GROWTH(CB_CF_DEBT_ISSUANCE_COSTS, YOY)", "FPT=A", "FPO=4A", "ACT_EST_MAPPING=PRECISE", "FS=MRC", "CURRENCY=USD", "XLFILL=b")</f>
        <v/>
      </c>
      <c r="G347" s="9" t="str">
        <f>_xll.BQL("SAVE US Equity", "FA_GROWTH(CB_CF_DEBT_ISSUANCE_COSTS, YOY)", "FPT=A", "FPO=3A", "ACT_EST_MAPPING=PRECISE", "FS=MRC", "CURRENCY=USD", "XLFILL=b")</f>
        <v/>
      </c>
      <c r="H347" s="9" t="str">
        <f>_xll.BQL("SAVE US Equity", "FA_GROWTH(CB_CF_DEBT_ISSUANCE_COSTS, YOY)", "FPT=A", "FPO=2A", "ACT_EST_MAPPING=PRECISE", "FS=MRC", "CURRENCY=USD", "XLFILL=b")</f>
        <v/>
      </c>
      <c r="I347" s="9" t="str">
        <f>_xll.BQL("SAVE US Equity", "FA_GROWTH(CB_CF_DEBT_ISSUANCE_COSTS, YOY)", "FPT=A", "FPO=1A", "ACT_EST_MAPPING=PRECISE", "FS=MRC", "CURRENCY=USD", "XLFILL=b")</f>
        <v/>
      </c>
      <c r="J347" s="9">
        <f>_xll.BQL("SAVE US Equity", "FA_GROWTH(CB_CF_DEBT_ISSUANCE_COSTS, YOY)", "FPT=A", "FPO=0A", "ACT_EST_MAPPING=PRECISE", "FS=MRC", "CURRENCY=USD", "XLFILL=b")</f>
        <v>12.791702679343128</v>
      </c>
      <c r="K347" s="9">
        <f>_xll.BQL("SAVE US Equity", "FA_GROWTH(CB_CF_DEBT_ISSUANCE_COSTS, YOY)", "FPT=A", "FPO=-1A", "ACT_EST_MAPPING=PRECISE", "FS=MRC", "CURRENCY=USD", "XLFILL=b")</f>
        <v>-25.081081081081081</v>
      </c>
      <c r="L347" s="9">
        <f>_xll.BQL("SAVE US Equity", "FA_GROWTH(CB_CF_DEBT_ISSUANCE_COSTS, YOY)", "FPT=A", "FPO=-2A", "ACT_EST_MAPPING=PRECISE", "FS=MRC", "CURRENCY=USD", "XLFILL=b")</f>
        <v>93.156765554486938</v>
      </c>
      <c r="M347" s="9">
        <f>_xll.BQL("SAVE US Equity", "FA_GROWTH(CB_CF_DEBT_ISSUANCE_COSTS, YOY)", "FPT=A", "FPO=-3A", "ACT_EST_MAPPING=PRECISE", "FS=MRC", "CURRENCY=USD", "XLFILL=b")</f>
        <v>-1293.984187005844</v>
      </c>
      <c r="N347" s="9">
        <f>_xll.BQL("SAVE US Equity", "FA_GROWTH(CB_CF_DEBT_ISSUANCE_COSTS, YOY)", "FPT=A", "FPO=-4A", "ACT_EST_MAPPING=PRECISE", "FS=MRC", "CURRENCY=USD", "XLFILL=b")</f>
        <v>60.50237610319077</v>
      </c>
    </row>
    <row r="348" spans="1:14" x14ac:dyDescent="0.2">
      <c r="A348" s="8" t="s">
        <v>380</v>
      </c>
      <c r="B348" s="4" t="s">
        <v>381</v>
      </c>
      <c r="C348" s="4" t="s">
        <v>382</v>
      </c>
      <c r="D348" s="4"/>
      <c r="E348" s="9">
        <f>_xll.BQL("SAVE US Equity", "CF_PROC_LT_DEBT_AND_CAPITAL_LEASE/1M", "FPT=A", "FPO=5A", "ACT_EST_MAPPING=PRECISE", "FS=MRC", "CURRENCY=USD", "XLFILL=b")</f>
        <v>950.3</v>
      </c>
      <c r="F348" s="9">
        <f>_xll.BQL("SAVE US Equity", "CF_PROC_LT_DEBT_AND_CAPITAL_LEASE/1M", "FPT=A", "FPO=4A", "ACT_EST_MAPPING=PRECISE", "FS=MRC", "CURRENCY=USD", "XLFILL=b")</f>
        <v>937.55</v>
      </c>
      <c r="G348" s="9">
        <f>_xll.BQL("SAVE US Equity", "CF_PROC_LT_DEBT_AND_CAPITAL_LEASE/1M", "FPT=A", "FPO=3A", "ACT_EST_MAPPING=PRECISE", "FS=MRC", "CURRENCY=USD", "XLFILL=b")</f>
        <v>806.6875</v>
      </c>
      <c r="H348" s="9">
        <f>_xll.BQL("SAVE US Equity", "CF_PROC_LT_DEBT_AND_CAPITAL_LEASE/1M", "FPT=A", "FPO=2A", "ACT_EST_MAPPING=PRECISE", "FS=MRC", "CURRENCY=USD", "XLFILL=b")</f>
        <v>1366.5</v>
      </c>
      <c r="I348" s="9">
        <f>_xll.BQL("SAVE US Equity", "CF_PROC_LT_DEBT_AND_CAPITAL_LEASE/1M", "FPT=A", "FPO=1A", "ACT_EST_MAPPING=PRECISE", "FS=MRC", "CURRENCY=USD", "XLFILL=b")</f>
        <v>252.08029999999999</v>
      </c>
      <c r="J348" s="9">
        <f>_xll.BQL("SAVE US Equity", "CF_PROC_LT_DEBT_AND_CAPITAL_LEASE/1M", "FPT=A", "FPO=0A", "ACT_EST_MAPPING=PRECISE", "FS=MRC", "CURRENCY=USD", "XLFILL=b")</f>
        <v>457.95</v>
      </c>
      <c r="K348" s="9">
        <f>_xll.BQL("SAVE US Equity", "CF_PROC_LT_DEBT_AND_CAPITAL_LEASE/1M", "FPT=A", "FPO=-1A", "ACT_EST_MAPPING=PRECISE", "FS=MRC", "CURRENCY=USD", "XLFILL=b")</f>
        <v>591</v>
      </c>
      <c r="L348" s="9">
        <f>_xll.BQL("SAVE US Equity", "CF_PROC_LT_DEBT_AND_CAPITAL_LEASE/1M", "FPT=A", "FPO=-2A", "ACT_EST_MAPPING=PRECISE", "FS=MRC", "CURRENCY=USD", "XLFILL=b")</f>
        <v>614.49599999999998</v>
      </c>
      <c r="M348" s="9">
        <f>_xll.BQL("SAVE US Equity", "CF_PROC_LT_DEBT_AND_CAPITAL_LEASE/1M", "FPT=A", "FPO=-3A", "ACT_EST_MAPPING=PRECISE", "FS=MRC", "CURRENCY=USD", "XLFILL=b")</f>
        <v>1612.3910000000001</v>
      </c>
      <c r="N348" s="9">
        <f>_xll.BQL("SAVE US Equity", "CF_PROC_LT_DEBT_AND_CAPITAL_LEASE/1M", "FPT=A", "FPO=-4A", "ACT_EST_MAPPING=PRECISE", "FS=MRC", "CURRENCY=USD", "XLFILL=b")</f>
        <v>225.89099999999999</v>
      </c>
    </row>
    <row r="349" spans="1:14" x14ac:dyDescent="0.2">
      <c r="A349" s="8" t="s">
        <v>92</v>
      </c>
      <c r="B349" s="4" t="s">
        <v>381</v>
      </c>
      <c r="C349" s="4" t="s">
        <v>382</v>
      </c>
      <c r="D349" s="4"/>
      <c r="E349" s="9">
        <f>_xll.BQL("SAVE US Equity", "FA_GROWTH(CF_PROC_LT_DEBT_AND_CAPITAL_LEASE, YOY)", "FPT=A", "FPO=5A", "ACT_EST_MAPPING=PRECISE", "FS=MRC", "CURRENCY=USD", "XLFILL=b")</f>
        <v>1.3599274705349047</v>
      </c>
      <c r="F349" s="9">
        <f>_xll.BQL("SAVE US Equity", "FA_GROWTH(CF_PROC_LT_DEBT_AND_CAPITAL_LEASE, YOY)", "FPT=A", "FPO=4A", "ACT_EST_MAPPING=PRECISE", "FS=MRC", "CURRENCY=USD", "XLFILL=b")</f>
        <v>16.222205005036027</v>
      </c>
      <c r="G349" s="9">
        <f>_xll.BQL("SAVE US Equity", "FA_GROWTH(CF_PROC_LT_DEBT_AND_CAPITAL_LEASE, YOY)", "FPT=A", "FPO=3A", "ACT_EST_MAPPING=PRECISE", "FS=MRC", "CURRENCY=USD", "XLFILL=b")</f>
        <v>-40.966886205634836</v>
      </c>
      <c r="H349" s="9">
        <f>_xll.BQL("SAVE US Equity", "FA_GROWTH(CF_PROC_LT_DEBT_AND_CAPITAL_LEASE, YOY)", "FPT=A", "FPO=2A", "ACT_EST_MAPPING=PRECISE", "FS=MRC", "CURRENCY=USD", "XLFILL=b")</f>
        <v>442.08916761841368</v>
      </c>
      <c r="I349" s="9">
        <f>_xll.BQL("SAVE US Equity", "FA_GROWTH(CF_PROC_LT_DEBT_AND_CAPITAL_LEASE, YOY)", "FPT=A", "FPO=1A", "ACT_EST_MAPPING=PRECISE", "FS=MRC", "CURRENCY=USD", "XLFILL=b")</f>
        <v>-44.954623867234417</v>
      </c>
      <c r="J349" s="9">
        <f>_xll.BQL("SAVE US Equity", "FA_GROWTH(CF_PROC_LT_DEBT_AND_CAPITAL_LEASE, YOY)", "FPT=A", "FPO=0A", "ACT_EST_MAPPING=PRECISE", "FS=MRC", "CURRENCY=USD", "XLFILL=b")</f>
        <v>-22.512690355329948</v>
      </c>
      <c r="K349" s="9">
        <f>_xll.BQL("SAVE US Equity", "FA_GROWTH(CF_PROC_LT_DEBT_AND_CAPITAL_LEASE, YOY)", "FPT=A", "FPO=-1A", "ACT_EST_MAPPING=PRECISE", "FS=MRC", "CURRENCY=USD", "XLFILL=b")</f>
        <v>-3.8236213091704423</v>
      </c>
      <c r="L349" s="9">
        <f>_xll.BQL("SAVE US Equity", "FA_GROWTH(CF_PROC_LT_DEBT_AND_CAPITAL_LEASE, YOY)", "FPT=A", "FPO=-2A", "ACT_EST_MAPPING=PRECISE", "FS=MRC", "CURRENCY=USD", "XLFILL=b")</f>
        <v>-61.889144754591165</v>
      </c>
      <c r="M349" s="9">
        <f>_xll.BQL("SAVE US Equity", "FA_GROWTH(CF_PROC_LT_DEBT_AND_CAPITAL_LEASE, YOY)", "FPT=A", "FPO=-3A", "ACT_EST_MAPPING=PRECISE", "FS=MRC", "CURRENCY=USD", "XLFILL=b")</f>
        <v>613.79160745669367</v>
      </c>
      <c r="N349" s="9">
        <f>_xll.BQL("SAVE US Equity", "FA_GROWTH(CF_PROC_LT_DEBT_AND_CAPITAL_LEASE, YOY)", "FPT=A", "FPO=-4A", "ACT_EST_MAPPING=PRECISE", "FS=MRC", "CURRENCY=USD", "XLFILL=b")</f>
        <v>-72.852869670556032</v>
      </c>
    </row>
    <row r="350" spans="1:14" x14ac:dyDescent="0.2">
      <c r="A350" s="8" t="s">
        <v>383</v>
      </c>
      <c r="B350" s="4" t="s">
        <v>384</v>
      </c>
      <c r="C350" s="4" t="s">
        <v>379</v>
      </c>
      <c r="D350" s="4"/>
      <c r="E350" s="9" t="str">
        <f>_xll.BQL("SAVE US Equity", "CB_CF_REPAYMENT_LT_DEBT/1M", "FPT=A", "FPO=5A", "ACT_EST_MAPPING=PRECISE", "FS=MRC", "CURRENCY=USD", "XLFILL=b")</f>
        <v/>
      </c>
      <c r="F350" s="9" t="str">
        <f>_xll.BQL("SAVE US Equity", "CB_CF_REPAYMENT_LT_DEBT/1M", "FPT=A", "FPO=4A", "ACT_EST_MAPPING=PRECISE", "FS=MRC", "CURRENCY=USD", "XLFILL=b")</f>
        <v/>
      </c>
      <c r="G350" s="9">
        <f>_xll.BQL("SAVE US Equity", "CB_CF_REPAYMENT_LT_DEBT/1M", "FPT=A", "FPO=3A", "ACT_EST_MAPPING=PRECISE", "FS=MRC", "CURRENCY=USD", "XLFILL=b")</f>
        <v>-674.1</v>
      </c>
      <c r="H350" s="9">
        <f>_xll.BQL("SAVE US Equity", "CB_CF_REPAYMENT_LT_DEBT/1M", "FPT=A", "FPO=2A", "ACT_EST_MAPPING=PRECISE", "FS=MRC", "CURRENCY=USD", "XLFILL=b")</f>
        <v>-1108.75</v>
      </c>
      <c r="I350" s="9">
        <f>_xll.BQL("SAVE US Equity", "CB_CF_REPAYMENT_LT_DEBT/1M", "FPT=A", "FPO=1A", "ACT_EST_MAPPING=PRECISE", "FS=MRC", "CURRENCY=USD", "XLFILL=b")</f>
        <v>-191.81950000000001</v>
      </c>
      <c r="J350" s="9">
        <f>_xll.BQL("SAVE US Equity", "CB_CF_REPAYMENT_LT_DEBT/1M", "FPT=A", "FPO=0A", "ACT_EST_MAPPING=PRECISE", "FS=MRC", "CURRENCY=USD", "XLFILL=b")</f>
        <v>-337.47500000000002</v>
      </c>
      <c r="K350" s="9">
        <f>_xll.BQL("SAVE US Equity", "CB_CF_REPAYMENT_LT_DEBT/1M", "FPT=A", "FPO=-1A", "ACT_EST_MAPPING=PRECISE", "FS=MRC", "CURRENCY=USD", "XLFILL=b")</f>
        <v>-193.03299999999999</v>
      </c>
      <c r="L350" s="9">
        <f>_xll.BQL("SAVE US Equity", "CB_CF_REPAYMENT_LT_DEBT/1M", "FPT=A", "FPO=-2A", "ACT_EST_MAPPING=PRECISE", "FS=MRC", "CURRENCY=USD", "XLFILL=b")</f>
        <v>-956.78800000000001</v>
      </c>
      <c r="M350" s="9">
        <f>_xll.BQL("SAVE US Equity", "CB_CF_REPAYMENT_LT_DEBT/1M", "FPT=A", "FPO=-3A", "ACT_EST_MAPPING=PRECISE", "FS=MRC", "CURRENCY=USD", "XLFILL=b")</f>
        <v>-254.304</v>
      </c>
      <c r="N350" s="9">
        <f>_xll.BQL("SAVE US Equity", "CB_CF_REPAYMENT_LT_DEBT/1M", "FPT=A", "FPO=-4A", "ACT_EST_MAPPING=PRECISE", "FS=MRC", "CURRENCY=USD", "XLFILL=b")</f>
        <v>-246.78299999999999</v>
      </c>
    </row>
    <row r="351" spans="1:14" x14ac:dyDescent="0.2">
      <c r="A351" s="8" t="s">
        <v>92</v>
      </c>
      <c r="B351" s="4" t="s">
        <v>384</v>
      </c>
      <c r="C351" s="4" t="s">
        <v>379</v>
      </c>
      <c r="D351" s="4"/>
      <c r="E351" s="9" t="str">
        <f>_xll.BQL("SAVE US Equity", "FA_GROWTH(CB_CF_REPAYMENT_LT_DEBT, YOY)", "FPT=A", "FPO=5A", "ACT_EST_MAPPING=PRECISE", "FS=MRC", "CURRENCY=USD", "XLFILL=b")</f>
        <v/>
      </c>
      <c r="F351" s="9" t="str">
        <f>_xll.BQL("SAVE US Equity", "FA_GROWTH(CB_CF_REPAYMENT_LT_DEBT, YOY)", "FPT=A", "FPO=4A", "ACT_EST_MAPPING=PRECISE", "FS=MRC", "CURRENCY=USD", "XLFILL=b")</f>
        <v/>
      </c>
      <c r="G351" s="9">
        <f>_xll.BQL("SAVE US Equity", "FA_GROWTH(CB_CF_REPAYMENT_LT_DEBT, YOY)", "FPT=A", "FPO=3A", "ACT_EST_MAPPING=PRECISE", "FS=MRC", "CURRENCY=USD", "XLFILL=b")</f>
        <v>39.201803833145433</v>
      </c>
      <c r="H351" s="9">
        <f>_xll.BQL("SAVE US Equity", "FA_GROWTH(CB_CF_REPAYMENT_LT_DEBT, YOY)", "FPT=A", "FPO=2A", "ACT_EST_MAPPING=PRECISE", "FS=MRC", "CURRENCY=USD", "XLFILL=b")</f>
        <v>-478.01735485704006</v>
      </c>
      <c r="I351" s="9">
        <f>_xll.BQL("SAVE US Equity", "FA_GROWTH(CB_CF_REPAYMENT_LT_DEBT, YOY)", "FPT=A", "FPO=1A", "ACT_EST_MAPPING=PRECISE", "FS=MRC", "CURRENCY=USD", "XLFILL=b")</f>
        <v>43.160382250537076</v>
      </c>
      <c r="J351" s="9">
        <f>_xll.BQL("SAVE US Equity", "FA_GROWTH(CB_CF_REPAYMENT_LT_DEBT, YOY)", "FPT=A", "FPO=0A", "ACT_EST_MAPPING=PRECISE", "FS=MRC", "CURRENCY=USD", "XLFILL=b")</f>
        <v>-74.827620147850368</v>
      </c>
      <c r="K351" s="9">
        <f>_xll.BQL("SAVE US Equity", "FA_GROWTH(CB_CF_REPAYMENT_LT_DEBT, YOY)", "FPT=A", "FPO=-1A", "ACT_EST_MAPPING=PRECISE", "FS=MRC", "CURRENCY=USD", "XLFILL=b")</f>
        <v>79.824893288795423</v>
      </c>
      <c r="L351" s="9">
        <f>_xll.BQL("SAVE US Equity", "FA_GROWTH(CB_CF_REPAYMENT_LT_DEBT, YOY)", "FPT=A", "FPO=-2A", "ACT_EST_MAPPING=PRECISE", "FS=MRC", "CURRENCY=USD", "XLFILL=b")</f>
        <v>-276.23788851138795</v>
      </c>
      <c r="M351" s="9">
        <f>_xll.BQL("SAVE US Equity", "FA_GROWTH(CB_CF_REPAYMENT_LT_DEBT, YOY)", "FPT=A", "FPO=-3A", "ACT_EST_MAPPING=PRECISE", "FS=MRC", "CURRENCY=USD", "XLFILL=b")</f>
        <v>-3.0476167321087759</v>
      </c>
      <c r="N351" s="9">
        <f>_xll.BQL("SAVE US Equity", "FA_GROWTH(CB_CF_REPAYMENT_LT_DEBT, YOY)", "FPT=A", "FPO=-4A", "ACT_EST_MAPPING=PRECISE", "FS=MRC", "CURRENCY=USD", "XLFILL=b")</f>
        <v>28.050554672808641</v>
      </c>
    </row>
    <row r="352" spans="1:14" x14ac:dyDescent="0.2">
      <c r="A352" s="8" t="s">
        <v>385</v>
      </c>
      <c r="B352" s="4" t="s">
        <v>386</v>
      </c>
      <c r="C352" s="4" t="s">
        <v>379</v>
      </c>
      <c r="D352" s="4"/>
      <c r="E352" s="9">
        <f>_xll.BQL("SAVE US Equity", "CF_PYMT_LT_DEBT_AND_CAPITAL_LEASE/1M", "FPT=A", "FPO=5A", "ACT_EST_MAPPING=PRECISE", "FS=MRC", "CURRENCY=USD", "XLFILL=b")</f>
        <v>-259</v>
      </c>
      <c r="F352" s="9">
        <f>_xll.BQL("SAVE US Equity", "CF_PYMT_LT_DEBT_AND_CAPITAL_LEASE/1M", "FPT=A", "FPO=4A", "ACT_EST_MAPPING=PRECISE", "FS=MRC", "CURRENCY=USD", "XLFILL=b")</f>
        <v>-155</v>
      </c>
      <c r="G352" s="9">
        <f>_xll.BQL("SAVE US Equity", "CF_PYMT_LT_DEBT_AND_CAPITAL_LEASE/1M", "FPT=A", "FPO=3A", "ACT_EST_MAPPING=PRECISE", "FS=MRC", "CURRENCY=USD", "XLFILL=b")</f>
        <v>-680</v>
      </c>
      <c r="H352" s="9">
        <f>_xll.BQL("SAVE US Equity", "CF_PYMT_LT_DEBT_AND_CAPITAL_LEASE/1M", "FPT=A", "FPO=2A", "ACT_EST_MAPPING=PRECISE", "FS=MRC", "CURRENCY=USD", "XLFILL=b")</f>
        <v>-1152.9108000000001</v>
      </c>
      <c r="I352" s="9">
        <f>_xll.BQL("SAVE US Equity", "CF_PYMT_LT_DEBT_AND_CAPITAL_LEASE/1M", "FPT=A", "FPO=1A", "ACT_EST_MAPPING=PRECISE", "FS=MRC", "CURRENCY=USD", "XLFILL=b")</f>
        <v>-352.74259999999998</v>
      </c>
      <c r="J352" s="9">
        <f>_xll.BQL("SAVE US Equity", "CF_PYMT_LT_DEBT_AND_CAPITAL_LEASE/1M", "FPT=A", "FPO=0A", "ACT_EST_MAPPING=PRECISE", "FS=MRC", "CURRENCY=USD", "XLFILL=b")</f>
        <v>-337.971</v>
      </c>
      <c r="K352" s="9">
        <f>_xll.BQL("SAVE US Equity", "CF_PYMT_LT_DEBT_AND_CAPITAL_LEASE/1M", "FPT=A", "FPO=-1A", "ACT_EST_MAPPING=PRECISE", "FS=MRC", "CURRENCY=USD", "XLFILL=b")</f>
        <v>-193.875</v>
      </c>
      <c r="L352" s="9">
        <f>_xll.BQL("SAVE US Equity", "CF_PYMT_LT_DEBT_AND_CAPITAL_LEASE/1M", "FPT=A", "FPO=-2A", "ACT_EST_MAPPING=PRECISE", "FS=MRC", "CURRENCY=USD", "XLFILL=b")</f>
        <v>-957.61900000000003</v>
      </c>
      <c r="M352" s="9">
        <f>_xll.BQL("SAVE US Equity", "CF_PYMT_LT_DEBT_AND_CAPITAL_LEASE/1M", "FPT=A", "FPO=-3A", "ACT_EST_MAPPING=PRECISE", "FS=MRC", "CURRENCY=USD", "XLFILL=b")</f>
        <v>-279.70499999999998</v>
      </c>
      <c r="N352" s="9">
        <f>_xll.BQL("SAVE US Equity", "CF_PYMT_LT_DEBT_AND_CAPITAL_LEASE/1M", "FPT=A", "FPO=-4A", "ACT_EST_MAPPING=PRECISE", "FS=MRC", "CURRENCY=USD", "XLFILL=b")</f>
        <v>-343.33</v>
      </c>
    </row>
    <row r="353" spans="1:14" x14ac:dyDescent="0.2">
      <c r="A353" s="8" t="s">
        <v>92</v>
      </c>
      <c r="B353" s="4" t="s">
        <v>386</v>
      </c>
      <c r="C353" s="4" t="s">
        <v>379</v>
      </c>
      <c r="D353" s="4"/>
      <c r="E353" s="9">
        <f>_xll.BQL("SAVE US Equity", "FA_GROWTH(CF_PYMT_LT_DEBT_AND_CAPITAL_LEASE, YOY)", "FPT=A", "FPO=5A", "ACT_EST_MAPPING=PRECISE", "FS=MRC", "CURRENCY=USD", "XLFILL=b")</f>
        <v>-67.096774193548384</v>
      </c>
      <c r="F353" s="9">
        <f>_xll.BQL("SAVE US Equity", "FA_GROWTH(CF_PYMT_LT_DEBT_AND_CAPITAL_LEASE, YOY)", "FPT=A", "FPO=4A", "ACT_EST_MAPPING=PRECISE", "FS=MRC", "CURRENCY=USD", "XLFILL=b")</f>
        <v>77.205882352941174</v>
      </c>
      <c r="G353" s="9">
        <f>_xll.BQL("SAVE US Equity", "FA_GROWTH(CF_PYMT_LT_DEBT_AND_CAPITAL_LEASE, YOY)", "FPT=A", "FPO=3A", "ACT_EST_MAPPING=PRECISE", "FS=MRC", "CURRENCY=USD", "XLFILL=b")</f>
        <v>41.018854190627756</v>
      </c>
      <c r="H353" s="9">
        <f>_xll.BQL("SAVE US Equity", "FA_GROWTH(CF_PYMT_LT_DEBT_AND_CAPITAL_LEASE, YOY)", "FPT=A", "FPO=2A", "ACT_EST_MAPPING=PRECISE", "FS=MRC", "CURRENCY=USD", "XLFILL=b")</f>
        <v>-226.84195217702654</v>
      </c>
      <c r="I353" s="9">
        <f>_xll.BQL("SAVE US Equity", "FA_GROWTH(CF_PYMT_LT_DEBT_AND_CAPITAL_LEASE, YOY)", "FPT=A", "FPO=1A", "ACT_EST_MAPPING=PRECISE", "FS=MRC", "CURRENCY=USD", "XLFILL=b")</f>
        <v>-4.3706708563752512</v>
      </c>
      <c r="J353" s="9">
        <f>_xll.BQL("SAVE US Equity", "FA_GROWTH(CF_PYMT_LT_DEBT_AND_CAPITAL_LEASE, YOY)", "FPT=A", "FPO=0A", "ACT_EST_MAPPING=PRECISE", "FS=MRC", "CURRENCY=USD", "XLFILL=b")</f>
        <v>-74.324177949709863</v>
      </c>
      <c r="K353" s="9">
        <f>_xll.BQL("SAVE US Equity", "FA_GROWTH(CF_PYMT_LT_DEBT_AND_CAPITAL_LEASE, YOY)", "FPT=A", "FPO=-1A", "ACT_EST_MAPPING=PRECISE", "FS=MRC", "CURRENCY=USD", "XLFILL=b")</f>
        <v>79.754474378641191</v>
      </c>
      <c r="L353" s="9">
        <f>_xll.BQL("SAVE US Equity", "FA_GROWTH(CF_PYMT_LT_DEBT_AND_CAPITAL_LEASE, YOY)", "FPT=A", "FPO=-2A", "ACT_EST_MAPPING=PRECISE", "FS=MRC", "CURRENCY=USD", "XLFILL=b")</f>
        <v>-242.36749432437747</v>
      </c>
      <c r="M353" s="9">
        <f>_xll.BQL("SAVE US Equity", "FA_GROWTH(CF_PYMT_LT_DEBT_AND_CAPITAL_LEASE, YOY)", "FPT=A", "FPO=-3A", "ACT_EST_MAPPING=PRECISE", "FS=MRC", "CURRENCY=USD", "XLFILL=b")</f>
        <v>18.531733317799201</v>
      </c>
      <c r="N353" s="9">
        <f>_xll.BQL("SAVE US Equity", "FA_GROWTH(CF_PYMT_LT_DEBT_AND_CAPITAL_LEASE, YOY)", "FPT=A", "FPO=-4A", "ACT_EST_MAPPING=PRECISE", "FS=MRC", "CURRENCY=USD", "XLFILL=b")</f>
        <v>-9.7669062231227857E-2</v>
      </c>
    </row>
    <row r="354" spans="1:14" x14ac:dyDescent="0.2">
      <c r="A354" s="8" t="s">
        <v>387</v>
      </c>
      <c r="B354" s="4" t="s">
        <v>388</v>
      </c>
      <c r="C354" s="4" t="s">
        <v>379</v>
      </c>
      <c r="D354" s="4"/>
      <c r="E354" s="9" t="str">
        <f>_xll.BQL("SAVE US Equity", "CB_CF_PURCHASES_OF_ST_INV/1M", "FPT=A", "FPO=5A", "ACT_EST_MAPPING=PRECISE", "FS=MRC", "CURRENCY=USD", "XLFILL=b")</f>
        <v/>
      </c>
      <c r="F354" s="9" t="str">
        <f>_xll.BQL("SAVE US Equity", "CB_CF_PURCHASES_OF_ST_INV/1M", "FPT=A", "FPO=4A", "ACT_EST_MAPPING=PRECISE", "FS=MRC", "CURRENCY=USD", "XLFILL=b")</f>
        <v/>
      </c>
      <c r="G354" s="9" t="str">
        <f>_xll.BQL("SAVE US Equity", "CB_CF_PURCHASES_OF_ST_INV/1M", "FPT=A", "FPO=3A", "ACT_EST_MAPPING=PRECISE", "FS=MRC", "CURRENCY=USD", "XLFILL=b")</f>
        <v/>
      </c>
      <c r="H354" s="9" t="str">
        <f>_xll.BQL("SAVE US Equity", "CB_CF_PURCHASES_OF_ST_INV/1M", "FPT=A", "FPO=2A", "ACT_EST_MAPPING=PRECISE", "FS=MRC", "CURRENCY=USD", "XLFILL=b")</f>
        <v/>
      </c>
      <c r="I354" s="9">
        <f>_xll.BQL("SAVE US Equity", "CB_CF_PURCHASES_OF_ST_INV/1M", "FPT=A", "FPO=1A", "ACT_EST_MAPPING=PRECISE", "FS=MRC", "CURRENCY=USD", "XLFILL=b")</f>
        <v>-94.724000000000004</v>
      </c>
      <c r="J354" s="9">
        <f>_xll.BQL("SAVE US Equity", "CB_CF_PURCHASES_OF_ST_INV/1M", "FPT=A", "FPO=0A", "ACT_EST_MAPPING=PRECISE", "FS=MRC", "CURRENCY=USD", "XLFILL=b")</f>
        <v>-127.627</v>
      </c>
      <c r="K354" s="9">
        <f>_xll.BQL("SAVE US Equity", "CB_CF_PURCHASES_OF_ST_INV/1M", "FPT=A", "FPO=-1A", "ACT_EST_MAPPING=PRECISE", "FS=MRC", "CURRENCY=USD", "XLFILL=b")</f>
        <v>-110.69</v>
      </c>
      <c r="L354" s="9">
        <f>_xll.BQL("SAVE US Equity", "CB_CF_PURCHASES_OF_ST_INV/1M", "FPT=A", "FPO=-2A", "ACT_EST_MAPPING=PRECISE", "FS=MRC", "CURRENCY=USD", "XLFILL=b")</f>
        <v>-105.361</v>
      </c>
      <c r="M354" s="9">
        <f>_xll.BQL("SAVE US Equity", "CB_CF_PURCHASES_OF_ST_INV/1M", "FPT=A", "FPO=-3A", "ACT_EST_MAPPING=PRECISE", "FS=MRC", "CURRENCY=USD", "XLFILL=b")</f>
        <v>-118.893</v>
      </c>
      <c r="N354" s="9">
        <f>_xll.BQL("SAVE US Equity", "CB_CF_PURCHASES_OF_ST_INV/1M", "FPT=A", "FPO=-4A", "ACT_EST_MAPPING=PRECISE", "FS=MRC", "CURRENCY=USD", "XLFILL=b")</f>
        <v>-122.41</v>
      </c>
    </row>
    <row r="355" spans="1:14" x14ac:dyDescent="0.2">
      <c r="A355" s="8" t="s">
        <v>92</v>
      </c>
      <c r="B355" s="4" t="s">
        <v>388</v>
      </c>
      <c r="C355" s="4" t="s">
        <v>379</v>
      </c>
      <c r="D355" s="4"/>
      <c r="E355" s="9" t="str">
        <f>_xll.BQL("SAVE US Equity", "FA_GROWTH(CB_CF_PURCHASES_OF_ST_INV, YOY)", "FPT=A", "FPO=5A", "ACT_EST_MAPPING=PRECISE", "FS=MRC", "CURRENCY=USD", "XLFILL=b")</f>
        <v/>
      </c>
      <c r="F355" s="9" t="str">
        <f>_xll.BQL("SAVE US Equity", "FA_GROWTH(CB_CF_PURCHASES_OF_ST_INV, YOY)", "FPT=A", "FPO=4A", "ACT_EST_MAPPING=PRECISE", "FS=MRC", "CURRENCY=USD", "XLFILL=b")</f>
        <v/>
      </c>
      <c r="G355" s="9" t="str">
        <f>_xll.BQL("SAVE US Equity", "FA_GROWTH(CB_CF_PURCHASES_OF_ST_INV, YOY)", "FPT=A", "FPO=3A", "ACT_EST_MAPPING=PRECISE", "FS=MRC", "CURRENCY=USD", "XLFILL=b")</f>
        <v/>
      </c>
      <c r="H355" s="9" t="str">
        <f>_xll.BQL("SAVE US Equity", "FA_GROWTH(CB_CF_PURCHASES_OF_ST_INV, YOY)", "FPT=A", "FPO=2A", "ACT_EST_MAPPING=PRECISE", "FS=MRC", "CURRENCY=USD", "XLFILL=b")</f>
        <v/>
      </c>
      <c r="I355" s="9">
        <f>_xll.BQL("SAVE US Equity", "FA_GROWTH(CB_CF_PURCHASES_OF_ST_INV, YOY)", "FPT=A", "FPO=1A", "ACT_EST_MAPPING=PRECISE", "FS=MRC", "CURRENCY=USD", "XLFILL=b")</f>
        <v>25.780595015161367</v>
      </c>
      <c r="J355" s="9">
        <f>_xll.BQL("SAVE US Equity", "FA_GROWTH(CB_CF_PURCHASES_OF_ST_INV, YOY)", "FPT=A", "FPO=0A", "ACT_EST_MAPPING=PRECISE", "FS=MRC", "CURRENCY=USD", "XLFILL=b")</f>
        <v>-15.301291896286928</v>
      </c>
      <c r="K355" s="9">
        <f>_xll.BQL("SAVE US Equity", "FA_GROWTH(CB_CF_PURCHASES_OF_ST_INV, YOY)", "FPT=A", "FPO=-1A", "ACT_EST_MAPPING=PRECISE", "FS=MRC", "CURRENCY=USD", "XLFILL=b")</f>
        <v>-5.0578487296058317</v>
      </c>
      <c r="L355" s="9">
        <f>_xll.BQL("SAVE US Equity", "FA_GROWTH(CB_CF_PURCHASES_OF_ST_INV, YOY)", "FPT=A", "FPO=-2A", "ACT_EST_MAPPING=PRECISE", "FS=MRC", "CURRENCY=USD", "XLFILL=b")</f>
        <v>11.381662503259234</v>
      </c>
      <c r="M355" s="9">
        <f>_xll.BQL("SAVE US Equity", "FA_GROWTH(CB_CF_PURCHASES_OF_ST_INV, YOY)", "FPT=A", "FPO=-3A", "ACT_EST_MAPPING=PRECISE", "FS=MRC", "CURRENCY=USD", "XLFILL=b")</f>
        <v>2.8731312801241731</v>
      </c>
      <c r="N355" s="9">
        <f>_xll.BQL("SAVE US Equity", "FA_GROWTH(CB_CF_PURCHASES_OF_ST_INV, YOY)", "FPT=A", "FPO=-4A", "ACT_EST_MAPPING=PRECISE", "FS=MRC", "CURRENCY=USD", "XLFILL=b")</f>
        <v>1.6234027163867235</v>
      </c>
    </row>
    <row r="356" spans="1:14" x14ac:dyDescent="0.2">
      <c r="A356" s="8" t="s">
        <v>389</v>
      </c>
      <c r="B356" s="4" t="s">
        <v>390</v>
      </c>
      <c r="C356" s="4" t="s">
        <v>379</v>
      </c>
      <c r="D356" s="4"/>
      <c r="E356" s="9" t="str">
        <f>_xll.BQL("SAVE US Equity", "CF_NET_CHG_ST_INVEST/1M", "FPT=A", "FPO=5A", "ACT_EST_MAPPING=PRECISE", "FS=MRC", "CURRENCY=USD", "XLFILL=b")</f>
        <v/>
      </c>
      <c r="F356" s="9" t="str">
        <f>_xll.BQL("SAVE US Equity", "CF_NET_CHG_ST_INVEST/1M", "FPT=A", "FPO=4A", "ACT_EST_MAPPING=PRECISE", "FS=MRC", "CURRENCY=USD", "XLFILL=b")</f>
        <v/>
      </c>
      <c r="G356" s="9" t="str">
        <f>_xll.BQL("SAVE US Equity", "CF_NET_CHG_ST_INVEST/1M", "FPT=A", "FPO=3A", "ACT_EST_MAPPING=PRECISE", "FS=MRC", "CURRENCY=USD", "XLFILL=b")</f>
        <v/>
      </c>
      <c r="H356" s="9" t="str">
        <f>_xll.BQL("SAVE US Equity", "CF_NET_CHG_ST_INVEST/1M", "FPT=A", "FPO=2A", "ACT_EST_MAPPING=PRECISE", "FS=MRC", "CURRENCY=USD", "XLFILL=b")</f>
        <v/>
      </c>
      <c r="I356" s="9">
        <f>_xll.BQL("SAVE US Equity", "CF_NET_CHG_ST_INVEST/1M", "FPT=A", "FPO=1A", "ACT_EST_MAPPING=PRECISE", "FS=MRC", "CURRENCY=USD", "XLFILL=b")</f>
        <v>-0.624</v>
      </c>
      <c r="J356" s="9">
        <f>_xll.BQL("SAVE US Equity", "CF_NET_CHG_ST_INVEST/1M", "FPT=A", "FPO=0A", "ACT_EST_MAPPING=PRECISE", "FS=MRC", "CURRENCY=USD", "XLFILL=b")</f>
        <v>-2.0569999999999999</v>
      </c>
      <c r="K356" s="9">
        <f>_xll.BQL("SAVE US Equity", "CF_NET_CHG_ST_INVEST/1M", "FPT=A", "FPO=-1A", "ACT_EST_MAPPING=PRECISE", "FS=MRC", "CURRENCY=USD", "XLFILL=b")</f>
        <v>-1.19</v>
      </c>
      <c r="L356" s="9">
        <f>_xll.BQL("SAVE US Equity", "CF_NET_CHG_ST_INVEST/1M", "FPT=A", "FPO=-2A", "ACT_EST_MAPPING=PRECISE", "FS=MRC", "CURRENCY=USD", "XLFILL=b")</f>
        <v>-0.86099999999999999</v>
      </c>
      <c r="M356" s="9">
        <f>_xll.BQL("SAVE US Equity", "CF_NET_CHG_ST_INVEST/1M", "FPT=A", "FPO=-3A", "ACT_EST_MAPPING=PRECISE", "FS=MRC", "CURRENCY=USD", "XLFILL=b")</f>
        <v>-1.228</v>
      </c>
      <c r="N356" s="9">
        <f>_xll.BQL("SAVE US Equity", "CF_NET_CHG_ST_INVEST/1M", "FPT=A", "FPO=-4A", "ACT_EST_MAPPING=PRECISE", "FS=MRC", "CURRENCY=USD", "XLFILL=b")</f>
        <v>-1.58</v>
      </c>
    </row>
    <row r="357" spans="1:14" x14ac:dyDescent="0.2">
      <c r="A357" s="8" t="s">
        <v>92</v>
      </c>
      <c r="B357" s="4" t="s">
        <v>390</v>
      </c>
      <c r="C357" s="4" t="s">
        <v>379</v>
      </c>
      <c r="D357" s="4"/>
      <c r="E357" s="9" t="str">
        <f>_xll.BQL("SAVE US Equity", "FA_GROWTH(CF_NET_CHG_ST_INVEST, YOY)", "FPT=A", "FPO=5A", "ACT_EST_MAPPING=PRECISE", "FS=MRC", "CURRENCY=USD", "XLFILL=b")</f>
        <v/>
      </c>
      <c r="F357" s="9" t="str">
        <f>_xll.BQL("SAVE US Equity", "FA_GROWTH(CF_NET_CHG_ST_INVEST, YOY)", "FPT=A", "FPO=4A", "ACT_EST_MAPPING=PRECISE", "FS=MRC", "CURRENCY=USD", "XLFILL=b")</f>
        <v/>
      </c>
      <c r="G357" s="9" t="str">
        <f>_xll.BQL("SAVE US Equity", "FA_GROWTH(CF_NET_CHG_ST_INVEST, YOY)", "FPT=A", "FPO=3A", "ACT_EST_MAPPING=PRECISE", "FS=MRC", "CURRENCY=USD", "XLFILL=b")</f>
        <v/>
      </c>
      <c r="H357" s="9" t="str">
        <f>_xll.BQL("SAVE US Equity", "FA_GROWTH(CF_NET_CHG_ST_INVEST, YOY)", "FPT=A", "FPO=2A", "ACT_EST_MAPPING=PRECISE", "FS=MRC", "CURRENCY=USD", "XLFILL=b")</f>
        <v/>
      </c>
      <c r="I357" s="9">
        <f>_xll.BQL("SAVE US Equity", "FA_GROWTH(CF_NET_CHG_ST_INVEST, YOY)", "FPT=A", "FPO=1A", "ACT_EST_MAPPING=PRECISE", "FS=MRC", "CURRENCY=USD", "XLFILL=b")</f>
        <v>69.664560038891594</v>
      </c>
      <c r="J357" s="9">
        <f>_xll.BQL("SAVE US Equity", "FA_GROWTH(CF_NET_CHG_ST_INVEST, YOY)", "FPT=A", "FPO=0A", "ACT_EST_MAPPING=PRECISE", "FS=MRC", "CURRENCY=USD", "XLFILL=b")</f>
        <v>-72.857142857142861</v>
      </c>
      <c r="K357" s="9">
        <f>_xll.BQL("SAVE US Equity", "FA_GROWTH(CF_NET_CHG_ST_INVEST, YOY)", "FPT=A", "FPO=-1A", "ACT_EST_MAPPING=PRECISE", "FS=MRC", "CURRENCY=USD", "XLFILL=b")</f>
        <v>-38.211382113821138</v>
      </c>
      <c r="L357" s="9">
        <f>_xll.BQL("SAVE US Equity", "FA_GROWTH(CF_NET_CHG_ST_INVEST, YOY)", "FPT=A", "FPO=-2A", "ACT_EST_MAPPING=PRECISE", "FS=MRC", "CURRENCY=USD", "XLFILL=b")</f>
        <v>29.88599348534202</v>
      </c>
      <c r="M357" s="9">
        <f>_xll.BQL("SAVE US Equity", "FA_GROWTH(CF_NET_CHG_ST_INVEST, YOY)", "FPT=A", "FPO=-3A", "ACT_EST_MAPPING=PRECISE", "FS=MRC", "CURRENCY=USD", "XLFILL=b")</f>
        <v>22.278481012658229</v>
      </c>
      <c r="N357" s="9">
        <f>_xll.BQL("SAVE US Equity", "FA_GROWTH(CF_NET_CHG_ST_INVEST, YOY)", "FPT=A", "FPO=-4A", "ACT_EST_MAPPING=PRECISE", "FS=MRC", "CURRENCY=USD", "XLFILL=b")</f>
        <v>-6.5407956844234656</v>
      </c>
    </row>
    <row r="358" spans="1:14" x14ac:dyDescent="0.2">
      <c r="A358" s="8" t="s">
        <v>391</v>
      </c>
      <c r="B358" s="4" t="s">
        <v>392</v>
      </c>
      <c r="C358" s="4"/>
      <c r="D358" s="4"/>
      <c r="E358" s="9" t="str">
        <f>_xll.BQL("SAVE US Equity", "CF_INCR_CAP_STOCK/1M", "FPT=A", "FPO=5A", "ACT_EST_MAPPING=PRECISE", "FS=MRC", "CURRENCY=USD", "XLFILL=b")</f>
        <v/>
      </c>
      <c r="F358" s="9" t="str">
        <f>_xll.BQL("SAVE US Equity", "CF_INCR_CAP_STOCK/1M", "FPT=A", "FPO=4A", "ACT_EST_MAPPING=PRECISE", "FS=MRC", "CURRENCY=USD", "XLFILL=b")</f>
        <v/>
      </c>
      <c r="G358" s="9" t="str">
        <f>_xll.BQL("SAVE US Equity", "CF_INCR_CAP_STOCK/1M", "FPT=A", "FPO=3A", "ACT_EST_MAPPING=PRECISE", "FS=MRC", "CURRENCY=USD", "XLFILL=b")</f>
        <v/>
      </c>
      <c r="H358" s="9" t="str">
        <f>_xll.BQL("SAVE US Equity", "CF_INCR_CAP_STOCK/1M", "FPT=A", "FPO=2A", "ACT_EST_MAPPING=PRECISE", "FS=MRC", "CURRENCY=USD", "XLFILL=b")</f>
        <v/>
      </c>
      <c r="I358" s="9">
        <f>_xll.BQL("SAVE US Equity", "CF_INCR_CAP_STOCK/1M", "FPT=A", "FPO=1A", "ACT_EST_MAPPING=PRECISE", "FS=MRC", "CURRENCY=USD", "XLFILL=b")</f>
        <v>-0.64500000000000002</v>
      </c>
      <c r="J358" s="9">
        <f>_xll.BQL("SAVE US Equity", "CF_INCR_CAP_STOCK/1M", "FPT=A", "FPO=0A", "ACT_EST_MAPPING=PRECISE", "FS=MRC", "CURRENCY=USD", "XLFILL=b")</f>
        <v>0</v>
      </c>
      <c r="K358" s="9">
        <f>_xll.BQL("SAVE US Equity", "CF_INCR_CAP_STOCK/1M", "FPT=A", "FPO=-1A", "ACT_EST_MAPPING=PRECISE", "FS=MRC", "CURRENCY=USD", "XLFILL=b")</f>
        <v>0</v>
      </c>
      <c r="L358" s="9">
        <f>_xll.BQL("SAVE US Equity", "CF_INCR_CAP_STOCK/1M", "FPT=A", "FPO=-2A", "ACT_EST_MAPPING=PRECISE", "FS=MRC", "CURRENCY=USD", "XLFILL=b")</f>
        <v>375.66199999999998</v>
      </c>
      <c r="M358" s="9">
        <f>_xll.BQL("SAVE US Equity", "CF_INCR_CAP_STOCK/1M", "FPT=A", "FPO=-3A", "ACT_EST_MAPPING=PRECISE", "FS=MRC", "CURRENCY=USD", "XLFILL=b")</f>
        <v>366.822</v>
      </c>
      <c r="N358" s="9">
        <f>_xll.BQL("SAVE US Equity", "CF_INCR_CAP_STOCK/1M", "FPT=A", "FPO=-4A", "ACT_EST_MAPPING=PRECISE", "FS=MRC", "CURRENCY=USD", "XLFILL=b")</f>
        <v>1E-3</v>
      </c>
    </row>
    <row r="359" spans="1:14" x14ac:dyDescent="0.2">
      <c r="A359" s="8" t="s">
        <v>44</v>
      </c>
      <c r="B359" s="4" t="s">
        <v>392</v>
      </c>
      <c r="C359" s="4"/>
      <c r="D359" s="4"/>
      <c r="E359" s="9" t="str">
        <f>_xll.BQL("SAVE US Equity", "FA_GROWTH(CF_INCR_CAP_STOCK, YOY)", "FPT=A", "FPO=5A", "ACT_EST_MAPPING=PRECISE", "FS=MRC", "CURRENCY=USD", "XLFILL=b")</f>
        <v/>
      </c>
      <c r="F359" s="9" t="str">
        <f>_xll.BQL("SAVE US Equity", "FA_GROWTH(CF_INCR_CAP_STOCK, YOY)", "FPT=A", "FPO=4A", "ACT_EST_MAPPING=PRECISE", "FS=MRC", "CURRENCY=USD", "XLFILL=b")</f>
        <v/>
      </c>
      <c r="G359" s="9" t="str">
        <f>_xll.BQL("SAVE US Equity", "FA_GROWTH(CF_INCR_CAP_STOCK, YOY)", "FPT=A", "FPO=3A", "ACT_EST_MAPPING=PRECISE", "FS=MRC", "CURRENCY=USD", "XLFILL=b")</f>
        <v/>
      </c>
      <c r="H359" s="9" t="str">
        <f>_xll.BQL("SAVE US Equity", "FA_GROWTH(CF_INCR_CAP_STOCK, YOY)", "FPT=A", "FPO=2A", "ACT_EST_MAPPING=PRECISE", "FS=MRC", "CURRENCY=USD", "XLFILL=b")</f>
        <v/>
      </c>
      <c r="I359" s="9" t="str">
        <f>_xll.BQL("SAVE US Equity", "FA_GROWTH(CF_INCR_CAP_STOCK, YOY)", "FPT=A", "FPO=1A", "ACT_EST_MAPPING=PRECISE", "FS=MRC", "CURRENCY=USD", "XLFILL=b")</f>
        <v/>
      </c>
      <c r="J359" s="9" t="str">
        <f>_xll.BQL("SAVE US Equity", "FA_GROWTH(CF_INCR_CAP_STOCK, YOY)", "FPT=A", "FPO=0A", "ACT_EST_MAPPING=PRECISE", "FS=MRC", "CURRENCY=USD", "XLFILL=b")</f>
        <v/>
      </c>
      <c r="K359" s="9">
        <f>_xll.BQL("SAVE US Equity", "FA_GROWTH(CF_INCR_CAP_STOCK, YOY)", "FPT=A", "FPO=-1A", "ACT_EST_MAPPING=PRECISE", "FS=MRC", "CURRENCY=USD", "XLFILL=b")</f>
        <v>-100</v>
      </c>
      <c r="L359" s="9">
        <f>_xll.BQL("SAVE US Equity", "FA_GROWTH(CF_INCR_CAP_STOCK, YOY)", "FPT=A", "FPO=-2A", "ACT_EST_MAPPING=PRECISE", "FS=MRC", "CURRENCY=USD", "XLFILL=b")</f>
        <v>2.4098881746460137</v>
      </c>
      <c r="M359" s="9">
        <f>_xll.BQL("SAVE US Equity", "FA_GROWTH(CF_INCR_CAP_STOCK, YOY)", "FPT=A", "FPO=-3A", "ACT_EST_MAPPING=PRECISE", "FS=MRC", "CURRENCY=USD", "XLFILL=b")</f>
        <v>36682100</v>
      </c>
      <c r="N359" s="9">
        <f>_xll.BQL("SAVE US Equity", "FA_GROWTH(CF_INCR_CAP_STOCK, YOY)", "FPT=A", "FPO=-4A", "ACT_EST_MAPPING=PRECISE", "FS=MRC", "CURRENCY=USD", "XLFILL=b")</f>
        <v>-98.039215686274517</v>
      </c>
    </row>
    <row r="360" spans="1:14" x14ac:dyDescent="0.2">
      <c r="A360" s="8" t="s">
        <v>393</v>
      </c>
      <c r="B360" s="4" t="s">
        <v>394</v>
      </c>
      <c r="C360" s="4" t="s">
        <v>395</v>
      </c>
      <c r="D360" s="4"/>
      <c r="E360" s="9" t="str">
        <f>_xll.BQL("SAVE US Equity", "CF_DECR_CAP_STOCK/1M", "FPT=A", "FPO=5A", "ACT_EST_MAPPING=PRECISE", "FS=MRC", "CURRENCY=USD", "XLFILL=b")</f>
        <v/>
      </c>
      <c r="F360" s="9" t="str">
        <f>_xll.BQL("SAVE US Equity", "CF_DECR_CAP_STOCK/1M", "FPT=A", "FPO=4A", "ACT_EST_MAPPING=PRECISE", "FS=MRC", "CURRENCY=USD", "XLFILL=b")</f>
        <v/>
      </c>
      <c r="G360" s="9">
        <f>_xll.BQL("SAVE US Equity", "CF_DECR_CAP_STOCK/1M", "FPT=A", "FPO=3A", "ACT_EST_MAPPING=PRECISE", "FS=MRC", "CURRENCY=USD", "XLFILL=b")</f>
        <v>81.28</v>
      </c>
      <c r="H360" s="9" t="str">
        <f>_xll.BQL("SAVE US Equity", "CF_DECR_CAP_STOCK/1M", "FPT=A", "FPO=2A", "ACT_EST_MAPPING=PRECISE", "FS=MRC", "CURRENCY=USD", "XLFILL=b")</f>
        <v/>
      </c>
      <c r="I360" s="9">
        <f>_xll.BQL("SAVE US Equity", "CF_DECR_CAP_STOCK/1M", "FPT=A", "FPO=1A", "ACT_EST_MAPPING=PRECISE", "FS=MRC", "CURRENCY=USD", "XLFILL=b")</f>
        <v>-0.64275000000000004</v>
      </c>
      <c r="J360" s="9">
        <f>_xll.BQL("SAVE US Equity", "CF_DECR_CAP_STOCK/1M", "FPT=A", "FPO=0A", "ACT_EST_MAPPING=PRECISE", "FS=MRC", "CURRENCY=USD", "XLFILL=b")</f>
        <v>-2.637</v>
      </c>
      <c r="K360" s="9">
        <f>_xll.BQL("SAVE US Equity", "CF_DECR_CAP_STOCK/1M", "FPT=A", "FPO=-1A", "ACT_EST_MAPPING=PRECISE", "FS=MRC", "CURRENCY=USD", "XLFILL=b")</f>
        <v>-2.359</v>
      </c>
      <c r="L360" s="9">
        <f>_xll.BQL("SAVE US Equity", "CF_DECR_CAP_STOCK/1M", "FPT=A", "FPO=-2A", "ACT_EST_MAPPING=PRECISE", "FS=MRC", "CURRENCY=USD", "XLFILL=b")</f>
        <v>-1.5149999999999999</v>
      </c>
      <c r="M360" s="9">
        <f>_xll.BQL("SAVE US Equity", "CF_DECR_CAP_STOCK/1M", "FPT=A", "FPO=-3A", "ACT_EST_MAPPING=PRECISE", "FS=MRC", "CURRENCY=USD", "XLFILL=b")</f>
        <v>-1.669</v>
      </c>
      <c r="N360" s="9">
        <f>_xll.BQL("SAVE US Equity", "CF_DECR_CAP_STOCK/1M", "FPT=A", "FPO=-4A", "ACT_EST_MAPPING=PRECISE", "FS=MRC", "CURRENCY=USD", "XLFILL=b")</f>
        <v>-5.4390000000000001</v>
      </c>
    </row>
    <row r="361" spans="1:14" x14ac:dyDescent="0.2">
      <c r="A361" s="8" t="s">
        <v>44</v>
      </c>
      <c r="B361" s="4" t="s">
        <v>394</v>
      </c>
      <c r="C361" s="4" t="s">
        <v>395</v>
      </c>
      <c r="D361" s="4"/>
      <c r="E361" s="9" t="str">
        <f>_xll.BQL("SAVE US Equity", "FA_GROWTH(CF_DECR_CAP_STOCK, YOY)", "FPT=A", "FPO=5A", "ACT_EST_MAPPING=PRECISE", "FS=MRC", "CURRENCY=USD", "XLFILL=b")</f>
        <v/>
      </c>
      <c r="F361" s="9" t="str">
        <f>_xll.BQL("SAVE US Equity", "FA_GROWTH(CF_DECR_CAP_STOCK, YOY)", "FPT=A", "FPO=4A", "ACT_EST_MAPPING=PRECISE", "FS=MRC", "CURRENCY=USD", "XLFILL=b")</f>
        <v/>
      </c>
      <c r="G361" s="9" t="str">
        <f>_xll.BQL("SAVE US Equity", "FA_GROWTH(CF_DECR_CAP_STOCK, YOY)", "FPT=A", "FPO=3A", "ACT_EST_MAPPING=PRECISE", "FS=MRC", "CURRENCY=USD", "XLFILL=b")</f>
        <v/>
      </c>
      <c r="H361" s="9" t="str">
        <f>_xll.BQL("SAVE US Equity", "FA_GROWTH(CF_DECR_CAP_STOCK, YOY)", "FPT=A", "FPO=2A", "ACT_EST_MAPPING=PRECISE", "FS=MRC", "CURRENCY=USD", "XLFILL=b")</f>
        <v/>
      </c>
      <c r="I361" s="9">
        <f>_xll.BQL("SAVE US Equity", "FA_GROWTH(CF_DECR_CAP_STOCK, YOY)", "FPT=A", "FPO=1A", "ACT_EST_MAPPING=PRECISE", "FS=MRC", "CURRENCY=USD", "XLFILL=b")</f>
        <v>75.625711035267344</v>
      </c>
      <c r="J361" s="9">
        <f>_xll.BQL("SAVE US Equity", "FA_GROWTH(CF_DECR_CAP_STOCK, YOY)", "FPT=A", "FPO=0A", "ACT_EST_MAPPING=PRECISE", "FS=MRC", "CURRENCY=USD", "XLFILL=b")</f>
        <v>-11.78465451462484</v>
      </c>
      <c r="K361" s="9">
        <f>_xll.BQL("SAVE US Equity", "FA_GROWTH(CF_DECR_CAP_STOCK, YOY)", "FPT=A", "FPO=-1A", "ACT_EST_MAPPING=PRECISE", "FS=MRC", "CURRENCY=USD", "XLFILL=b")</f>
        <v>-55.709570957095707</v>
      </c>
      <c r="L361" s="9">
        <f>_xll.BQL("SAVE US Equity", "FA_GROWTH(CF_DECR_CAP_STOCK, YOY)", "FPT=A", "FPO=-2A", "ACT_EST_MAPPING=PRECISE", "FS=MRC", "CURRENCY=USD", "XLFILL=b")</f>
        <v>9.2270820850808875</v>
      </c>
      <c r="M361" s="9">
        <f>_xll.BQL("SAVE US Equity", "FA_GROWTH(CF_DECR_CAP_STOCK, YOY)", "FPT=A", "FPO=-3A", "ACT_EST_MAPPING=PRECISE", "FS=MRC", "CURRENCY=USD", "XLFILL=b")</f>
        <v>69.314212171355024</v>
      </c>
      <c r="N361" s="9">
        <f>_xll.BQL("SAVE US Equity", "FA_GROWTH(CF_DECR_CAP_STOCK, YOY)", "FPT=A", "FPO=-4A", "ACT_EST_MAPPING=PRECISE", "FS=MRC", "CURRENCY=USD", "XLFILL=b")</f>
        <v>-368.07228915662648</v>
      </c>
    </row>
    <row r="362" spans="1:14" x14ac:dyDescent="0.2">
      <c r="A362" s="8" t="s">
        <v>396</v>
      </c>
      <c r="B362" s="4" t="s">
        <v>397</v>
      </c>
      <c r="C362" s="4" t="s">
        <v>398</v>
      </c>
      <c r="D362" s="4"/>
      <c r="E362" s="9">
        <f>_xll.BQL("SAVE US Equity", "CB_CF_NET_CASH_FINANCING_ACT/1M", "FPT=A", "FPO=5A", "ACT_EST_MAPPING=PRECISE", "FS=MRC", "CURRENCY=USD", "XLFILL=b")</f>
        <v>691.3</v>
      </c>
      <c r="F362" s="9">
        <f>_xll.BQL("SAVE US Equity", "CB_CF_NET_CASH_FINANCING_ACT/1M", "FPT=A", "FPO=4A", "ACT_EST_MAPPING=PRECISE", "FS=MRC", "CURRENCY=USD", "XLFILL=b")</f>
        <v>782.55</v>
      </c>
      <c r="G362" s="9">
        <f>_xll.BQL("SAVE US Equity", "CB_CF_NET_CASH_FINANCING_ACT/1M", "FPT=A", "FPO=3A", "ACT_EST_MAPPING=PRECISE", "FS=MRC", "CURRENCY=USD", "XLFILL=b")</f>
        <v>149.69725</v>
      </c>
      <c r="H362" s="9">
        <f>_xll.BQL("SAVE US Equity", "CB_CF_NET_CASH_FINANCING_ACT/1M", "FPT=A", "FPO=2A", "ACT_EST_MAPPING=PRECISE", "FS=MRC", "CURRENCY=USD", "XLFILL=b")</f>
        <v>383.3243333333333</v>
      </c>
      <c r="I362" s="9">
        <f>_xll.BQL("SAVE US Equity", "CB_CF_NET_CASH_FINANCING_ACT/1M", "FPT=A", "FPO=1A", "ACT_EST_MAPPING=PRECISE", "FS=MRC", "CURRENCY=USD", "XLFILL=b")</f>
        <v>-18.653271428571429</v>
      </c>
      <c r="J362" s="9">
        <f>_xll.BQL("SAVE US Equity", "CB_CF_NET_CASH_FINANCING_ACT/1M", "FPT=A", "FPO=0A", "ACT_EST_MAPPING=PRECISE", "FS=MRC", "CURRENCY=USD", "XLFILL=b")</f>
        <v>-197.96199999999999</v>
      </c>
      <c r="K362" s="9">
        <f>_xll.BQL("SAVE US Equity", "CB_CF_NET_CASH_FINANCING_ACT/1M", "FPT=A", "FPO=-1A", "ACT_EST_MAPPING=PRECISE", "FS=MRC", "CURRENCY=USD", "XLFILL=b")</f>
        <v>391.29700000000003</v>
      </c>
      <c r="L362" s="9">
        <f>_xll.BQL("SAVE US Equity", "CB_CF_NET_CASH_FINANCING_ACT/1M", "FPT=A", "FPO=-2A", "ACT_EST_MAPPING=PRECISE", "FS=MRC", "CURRENCY=USD", "XLFILL=b")</f>
        <v>-288.66000000000003</v>
      </c>
      <c r="M362" s="9">
        <f>_xll.BQL("SAVE US Equity", "CB_CF_NET_CASH_FINANCING_ACT/1M", "FPT=A", "FPO=-3A", "ACT_EST_MAPPING=PRECISE", "FS=MRC", "CURRENCY=USD", "XLFILL=b")</f>
        <v>1661.441</v>
      </c>
      <c r="N362" s="9">
        <f>_xll.BQL("SAVE US Equity", "CB_CF_NET_CASH_FINANCING_ACT/1M", "FPT=A", "FPO=-4A", "ACT_EST_MAPPING=PRECISE", "FS=MRC", "CURRENCY=USD", "XLFILL=b")</f>
        <v>-120.16800000000001</v>
      </c>
    </row>
    <row r="363" spans="1:14" x14ac:dyDescent="0.2">
      <c r="A363" s="8" t="s">
        <v>12</v>
      </c>
      <c r="B363" s="4" t="s">
        <v>397</v>
      </c>
      <c r="C363" s="4" t="s">
        <v>398</v>
      </c>
      <c r="D363" s="4"/>
      <c r="E363" s="9">
        <f>_xll.BQL("SAVE US Equity", "FA_GROWTH(CB_CF_NET_CASH_FINANCING_ACT, YOY)", "FPT=A", "FPO=5A", "ACT_EST_MAPPING=PRECISE", "FS=MRC", "CURRENCY=USD", "XLFILL=b")</f>
        <v>-11.660596766979745</v>
      </c>
      <c r="F363" s="9">
        <f>_xll.BQL("SAVE US Equity", "FA_GROWTH(CB_CF_NET_CASH_FINANCING_ACT, YOY)", "FPT=A", "FPO=4A", "ACT_EST_MAPPING=PRECISE", "FS=MRC", "CURRENCY=USD", "XLFILL=b")</f>
        <v>422.7550940314535</v>
      </c>
      <c r="G363" s="9">
        <f>_xll.BQL("SAVE US Equity", "FA_GROWTH(CB_CF_NET_CASH_FINANCING_ACT, YOY)", "FPT=A", "FPO=3A", "ACT_EST_MAPPING=PRECISE", "FS=MRC", "CURRENCY=USD", "XLFILL=b")</f>
        <v>-60.947626596450526</v>
      </c>
      <c r="H363" s="9">
        <f>_xll.BQL("SAVE US Equity", "FA_GROWTH(CB_CF_NET_CASH_FINANCING_ACT, YOY)", "FPT=A", "FPO=2A", "ACT_EST_MAPPING=PRECISE", "FS=MRC", "CURRENCY=USD", "XLFILL=b")</f>
        <v>2154.997884961836</v>
      </c>
      <c r="I363" s="9">
        <f>_xll.BQL("SAVE US Equity", "FA_GROWTH(CB_CF_NET_CASH_FINANCING_ACT, YOY)", "FPT=A", "FPO=1A", "ACT_EST_MAPPING=PRECISE", "FS=MRC", "CURRENCY=USD", "XLFILL=b")</f>
        <v>90.577347456293921</v>
      </c>
      <c r="J363" s="9">
        <f>_xll.BQL("SAVE US Equity", "FA_GROWTH(CB_CF_NET_CASH_FINANCING_ACT, YOY)", "FPT=A", "FPO=0A", "ACT_EST_MAPPING=PRECISE", "FS=MRC", "CURRENCY=USD", "XLFILL=b")</f>
        <v>-150.59123887993007</v>
      </c>
      <c r="K363" s="9">
        <f>_xll.BQL("SAVE US Equity", "FA_GROWTH(CB_CF_NET_CASH_FINANCING_ACT, YOY)", "FPT=A", "FPO=-1A", "ACT_EST_MAPPING=PRECISE", "FS=MRC", "CURRENCY=USD", "XLFILL=b")</f>
        <v>235.55636388831149</v>
      </c>
      <c r="L363" s="9">
        <f>_xll.BQL("SAVE US Equity", "FA_GROWTH(CB_CF_NET_CASH_FINANCING_ACT, YOY)", "FPT=A", "FPO=-2A", "ACT_EST_MAPPING=PRECISE", "FS=MRC", "CURRENCY=USD", "XLFILL=b")</f>
        <v>-117.37407467373203</v>
      </c>
      <c r="M363" s="9">
        <f>_xll.BQL("SAVE US Equity", "FA_GROWTH(CB_CF_NET_CASH_FINANCING_ACT, YOY)", "FPT=A", "FPO=-3A", "ACT_EST_MAPPING=PRECISE", "FS=MRC", "CURRENCY=USD", "XLFILL=b")</f>
        <v>1482.5985287264496</v>
      </c>
      <c r="N363" s="9">
        <f>_xll.BQL("SAVE US Equity", "FA_GROWTH(CB_CF_NET_CASH_FINANCING_ACT, YOY)", "FPT=A", "FPO=-4A", "ACT_EST_MAPPING=PRECISE", "FS=MRC", "CURRENCY=USD", "XLFILL=b")</f>
        <v>-124.97625376977899</v>
      </c>
    </row>
    <row r="364" spans="1:14" x14ac:dyDescent="0.2">
      <c r="A364" s="8" t="s">
        <v>16</v>
      </c>
      <c r="B364" s="4"/>
      <c r="C364" s="4"/>
      <c r="D364" s="4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x14ac:dyDescent="0.2">
      <c r="A365" s="8" t="s">
        <v>320</v>
      </c>
      <c r="B365" s="4"/>
      <c r="C365" s="4" t="s">
        <v>321</v>
      </c>
      <c r="D365" s="4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x14ac:dyDescent="0.2">
      <c r="A366" s="8" t="s">
        <v>399</v>
      </c>
      <c r="B366" s="4" t="s">
        <v>400</v>
      </c>
      <c r="C366" s="4" t="s">
        <v>401</v>
      </c>
      <c r="D366" s="4"/>
      <c r="E366" s="9">
        <f>_xll.BQL("SAVE US Equity", "CF_NET_CHNG_CASH/1M", "FPT=A", "FPO=5A", "ACT_EST_MAPPING=PRECISE", "FS=MRC", "CURRENCY=USD", "XLFILL=b")</f>
        <v>184.60694058507954</v>
      </c>
      <c r="F366" s="9">
        <f>_xll.BQL("SAVE US Equity", "CF_NET_CHNG_CASH/1M", "FPT=A", "FPO=4A", "ACT_EST_MAPPING=PRECISE", "FS=MRC", "CURRENCY=USD", "XLFILL=b")</f>
        <v>42.200103300440006</v>
      </c>
      <c r="G366" s="9">
        <f>_xll.BQL("SAVE US Equity", "CF_NET_CHNG_CASH/1M", "FPT=A", "FPO=3A", "ACT_EST_MAPPING=PRECISE", "FS=MRC", "CURRENCY=USD", "XLFILL=b")</f>
        <v>-44.144722700030805</v>
      </c>
      <c r="H366" s="9">
        <f>_xll.BQL("SAVE US Equity", "CF_NET_CHNG_CASH/1M", "FPT=A", "FPO=2A", "ACT_EST_MAPPING=PRECISE", "FS=MRC", "CURRENCY=USD", "XLFILL=b")</f>
        <v>-222.01943206697578</v>
      </c>
      <c r="I366" s="9">
        <f>_xll.BQL("SAVE US Equity", "CF_NET_CHNG_CASH/1M", "FPT=A", "FPO=1A", "ACT_EST_MAPPING=PRECISE", "FS=MRC", "CURRENCY=USD", "XLFILL=b")</f>
        <v>-470.65401888939135</v>
      </c>
      <c r="J366" s="9">
        <f>_xll.BQL("SAVE US Equity", "CF_NET_CHNG_CASH/1M", "FPT=A", "FPO=0A", "ACT_EST_MAPPING=PRECISE", "FS=MRC", "CURRENCY=USD", "XLFILL=b")</f>
        <v>-481.13099999999997</v>
      </c>
      <c r="K366" s="9">
        <f>_xll.BQL("SAVE US Equity", "CF_NET_CHNG_CASH/1M", "FPT=A", "FPO=-1A", "ACT_EST_MAPPING=PRECISE", "FS=MRC", "CURRENCY=USD", "XLFILL=b")</f>
        <v>36.835000000000001</v>
      </c>
      <c r="L366" s="9">
        <f>_xll.BQL("SAVE US Equity", "CF_NET_CHNG_CASH/1M", "FPT=A", "FPO=-2A", "ACT_EST_MAPPING=PRECISE", "FS=MRC", "CURRENCY=USD", "XLFILL=b")</f>
        <v>-432.21699999999998</v>
      </c>
      <c r="M366" s="9">
        <f>_xll.BQL("SAVE US Equity", "CF_NET_CHNG_CASH/1M", "FPT=A", "FPO=-3A", "ACT_EST_MAPPING=PRECISE", "FS=MRC", "CURRENCY=USD", "XLFILL=b")</f>
        <v>882.16700000000003</v>
      </c>
      <c r="N366" s="9">
        <f>_xll.BQL("SAVE US Equity", "CF_NET_CHNG_CASH/1M", "FPT=A", "FPO=-4A", "ACT_EST_MAPPING=PRECISE", "FS=MRC", "CURRENCY=USD", "XLFILL=b")</f>
        <v>-25.776</v>
      </c>
    </row>
    <row r="367" spans="1:14" x14ac:dyDescent="0.2">
      <c r="A367" s="8" t="s">
        <v>44</v>
      </c>
      <c r="B367" s="4" t="s">
        <v>400</v>
      </c>
      <c r="C367" s="4" t="s">
        <v>401</v>
      </c>
      <c r="D367" s="4"/>
      <c r="E367" s="9">
        <f>_xll.BQL("SAVE US Equity", "FA_GROWTH(CF_NET_CHNG_CASH, YOY)", "FPT=A", "FPO=5A", "ACT_EST_MAPPING=PRECISE", "FS=MRC", "CURRENCY=USD", "XLFILL=b")</f>
        <v>337.45613433878657</v>
      </c>
      <c r="F367" s="9">
        <f>_xll.BQL("SAVE US Equity", "FA_GROWTH(CF_NET_CHNG_CASH, YOY)", "FPT=A", "FPO=4A", "ACT_EST_MAPPING=PRECISE", "FS=MRC", "CURRENCY=USD", "XLFILL=b")</f>
        <v>195.5948995017938</v>
      </c>
      <c r="G367" s="9">
        <f>_xll.BQL("SAVE US Equity", "FA_GROWTH(CF_NET_CHNG_CASH, YOY)", "FPT=A", "FPO=3A", "ACT_EST_MAPPING=PRECISE", "FS=MRC", "CURRENCY=USD", "XLFILL=b")</f>
        <v>80.116730193817517</v>
      </c>
      <c r="H367" s="9">
        <f>_xll.BQL("SAVE US Equity", "FA_GROWTH(CF_NET_CHNG_CASH, YOY)", "FPT=A", "FPO=2A", "ACT_EST_MAPPING=PRECISE", "FS=MRC", "CURRENCY=USD", "XLFILL=b")</f>
        <v>52.827464941045648</v>
      </c>
      <c r="I367" s="9">
        <f>_xll.BQL("SAVE US Equity", "FA_GROWTH(CF_NET_CHNG_CASH, YOY)", "FPT=A", "FPO=1A", "ACT_EST_MAPPING=PRECISE", "FS=MRC", "CURRENCY=USD", "XLFILL=b")</f>
        <v>2.1775734905064601</v>
      </c>
      <c r="J367" s="9">
        <f>_xll.BQL("SAVE US Equity", "FA_GROWTH(CF_NET_CHNG_CASH, YOY)", "FPT=A", "FPO=0A", "ACT_EST_MAPPING=PRECISE", "FS=MRC", "CURRENCY=USD", "XLFILL=b")</f>
        <v>-1406.1789059318583</v>
      </c>
      <c r="K367" s="9">
        <f>_xll.BQL("SAVE US Equity", "FA_GROWTH(CF_NET_CHNG_CASH, YOY)", "FPT=A", "FPO=-1A", "ACT_EST_MAPPING=PRECISE", "FS=MRC", "CURRENCY=USD", "XLFILL=b")</f>
        <v>108.52233947299621</v>
      </c>
      <c r="L367" s="9">
        <f>_xll.BQL("SAVE US Equity", "FA_GROWTH(CF_NET_CHNG_CASH, YOY)", "FPT=A", "FPO=-2A", "ACT_EST_MAPPING=PRECISE", "FS=MRC", "CURRENCY=USD", "XLFILL=b")</f>
        <v>-148.99491819576113</v>
      </c>
      <c r="M367" s="9">
        <f>_xll.BQL("SAVE US Equity", "FA_GROWTH(CF_NET_CHNG_CASH, YOY)", "FPT=A", "FPO=-3A", "ACT_EST_MAPPING=PRECISE", "FS=MRC", "CURRENCY=USD", "XLFILL=b")</f>
        <v>3522.4355990068279</v>
      </c>
      <c r="N367" s="9">
        <f>_xll.BQL("SAVE US Equity", "FA_GROWTH(CF_NET_CHNG_CASH, YOY)", "FPT=A", "FPO=-4A", "ACT_EST_MAPPING=PRECISE", "FS=MRC", "CURRENCY=USD", "XLFILL=b")</f>
        <v>-112.64248298051834</v>
      </c>
    </row>
    <row r="368" spans="1:14" x14ac:dyDescent="0.2">
      <c r="A368" s="8" t="s">
        <v>402</v>
      </c>
      <c r="B368" s="4" t="s">
        <v>403</v>
      </c>
      <c r="C368" s="4" t="s">
        <v>404</v>
      </c>
      <c r="D368" s="4"/>
      <c r="E368" s="9" t="str">
        <f>_xll.BQL("SAVE US Equity", "CF_CASH_AND_CASH_EQUIV_BEG_BAL/1M", "FPT=A", "FPO=5A", "ACT_EST_MAPPING=PRECISE", "FS=MRC", "CURRENCY=USD", "XLFILL=b")</f>
        <v/>
      </c>
      <c r="F368" s="9" t="str">
        <f>_xll.BQL("SAVE US Equity", "CF_CASH_AND_CASH_EQUIV_BEG_BAL/1M", "FPT=A", "FPO=4A", "ACT_EST_MAPPING=PRECISE", "FS=MRC", "CURRENCY=USD", "XLFILL=b")</f>
        <v/>
      </c>
      <c r="G368" s="9">
        <f>_xll.BQL("SAVE US Equity", "CF_CASH_AND_CASH_EQUIV_BEG_BAL/1M", "FPT=A", "FPO=3A", "ACT_EST_MAPPING=PRECISE", "FS=MRC", "CURRENCY=USD", "XLFILL=b")</f>
        <v>323.72053247015862</v>
      </c>
      <c r="H368" s="9">
        <f>_xll.BQL("SAVE US Equity", "CF_CASH_AND_CASH_EQUIV_BEG_BAL/1M", "FPT=A", "FPO=2A", "ACT_EST_MAPPING=PRECISE", "FS=MRC", "CURRENCY=USD", "XLFILL=b")</f>
        <v>454.53344683134031</v>
      </c>
      <c r="I368" s="9">
        <f>_xll.BQL("SAVE US Equity", "CF_CASH_AND_CASH_EQUIV_BEG_BAL/1M", "FPT=A", "FPO=1A", "ACT_EST_MAPPING=PRECISE", "FS=MRC", "CURRENCY=USD", "XLFILL=b")</f>
        <v>984.61100000000022</v>
      </c>
      <c r="J368" s="9">
        <f>_xll.BQL("SAVE US Equity", "CF_CASH_AND_CASH_EQUIV_BEG_BAL/1M", "FPT=A", "FPO=0A", "ACT_EST_MAPPING=PRECISE", "FS=MRC", "CURRENCY=USD", "XLFILL=b")</f>
        <v>1465.742</v>
      </c>
      <c r="K368" s="9">
        <f>_xll.BQL("SAVE US Equity", "CF_CASH_AND_CASH_EQUIV_BEG_BAL/1M", "FPT=A", "FPO=-1A", "ACT_EST_MAPPING=PRECISE", "FS=MRC", "CURRENCY=USD", "XLFILL=b")</f>
        <v>1428.9069999999999</v>
      </c>
      <c r="L368" s="9">
        <f>_xll.BQL("SAVE US Equity", "CF_CASH_AND_CASH_EQUIV_BEG_BAL/1M", "FPT=A", "FPO=-2A", "ACT_EST_MAPPING=PRECISE", "FS=MRC", "CURRENCY=USD", "XLFILL=b")</f>
        <v>1861.124</v>
      </c>
      <c r="M368" s="9">
        <f>_xll.BQL("SAVE US Equity", "CF_CASH_AND_CASH_EQUIV_BEG_BAL/1M", "FPT=A", "FPO=-3A", "ACT_EST_MAPPING=PRECISE", "FS=MRC", "CURRENCY=USD", "XLFILL=b")</f>
        <v>978.95699999999999</v>
      </c>
      <c r="N368" s="9">
        <f>_xll.BQL("SAVE US Equity", "CF_CASH_AND_CASH_EQUIV_BEG_BAL/1M", "FPT=A", "FPO=-4A", "ACT_EST_MAPPING=PRECISE", "FS=MRC", "CURRENCY=USD", "XLFILL=b")</f>
        <v>1004.7329999999999</v>
      </c>
    </row>
    <row r="369" spans="1:14" x14ac:dyDescent="0.2">
      <c r="A369" s="8" t="s">
        <v>92</v>
      </c>
      <c r="B369" s="4" t="s">
        <v>403</v>
      </c>
      <c r="C369" s="4" t="s">
        <v>404</v>
      </c>
      <c r="D369" s="4"/>
      <c r="E369" s="9" t="str">
        <f>_xll.BQL("SAVE US Equity", "FA_GROWTH(CF_CASH_AND_CASH_EQUIV_BEG_BAL, YOY)", "FPT=A", "FPO=5A", "ACT_EST_MAPPING=PRECISE", "FS=MRC", "CURRENCY=USD", "XLFILL=b")</f>
        <v/>
      </c>
      <c r="F369" s="9" t="str">
        <f>_xll.BQL("SAVE US Equity", "FA_GROWTH(CF_CASH_AND_CASH_EQUIV_BEG_BAL, YOY)", "FPT=A", "FPO=4A", "ACT_EST_MAPPING=PRECISE", "FS=MRC", "CURRENCY=USD", "XLFILL=b")</f>
        <v/>
      </c>
      <c r="G369" s="9">
        <f>_xll.BQL("SAVE US Equity", "FA_GROWTH(CF_CASH_AND_CASH_EQUIV_BEG_BAL, YOY)", "FPT=A", "FPO=3A", "ACT_EST_MAPPING=PRECISE", "FS=MRC", "CURRENCY=USD", "XLFILL=b")</f>
        <v>-28.779601429357797</v>
      </c>
      <c r="H369" s="9">
        <f>_xll.BQL("SAVE US Equity", "FA_GROWTH(CF_CASH_AND_CASH_EQUIV_BEG_BAL, YOY)", "FPT=A", "FPO=2A", "ACT_EST_MAPPING=PRECISE", "FS=MRC", "CURRENCY=USD", "XLFILL=b")</f>
        <v>-53.836241233203751</v>
      </c>
      <c r="I369" s="9">
        <f>_xll.BQL("SAVE US Equity", "FA_GROWTH(CF_CASH_AND_CASH_EQUIV_BEG_BAL, YOY)", "FPT=A", "FPO=1A", "ACT_EST_MAPPING=PRECISE", "FS=MRC", "CURRENCY=USD", "XLFILL=b")</f>
        <v>-32.825081085211437</v>
      </c>
      <c r="J369" s="9">
        <f>_xll.BQL("SAVE US Equity", "FA_GROWTH(CF_CASH_AND_CASH_EQUIV_BEG_BAL, YOY)", "FPT=A", "FPO=0A", "ACT_EST_MAPPING=PRECISE", "FS=MRC", "CURRENCY=USD", "XLFILL=b")</f>
        <v>2.5778444643353278</v>
      </c>
      <c r="K369" s="9">
        <f>_xll.BQL("SAVE US Equity", "FA_GROWTH(CF_CASH_AND_CASH_EQUIV_BEG_BAL, YOY)", "FPT=A", "FPO=-1A", "ACT_EST_MAPPING=PRECISE", "FS=MRC", "CURRENCY=USD", "XLFILL=b")</f>
        <v>-23.223439169018292</v>
      </c>
      <c r="L369" s="9">
        <f>_xll.BQL("SAVE US Equity", "FA_GROWTH(CF_CASH_AND_CASH_EQUIV_BEG_BAL, YOY)", "FPT=A", "FPO=-2A", "ACT_EST_MAPPING=PRECISE", "FS=MRC", "CURRENCY=USD", "XLFILL=b")</f>
        <v>90.112946738212202</v>
      </c>
      <c r="M369" s="9">
        <f>_xll.BQL("SAVE US Equity", "FA_GROWTH(CF_CASH_AND_CASH_EQUIV_BEG_BAL, YOY)", "FPT=A", "FPO=-3A", "ACT_EST_MAPPING=PRECISE", "FS=MRC", "CURRENCY=USD", "XLFILL=b")</f>
        <v>-2.565457688759103</v>
      </c>
      <c r="N369" s="9">
        <f>_xll.BQL("SAVE US Equity", "FA_GROWTH(CF_CASH_AND_CASH_EQUIV_BEG_BAL, YOY)", "FPT=A", "FPO=-4A", "ACT_EST_MAPPING=PRECISE", "FS=MRC", "CURRENCY=USD", "XLFILL=b")</f>
        <v>25.458482185780341</v>
      </c>
    </row>
    <row r="370" spans="1:14" x14ac:dyDescent="0.2">
      <c r="A370" s="8" t="s">
        <v>405</v>
      </c>
      <c r="B370" s="4" t="s">
        <v>406</v>
      </c>
      <c r="C370" s="4" t="s">
        <v>407</v>
      </c>
      <c r="D370" s="4"/>
      <c r="E370" s="9" t="str">
        <f>_xll.BQL("SAVE US Equity", "CF_CASH_AND_CASH_EQUIV_END_BAL/1M", "FPT=A", "FPO=5A", "ACT_EST_MAPPING=PRECISE", "FS=MRC", "CURRENCY=USD", "XLFILL=b")</f>
        <v/>
      </c>
      <c r="F370" s="9" t="str">
        <f>_xll.BQL("SAVE US Equity", "CF_CASH_AND_CASH_EQUIV_END_BAL/1M", "FPT=A", "FPO=4A", "ACT_EST_MAPPING=PRECISE", "FS=MRC", "CURRENCY=USD", "XLFILL=b")</f>
        <v/>
      </c>
      <c r="G370" s="9">
        <f>_xll.BQL("SAVE US Equity", "CF_CASH_AND_CASH_EQUIV_END_BAL/1M", "FPT=A", "FPO=3A", "ACT_EST_MAPPING=PRECISE", "FS=MRC", "CURRENCY=USD", "XLFILL=b")</f>
        <v>342.51273848666352</v>
      </c>
      <c r="H370" s="9">
        <f>_xll.BQL("SAVE US Equity", "CF_CASH_AND_CASH_EQUIV_END_BAL/1M", "FPT=A", "FPO=2A", "ACT_EST_MAPPING=PRECISE", "FS=MRC", "CURRENCY=USD", "XLFILL=b")</f>
        <v>361.66571785840529</v>
      </c>
      <c r="I370" s="9">
        <f>_xll.BQL("SAVE US Equity", "CF_CASH_AND_CASH_EQUIV_END_BAL/1M", "FPT=A", "FPO=1A", "ACT_EST_MAPPING=PRECISE", "FS=MRC", "CURRENCY=USD", "XLFILL=b")</f>
        <v>509.17555765319423</v>
      </c>
      <c r="J370" s="9">
        <f>_xll.BQL("SAVE US Equity", "CF_CASH_AND_CASH_EQUIV_END_BAL/1M", "FPT=A", "FPO=0A", "ACT_EST_MAPPING=PRECISE", "FS=MRC", "CURRENCY=USD", "XLFILL=b")</f>
        <v>984.61099999999999</v>
      </c>
      <c r="K370" s="9">
        <f>_xll.BQL("SAVE US Equity", "CF_CASH_AND_CASH_EQUIV_END_BAL/1M", "FPT=A", "FPO=-1A", "ACT_EST_MAPPING=PRECISE", "FS=MRC", "CURRENCY=USD", "XLFILL=b")</f>
        <v>1465.742</v>
      </c>
      <c r="L370" s="9">
        <f>_xll.BQL("SAVE US Equity", "CF_CASH_AND_CASH_EQUIV_END_BAL/1M", "FPT=A", "FPO=-2A", "ACT_EST_MAPPING=PRECISE", "FS=MRC", "CURRENCY=USD", "XLFILL=b")</f>
        <v>1428.9069999999999</v>
      </c>
      <c r="M370" s="9">
        <f>_xll.BQL("SAVE US Equity", "CF_CASH_AND_CASH_EQUIV_END_BAL/1M", "FPT=A", "FPO=-3A", "ACT_EST_MAPPING=PRECISE", "FS=MRC", "CURRENCY=USD", "XLFILL=b")</f>
        <v>1861.124</v>
      </c>
      <c r="N370" s="9">
        <f>_xll.BQL("SAVE US Equity", "CF_CASH_AND_CASH_EQUIV_END_BAL/1M", "FPT=A", "FPO=-4A", "ACT_EST_MAPPING=PRECISE", "FS=MRC", "CURRENCY=USD", "XLFILL=b")</f>
        <v>978.95699999999999</v>
      </c>
    </row>
    <row r="371" spans="1:14" x14ac:dyDescent="0.2">
      <c r="A371" s="8" t="s">
        <v>92</v>
      </c>
      <c r="B371" s="4" t="s">
        <v>406</v>
      </c>
      <c r="C371" s="4" t="s">
        <v>407</v>
      </c>
      <c r="D371" s="4"/>
      <c r="E371" s="9" t="str">
        <f>_xll.BQL("SAVE US Equity", "FA_GROWTH(CF_CASH_AND_CASH_EQUIV_END_BAL, YOY)", "FPT=A", "FPO=5A", "ACT_EST_MAPPING=PRECISE", "FS=MRC", "CURRENCY=USD", "XLFILL=b")</f>
        <v/>
      </c>
      <c r="F371" s="9" t="str">
        <f>_xll.BQL("SAVE US Equity", "FA_GROWTH(CF_CASH_AND_CASH_EQUIV_END_BAL, YOY)", "FPT=A", "FPO=4A", "ACT_EST_MAPPING=PRECISE", "FS=MRC", "CURRENCY=USD", "XLFILL=b")</f>
        <v/>
      </c>
      <c r="G371" s="9">
        <f>_xll.BQL("SAVE US Equity", "FA_GROWTH(CF_CASH_AND_CASH_EQUIV_END_BAL, YOY)", "FPT=A", "FPO=3A", "ACT_EST_MAPPING=PRECISE", "FS=MRC", "CURRENCY=USD", "XLFILL=b")</f>
        <v>-5.2957685580916189</v>
      </c>
      <c r="H371" s="9">
        <f>_xll.BQL("SAVE US Equity", "FA_GROWTH(CF_CASH_AND_CASH_EQUIV_END_BAL, YOY)", "FPT=A", "FPO=2A", "ACT_EST_MAPPING=PRECISE", "FS=MRC", "CURRENCY=USD", "XLFILL=b")</f>
        <v>-28.970330090993826</v>
      </c>
      <c r="I371" s="9">
        <f>_xll.BQL("SAVE US Equity", "FA_GROWTH(CF_CASH_AND_CASH_EQUIV_END_BAL, YOY)", "FPT=A", "FPO=1A", "ACT_EST_MAPPING=PRECISE", "FS=MRC", "CURRENCY=USD", "XLFILL=b")</f>
        <v>-48.286627139733937</v>
      </c>
      <c r="J371" s="9">
        <f>_xll.BQL("SAVE US Equity", "FA_GROWTH(CF_CASH_AND_CASH_EQUIV_END_BAL, YOY)", "FPT=A", "FPO=0A", "ACT_EST_MAPPING=PRECISE", "FS=MRC", "CURRENCY=USD", "XLFILL=b")</f>
        <v>-32.825081085211451</v>
      </c>
      <c r="K371" s="9">
        <f>_xll.BQL("SAVE US Equity", "FA_GROWTH(CF_CASH_AND_CASH_EQUIV_END_BAL, YOY)", "FPT=A", "FPO=-1A", "ACT_EST_MAPPING=PRECISE", "FS=MRC", "CURRENCY=USD", "XLFILL=b")</f>
        <v>2.5778444643353278</v>
      </c>
      <c r="L371" s="9">
        <f>_xll.BQL("SAVE US Equity", "FA_GROWTH(CF_CASH_AND_CASH_EQUIV_END_BAL, YOY)", "FPT=A", "FPO=-2A", "ACT_EST_MAPPING=PRECISE", "FS=MRC", "CURRENCY=USD", "XLFILL=b")</f>
        <v>-23.223439169018292</v>
      </c>
      <c r="M371" s="9">
        <f>_xll.BQL("SAVE US Equity", "FA_GROWTH(CF_CASH_AND_CASH_EQUIV_END_BAL, YOY)", "FPT=A", "FPO=-3A", "ACT_EST_MAPPING=PRECISE", "FS=MRC", "CURRENCY=USD", "XLFILL=b")</f>
        <v>90.112946738212202</v>
      </c>
      <c r="N371" s="9">
        <f>_xll.BQL("SAVE US Equity", "FA_GROWTH(CF_CASH_AND_CASH_EQUIV_END_BAL, YOY)", "FPT=A", "FPO=-4A", "ACT_EST_MAPPING=PRECISE", "FS=MRC", "CURRENCY=USD", "XLFILL=b")</f>
        <v>-2.565457688759103</v>
      </c>
    </row>
    <row r="372" spans="1:14" x14ac:dyDescent="0.2">
      <c r="A372" s="8" t="s">
        <v>16</v>
      </c>
      <c r="B372" s="4"/>
      <c r="C372" s="4"/>
      <c r="D372" s="4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x14ac:dyDescent="0.2">
      <c r="A373" s="8" t="s">
        <v>408</v>
      </c>
      <c r="B373" s="4" t="s">
        <v>409</v>
      </c>
      <c r="C373" s="4"/>
      <c r="D373" s="4"/>
      <c r="E373" s="9">
        <f>_xll.BQL("SAVE US Equity", "HEADLINE_FCF/1M", "FPT=A", "FPO=5A", "ACT_EST_MAPPING=PRECISE", "FS=MRC", "CURRENCY=USD", "XLFILL=b")</f>
        <v>-506.69305941491996</v>
      </c>
      <c r="F373" s="9">
        <f>_xll.BQL("SAVE US Equity", "HEADLINE_FCF/1M", "FPT=A", "FPO=4A", "ACT_EST_MAPPING=PRECISE", "FS=MRC", "CURRENCY=USD", "XLFILL=b")</f>
        <v>-740.34989669956008</v>
      </c>
      <c r="G373" s="9">
        <f>_xll.BQL("SAVE US Equity", "HEADLINE_FCF/1M", "FPT=A", "FPO=3A", "ACT_EST_MAPPING=PRECISE", "FS=MRC", "CURRENCY=USD", "XLFILL=b")</f>
        <v>-218.70630026596768</v>
      </c>
      <c r="H373" s="9">
        <f>_xll.BQL("SAVE US Equity", "HEADLINE_FCF/1M", "FPT=A", "FPO=2A", "ACT_EST_MAPPING=PRECISE", "FS=MRC", "CURRENCY=USD", "XLFILL=b")</f>
        <v>-566.52673558973027</v>
      </c>
      <c r="I373" s="9">
        <f>_xll.BQL("SAVE US Equity", "HEADLINE_FCF/1M", "FPT=A", "FPO=1A", "ACT_EST_MAPPING=PRECISE", "FS=MRC", "CURRENCY=USD", "XLFILL=b")</f>
        <v>-544.2892348873637</v>
      </c>
      <c r="J373" s="9">
        <f>_xll.BQL("SAVE US Equity", "HEADLINE_FCF/1M", "FPT=A", "FPO=0A", "ACT_EST_MAPPING=PRECISE", "FS=MRC", "CURRENCY=USD", "XLFILL=b")</f>
        <v>-502.22399999999999</v>
      </c>
      <c r="K373" s="9">
        <f>_xll.BQL("SAVE US Equity", "HEADLINE_FCF/1M", "FPT=A", "FPO=-1A", "ACT_EST_MAPPING=PRECISE", "FS=MRC", "CURRENCY=USD", "XLFILL=b")</f>
        <v>-326.60599999999999</v>
      </c>
      <c r="L373" s="9">
        <f>_xll.BQL("SAVE US Equity", "HEADLINE_FCF/1M", "FPT=A", "FPO=-2A", "ACT_EST_MAPPING=PRECISE", "FS=MRC", "CURRENCY=USD", "XLFILL=b")</f>
        <v>-4.8789999999999907</v>
      </c>
      <c r="M373" s="9">
        <f>_xll.BQL("SAVE US Equity", "HEADLINE_FCF/1M", "FPT=A", "FPO=-3A", "ACT_EST_MAPPING=PRECISE", "FS=MRC", "CURRENCY=USD", "XLFILL=b")</f>
        <v>-618.649</v>
      </c>
      <c r="N373" s="9">
        <f>_xll.BQL("SAVE US Equity", "HEADLINE_FCF/1M", "FPT=A", "FPO=-4A", "ACT_EST_MAPPING=PRECISE", "FS=MRC", "CURRENCY=USD", "XLFILL=b")</f>
        <v>216.78400000000005</v>
      </c>
    </row>
    <row r="374" spans="1:14" x14ac:dyDescent="0.2">
      <c r="A374" s="8" t="s">
        <v>44</v>
      </c>
      <c r="B374" s="4" t="s">
        <v>409</v>
      </c>
      <c r="C374" s="4"/>
      <c r="D374" s="4"/>
      <c r="E374" s="9">
        <f>_xll.BQL("SAVE US Equity", "FA_GROWTH(HEADLINE_FCF, YOY)", "FPT=A", "FPO=5A", "ACT_EST_MAPPING=PRECISE", "FS=MRC", "CURRENCY=USD", "XLFILL=b")</f>
        <v>31.560325506394975</v>
      </c>
      <c r="F374" s="9">
        <f>_xll.BQL("SAVE US Equity", "FA_GROWTH(HEADLINE_FCF, YOY)", "FPT=A", "FPO=4A", "ACT_EST_MAPPING=PRECISE", "FS=MRC", "CURRENCY=USD", "XLFILL=b")</f>
        <v>-238.5132919349941</v>
      </c>
      <c r="G374" s="9">
        <f>_xll.BQL("SAVE US Equity", "FA_GROWTH(HEADLINE_FCF, YOY)", "FPT=A", "FPO=3A", "ACT_EST_MAPPING=PRECISE", "FS=MRC", "CURRENCY=USD", "XLFILL=b")</f>
        <v>61.395237589572226</v>
      </c>
      <c r="H374" s="9">
        <f>_xll.BQL("SAVE US Equity", "FA_GROWTH(HEADLINE_FCF, YOY)", "FPT=A", "FPO=2A", "ACT_EST_MAPPING=PRECISE", "FS=MRC", "CURRENCY=USD", "XLFILL=b")</f>
        <v>-4.0856036234059383</v>
      </c>
      <c r="I374" s="9">
        <f>_xll.BQL("SAVE US Equity", "FA_GROWTH(HEADLINE_FCF, YOY)", "FPT=A", "FPO=1A", "ACT_EST_MAPPING=PRECISE", "FS=MRC", "CURRENCY=USD", "XLFILL=b")</f>
        <v>-8.3757914570716796</v>
      </c>
      <c r="J374" s="9">
        <f>_xll.BQL("SAVE US Equity", "FA_GROWTH(HEADLINE_FCF, YOY)", "FPT=A", "FPO=0A", "ACT_EST_MAPPING=PRECISE", "FS=MRC", "CURRENCY=USD", "XLFILL=b")</f>
        <v>-53.770598213137539</v>
      </c>
      <c r="K374" s="9">
        <f>_xll.BQL("SAVE US Equity", "FA_GROWTH(HEADLINE_FCF, YOY)", "FPT=A", "FPO=-1A", "ACT_EST_MAPPING=PRECISE", "FS=MRC", "CURRENCY=USD", "XLFILL=b")</f>
        <v>-6594.1176470588362</v>
      </c>
      <c r="L374" s="9">
        <f>_xll.BQL("SAVE US Equity", "FA_GROWTH(HEADLINE_FCF, YOY)", "FPT=A", "FPO=-2A", "ACT_EST_MAPPING=PRECISE", "FS=MRC", "CURRENCY=USD", "XLFILL=b")</f>
        <v>99.211346013652332</v>
      </c>
      <c r="M374" s="9">
        <f>_xll.BQL("SAVE US Equity", "FA_GROWTH(HEADLINE_FCF, YOY)", "FPT=A", "FPO=-3A", "ACT_EST_MAPPING=PRECISE", "FS=MRC", "CURRENCY=USD", "XLFILL=b")</f>
        <v>-385.37576573916886</v>
      </c>
      <c r="N374" s="9">
        <f>_xll.BQL("SAVE US Equity", "FA_GROWTH(HEADLINE_FCF, YOY)", "FPT=A", "FPO=-4A", "ACT_EST_MAPPING=PRECISE", "FS=MRC", "CURRENCY=USD", "XLFILL=b")</f>
        <v>315.68830341863344</v>
      </c>
    </row>
    <row r="375" spans="1:14" x14ac:dyDescent="0.2">
      <c r="A375" s="8" t="s">
        <v>410</v>
      </c>
      <c r="B375" s="4" t="s">
        <v>411</v>
      </c>
      <c r="C375" s="4"/>
      <c r="D375" s="4"/>
      <c r="E375" s="9">
        <f>_xll.BQL("SAVE US Equity", "FCF_PER_DIL_SHR", "FPT=A", "FPO=5A", "ACT_EST_MAPPING=PRECISE", "FS=MRC", "CURRENCY=USD", "XLFILL=b")</f>
        <v>-4.6270803372867277</v>
      </c>
      <c r="F375" s="9">
        <f>_xll.BQL("SAVE US Equity", "FCF_PER_DIL_SHR", "FPT=A", "FPO=4A", "ACT_EST_MAPPING=PRECISE", "FS=MRC", "CURRENCY=USD", "XLFILL=b")</f>
        <v>-6.7608158155677307</v>
      </c>
      <c r="G375" s="9">
        <f>_xll.BQL("SAVE US Equity", "FCF_PER_DIL_SHR", "FPT=A", "FPO=3A", "ACT_EST_MAPPING=PRECISE", "FS=MRC", "CURRENCY=USD", "XLFILL=b")</f>
        <v>-1.2247052985940596</v>
      </c>
      <c r="H375" s="9">
        <f>_xll.BQL("SAVE US Equity", "FCF_PER_DIL_SHR", "FPT=A", "FPO=2A", "ACT_EST_MAPPING=PRECISE", "FS=MRC", "CURRENCY=USD", "XLFILL=b")</f>
        <v>-5.5342606108086052</v>
      </c>
      <c r="I375" s="9">
        <f>_xll.BQL("SAVE US Equity", "FCF_PER_DIL_SHR", "FPT=A", "FPO=1A", "ACT_EST_MAPPING=PRECISE", "FS=MRC", "CURRENCY=USD", "XLFILL=b")</f>
        <v>-9.1199522016645638</v>
      </c>
      <c r="J375" s="9">
        <f>_xll.BQL("SAVE US Equity", "FCF_PER_DIL_SHR", "FPT=A", "FPO=0A", "ACT_EST_MAPPING=PRECISE", "FS=MRC", "CURRENCY=USD", "XLFILL=b")</f>
        <v>-4.6011433597185576</v>
      </c>
      <c r="K375" s="9">
        <f>_xll.BQL("SAVE US Equity", "FCF_PER_DIL_SHR", "FPT=A", "FPO=-1A", "ACT_EST_MAPPING=PRECISE", "FS=MRC", "CURRENCY=USD", "XLFILL=b")</f>
        <v>-3.0032459471637041</v>
      </c>
      <c r="L375" s="9">
        <f>_xll.BQL("SAVE US Equity", "FCF_PER_DIL_SHR", "FPT=A", "FPO=-2A", "ACT_EST_MAPPING=PRECISE", "FS=MRC", "CURRENCY=USD", "XLFILL=b")</f>
        <v>-4.646666666666658E-2</v>
      </c>
      <c r="M375" s="9">
        <f>_xll.BQL("SAVE US Equity", "FCF_PER_DIL_SHR", "FPT=A", "FPO=-3A", "ACT_EST_MAPPING=PRECISE", "FS=MRC", "CURRENCY=USD", "XLFILL=b")</f>
        <v>-7.304682550546354</v>
      </c>
      <c r="N375" s="9">
        <f>_xll.BQL("SAVE US Equity", "FCF_PER_DIL_SHR", "FPT=A", "FPO=-4A", "ACT_EST_MAPPING=PRECISE", "FS=MRC", "CURRENCY=USD", "XLFILL=b")</f>
        <v>3.1620235579681744</v>
      </c>
    </row>
    <row r="376" spans="1:14" x14ac:dyDescent="0.2">
      <c r="A376" s="8" t="s">
        <v>44</v>
      </c>
      <c r="B376" s="4" t="s">
        <v>411</v>
      </c>
      <c r="C376" s="4"/>
      <c r="D376" s="4"/>
      <c r="E376" s="9">
        <f>_xll.BQL("SAVE US Equity", "FA_GROWTH(FCF_PER_DIL_SHR, YOY)", "FPT=A", "FPO=5A", "ACT_EST_MAPPING=PRECISE", "FS=MRC", "CURRENCY=USD", "XLFILL=b")</f>
        <v>31.5603255063949</v>
      </c>
      <c r="F376" s="9">
        <f>_xll.BQL("SAVE US Equity", "FA_GROWTH(FCF_PER_DIL_SHR, YOY)", "FPT=A", "FPO=4A", "ACT_EST_MAPPING=PRECISE", "FS=MRC", "CURRENCY=USD", "XLFILL=b")</f>
        <v>-452.03613663866969</v>
      </c>
      <c r="G376" s="9">
        <f>_xll.BQL("SAVE US Equity", "FA_GROWTH(FCF_PER_DIL_SHR, YOY)", "FPT=A", "FPO=3A", "ACT_EST_MAPPING=PRECISE", "FS=MRC", "CURRENCY=USD", "XLFILL=b")</f>
        <v>77.870480182986554</v>
      </c>
      <c r="H376" s="9">
        <f>_xll.BQL("SAVE US Equity", "FA_GROWTH(FCF_PER_DIL_SHR, YOY)", "FPT=A", "FPO=2A", "ACT_EST_MAPPING=PRECISE", "FS=MRC", "CURRENCY=USD", "XLFILL=b")</f>
        <v>39.316999821572551</v>
      </c>
      <c r="I376" s="9">
        <f>_xll.BQL("SAVE US Equity", "FA_GROWTH(FCF_PER_DIL_SHR, YOY)", "FPT=A", "FPO=1A", "ACT_EST_MAPPING=PRECISE", "FS=MRC", "CURRENCY=USD", "XLFILL=b")</f>
        <v>-98.210563954747386</v>
      </c>
      <c r="J376" s="9">
        <f>_xll.BQL("SAVE US Equity", "FA_GROWTH(FCF_PER_DIL_SHR, YOY)", "FPT=A", "FPO=0A", "ACT_EST_MAPPING=PRECISE", "FS=MRC", "CURRENCY=USD", "XLFILL=b")</f>
        <v>-53.20567947703131</v>
      </c>
      <c r="K376" s="9">
        <f>_xll.BQL("SAVE US Equity", "FA_GROWTH(FCF_PER_DIL_SHR, YOY)", "FPT=A", "FPO=-1A", "ACT_EST_MAPPING=PRECISE", "FS=MRC", "CURRENCY=USD", "XLFILL=b")</f>
        <v>-6363.2265720883288</v>
      </c>
      <c r="L376" s="9">
        <f>_xll.BQL("SAVE US Equity", "FA_GROWTH(FCF_PER_DIL_SHR, YOY)", "FPT=A", "FPO=-2A", "ACT_EST_MAPPING=PRECISE", "FS=MRC", "CURRENCY=USD", "XLFILL=b")</f>
        <v>99.363878356860411</v>
      </c>
      <c r="M376" s="9">
        <f>_xll.BQL("SAVE US Equity", "FA_GROWTH(FCF_PER_DIL_SHR, YOY)", "FPT=A", "FPO=-3A", "ACT_EST_MAPPING=PRECISE", "FS=MRC", "CURRENCY=USD", "XLFILL=b")</f>
        <v>-331.01290729282658</v>
      </c>
      <c r="N376" s="9">
        <f>_xll.BQL("SAVE US Equity", "FA_GROWTH(FCF_PER_DIL_SHR, YOY)", "FPT=A", "FPO=-4A", "ACT_EST_MAPPING=PRECISE", "FS=MRC", "CURRENCY=USD", "XLFILL=b")</f>
        <v>315.28677726680479</v>
      </c>
    </row>
    <row r="377" spans="1:14" x14ac:dyDescent="0.2">
      <c r="A377" s="8" t="s">
        <v>412</v>
      </c>
      <c r="B377" s="4" t="s">
        <v>413</v>
      </c>
      <c r="C377" s="4"/>
      <c r="D377" s="4"/>
      <c r="E377" s="9" t="str">
        <f>_xll.BQL("SAVE US Equity", "CASH_FLOW_PER_SH", "FPT=A", "FPO=5A", "ACT_EST_MAPPING=PRECISE", "FS=MRC", "CURRENCY=USD", "XLFILL=b")</f>
        <v/>
      </c>
      <c r="F377" s="9" t="str">
        <f>_xll.BQL("SAVE US Equity", "CASH_FLOW_PER_SH", "FPT=A", "FPO=4A", "ACT_EST_MAPPING=PRECISE", "FS=MRC", "CURRENCY=USD", "XLFILL=b")</f>
        <v/>
      </c>
      <c r="G377" s="9">
        <f>_xll.BQL("SAVE US Equity", "CASH_FLOW_PER_SH", "FPT=A", "FPO=3A", "ACT_EST_MAPPING=PRECISE", "FS=MRC", "CURRENCY=USD", "XLFILL=b")</f>
        <v>1.0215006430033529</v>
      </c>
      <c r="H377" s="9">
        <f>_xll.BQL("SAVE US Equity", "CASH_FLOW_PER_SH", "FPT=A", "FPO=2A", "ACT_EST_MAPPING=PRECISE", "FS=MRC", "CURRENCY=USD", "XLFILL=b")</f>
        <v>-3.3482294524588601</v>
      </c>
      <c r="I377" s="9">
        <f>_xll.BQL("SAVE US Equity", "CASH_FLOW_PER_SH", "FPT=A", "FPO=1A", "ACT_EST_MAPPING=PRECISE", "FS=MRC", "CURRENCY=USD", "XLFILL=b")</f>
        <v>-6.4785786330072561</v>
      </c>
      <c r="J377" s="9">
        <f>_xll.BQL("SAVE US Equity", "CASH_FLOW_PER_SH", "FPT=A", "FPO=0A", "ACT_EST_MAPPING=PRECISE", "FS=MRC", "CURRENCY=USD", "XLFILL=b")</f>
        <v>-2.2597936822046321</v>
      </c>
      <c r="K377" s="9">
        <f>_xll.BQL("SAVE US Equity", "CASH_FLOW_PER_SH", "FPT=A", "FPO=-1A", "ACT_EST_MAPPING=PRECISE", "FS=MRC", "CURRENCY=USD", "XLFILL=b")</f>
        <v>-0.8185855762245865</v>
      </c>
      <c r="L377" s="9">
        <f>_xll.BQL("SAVE US Equity", "CASH_FLOW_PER_SH", "FPT=A", "FPO=-2A", "ACT_EST_MAPPING=PRECISE", "FS=MRC", "CURRENCY=USD", "XLFILL=b")</f>
        <v>1.989409523809524</v>
      </c>
      <c r="M377" s="9">
        <f>_xll.BQL("SAVE US Equity", "CASH_FLOW_PER_SH", "FPT=A", "FPO=-3A", "ACT_EST_MAPPING=PRECISE", "FS=MRC", "CURRENCY=USD", "XLFILL=b")</f>
        <v>-2.6599171046777399</v>
      </c>
      <c r="N377" s="9">
        <f>_xll.BQL("SAVE US Equity", "CASH_FLOW_PER_SH", "FPT=A", "FPO=-4A", "ACT_EST_MAPPING=PRECISE", "FS=MRC", "CURRENCY=USD", "XLFILL=b")</f>
        <v>8.0568882031190263</v>
      </c>
    </row>
    <row r="378" spans="1:14" x14ac:dyDescent="0.2">
      <c r="A378" s="8" t="s">
        <v>44</v>
      </c>
      <c r="B378" s="4" t="s">
        <v>413</v>
      </c>
      <c r="C378" s="4"/>
      <c r="D378" s="4"/>
      <c r="E378" s="9" t="str">
        <f>_xll.BQL("SAVE US Equity", "FA_GROWTH(CASH_FLOW_PER_SH, YOY)", "FPT=A", "FPO=5A", "ACT_EST_MAPPING=PRECISE", "FS=MRC", "CURRENCY=USD", "XLFILL=b")</f>
        <v/>
      </c>
      <c r="F378" s="9" t="str">
        <f>_xll.BQL("SAVE US Equity", "FA_GROWTH(CASH_FLOW_PER_SH, YOY)", "FPT=A", "FPO=4A", "ACT_EST_MAPPING=PRECISE", "FS=MRC", "CURRENCY=USD", "XLFILL=b")</f>
        <v/>
      </c>
      <c r="G378" s="9">
        <f>_xll.BQL("SAVE US Equity", "FA_GROWTH(CASH_FLOW_PER_SH, YOY)", "FPT=A", "FPO=3A", "ACT_EST_MAPPING=PRECISE", "FS=MRC", "CURRENCY=USD", "XLFILL=b")</f>
        <v>130.50868100611166</v>
      </c>
      <c r="H378" s="9">
        <f>_xll.BQL("SAVE US Equity", "FA_GROWTH(CASH_FLOW_PER_SH, YOY)", "FPT=A", "FPO=2A", "ACT_EST_MAPPING=PRECISE", "FS=MRC", "CURRENCY=USD", "XLFILL=b")</f>
        <v>48.318456221242712</v>
      </c>
      <c r="I378" s="9">
        <f>_xll.BQL("SAVE US Equity", "FA_GROWTH(CASH_FLOW_PER_SH, YOY)", "FPT=A", "FPO=1A", "ACT_EST_MAPPING=PRECISE", "FS=MRC", "CURRENCY=USD", "XLFILL=b")</f>
        <v>-186.68894350951629</v>
      </c>
      <c r="J378" s="9">
        <f>_xll.BQL("SAVE US Equity", "FA_GROWTH(CASH_FLOW_PER_SH, YOY)", "FPT=A", "FPO=0A", "ACT_EST_MAPPING=PRECISE", "FS=MRC", "CURRENCY=USD", "XLFILL=b")</f>
        <v>-176.06077456520404</v>
      </c>
      <c r="K378" s="9">
        <f>_xll.BQL("SAVE US Equity", "FA_GROWTH(CASH_FLOW_PER_SH, YOY)", "FPT=A", "FPO=-1A", "ACT_EST_MAPPING=PRECISE", "FS=MRC", "CURRENCY=USD", "XLFILL=b")</f>
        <v>-141.14716283538624</v>
      </c>
      <c r="L378" s="9">
        <f>_xll.BQL("SAVE US Equity", "FA_GROWTH(CASH_FLOW_PER_SH, YOY)", "FPT=A", "FPO=-2A", "ACT_EST_MAPPING=PRECISE", "FS=MRC", "CURRENCY=USD", "XLFILL=b")</f>
        <v>174.79216251931089</v>
      </c>
      <c r="M378" s="9">
        <f>_xll.BQL("SAVE US Equity", "FA_GROWTH(CASH_FLOW_PER_SH, YOY)", "FPT=A", "FPO=-3A", "ACT_EST_MAPPING=PRECISE", "FS=MRC", "CURRENCY=USD", "XLFILL=b")</f>
        <v>-133.01419900114811</v>
      </c>
      <c r="N378" s="9">
        <f>_xll.BQL("SAVE US Equity", "FA_GROWTH(CASH_FLOW_PER_SH, YOY)", "FPT=A", "FPO=-4A", "ACT_EST_MAPPING=PRECISE", "FS=MRC", "CURRENCY=USD", "XLFILL=b")</f>
        <v>8.5715171640712899</v>
      </c>
    </row>
    <row r="379" spans="1:14" x14ac:dyDescent="0.2">
      <c r="A379" s="8" t="s">
        <v>414</v>
      </c>
      <c r="B379" s="4" t="s">
        <v>415</v>
      </c>
      <c r="C379" s="4"/>
      <c r="D379" s="4"/>
      <c r="E379" s="9" t="str">
        <f>_xll.BQL("SAVE US Equity", "CAP_EXPEND_TO_SALES", "FPT=A", "FPO=5A", "ACT_EST_MAPPING=PRECISE", "FS=MRC", "CURRENCY=USD", "XLFILL=b")</f>
        <v/>
      </c>
      <c r="F379" s="9" t="str">
        <f>_xll.BQL("SAVE US Equity", "CAP_EXPEND_TO_SALES", "FPT=A", "FPO=4A", "ACT_EST_MAPPING=PRECISE", "FS=MRC", "CURRENCY=USD", "XLFILL=b")</f>
        <v/>
      </c>
      <c r="G379" s="9" t="str">
        <f>_xll.BQL("SAVE US Equity", "CAP_EXPEND_TO_SALES", "FPT=A", "FPO=3A", "ACT_EST_MAPPING=PRECISE", "FS=MRC", "CURRENCY=USD", "XLFILL=b")</f>
        <v/>
      </c>
      <c r="H379" s="9" t="str">
        <f>_xll.BQL("SAVE US Equity", "CAP_EXPEND_TO_SALES", "FPT=A", "FPO=2A", "ACT_EST_MAPPING=PRECISE", "FS=MRC", "CURRENCY=USD", "XLFILL=b")</f>
        <v/>
      </c>
      <c r="I379" s="9" t="str">
        <f>_xll.BQL("SAVE US Equity", "CAP_EXPEND_TO_SALES", "FPT=A", "FPO=1A", "ACT_EST_MAPPING=PRECISE", "FS=MRC", "CURRENCY=USD", "XLFILL=b")</f>
        <v/>
      </c>
      <c r="J379" s="9">
        <f>_xll.BQL("SAVE US Equity", "CAP_EXPEND_TO_SALES", "FPT=A", "FPO=0A", "ACT_EST_MAPPING=PRECISE", "FS=MRC", "CURRENCY=USD", "XLFILL=b")</f>
        <v>4.765700043020586</v>
      </c>
      <c r="K379" s="9">
        <f>_xll.BQL("SAVE US Equity", "CAP_EXPEND_TO_SALES", "FPT=A", "FPO=-1A", "ACT_EST_MAPPING=PRECISE", "FS=MRC", "CURRENCY=USD", "XLFILL=b")</f>
        <v>4.6875107897941914</v>
      </c>
      <c r="L379" s="9">
        <f>_xll.BQL("SAVE US Equity", "CAP_EXPEND_TO_SALES", "FPT=A", "FPO=-2A", "ACT_EST_MAPPING=PRECISE", "FS=MRC", "CURRENCY=USD", "XLFILL=b")</f>
        <v>6.6165858037158269</v>
      </c>
      <c r="M379" s="9">
        <f>_xll.BQL("SAVE US Equity", "CAP_EXPEND_TO_SALES", "FPT=A", "FPO=-3A", "ACT_EST_MAPPING=PRECISE", "FS=MRC", "CURRENCY=USD", "XLFILL=b")</f>
        <v>21.733161254393593</v>
      </c>
      <c r="N379" s="9">
        <f>_xll.BQL("SAVE US Equity", "CAP_EXPEND_TO_SALES", "FPT=A", "FPO=-4A", "ACT_EST_MAPPING=PRECISE", "FS=MRC", "CURRENCY=USD", "XLFILL=b")</f>
        <v>8.7334252960943317</v>
      </c>
    </row>
    <row r="380" spans="1:14" x14ac:dyDescent="0.2">
      <c r="A380" s="8" t="s">
        <v>44</v>
      </c>
      <c r="B380" s="4" t="s">
        <v>415</v>
      </c>
      <c r="C380" s="4"/>
      <c r="D380" s="4"/>
      <c r="E380" s="9" t="str">
        <f>_xll.BQL("SAVE US Equity", "FA_GROWTH(CAP_EXPEND_TO_SALES, YOY)", "FPT=A", "FPO=5A", "ACT_EST_MAPPING=PRECISE", "FS=MRC", "CURRENCY=USD", "XLFILL=b")</f>
        <v/>
      </c>
      <c r="F380" s="9" t="str">
        <f>_xll.BQL("SAVE US Equity", "FA_GROWTH(CAP_EXPEND_TO_SALES, YOY)", "FPT=A", "FPO=4A", "ACT_EST_MAPPING=PRECISE", "FS=MRC", "CURRENCY=USD", "XLFILL=b")</f>
        <v/>
      </c>
      <c r="G380" s="9" t="str">
        <f>_xll.BQL("SAVE US Equity", "FA_GROWTH(CAP_EXPEND_TO_SALES, YOY)", "FPT=A", "FPO=3A", "ACT_EST_MAPPING=PRECISE", "FS=MRC", "CURRENCY=USD", "XLFILL=b")</f>
        <v/>
      </c>
      <c r="H380" s="9" t="str">
        <f>_xll.BQL("SAVE US Equity", "FA_GROWTH(CAP_EXPEND_TO_SALES, YOY)", "FPT=A", "FPO=2A", "ACT_EST_MAPPING=PRECISE", "FS=MRC", "CURRENCY=USD", "XLFILL=b")</f>
        <v/>
      </c>
      <c r="I380" s="9" t="str">
        <f>_xll.BQL("SAVE US Equity", "FA_GROWTH(CAP_EXPEND_TO_SALES, YOY)", "FPT=A", "FPO=1A", "ACT_EST_MAPPING=PRECISE", "FS=MRC", "CURRENCY=USD", "XLFILL=b")</f>
        <v/>
      </c>
      <c r="J380" s="9">
        <f>_xll.BQL("SAVE US Equity", "FA_GROWTH(CAP_EXPEND_TO_SALES, YOY)", "FPT=A", "FPO=0A", "ACT_EST_MAPPING=PRECISE", "FS=MRC", "CURRENCY=USD", "XLFILL=b")</f>
        <v>1.6680335626454641</v>
      </c>
      <c r="K380" s="9">
        <f>_xll.BQL("SAVE US Equity", "FA_GROWTH(CAP_EXPEND_TO_SALES, YOY)", "FPT=A", "FPO=-1A", "ACT_EST_MAPPING=PRECISE", "FS=MRC", "CURRENCY=USD", "XLFILL=b")</f>
        <v>-29.155142412545768</v>
      </c>
      <c r="L380" s="9">
        <f>_xll.BQL("SAVE US Equity", "FA_GROWTH(CAP_EXPEND_TO_SALES, YOY)", "FPT=A", "FPO=-2A", "ACT_EST_MAPPING=PRECISE", "FS=MRC", "CURRENCY=USD", "XLFILL=b")</f>
        <v>-69.555345739781814</v>
      </c>
      <c r="M380" s="9">
        <f>_xll.BQL("SAVE US Equity", "FA_GROWTH(CAP_EXPEND_TO_SALES, YOY)", "FPT=A", "FPO=-3A", "ACT_EST_MAPPING=PRECISE", "FS=MRC", "CURRENCY=USD", "XLFILL=b")</f>
        <v>148.85037104643081</v>
      </c>
      <c r="N380" s="9">
        <f>_xll.BQL("SAVE US Equity", "FA_GROWTH(CAP_EXPEND_TO_SALES, YOY)", "FPT=A", "FPO=-4A", "ACT_EST_MAPPING=PRECISE", "FS=MRC", "CURRENCY=USD", "XLFILL=b")</f>
        <v>-52.186399028320082</v>
      </c>
    </row>
    <row r="381" spans="1:14" x14ac:dyDescent="0.2">
      <c r="A381" s="5" t="s">
        <v>416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9A930CDD3054DBC716B01DADABC2F" ma:contentTypeVersion="6" ma:contentTypeDescription="Create a new document." ma:contentTypeScope="" ma:versionID="44e1c9a8f18c8400ac2913167fe8d885">
  <xsd:schema xmlns:xsd="http://www.w3.org/2001/XMLSchema" xmlns:xs="http://www.w3.org/2001/XMLSchema" xmlns:p="http://schemas.microsoft.com/office/2006/metadata/properties" xmlns:ns3="e1ffb5b7-7f01-49f9-bb97-00985892725c" targetNamespace="http://schemas.microsoft.com/office/2006/metadata/properties" ma:root="true" ma:fieldsID="c749bd41d9ee63dddd32e6e1d85d6323" ns3:_="">
    <xsd:import namespace="e1ffb5b7-7f01-49f9-bb97-00985892725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b5b7-7f01-49f9-bb97-00985892725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ffb5b7-7f01-49f9-bb97-00985892725c" xsi:nil="true"/>
  </documentManagement>
</p:properties>
</file>

<file path=customXml/itemProps1.xml><?xml version="1.0" encoding="utf-8"?>
<ds:datastoreItem xmlns:ds="http://schemas.openxmlformats.org/officeDocument/2006/customXml" ds:itemID="{BF1FA6B1-D875-4EBE-A0F8-75BC64772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b5b7-7f01-49f9-bb97-009858927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47BFF0-8EC8-4BD1-81A9-748C52A35E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08E9C1-6DCE-48F2-8027-83E3C1C01659}">
  <ds:schemaRefs>
    <ds:schemaRef ds:uri="http://schemas.microsoft.com/office/2006/metadata/properties"/>
    <ds:schemaRef ds:uri="http://schemas.microsoft.com/office/infopath/2007/PartnerControls"/>
    <ds:schemaRef ds:uri="e1ffb5b7-7f01-49f9-bb97-0098589272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Periods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Salian, Nithi Dinesh</cp:lastModifiedBy>
  <cp:revision/>
  <dcterms:created xsi:type="dcterms:W3CDTF">2013-04-03T15:49:21Z</dcterms:created>
  <dcterms:modified xsi:type="dcterms:W3CDTF">2024-09-29T01:20:30Z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0x0101006069A930CDD3054DBC716B01DADABC2F</vt:lpwstr>
  </property>
</Properties>
</file>