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hisalian/Desktop/CDC-datathon/AirlineFinancials/"/>
    </mc:Choice>
  </mc:AlternateContent>
  <xr:revisionPtr revIDLastSave="0" documentId="13_ncr:1_{A0D3E411-26AA-944C-AD3B-E9A76AE72E87}" xr6:coauthVersionLast="47" xr6:coauthVersionMax="47" xr10:uidLastSave="{00000000-0000-0000-0000-000000000000}"/>
  <bookViews>
    <workbookView xWindow="0" yWindow="780" windowWidth="29040" windowHeight="15720" tabRatio="543" xr2:uid="{00000000-000D-0000-FFFF-FFFF00000000}"/>
  </bookViews>
  <sheets>
    <sheet name="Multiple Period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8" i="2" l="1"/>
  <c r="L184" i="2"/>
  <c r="E425" i="2"/>
  <c r="E176" i="2"/>
  <c r="K164" i="2"/>
  <c r="N424" i="2"/>
  <c r="N66" i="2"/>
  <c r="G155" i="2"/>
  <c r="J272" i="2"/>
  <c r="J285" i="2"/>
  <c r="G147" i="2"/>
  <c r="K340" i="2"/>
  <c r="J105" i="2"/>
  <c r="E291" i="2"/>
  <c r="K229" i="2"/>
  <c r="E470" i="2"/>
  <c r="E303" i="2"/>
  <c r="G139" i="2"/>
  <c r="J103" i="2"/>
  <c r="I104" i="2"/>
  <c r="M86" i="2"/>
  <c r="J352" i="2"/>
  <c r="H194" i="2"/>
  <c r="K148" i="2"/>
  <c r="H379" i="2"/>
  <c r="J354" i="2"/>
  <c r="J448" i="2"/>
  <c r="N203" i="2"/>
  <c r="N176" i="2"/>
  <c r="N272" i="2"/>
  <c r="J128" i="2"/>
  <c r="M230" i="2"/>
  <c r="K285" i="2"/>
  <c r="L130" i="2"/>
  <c r="M273" i="2"/>
  <c r="G110" i="2"/>
  <c r="M468" i="2"/>
  <c r="I155" i="2"/>
  <c r="M112" i="2"/>
  <c r="J157" i="2"/>
  <c r="J137" i="2"/>
  <c r="M139" i="2"/>
  <c r="H111" i="2"/>
  <c r="H195" i="2"/>
  <c r="G232" i="2"/>
  <c r="H365" i="2"/>
  <c r="G292" i="2"/>
  <c r="J106" i="2"/>
  <c r="G133" i="2"/>
  <c r="G88" i="2"/>
  <c r="I355" i="2"/>
  <c r="I354" i="2"/>
  <c r="I413" i="2"/>
  <c r="I453" i="2"/>
  <c r="I438" i="2"/>
  <c r="I198" i="2"/>
  <c r="L243" i="2"/>
  <c r="F196" i="2"/>
  <c r="F187" i="2"/>
  <c r="J82" i="2"/>
  <c r="H139" i="2"/>
  <c r="E316" i="2"/>
  <c r="E329" i="2"/>
  <c r="G315" i="2"/>
  <c r="E265" i="2"/>
  <c r="G218" i="2"/>
  <c r="E344" i="2"/>
  <c r="E221" i="2"/>
  <c r="I165" i="2"/>
  <c r="K219" i="2"/>
  <c r="J211" i="2"/>
  <c r="K381" i="2"/>
  <c r="J180" i="2"/>
  <c r="K367" i="2"/>
  <c r="M207" i="2"/>
  <c r="M245" i="2"/>
  <c r="I195" i="2"/>
  <c r="I315" i="2"/>
  <c r="H178" i="2"/>
  <c r="L385" i="2"/>
  <c r="L358" i="2"/>
  <c r="I90" i="2"/>
  <c r="I75" i="2"/>
  <c r="I36" i="2"/>
  <c r="N331" i="2"/>
  <c r="J198" i="2"/>
  <c r="J97" i="2"/>
  <c r="M345" i="2"/>
  <c r="J3" i="2"/>
  <c r="M222" i="2"/>
  <c r="H251" i="2"/>
  <c r="H248" i="2"/>
  <c r="M235" i="2"/>
  <c r="H125" i="2"/>
  <c r="L141" i="2"/>
  <c r="E418" i="2"/>
  <c r="K150" i="2"/>
  <c r="E189" i="2"/>
  <c r="L76" i="2"/>
  <c r="L37" i="2"/>
  <c r="E295" i="2"/>
  <c r="L304" i="2"/>
  <c r="L474" i="2"/>
  <c r="E373" i="2"/>
  <c r="G369" i="2"/>
  <c r="G383" i="2"/>
  <c r="G397" i="2"/>
  <c r="M158" i="2"/>
  <c r="H278" i="2"/>
  <c r="H171" i="2"/>
  <c r="F319" i="2"/>
  <c r="M262" i="2"/>
  <c r="F189" i="2"/>
  <c r="L150" i="2"/>
  <c r="G160" i="2"/>
  <c r="K141" i="2"/>
  <c r="H133" i="2"/>
  <c r="E477" i="2"/>
  <c r="E332" i="2"/>
  <c r="E346" i="2"/>
  <c r="K106" i="2"/>
  <c r="E165" i="2"/>
  <c r="K218" i="2"/>
  <c r="M358" i="2"/>
  <c r="K180" i="2"/>
  <c r="M300" i="2"/>
  <c r="K211" i="2"/>
  <c r="M385" i="2"/>
  <c r="K456" i="2"/>
  <c r="L103" i="2"/>
  <c r="K3" i="2"/>
  <c r="K438" i="2"/>
  <c r="K325" i="2"/>
  <c r="K300" i="2"/>
  <c r="E195" i="2"/>
  <c r="E411" i="2"/>
  <c r="G319" i="2"/>
  <c r="G307" i="2"/>
  <c r="K79" i="2"/>
  <c r="E218" i="2"/>
  <c r="K97" i="2"/>
  <c r="J90" i="2"/>
  <c r="J146" i="2"/>
  <c r="E204" i="2"/>
  <c r="N112" i="2"/>
  <c r="F418" i="2"/>
  <c r="F379" i="2"/>
  <c r="I251" i="2"/>
  <c r="F261" i="2"/>
  <c r="I171" i="2"/>
  <c r="K146" i="2"/>
  <c r="I278" i="2"/>
  <c r="I352" i="2"/>
  <c r="I125" i="2"/>
  <c r="I448" i="2"/>
  <c r="F265" i="2"/>
  <c r="I325" i="2"/>
  <c r="F295" i="2"/>
  <c r="I259" i="2"/>
  <c r="F373" i="2"/>
  <c r="L300" i="2"/>
  <c r="N235" i="2"/>
  <c r="L272" i="2"/>
  <c r="H388" i="2"/>
  <c r="N222" i="2"/>
  <c r="J184" i="2"/>
  <c r="H346" i="2"/>
  <c r="H189" i="2"/>
  <c r="E457" i="2"/>
  <c r="G156" i="2"/>
  <c r="E478" i="2"/>
  <c r="E354" i="2"/>
  <c r="E314" i="2"/>
  <c r="H307" i="2"/>
  <c r="E394" i="2"/>
  <c r="E341" i="2"/>
  <c r="E273" i="2"/>
  <c r="N217" i="2"/>
  <c r="G425" i="2"/>
  <c r="F176" i="2"/>
  <c r="F367" i="2"/>
  <c r="N103" i="2"/>
  <c r="L290" i="2"/>
  <c r="J468" i="2"/>
  <c r="L206" i="2"/>
  <c r="J244" i="2"/>
  <c r="L230" i="2"/>
  <c r="F15" i="2"/>
  <c r="F118" i="2"/>
  <c r="L468" i="2"/>
  <c r="L340" i="2"/>
  <c r="L314" i="2"/>
  <c r="L325" i="2"/>
  <c r="J133" i="2"/>
  <c r="H206" i="2"/>
  <c r="E328" i="2"/>
  <c r="G195" i="2"/>
  <c r="M290" i="2"/>
  <c r="L155" i="2"/>
  <c r="E315" i="2"/>
  <c r="E381" i="2"/>
  <c r="M289" i="2"/>
  <c r="G15" i="2"/>
  <c r="G118" i="2"/>
  <c r="K301" i="2"/>
  <c r="N129" i="2"/>
  <c r="I468" i="2"/>
  <c r="G328" i="2"/>
  <c r="I365" i="2"/>
  <c r="H448" i="2"/>
  <c r="I379" i="2"/>
  <c r="G265" i="2"/>
  <c r="J388" i="2"/>
  <c r="J172" i="2"/>
  <c r="G236" i="2"/>
  <c r="J348" i="2"/>
  <c r="I460" i="2"/>
  <c r="J212" i="2"/>
  <c r="I261" i="2"/>
  <c r="I450" i="2"/>
  <c r="I87" i="2"/>
  <c r="M90" i="2"/>
  <c r="M150" i="2"/>
  <c r="M199" i="2"/>
  <c r="H354" i="2"/>
  <c r="M346" i="2"/>
  <c r="M3" i="2"/>
  <c r="H332" i="2"/>
  <c r="N290" i="2"/>
  <c r="J87" i="2"/>
  <c r="J171" i="2"/>
  <c r="L113" i="2"/>
  <c r="L125" i="2"/>
  <c r="J367" i="2"/>
  <c r="K198" i="2"/>
  <c r="K341" i="2"/>
  <c r="E151" i="2"/>
  <c r="E161" i="2"/>
  <c r="E181" i="2"/>
  <c r="E172" i="2"/>
  <c r="F161" i="2"/>
  <c r="K251" i="2"/>
  <c r="G403" i="2"/>
  <c r="K171" i="2"/>
  <c r="N230" i="2"/>
  <c r="K373" i="2"/>
  <c r="N251" i="2"/>
  <c r="N224" i="2"/>
  <c r="I478" i="2"/>
  <c r="L142" i="2"/>
  <c r="I307" i="2"/>
  <c r="H91" i="2"/>
  <c r="I332" i="2"/>
  <c r="H348" i="2"/>
  <c r="H98" i="2"/>
  <c r="I134" i="2"/>
  <c r="L460" i="2"/>
  <c r="G359" i="2"/>
  <c r="L308" i="2"/>
  <c r="G91" i="2"/>
  <c r="L296" i="2"/>
  <c r="M359" i="2"/>
  <c r="F460" i="2"/>
  <c r="M373" i="2"/>
  <c r="F359" i="2"/>
  <c r="M440" i="2"/>
  <c r="K409" i="2"/>
  <c r="M320" i="2"/>
  <c r="N440" i="2"/>
  <c r="L107" i="2"/>
  <c r="N79" i="2"/>
  <c r="J409" i="2"/>
  <c r="N125" i="2"/>
  <c r="J462" i="2"/>
  <c r="N373" i="2"/>
  <c r="J259" i="2"/>
  <c r="I113" i="2"/>
  <c r="N296" i="2"/>
  <c r="J279" i="2"/>
  <c r="J67" i="2"/>
  <c r="J30" i="2"/>
  <c r="N236" i="2"/>
  <c r="F181" i="2"/>
  <c r="F4" i="2"/>
  <c r="F253" i="2"/>
  <c r="F194" i="2"/>
  <c r="L211" i="2"/>
  <c r="K279" i="2"/>
  <c r="F200" i="2"/>
  <c r="I419" i="2"/>
  <c r="H137" i="2"/>
  <c r="I91" i="2"/>
  <c r="I212" i="2"/>
  <c r="N109" i="2"/>
  <c r="I98" i="2"/>
  <c r="I388" i="2"/>
  <c r="G151" i="2"/>
  <c r="L86" i="2"/>
  <c r="I190" i="2"/>
  <c r="G194" i="2"/>
  <c r="E462" i="2"/>
  <c r="G81" i="2"/>
  <c r="E225" i="2"/>
  <c r="G412" i="2"/>
  <c r="E321" i="2"/>
  <c r="F151" i="2"/>
  <c r="M419" i="2"/>
  <c r="M308" i="2"/>
  <c r="M4" i="2"/>
  <c r="H403" i="2"/>
  <c r="H259" i="2"/>
  <c r="J190" i="2"/>
  <c r="M79" i="2"/>
  <c r="M393" i="2"/>
  <c r="G418" i="2"/>
  <c r="K237" i="2"/>
  <c r="M184" i="2"/>
  <c r="K190" i="2"/>
  <c r="M394" i="2"/>
  <c r="K212" i="2"/>
  <c r="J481" i="2"/>
  <c r="K388" i="2"/>
  <c r="J393" i="2"/>
  <c r="K348" i="2"/>
  <c r="I147" i="2"/>
  <c r="M164" i="2"/>
  <c r="M137" i="2"/>
  <c r="M129" i="2"/>
  <c r="H165" i="2"/>
  <c r="G134" i="2"/>
  <c r="J110" i="2"/>
  <c r="F395" i="2"/>
  <c r="M128" i="2"/>
  <c r="J307" i="2"/>
  <c r="J206" i="2"/>
  <c r="K128" i="2"/>
  <c r="J278" i="2"/>
  <c r="I230" i="2"/>
  <c r="J219" i="2"/>
  <c r="I245" i="2"/>
  <c r="J81" i="2"/>
  <c r="I206" i="2"/>
  <c r="M409" i="2"/>
  <c r="J412" i="2"/>
  <c r="M110" i="2"/>
  <c r="L176" i="2"/>
  <c r="M176" i="2"/>
  <c r="F87" i="2"/>
  <c r="M265" i="2"/>
  <c r="F218" i="2"/>
  <c r="M418" i="2"/>
  <c r="I160" i="2"/>
  <c r="E126" i="2"/>
  <c r="L359" i="2"/>
  <c r="L60" i="2"/>
  <c r="L21" i="2"/>
  <c r="N4" i="2"/>
  <c r="J107" i="2"/>
  <c r="L97" i="2"/>
  <c r="N393" i="2"/>
  <c r="N180" i="2"/>
  <c r="N3" i="2"/>
  <c r="K107" i="2"/>
  <c r="G142" i="2"/>
  <c r="G98" i="2"/>
  <c r="G225" i="2"/>
  <c r="G4" i="2"/>
  <c r="K245" i="2"/>
  <c r="G212" i="2"/>
  <c r="G253" i="2"/>
  <c r="L128" i="2"/>
  <c r="H81" i="2"/>
  <c r="K273" i="2"/>
  <c r="G181" i="2"/>
  <c r="G203" i="2"/>
  <c r="H412" i="2"/>
  <c r="G200" i="2"/>
  <c r="H134" i="2"/>
  <c r="G321" i="2"/>
  <c r="E177" i="2"/>
  <c r="E200" i="2"/>
  <c r="M107" i="2"/>
  <c r="N211" i="2"/>
  <c r="K278" i="2"/>
  <c r="K172" i="2"/>
  <c r="K77" i="2"/>
  <c r="K38" i="2"/>
  <c r="K60" i="2"/>
  <c r="K21" i="2"/>
  <c r="M125" i="2"/>
  <c r="J419" i="2"/>
  <c r="J478" i="2"/>
  <c r="M236" i="2"/>
  <c r="L481" i="2"/>
  <c r="L279" i="2"/>
  <c r="L146" i="2"/>
  <c r="E420" i="2"/>
  <c r="E441" i="2"/>
  <c r="E297" i="2"/>
  <c r="E142" i="2"/>
  <c r="K103" i="2"/>
  <c r="E309" i="2"/>
  <c r="N175" i="2"/>
  <c r="E374" i="2"/>
  <c r="K393" i="2"/>
  <c r="K67" i="2"/>
  <c r="K30" i="2"/>
  <c r="M142" i="2"/>
  <c r="H147" i="2"/>
  <c r="G161" i="2"/>
  <c r="E15" i="2"/>
  <c r="E118" i="2"/>
  <c r="M175" i="2"/>
  <c r="L129" i="2"/>
  <c r="H87" i="2"/>
  <c r="M181" i="2"/>
  <c r="M113" i="2"/>
  <c r="H200" i="2"/>
  <c r="M481" i="2"/>
  <c r="H151" i="2"/>
  <c r="M103" i="2"/>
  <c r="M313" i="2"/>
  <c r="J134" i="2"/>
  <c r="K147" i="2"/>
  <c r="M388" i="2"/>
  <c r="I133" i="2"/>
  <c r="I146" i="2"/>
  <c r="M59" i="2"/>
  <c r="M180" i="2"/>
  <c r="M62" i="2"/>
  <c r="M23" i="2"/>
  <c r="I403" i="2"/>
  <c r="M63" i="2"/>
  <c r="M24" i="2"/>
  <c r="L3" i="2"/>
  <c r="L67" i="2"/>
  <c r="L30" i="2"/>
  <c r="L90" i="2"/>
  <c r="E113" i="2"/>
  <c r="I60" i="2"/>
  <c r="I21" i="2"/>
  <c r="K412" i="2"/>
  <c r="J155" i="2"/>
  <c r="E236" i="2"/>
  <c r="E439" i="2"/>
  <c r="E395" i="2"/>
  <c r="G113" i="2"/>
  <c r="G295" i="2"/>
  <c r="N359" i="2"/>
  <c r="L212" i="2"/>
  <c r="F245" i="2"/>
  <c r="L77" i="2"/>
  <c r="L38" i="2"/>
  <c r="G261" i="2"/>
  <c r="L198" i="2"/>
  <c r="L172" i="2"/>
  <c r="G189" i="2"/>
  <c r="L251" i="2"/>
  <c r="G302" i="2"/>
  <c r="I15" i="2"/>
  <c r="I118" i="2"/>
  <c r="G204" i="2"/>
  <c r="J60" i="2"/>
  <c r="J21" i="2"/>
  <c r="J147" i="2"/>
  <c r="N160" i="2"/>
  <c r="H439" i="2"/>
  <c r="H404" i="2"/>
  <c r="H253" i="2"/>
  <c r="N141" i="2"/>
  <c r="G441" i="2"/>
  <c r="K57" i="2"/>
  <c r="K20" i="2"/>
  <c r="K296" i="2"/>
  <c r="G361" i="2"/>
  <c r="K62" i="2"/>
  <c r="K23" i="2"/>
  <c r="H104" i="2"/>
  <c r="K134" i="2"/>
  <c r="G374" i="2"/>
  <c r="N189" i="2"/>
  <c r="N57" i="2"/>
  <c r="N20" i="2"/>
  <c r="G238" i="2"/>
  <c r="I412" i="2"/>
  <c r="F63" i="2"/>
  <c r="F24" i="2"/>
  <c r="N279" i="2"/>
  <c r="G365" i="2"/>
  <c r="I151" i="2"/>
  <c r="J309" i="2"/>
  <c r="F113" i="2"/>
  <c r="F126" i="2"/>
  <c r="E143" i="2"/>
  <c r="H161" i="2"/>
  <c r="L79" i="2"/>
  <c r="L352" i="2"/>
  <c r="H110" i="2"/>
  <c r="J95" i="2"/>
  <c r="J83" i="2"/>
  <c r="J42" i="2"/>
  <c r="N313" i="2"/>
  <c r="J420" i="2"/>
  <c r="N86" i="2"/>
  <c r="M449" i="2"/>
  <c r="M327" i="2"/>
  <c r="J340" i="2"/>
  <c r="N243" i="2"/>
  <c r="M229" i="2"/>
  <c r="M314" i="2"/>
  <c r="M194" i="2"/>
  <c r="N59" i="2"/>
  <c r="M97" i="2"/>
  <c r="M154" i="2"/>
  <c r="H321" i="2"/>
  <c r="K184" i="2"/>
  <c r="H225" i="2"/>
  <c r="H467" i="2"/>
  <c r="K272" i="2"/>
  <c r="H155" i="2"/>
  <c r="K176" i="2"/>
  <c r="F297" i="2"/>
  <c r="K448" i="2"/>
  <c r="G27" i="2"/>
  <c r="G13" i="2"/>
  <c r="I295" i="2"/>
  <c r="G379" i="2"/>
  <c r="I340" i="2"/>
  <c r="L164" i="2"/>
  <c r="G439" i="2"/>
  <c r="I184" i="2"/>
  <c r="M325" i="2"/>
  <c r="M243" i="2"/>
  <c r="E110" i="2"/>
  <c r="I229" i="2"/>
  <c r="I467" i="2"/>
  <c r="H468" i="2"/>
  <c r="L348" i="2"/>
  <c r="G129" i="2"/>
  <c r="H289" i="2"/>
  <c r="L313" i="2"/>
  <c r="I137" i="2"/>
  <c r="I290" i="2"/>
  <c r="I67" i="2"/>
  <c r="I30" i="2"/>
  <c r="I353" i="2"/>
  <c r="E87" i="2"/>
  <c r="K462" i="2"/>
  <c r="K259" i="2"/>
  <c r="F365" i="2"/>
  <c r="L137" i="2"/>
  <c r="F165" i="2"/>
  <c r="G104" i="2"/>
  <c r="I110" i="2"/>
  <c r="J14" i="2"/>
  <c r="J117" i="2"/>
  <c r="K137" i="2"/>
  <c r="J229" i="2"/>
  <c r="N260" i="2"/>
  <c r="N353" i="2"/>
  <c r="H156" i="2"/>
  <c r="L106" i="2"/>
  <c r="K110" i="2"/>
  <c r="E81" i="2"/>
  <c r="H160" i="2"/>
  <c r="E301" i="2"/>
  <c r="E139" i="2"/>
  <c r="H15" i="2"/>
  <c r="H118" i="2"/>
  <c r="N468" i="2"/>
  <c r="N327" i="2"/>
  <c r="N164" i="2"/>
  <c r="G165" i="2"/>
  <c r="K90" i="2"/>
  <c r="H218" i="2"/>
  <c r="L373" i="2"/>
  <c r="K95" i="2"/>
  <c r="K83" i="2"/>
  <c r="K42" i="2"/>
  <c r="L57" i="2"/>
  <c r="L20" i="2"/>
  <c r="L70" i="2"/>
  <c r="L29" i="2"/>
  <c r="I207" i="2"/>
  <c r="I81" i="2"/>
  <c r="I273" i="2"/>
  <c r="I302" i="2"/>
  <c r="I367" i="2"/>
  <c r="I341" i="2"/>
  <c r="H367" i="2"/>
  <c r="H219" i="2"/>
  <c r="J251" i="2"/>
  <c r="H450" i="2"/>
  <c r="H394" i="2"/>
  <c r="J261" i="2"/>
  <c r="H341" i="2"/>
  <c r="G87" i="2"/>
  <c r="L180" i="2"/>
  <c r="K320" i="2"/>
  <c r="H302" i="2"/>
  <c r="K70" i="2"/>
  <c r="K29" i="2"/>
  <c r="L245" i="2"/>
  <c r="J104" i="2"/>
  <c r="E386" i="2"/>
  <c r="E223" i="2"/>
  <c r="L110" i="2"/>
  <c r="E359" i="2"/>
  <c r="F195" i="2"/>
  <c r="K125" i="2"/>
  <c r="M452" i="2"/>
  <c r="H319" i="2"/>
  <c r="M380" i="2"/>
  <c r="L224" i="2"/>
  <c r="E380" i="2"/>
  <c r="H328" i="2"/>
  <c r="L69" i="2"/>
  <c r="L28" i="2"/>
  <c r="G450" i="2"/>
  <c r="M141" i="2"/>
  <c r="G341" i="2"/>
  <c r="L190" i="2"/>
  <c r="I156" i="2"/>
  <c r="H4" i="2"/>
  <c r="K230" i="2"/>
  <c r="N150" i="2"/>
  <c r="H478" i="2"/>
  <c r="J125" i="2"/>
  <c r="H279" i="2"/>
  <c r="H236" i="2"/>
  <c r="M57" i="2"/>
  <c r="M20" i="2"/>
  <c r="F381" i="2"/>
  <c r="I108" i="2"/>
  <c r="K126" i="2"/>
  <c r="M73" i="2"/>
  <c r="M34" i="2"/>
  <c r="G224" i="2"/>
  <c r="M171" i="2"/>
  <c r="N113" i="2"/>
  <c r="M106" i="2"/>
  <c r="N107" i="2"/>
  <c r="E4" i="2"/>
  <c r="E65" i="2"/>
  <c r="E320" i="2"/>
  <c r="H362" i="2"/>
  <c r="E348" i="2"/>
  <c r="H182" i="2"/>
  <c r="N110" i="2"/>
  <c r="I135" i="2"/>
  <c r="I215" i="2"/>
  <c r="G373" i="2"/>
  <c r="M114" i="2"/>
  <c r="I304" i="2"/>
  <c r="I442" i="2"/>
  <c r="G308" i="2"/>
  <c r="J91" i="2"/>
  <c r="I406" i="2"/>
  <c r="J72" i="2"/>
  <c r="J33" i="2"/>
  <c r="J310" i="2"/>
  <c r="G478" i="2"/>
  <c r="J98" i="2"/>
  <c r="J162" i="2"/>
  <c r="K87" i="2"/>
  <c r="K191" i="2"/>
  <c r="L483" i="2"/>
  <c r="N143" i="2"/>
  <c r="F98" i="2"/>
  <c r="G153" i="2"/>
  <c r="L95" i="2"/>
  <c r="L83" i="2"/>
  <c r="L42" i="2"/>
  <c r="E105" i="2"/>
  <c r="G85" i="2"/>
  <c r="G78" i="2"/>
  <c r="E102" i="2"/>
  <c r="J151" i="2"/>
  <c r="F226" i="2"/>
  <c r="I4" i="2"/>
  <c r="J460" i="2"/>
  <c r="I58" i="2"/>
  <c r="H148" i="2"/>
  <c r="M77" i="2"/>
  <c r="M38" i="2"/>
  <c r="I65" i="2"/>
  <c r="M201" i="2"/>
  <c r="I130" i="2"/>
  <c r="M297" i="2"/>
  <c r="N385" i="2"/>
  <c r="M46" i="2"/>
  <c r="M268" i="2"/>
  <c r="K143" i="2"/>
  <c r="G82" i="2"/>
  <c r="F135" i="2"/>
  <c r="G284" i="2"/>
  <c r="M200" i="2"/>
  <c r="E463" i="2"/>
  <c r="E337" i="2"/>
  <c r="M67" i="2"/>
  <c r="M30" i="2"/>
  <c r="E58" i="2"/>
  <c r="I46" i="2"/>
  <c r="I268" i="2"/>
  <c r="F323" i="2"/>
  <c r="F65" i="2"/>
  <c r="K173" i="2"/>
  <c r="E174" i="2"/>
  <c r="F75" i="2"/>
  <c r="F36" i="2"/>
  <c r="L62" i="2"/>
  <c r="L23" i="2"/>
  <c r="K231" i="2"/>
  <c r="I139" i="2"/>
  <c r="J423" i="2"/>
  <c r="G162" i="2"/>
  <c r="J389" i="2"/>
  <c r="J114" i="2"/>
  <c r="E254" i="2"/>
  <c r="K254" i="2"/>
  <c r="E178" i="2"/>
  <c r="K98" i="2"/>
  <c r="E389" i="2"/>
  <c r="L214" i="2"/>
  <c r="L220" i="2"/>
  <c r="L291" i="2"/>
  <c r="G75" i="2"/>
  <c r="G36" i="2"/>
  <c r="K322" i="2"/>
  <c r="K73" i="2"/>
  <c r="K34" i="2"/>
  <c r="G58" i="2"/>
  <c r="K354" i="2"/>
  <c r="G126" i="2"/>
  <c r="G68" i="2"/>
  <c r="G31" i="2"/>
  <c r="K4" i="2"/>
  <c r="G65" i="2"/>
  <c r="G157" i="2"/>
  <c r="E482" i="2"/>
  <c r="E421" i="2"/>
  <c r="I126" i="2"/>
  <c r="E453" i="2"/>
  <c r="G108" i="2"/>
  <c r="H349" i="2"/>
  <c r="L7" i="2"/>
  <c r="L281" i="2"/>
  <c r="G135" i="2"/>
  <c r="J165" i="2"/>
  <c r="L412" i="2"/>
  <c r="N375" i="2"/>
  <c r="E108" i="2"/>
  <c r="M87" i="2"/>
  <c r="M98" i="2"/>
  <c r="H191" i="2"/>
  <c r="L420" i="2"/>
  <c r="L462" i="2"/>
  <c r="N361" i="2"/>
  <c r="N481" i="2"/>
  <c r="N452" i="2"/>
  <c r="H400" i="2"/>
  <c r="H334" i="2"/>
  <c r="H382" i="2"/>
  <c r="H262" i="2"/>
  <c r="H374" i="2"/>
  <c r="H82" i="2"/>
  <c r="I225" i="2"/>
  <c r="H396" i="2"/>
  <c r="H368" i="2"/>
  <c r="K46" i="2"/>
  <c r="K268" i="2"/>
  <c r="K262" i="2"/>
  <c r="N181" i="2"/>
  <c r="K207" i="2"/>
  <c r="M238" i="2"/>
  <c r="H105" i="2"/>
  <c r="M348" i="2"/>
  <c r="J195" i="2"/>
  <c r="E27" i="2"/>
  <c r="E13" i="2"/>
  <c r="J343" i="2"/>
  <c r="N195" i="2"/>
  <c r="J207" i="2"/>
  <c r="E85" i="2"/>
  <c r="N225" i="2"/>
  <c r="J315" i="2"/>
  <c r="J328" i="2"/>
  <c r="N231" i="2"/>
  <c r="E78" i="2"/>
  <c r="L143" i="2"/>
  <c r="M220" i="2"/>
  <c r="F470" i="2"/>
  <c r="G297" i="2"/>
  <c r="M322" i="2"/>
  <c r="G310" i="2"/>
  <c r="M173" i="2"/>
  <c r="E369" i="2"/>
  <c r="L165" i="2"/>
  <c r="E248" i="2"/>
  <c r="E442" i="2"/>
  <c r="F111" i="2"/>
  <c r="K405" i="2"/>
  <c r="K63" i="2"/>
  <c r="K24" i="2"/>
  <c r="I148" i="2"/>
  <c r="F248" i="2"/>
  <c r="E362" i="2"/>
  <c r="J130" i="2"/>
  <c r="F182" i="2"/>
  <c r="E413" i="2"/>
  <c r="F178" i="2"/>
  <c r="J201" i="2"/>
  <c r="J304" i="2"/>
  <c r="J297" i="2"/>
  <c r="K139" i="2"/>
  <c r="J382" i="2"/>
  <c r="L151" i="2"/>
  <c r="J396" i="2"/>
  <c r="I191" i="2"/>
  <c r="K114" i="2"/>
  <c r="N291" i="2"/>
  <c r="H157" i="2"/>
  <c r="N420" i="2"/>
  <c r="G406" i="2"/>
  <c r="H162" i="2"/>
  <c r="G355" i="2"/>
  <c r="L63" i="2"/>
  <c r="L24" i="2"/>
  <c r="M143" i="2"/>
  <c r="H108" i="2"/>
  <c r="L328" i="2"/>
  <c r="L4" i="2"/>
  <c r="N98" i="2"/>
  <c r="N173" i="2"/>
  <c r="M315" i="2"/>
  <c r="J126" i="2"/>
  <c r="M462" i="2"/>
  <c r="H48" i="2"/>
  <c r="H275" i="2"/>
  <c r="M151" i="2"/>
  <c r="M374" i="2"/>
  <c r="H415" i="2"/>
  <c r="I254" i="2"/>
  <c r="I105" i="2"/>
  <c r="M7" i="2"/>
  <c r="M281" i="2"/>
  <c r="H408" i="2"/>
  <c r="E215" i="2"/>
  <c r="F85" i="2"/>
  <c r="I82" i="2"/>
  <c r="F27" i="2"/>
  <c r="F13" i="2"/>
  <c r="K69" i="2"/>
  <c r="K28" i="2"/>
  <c r="F78" i="2"/>
  <c r="K343" i="2"/>
  <c r="K130" i="2"/>
  <c r="F349" i="2"/>
  <c r="L297" i="2"/>
  <c r="F88" i="2"/>
  <c r="L73" i="2"/>
  <c r="L34" i="2"/>
  <c r="F442" i="2"/>
  <c r="L262" i="2"/>
  <c r="H453" i="2"/>
  <c r="L46" i="2"/>
  <c r="L268" i="2"/>
  <c r="L114" i="2"/>
  <c r="H355" i="2"/>
  <c r="G111" i="2"/>
  <c r="L207" i="2"/>
  <c r="H78" i="2"/>
  <c r="H58" i="2"/>
  <c r="H406" i="2"/>
  <c r="H135" i="2"/>
  <c r="E292" i="2"/>
  <c r="H65" i="2"/>
  <c r="H68" i="2"/>
  <c r="H31" i="2"/>
  <c r="E323" i="2"/>
  <c r="I162" i="2"/>
  <c r="H389" i="2"/>
  <c r="H232" i="2"/>
  <c r="E187" i="2"/>
  <c r="H310" i="2"/>
  <c r="H75" i="2"/>
  <c r="H36" i="2"/>
  <c r="E284" i="2"/>
  <c r="E226" i="2"/>
  <c r="I157" i="2"/>
  <c r="E196" i="2"/>
  <c r="L139" i="2"/>
  <c r="F232" i="2"/>
  <c r="J148" i="2"/>
  <c r="F383" i="2"/>
  <c r="I415" i="2"/>
  <c r="I264" i="2"/>
  <c r="G248" i="2"/>
  <c r="G182" i="2"/>
  <c r="I324" i="2"/>
  <c r="G178" i="2"/>
  <c r="G470" i="2"/>
  <c r="I270" i="2"/>
  <c r="H215" i="2"/>
  <c r="I311" i="2"/>
  <c r="H442" i="2"/>
  <c r="I408" i="2"/>
  <c r="K304" i="2"/>
  <c r="K201" i="2"/>
  <c r="I235" i="2"/>
  <c r="I310" i="2"/>
  <c r="N315" i="2"/>
  <c r="N220" i="2"/>
  <c r="N462" i="2"/>
  <c r="G362" i="2"/>
  <c r="J191" i="2"/>
  <c r="G349" i="2"/>
  <c r="J254" i="2"/>
  <c r="M483" i="2"/>
  <c r="G413" i="2"/>
  <c r="M191" i="2"/>
  <c r="K474" i="2"/>
  <c r="M423" i="2"/>
  <c r="K82" i="2"/>
  <c r="J178" i="2"/>
  <c r="K396" i="2"/>
  <c r="J92" i="2"/>
  <c r="J40" i="2"/>
  <c r="M135" i="2"/>
  <c r="J442" i="2"/>
  <c r="J376" i="2"/>
  <c r="J65" i="2"/>
  <c r="J406" i="2"/>
  <c r="J483" i="2"/>
  <c r="J248" i="2"/>
  <c r="N114" i="2"/>
  <c r="M343" i="2"/>
  <c r="K226" i="2"/>
  <c r="F369" i="2"/>
  <c r="K75" i="2"/>
  <c r="K36" i="2"/>
  <c r="F375" i="2"/>
  <c r="M148" i="2"/>
  <c r="M328" i="2"/>
  <c r="M76" i="2"/>
  <c r="M37" i="2"/>
  <c r="H187" i="2"/>
  <c r="I27" i="2"/>
  <c r="I13" i="2"/>
  <c r="H383" i="2"/>
  <c r="I92" i="2"/>
  <c r="I40" i="2"/>
  <c r="L157" i="2"/>
  <c r="I389" i="2"/>
  <c r="I317" i="2"/>
  <c r="N221" i="2"/>
  <c r="I93" i="2"/>
  <c r="I41" i="2"/>
  <c r="I26" i="2"/>
  <c r="I12" i="2"/>
  <c r="I74" i="2"/>
  <c r="I35" i="2"/>
  <c r="L102" i="2"/>
  <c r="K108" i="2"/>
  <c r="K162" i="2"/>
  <c r="M105" i="2"/>
  <c r="K197" i="2"/>
  <c r="K27" i="2"/>
  <c r="K13" i="2"/>
  <c r="G187" i="2"/>
  <c r="H59" i="2"/>
  <c r="H344" i="2"/>
  <c r="H174" i="2"/>
  <c r="E216" i="2"/>
  <c r="E270" i="2"/>
  <c r="E208" i="2"/>
  <c r="E424" i="2"/>
  <c r="E311" i="2"/>
  <c r="H144" i="2"/>
  <c r="E132" i="2"/>
  <c r="J384" i="2"/>
  <c r="E370" i="2"/>
  <c r="J258" i="2"/>
  <c r="G398" i="2"/>
  <c r="J187" i="2"/>
  <c r="G329" i="2"/>
  <c r="G51" i="2"/>
  <c r="G447" i="2"/>
  <c r="M397" i="2"/>
  <c r="L337" i="2"/>
  <c r="M369" i="2"/>
  <c r="G79" i="2"/>
  <c r="M72" i="2"/>
  <c r="M33" i="2"/>
  <c r="K384" i="2"/>
  <c r="M323" i="2"/>
  <c r="K357" i="2"/>
  <c r="M299" i="2"/>
  <c r="K85" i="2"/>
  <c r="M65" i="2"/>
  <c r="N201" i="2"/>
  <c r="K329" i="2"/>
  <c r="I187" i="2"/>
  <c r="I357" i="2"/>
  <c r="I208" i="2"/>
  <c r="E222" i="2"/>
  <c r="E300" i="2"/>
  <c r="F70" i="2"/>
  <c r="F29" i="2"/>
  <c r="E391" i="2"/>
  <c r="F77" i="2"/>
  <c r="F38" i="2"/>
  <c r="H154" i="2"/>
  <c r="F424" i="2"/>
  <c r="G318" i="2"/>
  <c r="F73" i="2"/>
  <c r="F34" i="2"/>
  <c r="G426" i="2"/>
  <c r="G305" i="2"/>
  <c r="N162" i="2"/>
  <c r="F66" i="2"/>
  <c r="K157" i="2"/>
  <c r="F351" i="2"/>
  <c r="F464" i="2"/>
  <c r="L92" i="2"/>
  <c r="L40" i="2"/>
  <c r="F57" i="2"/>
  <c r="F20" i="2"/>
  <c r="E90" i="2"/>
  <c r="J377" i="2"/>
  <c r="L96" i="2"/>
  <c r="L84" i="2"/>
  <c r="L43" i="2"/>
  <c r="E475" i="2"/>
  <c r="J344" i="2"/>
  <c r="J338" i="2"/>
  <c r="E484" i="2"/>
  <c r="L227" i="2"/>
  <c r="J227" i="2"/>
  <c r="L338" i="2"/>
  <c r="N474" i="2"/>
  <c r="N82" i="2"/>
  <c r="N105" i="2"/>
  <c r="L93" i="2"/>
  <c r="L41" i="2"/>
  <c r="N75" i="2"/>
  <c r="N36" i="2"/>
  <c r="K202" i="2"/>
  <c r="L61" i="2"/>
  <c r="L22" i="2"/>
  <c r="K192" i="2"/>
  <c r="H293" i="2"/>
  <c r="L85" i="2"/>
  <c r="H311" i="2"/>
  <c r="F149" i="2"/>
  <c r="H112" i="2"/>
  <c r="N248" i="2"/>
  <c r="N102" i="2"/>
  <c r="L27" i="2"/>
  <c r="L13" i="2"/>
  <c r="E184" i="2"/>
  <c r="G115" i="2"/>
  <c r="H132" i="2"/>
  <c r="K16" i="2"/>
  <c r="K120" i="2"/>
  <c r="M197" i="2"/>
  <c r="K74" i="2"/>
  <c r="K35" i="2"/>
  <c r="N157" i="2"/>
  <c r="K26" i="2"/>
  <c r="K12" i="2"/>
  <c r="I112" i="2"/>
  <c r="N108" i="2"/>
  <c r="J208" i="2"/>
  <c r="I154" i="2"/>
  <c r="I174" i="2"/>
  <c r="H88" i="2"/>
  <c r="J398" i="2"/>
  <c r="H51" i="2"/>
  <c r="H447" i="2"/>
  <c r="J415" i="2"/>
  <c r="G141" i="2"/>
  <c r="H27" i="2"/>
  <c r="H13" i="2"/>
  <c r="J324" i="2"/>
  <c r="E163" i="2"/>
  <c r="J466" i="2"/>
  <c r="J58" i="2"/>
  <c r="E136" i="2"/>
  <c r="E128" i="2"/>
  <c r="I59" i="2"/>
  <c r="G344" i="2"/>
  <c r="G277" i="2"/>
  <c r="H398" i="2"/>
  <c r="H318" i="2"/>
  <c r="N197" i="2"/>
  <c r="H370" i="2"/>
  <c r="F222" i="2"/>
  <c r="F391" i="2"/>
  <c r="F363" i="2"/>
  <c r="G351" i="2"/>
  <c r="M216" i="2"/>
  <c r="M384" i="2"/>
  <c r="I45" i="2"/>
  <c r="I267" i="2"/>
  <c r="M178" i="2"/>
  <c r="L329" i="2"/>
  <c r="I61" i="2"/>
  <c r="I22" i="2"/>
  <c r="L258" i="2"/>
  <c r="I362" i="2"/>
  <c r="L357" i="2"/>
  <c r="I178" i="2"/>
  <c r="K377" i="2"/>
  <c r="N139" i="2"/>
  <c r="M130" i="2"/>
  <c r="N464" i="2"/>
  <c r="K344" i="2"/>
  <c r="N46" i="2"/>
  <c r="N268" i="2"/>
  <c r="K284" i="2"/>
  <c r="N299" i="2"/>
  <c r="M463" i="2"/>
  <c r="M69" i="2"/>
  <c r="M28" i="2"/>
  <c r="F163" i="2"/>
  <c r="L148" i="2"/>
  <c r="J424" i="2"/>
  <c r="E249" i="2"/>
  <c r="J215" i="2"/>
  <c r="E149" i="2"/>
  <c r="L310" i="2"/>
  <c r="L248" i="2"/>
  <c r="J293" i="2"/>
  <c r="L26" i="2"/>
  <c r="L12" i="2"/>
  <c r="L82" i="2"/>
  <c r="L45" i="2"/>
  <c r="L267" i="2"/>
  <c r="K65" i="2"/>
  <c r="M61" i="2"/>
  <c r="M22" i="2"/>
  <c r="K454" i="2"/>
  <c r="M27" i="2"/>
  <c r="M13" i="2"/>
  <c r="M75" i="2"/>
  <c r="M36" i="2"/>
  <c r="G136" i="2"/>
  <c r="K96" i="2"/>
  <c r="K84" i="2"/>
  <c r="K43" i="2"/>
  <c r="E435" i="2"/>
  <c r="K258" i="2"/>
  <c r="F454" i="2"/>
  <c r="E485" i="2"/>
  <c r="F192" i="2"/>
  <c r="J454" i="2"/>
  <c r="J59" i="2"/>
  <c r="J284" i="2"/>
  <c r="J45" i="2"/>
  <c r="J267" i="2"/>
  <c r="L162" i="2"/>
  <c r="M108" i="2"/>
  <c r="K135" i="2"/>
  <c r="I318" i="2"/>
  <c r="I284" i="2"/>
  <c r="G475" i="2"/>
  <c r="J112" i="2"/>
  <c r="N88" i="2"/>
  <c r="N191" i="2"/>
  <c r="H79" i="2"/>
  <c r="H227" i="2"/>
  <c r="H270" i="2"/>
  <c r="H115" i="2"/>
  <c r="H235" i="2"/>
  <c r="E17" i="2"/>
  <c r="E121" i="2"/>
  <c r="G57" i="2"/>
  <c r="G20" i="2"/>
  <c r="G70" i="2"/>
  <c r="G29" i="2"/>
  <c r="G77" i="2"/>
  <c r="G38" i="2"/>
  <c r="G73" i="2"/>
  <c r="G34" i="2"/>
  <c r="G66" i="2"/>
  <c r="G149" i="2"/>
  <c r="G103" i="2"/>
  <c r="E109" i="2"/>
  <c r="J154" i="2"/>
  <c r="H141" i="2"/>
  <c r="E158" i="2"/>
  <c r="F128" i="2"/>
  <c r="K293" i="2"/>
  <c r="I132" i="2"/>
  <c r="K9" i="2"/>
  <c r="K169" i="2"/>
  <c r="M85" i="2"/>
  <c r="K187" i="2"/>
  <c r="M96" i="2"/>
  <c r="M84" i="2"/>
  <c r="M43" i="2"/>
  <c r="M92" i="2"/>
  <c r="M40" i="2"/>
  <c r="K208" i="2"/>
  <c r="G300" i="2"/>
  <c r="G222" i="2"/>
  <c r="E106" i="2"/>
  <c r="G184" i="2"/>
  <c r="G249" i="2"/>
  <c r="L74" i="2"/>
  <c r="L35" i="2"/>
  <c r="M258" i="2"/>
  <c r="L192" i="2"/>
  <c r="I182" i="2"/>
  <c r="I48" i="2"/>
  <c r="I275" i="2"/>
  <c r="J270" i="2"/>
  <c r="I370" i="2"/>
  <c r="F184" i="2"/>
  <c r="J264" i="2"/>
  <c r="I51" i="2"/>
  <c r="I447" i="2"/>
  <c r="F90" i="2"/>
  <c r="J311" i="2"/>
  <c r="J235" i="2"/>
  <c r="J174" i="2"/>
  <c r="H277" i="2"/>
  <c r="K435" i="2"/>
  <c r="N227" i="2"/>
  <c r="N178" i="2"/>
  <c r="K424" i="2"/>
  <c r="K408" i="2"/>
  <c r="E198" i="2"/>
  <c r="N216" i="2"/>
  <c r="I144" i="2"/>
  <c r="L202" i="2"/>
  <c r="L284" i="2"/>
  <c r="H284" i="2"/>
  <c r="I330" i="2"/>
  <c r="H85" i="2"/>
  <c r="L126" i="2"/>
  <c r="L454" i="2"/>
  <c r="L377" i="2"/>
  <c r="G102" i="2"/>
  <c r="L344" i="2"/>
  <c r="G257" i="2"/>
  <c r="H153" i="2"/>
  <c r="G364" i="2"/>
  <c r="M357" i="2"/>
  <c r="M338" i="2"/>
  <c r="N207" i="2"/>
  <c r="N63" i="2"/>
  <c r="N24" i="2"/>
  <c r="M475" i="2"/>
  <c r="N355" i="2"/>
  <c r="N297" i="2"/>
  <c r="E363" i="2"/>
  <c r="F197" i="2"/>
  <c r="E318" i="2"/>
  <c r="J108" i="2"/>
  <c r="E415" i="2"/>
  <c r="E115" i="2"/>
  <c r="E426" i="2"/>
  <c r="E305" i="2"/>
  <c r="G59" i="2"/>
  <c r="K105" i="2"/>
  <c r="G391" i="2"/>
  <c r="M221" i="2"/>
  <c r="N132" i="2"/>
  <c r="M78" i="2"/>
  <c r="H363" i="2"/>
  <c r="M453" i="2"/>
  <c r="E144" i="2"/>
  <c r="K112" i="2"/>
  <c r="H351" i="2"/>
  <c r="H485" i="2"/>
  <c r="I485" i="2"/>
  <c r="M140" i="2"/>
  <c r="I417" i="2"/>
  <c r="I385" i="2"/>
  <c r="K111" i="2"/>
  <c r="L105" i="2"/>
  <c r="I351" i="2"/>
  <c r="H77" i="2"/>
  <c r="H38" i="2"/>
  <c r="I16" i="2"/>
  <c r="I120" i="2"/>
  <c r="H57" i="2"/>
  <c r="H20" i="2"/>
  <c r="H324" i="2"/>
  <c r="H66" i="2"/>
  <c r="K72" i="2"/>
  <c r="K33" i="2"/>
  <c r="J135" i="2"/>
  <c r="M284" i="2"/>
  <c r="I8" i="2"/>
  <c r="I168" i="2"/>
  <c r="M202" i="2"/>
  <c r="E385" i="2"/>
  <c r="M209" i="2"/>
  <c r="M192" i="2"/>
  <c r="M88" i="2"/>
  <c r="M74" i="2"/>
  <c r="M35" i="2"/>
  <c r="M26" i="2"/>
  <c r="M12" i="2"/>
  <c r="N127" i="2"/>
  <c r="F93" i="2"/>
  <c r="F41" i="2"/>
  <c r="F79" i="2"/>
  <c r="L216" i="2"/>
  <c r="L178" i="2"/>
  <c r="G174" i="2"/>
  <c r="J431" i="2"/>
  <c r="J240" i="2"/>
  <c r="G48" i="2"/>
  <c r="G275" i="2"/>
  <c r="K92" i="2"/>
  <c r="K40" i="2"/>
  <c r="H103" i="2"/>
  <c r="K93" i="2"/>
  <c r="K41" i="2"/>
  <c r="I175" i="2"/>
  <c r="F329" i="2"/>
  <c r="I277" i="2"/>
  <c r="M16" i="2"/>
  <c r="M120" i="2"/>
  <c r="K264" i="2"/>
  <c r="K235" i="2"/>
  <c r="I79" i="2"/>
  <c r="K324" i="2"/>
  <c r="H136" i="2"/>
  <c r="K188" i="2"/>
  <c r="E432" i="2"/>
  <c r="E241" i="2"/>
  <c r="G163" i="2"/>
  <c r="E464" i="2"/>
  <c r="E228" i="2"/>
  <c r="E179" i="2"/>
  <c r="M391" i="2"/>
  <c r="M47" i="2"/>
  <c r="M274" i="2"/>
  <c r="F17" i="2"/>
  <c r="F121" i="2"/>
  <c r="M51" i="2"/>
  <c r="M447" i="2"/>
  <c r="H222" i="2"/>
  <c r="M344" i="2"/>
  <c r="H249" i="2"/>
  <c r="M377" i="2"/>
  <c r="N292" i="2"/>
  <c r="N271" i="2"/>
  <c r="L435" i="2"/>
  <c r="N258" i="2"/>
  <c r="L408" i="2"/>
  <c r="H149" i="2"/>
  <c r="L424" i="2"/>
  <c r="E146" i="2"/>
  <c r="K86" i="2"/>
  <c r="G144" i="2"/>
  <c r="J414" i="2"/>
  <c r="K154" i="2"/>
  <c r="E467" i="2"/>
  <c r="H456" i="2"/>
  <c r="E476" i="2"/>
  <c r="H263" i="2"/>
  <c r="I349" i="2"/>
  <c r="J318" i="2"/>
  <c r="H300" i="2"/>
  <c r="I202" i="2"/>
  <c r="H292" i="2"/>
  <c r="F198" i="2"/>
  <c r="I85" i="2"/>
  <c r="I96" i="2"/>
  <c r="I84" i="2"/>
  <c r="I43" i="2"/>
  <c r="L9" i="2"/>
  <c r="L169" i="2"/>
  <c r="I68" i="2"/>
  <c r="I31" i="2"/>
  <c r="E312" i="2"/>
  <c r="K389" i="2"/>
  <c r="E339" i="2"/>
  <c r="K61" i="2"/>
  <c r="K22" i="2"/>
  <c r="J370" i="2"/>
  <c r="N263" i="2"/>
  <c r="J399" i="2"/>
  <c r="J333" i="2"/>
  <c r="N73" i="2"/>
  <c r="N34" i="2"/>
  <c r="G294" i="2"/>
  <c r="H183" i="2"/>
  <c r="G331" i="2"/>
  <c r="G323" i="2"/>
  <c r="H397" i="2"/>
  <c r="M378" i="2"/>
  <c r="H369" i="2"/>
  <c r="M364" i="2"/>
  <c r="F115" i="2"/>
  <c r="M417" i="2"/>
  <c r="G377" i="2"/>
  <c r="G154" i="2"/>
  <c r="G408" i="2"/>
  <c r="M294" i="2"/>
  <c r="G235" i="2"/>
  <c r="M408" i="2"/>
  <c r="F144" i="2"/>
  <c r="F86" i="2"/>
  <c r="J390" i="2"/>
  <c r="L72" i="2"/>
  <c r="L33" i="2"/>
  <c r="J362" i="2"/>
  <c r="J202" i="2"/>
  <c r="L276" i="2"/>
  <c r="J74" i="2"/>
  <c r="J35" i="2"/>
  <c r="M115" i="2"/>
  <c r="J26" i="2"/>
  <c r="J12" i="2"/>
  <c r="J48" i="2"/>
  <c r="J275" i="2"/>
  <c r="N357" i="2"/>
  <c r="M127" i="2"/>
  <c r="M350" i="2"/>
  <c r="G112" i="2"/>
  <c r="M82" i="2"/>
  <c r="N96" i="2"/>
  <c r="N84" i="2"/>
  <c r="N43" i="2"/>
  <c r="N483" i="2"/>
  <c r="F174" i="2"/>
  <c r="N276" i="2"/>
  <c r="N183" i="2"/>
  <c r="N61" i="2"/>
  <c r="N22" i="2"/>
  <c r="N27" i="2"/>
  <c r="N13" i="2"/>
  <c r="M304" i="2"/>
  <c r="J16" i="2"/>
  <c r="J120" i="2"/>
  <c r="M474" i="2"/>
  <c r="E141" i="2"/>
  <c r="I141" i="2"/>
  <c r="I9" i="2"/>
  <c r="I169" i="2"/>
  <c r="I72" i="2"/>
  <c r="I33" i="2"/>
  <c r="I77" i="2"/>
  <c r="I38" i="2"/>
  <c r="I3" i="2"/>
  <c r="I69" i="2"/>
  <c r="I28" i="2"/>
  <c r="F109" i="2"/>
  <c r="M102" i="2"/>
  <c r="H338" i="2"/>
  <c r="I14" i="2"/>
  <c r="I117" i="2"/>
  <c r="J158" i="2"/>
  <c r="H73" i="2"/>
  <c r="H34" i="2"/>
  <c r="H9" i="2"/>
  <c r="H169" i="2"/>
  <c r="G128" i="2"/>
  <c r="K59" i="2"/>
  <c r="H106" i="2"/>
  <c r="K158" i="2"/>
  <c r="G90" i="2"/>
  <c r="G132" i="2"/>
  <c r="G217" i="2"/>
  <c r="G264" i="2"/>
  <c r="K17" i="2"/>
  <c r="K121" i="2"/>
  <c r="I97" i="2"/>
  <c r="I62" i="2"/>
  <c r="I23" i="2"/>
  <c r="M157" i="2"/>
  <c r="I73" i="2"/>
  <c r="I34" i="2"/>
  <c r="N16" i="2"/>
  <c r="N120" i="2"/>
  <c r="I57" i="2"/>
  <c r="I20" i="2"/>
  <c r="G106" i="2"/>
  <c r="I70" i="2"/>
  <c r="I29" i="2"/>
  <c r="G146" i="2"/>
  <c r="I95" i="2"/>
  <c r="I83" i="2"/>
  <c r="I42" i="2"/>
  <c r="N115" i="2"/>
  <c r="H128" i="2"/>
  <c r="G465" i="2"/>
  <c r="E180" i="2"/>
  <c r="G416" i="2"/>
  <c r="M136" i="2"/>
  <c r="G411" i="2"/>
  <c r="J69" i="2"/>
  <c r="J28" i="2"/>
  <c r="J79" i="2"/>
  <c r="E133" i="2"/>
  <c r="I103" i="2"/>
  <c r="I300" i="2"/>
  <c r="H90" i="2"/>
  <c r="I211" i="2"/>
  <c r="H184" i="2"/>
  <c r="I222" i="2"/>
  <c r="J141" i="2"/>
  <c r="L112" i="2"/>
  <c r="M109" i="2"/>
  <c r="E259" i="2"/>
  <c r="L59" i="2"/>
  <c r="E203" i="2"/>
  <c r="L235" i="2"/>
  <c r="E352" i="2"/>
  <c r="M66" i="2"/>
  <c r="E194" i="2"/>
  <c r="M56" i="2"/>
  <c r="M19" i="2"/>
  <c r="L188" i="2"/>
  <c r="M390" i="2"/>
  <c r="M372" i="2"/>
  <c r="M415" i="2"/>
  <c r="M424" i="2"/>
  <c r="M425" i="2"/>
  <c r="K151" i="2"/>
  <c r="M217" i="2"/>
  <c r="L163" i="2"/>
  <c r="G93" i="2"/>
  <c r="G41" i="2"/>
  <c r="N26" i="2"/>
  <c r="N12" i="2"/>
  <c r="G251" i="2"/>
  <c r="J68" i="2"/>
  <c r="J31" i="2"/>
  <c r="G171" i="2"/>
  <c r="J75" i="2"/>
  <c r="J36" i="2"/>
  <c r="G198" i="2"/>
  <c r="J77" i="2"/>
  <c r="J38" i="2"/>
  <c r="G229" i="2"/>
  <c r="J358" i="2"/>
  <c r="M149" i="2"/>
  <c r="J385" i="2"/>
  <c r="J313" i="2"/>
  <c r="J345" i="2"/>
  <c r="J73" i="2"/>
  <c r="J34" i="2"/>
  <c r="J4" i="2"/>
  <c r="J61" i="2"/>
  <c r="J22" i="2"/>
  <c r="J485" i="2"/>
  <c r="J57" i="2"/>
  <c r="J20" i="2"/>
  <c r="K76" i="2"/>
  <c r="K37" i="2"/>
  <c r="J93" i="2"/>
  <c r="J41" i="2"/>
  <c r="J27" i="2"/>
  <c r="J13" i="2"/>
  <c r="J175" i="2"/>
  <c r="J70" i="2"/>
  <c r="J29" i="2"/>
  <c r="J85" i="2"/>
  <c r="J456" i="2"/>
  <c r="L154" i="2"/>
  <c r="J62" i="2"/>
  <c r="J23" i="2"/>
  <c r="G415" i="2"/>
  <c r="J9" i="2"/>
  <c r="J169" i="2"/>
  <c r="G442" i="2"/>
  <c r="G311" i="2"/>
  <c r="L75" i="2"/>
  <c r="L36" i="2"/>
  <c r="H411" i="2"/>
  <c r="L65" i="2"/>
  <c r="L87" i="2"/>
  <c r="E302" i="2"/>
  <c r="H416" i="2"/>
  <c r="E365" i="2"/>
  <c r="H371" i="2"/>
  <c r="K318" i="2"/>
  <c r="E486" i="2"/>
  <c r="H243" i="2"/>
  <c r="H465" i="2"/>
  <c r="L264" i="2"/>
  <c r="L16" i="2"/>
  <c r="L120" i="2"/>
  <c r="E351" i="2"/>
  <c r="H326" i="2"/>
  <c r="L331" i="2"/>
  <c r="K155" i="2"/>
  <c r="E409" i="2"/>
  <c r="H340" i="2"/>
  <c r="N199" i="2"/>
  <c r="N171" i="2"/>
  <c r="G467" i="2"/>
  <c r="G325" i="2"/>
  <c r="I393" i="2"/>
  <c r="I272" i="2"/>
  <c r="J139" i="2"/>
  <c r="N284" i="2"/>
  <c r="H70" i="2"/>
  <c r="H29" i="2"/>
  <c r="F68" i="2"/>
  <c r="F31" i="2"/>
  <c r="K175" i="2"/>
  <c r="F81" i="2"/>
  <c r="F91" i="2"/>
  <c r="K178" i="2"/>
  <c r="F58" i="2"/>
  <c r="F278" i="2"/>
  <c r="F450" i="2"/>
  <c r="F133" i="2"/>
  <c r="F142" i="2"/>
  <c r="H93" i="2"/>
  <c r="H41" i="2"/>
  <c r="H254" i="2"/>
  <c r="I106" i="2"/>
  <c r="H126" i="2"/>
  <c r="L108" i="2"/>
  <c r="L135" i="2"/>
  <c r="N148" i="2"/>
  <c r="H113" i="2"/>
  <c r="E307" i="2"/>
  <c r="J96" i="2"/>
  <c r="J84" i="2"/>
  <c r="J43" i="2"/>
  <c r="E104" i="2"/>
  <c r="N77" i="2"/>
  <c r="N38" i="2"/>
  <c r="K165" i="2"/>
  <c r="M195" i="2"/>
  <c r="M435" i="2"/>
  <c r="G476" i="2"/>
  <c r="E182" i="2"/>
  <c r="E448" i="2"/>
  <c r="L158" i="2"/>
  <c r="M162" i="2"/>
  <c r="I279" i="2"/>
  <c r="E111" i="2"/>
  <c r="I227" i="2"/>
  <c r="H146" i="2"/>
  <c r="I218" i="2"/>
  <c r="M248" i="2"/>
  <c r="M214" i="2"/>
  <c r="M188" i="2"/>
  <c r="E129" i="2"/>
  <c r="L98" i="2"/>
  <c r="N184" i="2"/>
  <c r="N264" i="2"/>
  <c r="N369" i="2"/>
  <c r="H285" i="2"/>
  <c r="H208" i="2"/>
  <c r="H297" i="2"/>
  <c r="L345" i="2"/>
  <c r="K243" i="2"/>
  <c r="K222" i="2"/>
  <c r="L320" i="2"/>
  <c r="K400" i="2"/>
  <c r="K334" i="2"/>
  <c r="G421" i="2"/>
  <c r="L231" i="2"/>
  <c r="G457" i="2"/>
  <c r="K380" i="2"/>
  <c r="L236" i="2"/>
  <c r="G469" i="2"/>
  <c r="K374" i="2"/>
  <c r="L315" i="2"/>
  <c r="K385" i="2"/>
  <c r="F203" i="2"/>
  <c r="G485" i="2"/>
  <c r="F293" i="2"/>
  <c r="K420" i="2"/>
  <c r="E16" i="2"/>
  <c r="E120" i="2"/>
  <c r="F307" i="2"/>
  <c r="I411" i="2"/>
  <c r="K359" i="2"/>
  <c r="I463" i="2"/>
  <c r="I371" i="2"/>
  <c r="E192" i="2"/>
  <c r="I456" i="2"/>
  <c r="F403" i="2"/>
  <c r="E261" i="2"/>
  <c r="I416" i="2"/>
  <c r="E355" i="2"/>
  <c r="I436" i="2"/>
  <c r="F341" i="2"/>
  <c r="I465" i="2"/>
  <c r="I471" i="2"/>
  <c r="E56" i="2"/>
  <c r="E19" i="2"/>
  <c r="E67" i="2"/>
  <c r="E30" i="2"/>
  <c r="E26" i="2"/>
  <c r="E12" i="2"/>
  <c r="I78" i="2"/>
  <c r="E60" i="2"/>
  <c r="E21" i="2"/>
  <c r="I396" i="2"/>
  <c r="E69" i="2"/>
  <c r="E28" i="2"/>
  <c r="K91" i="2"/>
  <c r="E76" i="2"/>
  <c r="E37" i="2"/>
  <c r="G270" i="2"/>
  <c r="K244" i="2"/>
  <c r="E431" i="2"/>
  <c r="E240" i="2"/>
  <c r="K68" i="2"/>
  <c r="K31" i="2"/>
  <c r="E451" i="2"/>
  <c r="E62" i="2"/>
  <c r="E23" i="2"/>
  <c r="K58" i="2"/>
  <c r="E92" i="2"/>
  <c r="E40" i="2"/>
  <c r="K81" i="2"/>
  <c r="J435" i="2"/>
  <c r="E140" i="2"/>
  <c r="K14" i="2"/>
  <c r="K117" i="2"/>
  <c r="J329" i="2"/>
  <c r="M93" i="2"/>
  <c r="M41" i="2"/>
  <c r="I200" i="2"/>
  <c r="M70" i="2"/>
  <c r="M29" i="2"/>
  <c r="I189" i="2"/>
  <c r="M95" i="2"/>
  <c r="M83" i="2"/>
  <c r="M42" i="2"/>
  <c r="M60" i="2"/>
  <c r="M21" i="2"/>
  <c r="H102" i="2"/>
  <c r="M172" i="2"/>
  <c r="G63" i="2"/>
  <c r="G24" i="2"/>
  <c r="M219" i="2"/>
  <c r="G86" i="2"/>
  <c r="M126" i="2"/>
  <c r="E14" i="2"/>
  <c r="E117" i="2"/>
  <c r="H325" i="2"/>
  <c r="L111" i="2"/>
  <c r="G109" i="2"/>
  <c r="N106" i="2"/>
  <c r="G143" i="2"/>
  <c r="N48" i="2"/>
  <c r="N275" i="2"/>
  <c r="I56" i="2"/>
  <c r="I19" i="2"/>
  <c r="I66" i="2"/>
  <c r="I88" i="2"/>
  <c r="H238" i="2"/>
  <c r="G17" i="2"/>
  <c r="G121" i="2"/>
  <c r="H298" i="2"/>
  <c r="E74" i="2"/>
  <c r="E35" i="2"/>
  <c r="E97" i="2"/>
  <c r="K104" i="2"/>
  <c r="F478" i="2"/>
  <c r="E114" i="2"/>
  <c r="I149" i="2"/>
  <c r="F179" i="2"/>
  <c r="F193" i="2"/>
  <c r="E266" i="2"/>
  <c r="E130" i="2"/>
  <c r="K442" i="2"/>
  <c r="G176" i="2"/>
  <c r="G197" i="2"/>
  <c r="I153" i="2"/>
  <c r="J156" i="2"/>
  <c r="I136" i="2"/>
  <c r="K133" i="2"/>
  <c r="H163" i="2"/>
  <c r="M146" i="2"/>
  <c r="J160" i="2"/>
  <c r="J8" i="2"/>
  <c r="J168" i="2"/>
  <c r="J182" i="2"/>
  <c r="N289" i="2"/>
  <c r="J321" i="2"/>
  <c r="N209" i="2"/>
  <c r="I204" i="2"/>
  <c r="I312" i="2"/>
  <c r="I257" i="2"/>
  <c r="J232" i="2"/>
  <c r="J351" i="2"/>
  <c r="J66" i="2"/>
  <c r="F96" i="2"/>
  <c r="F84" i="2"/>
  <c r="F43" i="2"/>
  <c r="F69" i="2"/>
  <c r="F28" i="2"/>
  <c r="M471" i="2"/>
  <c r="F61" i="2"/>
  <c r="F22" i="2"/>
  <c r="M436" i="2"/>
  <c r="E272" i="2"/>
  <c r="M478" i="2"/>
  <c r="E342" i="2"/>
  <c r="F67" i="2"/>
  <c r="F30" i="2"/>
  <c r="I392" i="2"/>
  <c r="E326" i="2"/>
  <c r="F347" i="2"/>
  <c r="I386" i="2"/>
  <c r="F92" i="2"/>
  <c r="F40" i="2"/>
  <c r="H294" i="2"/>
  <c r="I421" i="2"/>
  <c r="H361" i="2"/>
  <c r="K215" i="2"/>
  <c r="F45" i="2"/>
  <c r="F267" i="2"/>
  <c r="H331" i="2"/>
  <c r="I397" i="2"/>
  <c r="H224" i="2"/>
  <c r="L365" i="2"/>
  <c r="K249" i="2"/>
  <c r="F3" i="2"/>
  <c r="F76" i="2"/>
  <c r="F37" i="2"/>
  <c r="K307" i="2"/>
  <c r="F60" i="2"/>
  <c r="F21" i="2"/>
  <c r="K261" i="2"/>
  <c r="F97" i="2"/>
  <c r="F26" i="2"/>
  <c r="F12" i="2"/>
  <c r="K317" i="2"/>
  <c r="K156" i="2"/>
  <c r="G303" i="2"/>
  <c r="F56" i="2"/>
  <c r="F19" i="2"/>
  <c r="G356" i="2"/>
  <c r="F74" i="2"/>
  <c r="F35" i="2"/>
  <c r="G228" i="2"/>
  <c r="F62" i="2"/>
  <c r="F23" i="2"/>
  <c r="M370" i="2"/>
  <c r="J56" i="2"/>
  <c r="J19" i="2"/>
  <c r="M337" i="2"/>
  <c r="H86" i="2"/>
  <c r="J404" i="2"/>
  <c r="H63" i="2"/>
  <c r="H24" i="2"/>
  <c r="H486" i="2"/>
  <c r="H457" i="2"/>
  <c r="J149" i="2"/>
  <c r="L133" i="2"/>
  <c r="F130" i="2"/>
  <c r="E107" i="2"/>
  <c r="J109" i="2"/>
  <c r="J78" i="2"/>
  <c r="J200" i="2"/>
  <c r="J189" i="2"/>
  <c r="J88" i="2"/>
  <c r="N70" i="2"/>
  <c r="N29" i="2"/>
  <c r="N93" i="2"/>
  <c r="N41" i="2"/>
  <c r="M111" i="2"/>
  <c r="J140" i="2"/>
  <c r="L81" i="2"/>
  <c r="I163" i="2"/>
  <c r="E290" i="2"/>
  <c r="H197" i="2"/>
  <c r="L58" i="2"/>
  <c r="E452" i="2"/>
  <c r="H173" i="2"/>
  <c r="E3" i="2"/>
  <c r="H176" i="2"/>
  <c r="L68" i="2"/>
  <c r="L31" i="2"/>
  <c r="E183" i="2"/>
  <c r="L91" i="2"/>
  <c r="E9" i="2"/>
  <c r="E169" i="2"/>
  <c r="E211" i="2"/>
  <c r="K376" i="2"/>
  <c r="I102" i="2"/>
  <c r="L104" i="2"/>
  <c r="G114" i="2"/>
  <c r="N442" i="2"/>
  <c r="L14" i="2"/>
  <c r="L117" i="2"/>
  <c r="N146" i="2"/>
  <c r="L381" i="2"/>
  <c r="K160" i="2"/>
  <c r="I238" i="2"/>
  <c r="H143" i="2"/>
  <c r="H17" i="2"/>
  <c r="H121" i="2"/>
  <c r="N153" i="2"/>
  <c r="K232" i="2"/>
  <c r="K179" i="2"/>
  <c r="K404" i="2"/>
  <c r="K321" i="2"/>
  <c r="J257" i="2"/>
  <c r="J127" i="2"/>
  <c r="J204" i="2"/>
  <c r="J312" i="2"/>
  <c r="J136" i="2"/>
  <c r="J386" i="2"/>
  <c r="E276" i="2"/>
  <c r="L261" i="2"/>
  <c r="L317" i="2"/>
  <c r="I457" i="2"/>
  <c r="L249" i="2"/>
  <c r="I361" i="2"/>
  <c r="L215" i="2"/>
  <c r="I6" i="2"/>
  <c r="I280" i="2"/>
  <c r="H356" i="2"/>
  <c r="I331" i="2"/>
  <c r="H228" i="2"/>
  <c r="I63" i="2"/>
  <c r="I24" i="2"/>
  <c r="H266" i="2"/>
  <c r="I303" i="2"/>
  <c r="G193" i="2"/>
  <c r="I224" i="2"/>
  <c r="K204" i="2"/>
  <c r="K66" i="2"/>
  <c r="I294" i="2"/>
  <c r="I298" i="2"/>
  <c r="G130" i="2"/>
  <c r="G347" i="2"/>
  <c r="I17" i="2"/>
  <c r="I121" i="2"/>
  <c r="N337" i="2"/>
  <c r="K140" i="2"/>
  <c r="N219" i="2"/>
  <c r="G16" i="2"/>
  <c r="G120" i="2"/>
  <c r="F272" i="2"/>
  <c r="M104" i="2"/>
  <c r="E95" i="2"/>
  <c r="E83" i="2"/>
  <c r="E42" i="2"/>
  <c r="M244" i="2"/>
  <c r="E474" i="2"/>
  <c r="M307" i="2"/>
  <c r="L160" i="2"/>
  <c r="I143" i="2"/>
  <c r="E154" i="2"/>
  <c r="G92" i="2"/>
  <c r="G40" i="2"/>
  <c r="M365" i="2"/>
  <c r="G74" i="2"/>
  <c r="G35" i="2"/>
  <c r="M376" i="2"/>
  <c r="G61" i="2"/>
  <c r="G22" i="2"/>
  <c r="M381" i="2"/>
  <c r="J298" i="2"/>
  <c r="G97" i="2"/>
  <c r="J266" i="2"/>
  <c r="M215" i="2"/>
  <c r="G67" i="2"/>
  <c r="G30" i="2"/>
  <c r="J294" i="2"/>
  <c r="G60" i="2"/>
  <c r="G21" i="2"/>
  <c r="J326" i="2"/>
  <c r="K109" i="2"/>
  <c r="G342" i="2"/>
  <c r="J303" i="2"/>
  <c r="K149" i="2"/>
  <c r="G6" i="2"/>
  <c r="G280" i="2"/>
  <c r="G431" i="2"/>
  <c r="G240" i="2"/>
  <c r="J392" i="2"/>
  <c r="I486" i="2"/>
  <c r="J397" i="2"/>
  <c r="K136" i="2"/>
  <c r="E438" i="2"/>
  <c r="E443" i="2"/>
  <c r="F452" i="2"/>
  <c r="F422" i="2"/>
  <c r="M58" i="2"/>
  <c r="I197" i="2"/>
  <c r="I228" i="2"/>
  <c r="I173" i="2"/>
  <c r="J224" i="2"/>
  <c r="K351" i="2"/>
  <c r="J163" i="2"/>
  <c r="H114" i="2"/>
  <c r="E377" i="2"/>
  <c r="F107" i="2"/>
  <c r="E338" i="2"/>
  <c r="M321" i="2"/>
  <c r="M486" i="2"/>
  <c r="E220" i="2"/>
  <c r="M404" i="2"/>
  <c r="M68" i="2"/>
  <c r="M31" i="2"/>
  <c r="L232" i="2"/>
  <c r="M386" i="2"/>
  <c r="K257" i="2"/>
  <c r="M317" i="2"/>
  <c r="M91" i="2"/>
  <c r="N478" i="2"/>
  <c r="M457" i="2"/>
  <c r="K312" i="2"/>
  <c r="M81" i="2"/>
  <c r="K189" i="2"/>
  <c r="K127" i="2"/>
  <c r="K200" i="2"/>
  <c r="N307" i="2"/>
  <c r="G56" i="2"/>
  <c r="G19" i="2"/>
  <c r="N244" i="2"/>
  <c r="G76" i="2"/>
  <c r="G37" i="2"/>
  <c r="F276" i="2"/>
  <c r="F211" i="2"/>
  <c r="G69" i="2"/>
  <c r="G28" i="2"/>
  <c r="M261" i="2"/>
  <c r="E382" i="2"/>
  <c r="G8" i="2"/>
  <c r="G168" i="2"/>
  <c r="M249" i="2"/>
  <c r="E72" i="2"/>
  <c r="E33" i="2"/>
  <c r="G272" i="2"/>
  <c r="G96" i="2"/>
  <c r="G84" i="2"/>
  <c r="G43" i="2"/>
  <c r="E479" i="2"/>
  <c r="G290" i="2"/>
  <c r="K392" i="2"/>
  <c r="G72" i="2"/>
  <c r="G33" i="2"/>
  <c r="G452" i="2"/>
  <c r="K397" i="2"/>
  <c r="K361" i="2"/>
  <c r="G95" i="2"/>
  <c r="G83" i="2"/>
  <c r="G42" i="2"/>
  <c r="J356" i="2"/>
  <c r="M14" i="2"/>
  <c r="M117" i="2"/>
  <c r="G3" i="2"/>
  <c r="J331" i="2"/>
  <c r="G26" i="2"/>
  <c r="G12" i="2"/>
  <c r="L109" i="2"/>
  <c r="K88" i="2"/>
  <c r="K78" i="2"/>
  <c r="G422" i="2"/>
  <c r="K238" i="2"/>
  <c r="G62" i="2"/>
  <c r="G23" i="2"/>
  <c r="G438" i="2"/>
  <c r="K56" i="2"/>
  <c r="K19" i="2"/>
  <c r="H342" i="2"/>
  <c r="N111" i="2"/>
  <c r="E112" i="2"/>
  <c r="H347" i="2"/>
  <c r="J102" i="2"/>
  <c r="H72" i="2"/>
  <c r="H33" i="2"/>
  <c r="H14" i="2"/>
  <c r="H117" i="2"/>
  <c r="H92" i="2"/>
  <c r="H40" i="2"/>
  <c r="H95" i="2"/>
  <c r="H83" i="2"/>
  <c r="H42" i="2"/>
  <c r="E147" i="2"/>
  <c r="G14" i="2"/>
  <c r="G117" i="2"/>
  <c r="H61" i="2"/>
  <c r="H22" i="2"/>
  <c r="L78" i="2"/>
  <c r="H6" i="2"/>
  <c r="H280" i="2"/>
  <c r="L351" i="2"/>
  <c r="H97" i="2"/>
  <c r="H26" i="2"/>
  <c r="H12" i="2"/>
  <c r="N365" i="2"/>
  <c r="H62" i="2"/>
  <c r="H23" i="2"/>
  <c r="H8" i="2"/>
  <c r="H168" i="2"/>
  <c r="H67" i="2"/>
  <c r="H30" i="2"/>
  <c r="F474" i="2"/>
  <c r="H69" i="2"/>
  <c r="H28" i="2"/>
  <c r="H193" i="2"/>
  <c r="H47" i="2"/>
  <c r="H274" i="2"/>
  <c r="J176" i="2"/>
  <c r="H60" i="2"/>
  <c r="H21" i="2"/>
  <c r="H56" i="2"/>
  <c r="H19" i="2"/>
  <c r="J173" i="2"/>
  <c r="H96" i="2"/>
  <c r="H84" i="2"/>
  <c r="H43" i="2"/>
  <c r="H3" i="2"/>
  <c r="I86" i="2"/>
  <c r="J197" i="2"/>
  <c r="I176" i="2"/>
  <c r="H76" i="2"/>
  <c r="H37" i="2"/>
  <c r="H45" i="2"/>
  <c r="H267" i="2"/>
  <c r="L136" i="2"/>
  <c r="M133" i="2"/>
  <c r="H443" i="2"/>
  <c r="H74" i="2"/>
  <c r="H35" i="2"/>
  <c r="L88" i="2"/>
  <c r="L156" i="2"/>
  <c r="F183" i="2"/>
  <c r="L66" i="2"/>
  <c r="F9" i="2"/>
  <c r="F169" i="2"/>
  <c r="L204" i="2"/>
  <c r="L56" i="2"/>
  <c r="L19" i="2"/>
  <c r="I76" i="2"/>
  <c r="I37" i="2"/>
  <c r="L200" i="2"/>
  <c r="L312" i="2"/>
  <c r="F147" i="2"/>
  <c r="K163" i="2"/>
  <c r="J63" i="2"/>
  <c r="J24" i="2"/>
  <c r="M179" i="2"/>
  <c r="J76" i="2"/>
  <c r="J37" i="2"/>
  <c r="N68" i="2"/>
  <c r="N31" i="2"/>
  <c r="G9" i="2"/>
  <c r="G169" i="2"/>
  <c r="H16" i="2"/>
  <c r="H120" i="2"/>
  <c r="J86" i="2"/>
  <c r="G183" i="2"/>
  <c r="J17" i="2"/>
  <c r="J121" i="2"/>
  <c r="N104" i="2"/>
  <c r="H130" i="2"/>
  <c r="F95" i="2"/>
  <c r="F83" i="2"/>
  <c r="F42" i="2"/>
  <c r="F72" i="2"/>
  <c r="F33" i="2"/>
  <c r="J143" i="2"/>
  <c r="F59" i="2"/>
  <c r="L149" i="2"/>
  <c r="F82" i="2"/>
  <c r="M156" i="2"/>
  <c r="N179" i="2"/>
  <c r="F154" i="2"/>
  <c r="E134" i="2"/>
  <c r="L140" i="2"/>
  <c r="I114" i="2"/>
  <c r="I107" i="2"/>
  <c r="G208" i="2"/>
  <c r="G382" i="2"/>
  <c r="N91" i="2"/>
  <c r="I250" i="2"/>
  <c r="J416" i="2"/>
  <c r="J50" i="2"/>
  <c r="J446" i="2"/>
  <c r="M160" i="2"/>
  <c r="K356" i="2"/>
  <c r="K303" i="2"/>
  <c r="J371" i="2"/>
  <c r="K102" i="2"/>
  <c r="K331" i="2"/>
  <c r="L397" i="2"/>
  <c r="N14" i="2"/>
  <c r="N117" i="2"/>
  <c r="K224" i="2"/>
  <c r="L387" i="2"/>
  <c r="K294" i="2"/>
  <c r="M189" i="2"/>
  <c r="K266" i="2"/>
  <c r="E322" i="2"/>
  <c r="L127" i="2"/>
  <c r="G338" i="2"/>
  <c r="E366" i="2"/>
  <c r="G276" i="2"/>
  <c r="M257" i="2"/>
  <c r="E481" i="2"/>
  <c r="M232" i="2"/>
  <c r="I193" i="2"/>
  <c r="E405" i="2"/>
  <c r="H290" i="2"/>
  <c r="H273" i="2"/>
  <c r="J438" i="2"/>
  <c r="H272" i="2"/>
  <c r="F412" i="2"/>
  <c r="J417" i="2"/>
  <c r="H211" i="2"/>
  <c r="J374" i="2"/>
  <c r="M361" i="2"/>
  <c r="L238" i="2"/>
  <c r="E245" i="2"/>
  <c r="M392" i="2"/>
  <c r="E262" i="2"/>
  <c r="M342" i="2"/>
  <c r="E308" i="2"/>
  <c r="F220" i="2"/>
  <c r="M351" i="2"/>
  <c r="F377" i="2"/>
  <c r="I431" i="2"/>
  <c r="I240" i="2"/>
  <c r="F299" i="2"/>
  <c r="E487" i="2"/>
  <c r="E460" i="2"/>
  <c r="J6" i="2"/>
  <c r="J280" i="2"/>
  <c r="I347" i="2"/>
  <c r="E201" i="2"/>
  <c r="J228" i="2"/>
  <c r="K195" i="2"/>
  <c r="E193" i="2"/>
  <c r="K326" i="2"/>
  <c r="M465" i="2"/>
  <c r="M276" i="2"/>
  <c r="H204" i="2"/>
  <c r="M225" i="2"/>
  <c r="J15" i="2"/>
  <c r="J118" i="2"/>
  <c r="H422" i="2"/>
  <c r="H198" i="2"/>
  <c r="N215" i="2"/>
  <c r="H229" i="2"/>
  <c r="H438" i="2"/>
  <c r="H212" i="2"/>
  <c r="H452" i="2"/>
  <c r="G432" i="2"/>
  <c r="G241" i="2"/>
  <c r="G254" i="2"/>
  <c r="G245" i="2"/>
  <c r="J262" i="2"/>
  <c r="J249" i="2"/>
  <c r="J474" i="2"/>
  <c r="J222" i="2"/>
  <c r="N317" i="2"/>
  <c r="K481" i="2"/>
  <c r="N265" i="2"/>
  <c r="K390" i="2"/>
  <c r="I232" i="2"/>
  <c r="N412" i="2"/>
  <c r="I329" i="2"/>
  <c r="N408" i="2"/>
  <c r="E379" i="2"/>
  <c r="F216" i="2"/>
  <c r="E454" i="2"/>
  <c r="I338" i="2"/>
  <c r="F270" i="2"/>
  <c r="I404" i="2"/>
  <c r="E469" i="2"/>
  <c r="I359" i="2"/>
  <c r="F259" i="2"/>
  <c r="K345" i="2"/>
  <c r="K370" i="2"/>
  <c r="E450" i="2"/>
  <c r="K315" i="2"/>
  <c r="H312" i="2"/>
  <c r="E465" i="2"/>
  <c r="H352" i="2"/>
  <c r="H386" i="2"/>
  <c r="I382" i="2"/>
  <c r="G298" i="2"/>
  <c r="L219" i="2"/>
  <c r="G285" i="2"/>
  <c r="K236" i="2"/>
  <c r="I425" i="2"/>
  <c r="G367" i="2"/>
  <c r="M291" i="2"/>
  <c r="M301" i="2"/>
  <c r="I475" i="2"/>
  <c r="M362" i="2"/>
  <c r="G486" i="2"/>
  <c r="G394" i="2"/>
  <c r="G188" i="2"/>
  <c r="L17" i="2"/>
  <c r="L121" i="2"/>
  <c r="G196" i="2"/>
  <c r="G164" i="2"/>
  <c r="H421" i="2"/>
  <c r="M204" i="2"/>
  <c r="H460" i="2"/>
  <c r="M190" i="2"/>
  <c r="J308" i="2"/>
  <c r="E356" i="2"/>
  <c r="M208" i="2"/>
  <c r="E349" i="2"/>
  <c r="F180" i="2"/>
  <c r="E319" i="2"/>
  <c r="E398" i="2"/>
  <c r="F172" i="2"/>
  <c r="E127" i="2"/>
  <c r="K8" i="2"/>
  <c r="K168" i="2"/>
  <c r="K174" i="2"/>
  <c r="I115" i="2"/>
  <c r="L322" i="2"/>
  <c r="N325" i="2"/>
  <c r="H142" i="2"/>
  <c r="N294" i="2"/>
  <c r="N341" i="2"/>
  <c r="F140" i="2"/>
  <c r="J153" i="2"/>
  <c r="E246" i="2"/>
  <c r="E233" i="2"/>
  <c r="M155" i="2"/>
  <c r="E313" i="2"/>
  <c r="N136" i="2"/>
  <c r="K399" i="2"/>
  <c r="K333" i="2"/>
  <c r="E230" i="2"/>
  <c r="J132" i="2"/>
  <c r="K414" i="2"/>
  <c r="E202" i="2"/>
  <c r="L147" i="2"/>
  <c r="E343" i="2"/>
  <c r="I161" i="2"/>
  <c r="F6" i="2"/>
  <c r="F280" i="2"/>
  <c r="J330" i="2"/>
  <c r="F158" i="2"/>
  <c r="J193" i="2"/>
  <c r="J144" i="2"/>
  <c r="J263" i="2"/>
  <c r="M326" i="2"/>
  <c r="J177" i="2"/>
  <c r="M387" i="2"/>
  <c r="J302" i="2"/>
  <c r="M442" i="2"/>
  <c r="G150" i="2"/>
  <c r="J277" i="2"/>
  <c r="H129" i="2"/>
  <c r="L266" i="2"/>
  <c r="H199" i="2"/>
  <c r="L237" i="2"/>
  <c r="L254" i="2"/>
  <c r="L134" i="2"/>
  <c r="L226" i="2"/>
  <c r="F410" i="2"/>
  <c r="L371" i="2"/>
  <c r="K182" i="2"/>
  <c r="K250" i="2"/>
  <c r="L356" i="2"/>
  <c r="L6" i="2"/>
  <c r="L280" i="2"/>
  <c r="L295" i="2"/>
  <c r="H418" i="2"/>
  <c r="L367" i="2"/>
  <c r="G127" i="2"/>
  <c r="H395" i="2"/>
  <c r="I346" i="2"/>
  <c r="H482" i="2"/>
  <c r="I323" i="2"/>
  <c r="I292" i="2"/>
  <c r="G487" i="2"/>
  <c r="H364" i="2"/>
  <c r="H316" i="2"/>
  <c r="G220" i="2"/>
  <c r="G223" i="2"/>
  <c r="H391" i="2"/>
  <c r="G477" i="2"/>
  <c r="H220" i="2"/>
  <c r="G214" i="2"/>
  <c r="K309" i="2"/>
  <c r="H188" i="2"/>
  <c r="K50" i="2"/>
  <c r="K446" i="2"/>
  <c r="K349" i="2"/>
  <c r="H434" i="2"/>
  <c r="H186" i="2"/>
  <c r="J353" i="2"/>
  <c r="J379" i="2"/>
  <c r="H196" i="2"/>
  <c r="J383" i="2"/>
  <c r="I289" i="2"/>
  <c r="G360" i="2"/>
  <c r="H164" i="2"/>
  <c r="I217" i="2"/>
  <c r="G320" i="2"/>
  <c r="G299" i="2"/>
  <c r="I47" i="2"/>
  <c r="I274" i="2"/>
  <c r="G339" i="2"/>
  <c r="I142" i="2"/>
  <c r="E137" i="2"/>
  <c r="E376" i="2"/>
  <c r="G158" i="2"/>
  <c r="M270" i="2"/>
  <c r="M134" i="2"/>
  <c r="G180" i="2"/>
  <c r="J161" i="2"/>
  <c r="N259" i="2"/>
  <c r="F462" i="2"/>
  <c r="G172" i="2"/>
  <c r="F405" i="2"/>
  <c r="L174" i="2"/>
  <c r="K15" i="2"/>
  <c r="K118" i="2"/>
  <c r="L182" i="2"/>
  <c r="G233" i="2"/>
  <c r="M17" i="2"/>
  <c r="M121" i="2"/>
  <c r="G313" i="2"/>
  <c r="L8" i="2"/>
  <c r="L168" i="2"/>
  <c r="N454" i="2"/>
  <c r="G260" i="2"/>
  <c r="J115" i="2"/>
  <c r="F202" i="2"/>
  <c r="G246" i="2"/>
  <c r="I129" i="2"/>
  <c r="K132" i="2"/>
  <c r="E434" i="2"/>
  <c r="E186" i="2"/>
  <c r="H150" i="2"/>
  <c r="G343" i="2"/>
  <c r="E466" i="2"/>
  <c r="G376" i="2"/>
  <c r="G140" i="2"/>
  <c r="J422" i="2"/>
  <c r="J450" i="2"/>
  <c r="K153" i="2"/>
  <c r="G410" i="2"/>
  <c r="M349" i="2"/>
  <c r="I214" i="2"/>
  <c r="M439" i="2"/>
  <c r="J292" i="2"/>
  <c r="J47" i="2"/>
  <c r="J274" i="2"/>
  <c r="I199" i="2"/>
  <c r="I364" i="2"/>
  <c r="J289" i="2"/>
  <c r="K144" i="2"/>
  <c r="H223" i="2"/>
  <c r="I395" i="2"/>
  <c r="K177" i="2"/>
  <c r="H299" i="2"/>
  <c r="L50" i="2"/>
  <c r="L446" i="2"/>
  <c r="I482" i="2"/>
  <c r="E327" i="2"/>
  <c r="L450" i="2"/>
  <c r="K193" i="2"/>
  <c r="E209" i="2"/>
  <c r="L414" i="2"/>
  <c r="K277" i="2"/>
  <c r="K263" i="2"/>
  <c r="J217" i="2"/>
  <c r="N204" i="2"/>
  <c r="N155" i="2"/>
  <c r="N270" i="2"/>
  <c r="N367" i="2"/>
  <c r="M147" i="2"/>
  <c r="M266" i="2"/>
  <c r="N78" i="2"/>
  <c r="M237" i="2"/>
  <c r="M254" i="2"/>
  <c r="N387" i="2"/>
  <c r="I470" i="2"/>
  <c r="E191" i="2"/>
  <c r="M295" i="2"/>
  <c r="M250" i="2"/>
  <c r="M6" i="2"/>
  <c r="M280" i="2"/>
  <c r="M226" i="2"/>
  <c r="H405" i="2"/>
  <c r="H320" i="2"/>
  <c r="H360" i="2"/>
  <c r="J323" i="2"/>
  <c r="J346" i="2"/>
  <c r="J391" i="2"/>
  <c r="H487" i="2"/>
  <c r="F230" i="2"/>
  <c r="J418" i="2"/>
  <c r="H477" i="2"/>
  <c r="L399" i="2"/>
  <c r="L333" i="2"/>
  <c r="N87" i="2"/>
  <c r="L379" i="2"/>
  <c r="N69" i="2"/>
  <c r="N28" i="2"/>
  <c r="L330" i="2"/>
  <c r="I316" i="2"/>
  <c r="N58" i="2"/>
  <c r="L309" i="2"/>
  <c r="I339" i="2"/>
  <c r="N56" i="2"/>
  <c r="N19" i="2"/>
  <c r="N65" i="2"/>
  <c r="G107" i="2"/>
  <c r="N62" i="2"/>
  <c r="N23" i="2"/>
  <c r="L15" i="2"/>
  <c r="L118" i="2"/>
  <c r="N72" i="2"/>
  <c r="N33" i="2"/>
  <c r="K115" i="2"/>
  <c r="N74" i="2"/>
  <c r="N35" i="2"/>
  <c r="K383" i="2"/>
  <c r="N76" i="2"/>
  <c r="N37" i="2"/>
  <c r="N85" i="2"/>
  <c r="N92" i="2"/>
  <c r="N40" i="2"/>
  <c r="K302" i="2"/>
  <c r="N97" i="2"/>
  <c r="N95" i="2"/>
  <c r="N83" i="2"/>
  <c r="N42" i="2"/>
  <c r="K353" i="2"/>
  <c r="N90" i="2"/>
  <c r="I111" i="2"/>
  <c r="N60" i="2"/>
  <c r="N21" i="2"/>
  <c r="E148" i="2"/>
  <c r="N67" i="2"/>
  <c r="N30" i="2"/>
  <c r="E103" i="2"/>
  <c r="M371" i="2"/>
  <c r="N81" i="2"/>
  <c r="M182" i="2"/>
  <c r="M356" i="2"/>
  <c r="E125" i="2"/>
  <c r="M177" i="2"/>
  <c r="M277" i="2"/>
  <c r="J113" i="2"/>
  <c r="L144" i="2"/>
  <c r="H127" i="2"/>
  <c r="K422" i="2"/>
  <c r="H410" i="2"/>
  <c r="N134" i="2"/>
  <c r="H376" i="2"/>
  <c r="G462" i="2"/>
  <c r="F105" i="2"/>
  <c r="H343" i="2"/>
  <c r="E73" i="2"/>
  <c r="E34" i="2"/>
  <c r="E70" i="2"/>
  <c r="E29" i="2"/>
  <c r="G466" i="2"/>
  <c r="E63" i="2"/>
  <c r="E24" i="2"/>
  <c r="E68" i="2"/>
  <c r="E31" i="2"/>
  <c r="G209" i="2"/>
  <c r="J129" i="2"/>
  <c r="E61" i="2"/>
  <c r="E22" i="2"/>
  <c r="G202" i="2"/>
  <c r="E86" i="2"/>
  <c r="E156" i="2"/>
  <c r="E59" i="2"/>
  <c r="E357" i="2"/>
  <c r="E440" i="2"/>
  <c r="E48" i="2"/>
  <c r="E275" i="2"/>
  <c r="H180" i="2"/>
  <c r="H109" i="2"/>
  <c r="E400" i="2"/>
  <c r="E334" i="2"/>
  <c r="E77" i="2"/>
  <c r="E38" i="2"/>
  <c r="H172" i="2"/>
  <c r="E455" i="2"/>
  <c r="L132" i="2"/>
  <c r="E51" i="2"/>
  <c r="E447" i="2"/>
  <c r="E66" i="2"/>
  <c r="E79" i="2"/>
  <c r="H158" i="2"/>
  <c r="F191" i="2"/>
  <c r="E388" i="2"/>
  <c r="E82" i="2"/>
  <c r="E88" i="2"/>
  <c r="F206" i="2"/>
  <c r="E75" i="2"/>
  <c r="E36" i="2"/>
  <c r="H140" i="2"/>
  <c r="J223" i="2"/>
  <c r="E57" i="2"/>
  <c r="E20" i="2"/>
  <c r="J214" i="2"/>
  <c r="J142" i="2"/>
  <c r="J199" i="2"/>
  <c r="J470" i="2"/>
  <c r="I220" i="2"/>
  <c r="I196" i="2"/>
  <c r="I299" i="2"/>
  <c r="I188" i="2"/>
  <c r="I320" i="2"/>
  <c r="F137" i="2"/>
  <c r="I164" i="2"/>
  <c r="I233" i="2"/>
  <c r="E271" i="2"/>
  <c r="J316" i="2"/>
  <c r="M8" i="2"/>
  <c r="M168" i="2"/>
  <c r="G230" i="2"/>
  <c r="M174" i="2"/>
  <c r="K346" i="2"/>
  <c r="M193" i="2"/>
  <c r="K47" i="2"/>
  <c r="K274" i="2"/>
  <c r="I150" i="2"/>
  <c r="K289" i="2"/>
  <c r="M414" i="2"/>
  <c r="K161" i="2"/>
  <c r="E243" i="2"/>
  <c r="M50" i="2"/>
  <c r="M446" i="2"/>
  <c r="E368" i="2"/>
  <c r="M399" i="2"/>
  <c r="M333" i="2"/>
  <c r="E427" i="2"/>
  <c r="E306" i="2"/>
  <c r="M379" i="2"/>
  <c r="E331" i="2"/>
  <c r="N250" i="2"/>
  <c r="E227" i="2"/>
  <c r="N254" i="2"/>
  <c r="E135" i="2"/>
  <c r="L153" i="2"/>
  <c r="N6" i="2"/>
  <c r="N280" i="2"/>
  <c r="N295" i="2"/>
  <c r="N266" i="2"/>
  <c r="L302" i="2"/>
  <c r="N237" i="2"/>
  <c r="K217" i="2"/>
  <c r="H260" i="2"/>
  <c r="H246" i="2"/>
  <c r="H313" i="2"/>
  <c r="H107" i="2"/>
  <c r="L115" i="2"/>
  <c r="L292" i="2"/>
  <c r="J111" i="2"/>
  <c r="L263" i="2"/>
  <c r="M450" i="2"/>
  <c r="M482" i="2"/>
  <c r="J364" i="2"/>
  <c r="J395" i="2"/>
  <c r="K323" i="2"/>
  <c r="F327" i="2"/>
  <c r="K418" i="2"/>
  <c r="F103" i="2"/>
  <c r="K391" i="2"/>
  <c r="G105" i="2"/>
  <c r="K339" i="2"/>
  <c r="I140" i="2"/>
  <c r="F440" i="2"/>
  <c r="G137" i="2"/>
  <c r="I405" i="2"/>
  <c r="E91" i="2"/>
  <c r="I360" i="2"/>
  <c r="K113" i="2"/>
  <c r="E98" i="2"/>
  <c r="M309" i="2"/>
  <c r="E96" i="2"/>
  <c r="E84" i="2"/>
  <c r="E43" i="2"/>
  <c r="N371" i="2"/>
  <c r="E93" i="2"/>
  <c r="E41" i="2"/>
  <c r="N349" i="2"/>
  <c r="M144" i="2"/>
  <c r="L353" i="2"/>
  <c r="L383" i="2"/>
  <c r="L422" i="2"/>
  <c r="H462" i="2"/>
  <c r="I410" i="2"/>
  <c r="H466" i="2"/>
  <c r="I466" i="2"/>
  <c r="I487" i="2"/>
  <c r="J164" i="2"/>
  <c r="I434" i="2"/>
  <c r="I186" i="2"/>
  <c r="I477" i="2"/>
  <c r="I343" i="2"/>
  <c r="N174" i="2"/>
  <c r="I127" i="2"/>
  <c r="I376" i="2"/>
  <c r="K142" i="2"/>
  <c r="G388" i="2"/>
  <c r="I109" i="2"/>
  <c r="G400" i="2"/>
  <c r="G334" i="2"/>
  <c r="M15" i="2"/>
  <c r="M118" i="2"/>
  <c r="I180" i="2"/>
  <c r="I172" i="2"/>
  <c r="G357" i="2"/>
  <c r="I433" i="2"/>
  <c r="I185" i="2"/>
  <c r="F156" i="2"/>
  <c r="G368" i="2"/>
  <c r="H202" i="2"/>
  <c r="G125" i="2"/>
  <c r="G455" i="2"/>
  <c r="H209" i="2"/>
  <c r="K129" i="2"/>
  <c r="G327" i="2"/>
  <c r="H230" i="2"/>
  <c r="M132" i="2"/>
  <c r="L161" i="2"/>
  <c r="J150" i="2"/>
  <c r="J233" i="2"/>
  <c r="J220" i="2"/>
  <c r="I158" i="2"/>
  <c r="J188" i="2"/>
  <c r="J320" i="2"/>
  <c r="J196" i="2"/>
  <c r="E296" i="2"/>
  <c r="N399" i="2"/>
  <c r="N333" i="2"/>
  <c r="M153" i="2"/>
  <c r="K470" i="2"/>
  <c r="E45" i="2"/>
  <c r="E267" i="2"/>
  <c r="G148" i="2"/>
  <c r="N414" i="2"/>
  <c r="E7" i="2"/>
  <c r="E281" i="2"/>
  <c r="K199" i="2"/>
  <c r="N379" i="2"/>
  <c r="K214" i="2"/>
  <c r="E257" i="2"/>
  <c r="G206" i="2"/>
  <c r="E285" i="2"/>
  <c r="G191" i="2"/>
  <c r="G227" i="2"/>
  <c r="E278" i="2"/>
  <c r="N177" i="2"/>
  <c r="E238" i="2"/>
  <c r="H427" i="2"/>
  <c r="H306" i="2"/>
  <c r="N182" i="2"/>
  <c r="N193" i="2"/>
  <c r="E310" i="2"/>
  <c r="N8" i="2"/>
  <c r="N168" i="2"/>
  <c r="L217" i="2"/>
  <c r="L223" i="2"/>
  <c r="F243" i="2"/>
  <c r="M302" i="2"/>
  <c r="M263" i="2"/>
  <c r="E251" i="2"/>
  <c r="E293" i="2"/>
  <c r="M292" i="2"/>
  <c r="I313" i="2"/>
  <c r="I246" i="2"/>
  <c r="I260" i="2"/>
  <c r="L316" i="2"/>
  <c r="L47" i="2"/>
  <c r="L274" i="2"/>
  <c r="L339" i="2"/>
  <c r="L289" i="2"/>
  <c r="N238" i="2"/>
  <c r="J405" i="2"/>
  <c r="J360" i="2"/>
  <c r="E372" i="2"/>
  <c r="K364" i="2"/>
  <c r="E350" i="2"/>
  <c r="K299" i="2"/>
  <c r="L391" i="2"/>
  <c r="J236" i="2"/>
  <c r="J243" i="2"/>
  <c r="L346" i="2"/>
  <c r="J487" i="2"/>
  <c r="L418" i="2"/>
  <c r="J230" i="2"/>
  <c r="L323" i="2"/>
  <c r="M434" i="2"/>
  <c r="M186" i="2"/>
  <c r="G271" i="2"/>
  <c r="M477" i="2"/>
  <c r="G316" i="2"/>
  <c r="M251" i="2"/>
  <c r="G352" i="2"/>
  <c r="M264" i="2"/>
  <c r="N450" i="2"/>
  <c r="G278" i="2"/>
  <c r="N245" i="2"/>
  <c r="G45" i="2"/>
  <c r="G267" i="2"/>
  <c r="N50" i="2"/>
  <c r="N446" i="2"/>
  <c r="L48" i="2"/>
  <c r="L275" i="2"/>
  <c r="N232" i="2"/>
  <c r="E483" i="2"/>
  <c r="L318" i="2"/>
  <c r="G440" i="2"/>
  <c r="L326" i="2"/>
  <c r="G273" i="2"/>
  <c r="K313" i="2"/>
  <c r="H308" i="2"/>
  <c r="M383" i="2"/>
  <c r="H455" i="2"/>
  <c r="K295" i="2"/>
  <c r="M422" i="2"/>
  <c r="H257" i="2"/>
  <c r="K6" i="2"/>
  <c r="K280" i="2"/>
  <c r="I462" i="2"/>
  <c r="I262" i="2"/>
  <c r="K290" i="2"/>
  <c r="M353" i="2"/>
  <c r="I249" i="2"/>
  <c r="K362" i="2"/>
  <c r="K395" i="2"/>
  <c r="L259" i="2"/>
  <c r="F331" i="2"/>
  <c r="K270" i="2"/>
  <c r="L470" i="2"/>
  <c r="J300" i="2"/>
  <c r="E360" i="2"/>
  <c r="J357" i="2"/>
  <c r="E347" i="2"/>
  <c r="J400" i="2"/>
  <c r="J334" i="2"/>
  <c r="E175" i="2"/>
  <c r="E403" i="2"/>
  <c r="I344" i="2"/>
  <c r="E410" i="2"/>
  <c r="I439" i="2"/>
  <c r="I377" i="2"/>
  <c r="I321" i="2"/>
  <c r="I368" i="2"/>
  <c r="K225" i="2"/>
  <c r="I383" i="2"/>
  <c r="I422" i="2"/>
  <c r="F228" i="2"/>
  <c r="I374" i="2"/>
  <c r="E324" i="2"/>
  <c r="K233" i="2"/>
  <c r="N391" i="2"/>
  <c r="E298" i="2"/>
  <c r="K228" i="2"/>
  <c r="N418" i="2"/>
  <c r="K196" i="2"/>
  <c r="M161" i="2"/>
  <c r="F339" i="2"/>
  <c r="L405" i="2"/>
  <c r="F303" i="2"/>
  <c r="L354" i="2"/>
  <c r="F311" i="2"/>
  <c r="H470" i="2"/>
  <c r="H425" i="2"/>
  <c r="H181" i="2"/>
  <c r="G380" i="2"/>
  <c r="G395" i="2"/>
  <c r="G386" i="2"/>
  <c r="K483" i="2"/>
  <c r="K466" i="2"/>
  <c r="G389" i="2"/>
  <c r="I194" i="2"/>
  <c r="M454" i="2"/>
  <c r="I209" i="2"/>
  <c r="M412" i="2"/>
  <c r="M331" i="2"/>
  <c r="I183" i="2"/>
  <c r="M9" i="2"/>
  <c r="M169" i="2"/>
  <c r="M187" i="2"/>
  <c r="H329" i="2"/>
  <c r="M163" i="2"/>
  <c r="M165" i="2"/>
  <c r="F487" i="2"/>
  <c r="M341" i="2"/>
  <c r="F177" i="2"/>
  <c r="F416" i="2"/>
  <c r="F435" i="2"/>
  <c r="J410" i="2"/>
  <c r="J413" i="2"/>
  <c r="J355" i="2"/>
  <c r="J366" i="2"/>
  <c r="J332" i="2"/>
  <c r="K365" i="2"/>
  <c r="K371" i="2"/>
  <c r="J349" i="2"/>
  <c r="J433" i="2"/>
  <c r="J185" i="2"/>
  <c r="H463" i="2"/>
  <c r="H475" i="2"/>
  <c r="G460" i="2"/>
  <c r="G451" i="2"/>
  <c r="G179" i="2"/>
  <c r="G448" i="2"/>
  <c r="N206" i="2"/>
  <c r="L478" i="2"/>
  <c r="N273" i="2"/>
  <c r="L442" i="2"/>
  <c r="N397" i="2"/>
  <c r="M212" i="2"/>
  <c r="M198" i="2"/>
  <c r="N172" i="2"/>
  <c r="M223" i="2"/>
  <c r="E244" i="2"/>
  <c r="G322" i="2"/>
  <c r="E190" i="2"/>
  <c r="G296" i="2"/>
  <c r="E250" i="2"/>
  <c r="E231" i="2"/>
  <c r="G291" i="2"/>
  <c r="G7" i="2"/>
  <c r="G281" i="2"/>
  <c r="E353" i="2"/>
  <c r="G301" i="2"/>
  <c r="F201" i="2"/>
  <c r="E358" i="2"/>
  <c r="E345" i="2"/>
  <c r="F237" i="2"/>
  <c r="G350" i="2"/>
  <c r="E387" i="2"/>
  <c r="G216" i="2"/>
  <c r="E390" i="2"/>
  <c r="G314" i="2"/>
  <c r="G192" i="2"/>
  <c r="K406" i="2"/>
  <c r="G221" i="2"/>
  <c r="K398" i="2"/>
  <c r="G226" i="2"/>
  <c r="J246" i="2"/>
  <c r="J260" i="2"/>
  <c r="H271" i="2"/>
  <c r="N144" i="2"/>
  <c r="N140" i="2"/>
  <c r="H276" i="2"/>
  <c r="H265" i="2"/>
  <c r="H327" i="2"/>
  <c r="L324" i="2"/>
  <c r="L303" i="2"/>
  <c r="L285" i="2"/>
  <c r="L278" i="2"/>
  <c r="L293" i="2"/>
  <c r="M45" i="2"/>
  <c r="M267" i="2"/>
  <c r="M316" i="2"/>
  <c r="N147" i="2"/>
  <c r="H426" i="2"/>
  <c r="H305" i="2"/>
  <c r="N149" i="2"/>
  <c r="H378" i="2"/>
  <c r="E258" i="2"/>
  <c r="N165" i="2"/>
  <c r="E449" i="2"/>
  <c r="H203" i="2"/>
  <c r="F481" i="2"/>
  <c r="L218" i="2"/>
  <c r="N163" i="2"/>
  <c r="N161" i="2"/>
  <c r="F420" i="2"/>
  <c r="N142" i="2"/>
  <c r="K298" i="2"/>
  <c r="K347" i="2"/>
  <c r="N130" i="2"/>
  <c r="K311" i="2"/>
  <c r="N151" i="2"/>
  <c r="K360" i="2"/>
  <c r="I253" i="2"/>
  <c r="G484" i="2"/>
  <c r="I319" i="2"/>
  <c r="G372" i="2"/>
  <c r="N158" i="2"/>
  <c r="G375" i="2"/>
  <c r="N262" i="2"/>
  <c r="G381" i="2"/>
  <c r="N416" i="2"/>
  <c r="G337" i="2"/>
  <c r="M339" i="2"/>
  <c r="N422" i="2"/>
  <c r="M329" i="2"/>
  <c r="N435" i="2"/>
  <c r="M403" i="2"/>
  <c r="N137" i="2"/>
  <c r="I363" i="2"/>
  <c r="N135" i="2"/>
  <c r="I443" i="2"/>
  <c r="I342" i="2"/>
  <c r="F309" i="2"/>
  <c r="I455" i="2"/>
  <c r="N133" i="2"/>
  <c r="I369" i="2"/>
  <c r="I452" i="2"/>
  <c r="N128" i="2"/>
  <c r="N126" i="2"/>
  <c r="L487" i="2"/>
  <c r="L196" i="2"/>
  <c r="N383" i="2"/>
  <c r="N156" i="2"/>
  <c r="N154" i="2"/>
  <c r="E393" i="2"/>
  <c r="K410" i="2"/>
  <c r="N15" i="2"/>
  <c r="N118" i="2"/>
  <c r="E433" i="2"/>
  <c r="E185" i="2"/>
  <c r="K464" i="2"/>
  <c r="M460" i="2"/>
  <c r="K366" i="2"/>
  <c r="M470" i="2"/>
  <c r="N17" i="2"/>
  <c r="N121" i="2"/>
  <c r="K332" i="2"/>
  <c r="M467" i="2"/>
  <c r="H440" i="2"/>
  <c r="H476" i="2"/>
  <c r="E468" i="2"/>
  <c r="E436" i="2"/>
  <c r="E384" i="2"/>
  <c r="E417" i="2"/>
  <c r="J194" i="2"/>
  <c r="E423" i="2"/>
  <c r="J209" i="2"/>
  <c r="G177" i="2"/>
  <c r="J183" i="2"/>
  <c r="H192" i="2"/>
  <c r="F175" i="2"/>
  <c r="H179" i="2"/>
  <c r="J464" i="2"/>
  <c r="H216" i="2"/>
  <c r="L233" i="2"/>
  <c r="L431" i="2"/>
  <c r="L240" i="2"/>
  <c r="L228" i="2"/>
  <c r="I221" i="2"/>
  <c r="L395" i="2"/>
  <c r="I181" i="2"/>
  <c r="I276" i="2"/>
  <c r="I203" i="2"/>
  <c r="N212" i="2"/>
  <c r="N9" i="2"/>
  <c r="N169" i="2"/>
  <c r="N187" i="2"/>
  <c r="F190" i="2"/>
  <c r="N223" i="2"/>
  <c r="H231" i="2"/>
  <c r="H237" i="2"/>
  <c r="H226" i="2"/>
  <c r="E199" i="2"/>
  <c r="E207" i="2"/>
  <c r="H350" i="2"/>
  <c r="E173" i="2"/>
  <c r="H372" i="2"/>
  <c r="K433" i="2"/>
  <c r="K185" i="2"/>
  <c r="H296" i="2"/>
  <c r="H301" i="2"/>
  <c r="K355" i="2"/>
  <c r="K246" i="2"/>
  <c r="K319" i="2"/>
  <c r="J271" i="2"/>
  <c r="J253" i="2"/>
  <c r="M278" i="2"/>
  <c r="M303" i="2"/>
  <c r="M218" i="2"/>
  <c r="M285" i="2"/>
  <c r="M324" i="2"/>
  <c r="M293" i="2"/>
  <c r="F393" i="2"/>
  <c r="K183" i="2"/>
  <c r="F433" i="2"/>
  <c r="F185" i="2"/>
  <c r="I291" i="2"/>
  <c r="K209" i="2"/>
  <c r="K194" i="2"/>
  <c r="G201" i="2"/>
  <c r="F345" i="2"/>
  <c r="I265" i="2"/>
  <c r="K260" i="2"/>
  <c r="H314" i="2"/>
  <c r="I7" i="2"/>
  <c r="I281" i="2"/>
  <c r="H322" i="2"/>
  <c r="G244" i="2"/>
  <c r="H177" i="2"/>
  <c r="G309" i="2"/>
  <c r="J369" i="2"/>
  <c r="G258" i="2"/>
  <c r="J363" i="2"/>
  <c r="L298" i="2"/>
  <c r="J342" i="2"/>
  <c r="L311" i="2"/>
  <c r="M406" i="2"/>
  <c r="G384" i="2"/>
  <c r="F250" i="2"/>
  <c r="G423" i="2"/>
  <c r="E317" i="2"/>
  <c r="F353" i="2"/>
  <c r="G353" i="2"/>
  <c r="E330" i="2"/>
  <c r="E47" i="2"/>
  <c r="E274" i="2"/>
  <c r="G417" i="2"/>
  <c r="M487" i="2"/>
  <c r="G358" i="2"/>
  <c r="E263" i="2"/>
  <c r="G393" i="2"/>
  <c r="M395" i="2"/>
  <c r="G420" i="2"/>
  <c r="G433" i="2"/>
  <c r="G185" i="2"/>
  <c r="M443" i="2"/>
  <c r="G449" i="2"/>
  <c r="N45" i="2"/>
  <c r="N267" i="2"/>
  <c r="M413" i="2"/>
  <c r="G436" i="2"/>
  <c r="L360" i="2"/>
  <c r="G387" i="2"/>
  <c r="L347" i="2"/>
  <c r="M398" i="2"/>
  <c r="M455" i="2"/>
  <c r="G481" i="2"/>
  <c r="G390" i="2"/>
  <c r="E160" i="2"/>
  <c r="H381" i="2"/>
  <c r="E162" i="2"/>
  <c r="E164" i="2"/>
  <c r="H484" i="2"/>
  <c r="I337" i="2"/>
  <c r="I327" i="2"/>
  <c r="H375" i="2"/>
  <c r="L246" i="2"/>
  <c r="F173" i="2"/>
  <c r="I378" i="2"/>
  <c r="L271" i="2"/>
  <c r="F387" i="2"/>
  <c r="L260" i="2"/>
  <c r="N470" i="2"/>
  <c r="N403" i="2"/>
  <c r="M311" i="2"/>
  <c r="N460" i="2"/>
  <c r="M431" i="2"/>
  <c r="M240" i="2"/>
  <c r="J452" i="2"/>
  <c r="M233" i="2"/>
  <c r="I476" i="2"/>
  <c r="N339" i="2"/>
  <c r="M298" i="2"/>
  <c r="I440" i="2"/>
  <c r="E304" i="2"/>
  <c r="E408" i="2"/>
  <c r="I426" i="2"/>
  <c r="I305" i="2"/>
  <c r="E325" i="2"/>
  <c r="E46" i="2"/>
  <c r="E268" i="2"/>
  <c r="E340" i="2"/>
  <c r="E224" i="2"/>
  <c r="E157" i="2"/>
  <c r="E214" i="2"/>
  <c r="E153" i="2"/>
  <c r="E155" i="2"/>
  <c r="I237" i="2"/>
  <c r="G175" i="2"/>
  <c r="G190" i="2"/>
  <c r="I296" i="2"/>
  <c r="G207" i="2"/>
  <c r="I231" i="2"/>
  <c r="I226" i="2"/>
  <c r="L410" i="2"/>
  <c r="L355" i="2"/>
  <c r="L464" i="2"/>
  <c r="E150" i="2"/>
  <c r="F199" i="2"/>
  <c r="E171" i="2"/>
  <c r="E188" i="2"/>
  <c r="E361" i="2"/>
  <c r="E8" i="2"/>
  <c r="E168" i="2"/>
  <c r="E404" i="2"/>
  <c r="M196" i="2"/>
  <c r="M228" i="2"/>
  <c r="E414" i="2"/>
  <c r="M433" i="2"/>
  <c r="M185" i="2"/>
  <c r="I179" i="2"/>
  <c r="J291" i="2"/>
  <c r="H244" i="2"/>
  <c r="I192" i="2"/>
  <c r="J7" i="2"/>
  <c r="J281" i="2"/>
  <c r="H201" i="2"/>
  <c r="J327" i="2"/>
  <c r="J337" i="2"/>
  <c r="J314" i="2"/>
  <c r="H258" i="2"/>
  <c r="J276" i="2"/>
  <c r="J216" i="2"/>
  <c r="L253" i="2"/>
  <c r="N278" i="2"/>
  <c r="J181" i="2"/>
  <c r="F47" i="2"/>
  <c r="F274" i="2"/>
  <c r="N293" i="2"/>
  <c r="K203" i="2"/>
  <c r="N395" i="2"/>
  <c r="N285" i="2"/>
  <c r="K265" i="2"/>
  <c r="F164" i="2"/>
  <c r="K221" i="2"/>
  <c r="F160" i="2"/>
  <c r="N218" i="2"/>
  <c r="G250" i="2"/>
  <c r="J440" i="2"/>
  <c r="J476" i="2"/>
  <c r="E461" i="2"/>
  <c r="E50" i="2"/>
  <c r="E446" i="2"/>
  <c r="I301" i="2"/>
  <c r="F136" i="2"/>
  <c r="I322" i="2"/>
  <c r="E456" i="2"/>
  <c r="G345" i="2"/>
  <c r="F134" i="2"/>
  <c r="E471" i="2"/>
  <c r="G330" i="2"/>
  <c r="F132" i="2"/>
  <c r="K342" i="2"/>
  <c r="H390" i="2"/>
  <c r="I484" i="2"/>
  <c r="H309" i="2"/>
  <c r="F106" i="2"/>
  <c r="H358" i="2"/>
  <c r="M319" i="2"/>
  <c r="M347" i="2"/>
  <c r="F129" i="2"/>
  <c r="F125" i="2"/>
  <c r="L332" i="2"/>
  <c r="F108" i="2"/>
  <c r="F114" i="2"/>
  <c r="F16" i="2"/>
  <c r="F120" i="2"/>
  <c r="J378" i="2"/>
  <c r="F155" i="2"/>
  <c r="J350" i="2"/>
  <c r="F146" i="2"/>
  <c r="F112" i="2"/>
  <c r="I381" i="2"/>
  <c r="F148" i="2"/>
  <c r="I372" i="2"/>
  <c r="F102" i="2"/>
  <c r="F263" i="2"/>
  <c r="F150" i="2"/>
  <c r="F141" i="2"/>
  <c r="F317" i="2"/>
  <c r="I375" i="2"/>
  <c r="N487" i="2"/>
  <c r="H449" i="2"/>
  <c r="F104" i="2"/>
  <c r="F143" i="2"/>
  <c r="H420" i="2"/>
  <c r="F110" i="2"/>
  <c r="F139" i="2"/>
  <c r="K369" i="2"/>
  <c r="K363" i="2"/>
  <c r="F157" i="2"/>
  <c r="M366" i="2"/>
  <c r="F153" i="2"/>
  <c r="F127" i="2"/>
  <c r="F14" i="2"/>
  <c r="F117" i="2"/>
  <c r="F171" i="2"/>
  <c r="F188" i="2"/>
  <c r="F224" i="2"/>
  <c r="F8" i="2"/>
  <c r="F168" i="2"/>
  <c r="I309" i="2"/>
  <c r="F468" i="2"/>
  <c r="I201" i="2"/>
  <c r="L209" i="2"/>
  <c r="H175" i="2"/>
  <c r="L221" i="2"/>
  <c r="M183" i="2"/>
  <c r="G46" i="2"/>
  <c r="G268" i="2"/>
  <c r="G199" i="2"/>
  <c r="H481" i="2"/>
  <c r="M271" i="2"/>
  <c r="K452" i="2"/>
  <c r="M260" i="2"/>
  <c r="F162" i="2"/>
  <c r="M203" i="2"/>
  <c r="J179" i="2"/>
  <c r="J237" i="2"/>
  <c r="L194" i="2"/>
  <c r="J226" i="2"/>
  <c r="N433" i="2"/>
  <c r="N185" i="2"/>
  <c r="J192" i="2"/>
  <c r="J231" i="2"/>
  <c r="N461" i="2"/>
  <c r="N228" i="2"/>
  <c r="N443" i="2"/>
  <c r="N253" i="2"/>
  <c r="G173" i="2"/>
  <c r="N488" i="2"/>
  <c r="H214" i="2"/>
  <c r="N431" i="2"/>
  <c r="N240" i="2"/>
  <c r="K181" i="2"/>
  <c r="N471" i="2"/>
  <c r="K7" i="2"/>
  <c r="K281" i="2"/>
  <c r="H436" i="2"/>
  <c r="N246" i="2"/>
  <c r="K291" i="2"/>
  <c r="K276" i="2"/>
  <c r="H433" i="2"/>
  <c r="H185" i="2"/>
  <c r="I177" i="2"/>
  <c r="K337" i="2"/>
  <c r="K327" i="2"/>
  <c r="H417" i="2"/>
  <c r="K314" i="2"/>
  <c r="I258" i="2"/>
  <c r="H207" i="2"/>
  <c r="N192" i="2"/>
  <c r="H190" i="2"/>
  <c r="N200" i="2"/>
  <c r="H250" i="2"/>
  <c r="N410" i="2"/>
  <c r="E197" i="2"/>
  <c r="N190" i="2"/>
  <c r="E235" i="2"/>
  <c r="N188" i="2"/>
  <c r="E219" i="2"/>
  <c r="I358" i="2"/>
  <c r="I390" i="2"/>
  <c r="I345" i="2"/>
  <c r="G482" i="2"/>
  <c r="F414" i="2"/>
  <c r="G471" i="2"/>
  <c r="I384" i="2"/>
  <c r="K216" i="2"/>
  <c r="F50" i="2"/>
  <c r="F446" i="2"/>
  <c r="G243" i="2"/>
  <c r="F408" i="2"/>
  <c r="K372" i="2"/>
  <c r="G488" i="2"/>
  <c r="K426" i="2"/>
  <c r="K305" i="2"/>
  <c r="L265" i="2"/>
  <c r="G479" i="2"/>
  <c r="L350" i="2"/>
  <c r="E299" i="2"/>
  <c r="K378" i="2"/>
  <c r="E294" i="2"/>
  <c r="G463" i="2"/>
  <c r="E279" i="2"/>
  <c r="H330" i="2"/>
  <c r="F214" i="2"/>
  <c r="J296" i="2"/>
  <c r="G453" i="2"/>
  <c r="J301" i="2"/>
  <c r="H387" i="2"/>
  <c r="J322" i="2"/>
  <c r="H353" i="2"/>
  <c r="H393" i="2"/>
  <c r="N441" i="2"/>
  <c r="G263" i="2"/>
  <c r="N417" i="2"/>
  <c r="G317" i="2"/>
  <c r="G47" i="2"/>
  <c r="G274" i="2"/>
  <c r="G340" i="2"/>
  <c r="N451" i="2"/>
  <c r="M427" i="2"/>
  <c r="M306" i="2"/>
  <c r="N411" i="2"/>
  <c r="I244" i="2"/>
  <c r="E399" i="2"/>
  <c r="E333" i="2"/>
  <c r="H304" i="2"/>
  <c r="F325" i="2"/>
  <c r="N432" i="2"/>
  <c r="N241" i="2"/>
  <c r="E367" i="2"/>
  <c r="F289" i="2"/>
  <c r="F361" i="2"/>
  <c r="N479" i="2"/>
  <c r="N455" i="2"/>
  <c r="L342" i="2"/>
  <c r="N457" i="2"/>
  <c r="L369" i="2"/>
  <c r="G396" i="2"/>
  <c r="N51" i="2"/>
  <c r="N447" i="2"/>
  <c r="L363" i="2"/>
  <c r="G456" i="2"/>
  <c r="N425" i="2"/>
  <c r="N319" i="2"/>
  <c r="G404" i="2"/>
  <c r="N436" i="2"/>
  <c r="N347" i="2"/>
  <c r="G468" i="2"/>
  <c r="N409" i="2"/>
  <c r="N311" i="2"/>
  <c r="L386" i="2"/>
  <c r="G461" i="2"/>
  <c r="J381" i="2"/>
  <c r="N484" i="2"/>
  <c r="L441" i="2"/>
  <c r="L425" i="2"/>
  <c r="N463" i="2"/>
  <c r="J375" i="2"/>
  <c r="L427" i="2"/>
  <c r="L306" i="2"/>
  <c r="N449" i="2"/>
  <c r="L372" i="2"/>
  <c r="E206" i="2"/>
  <c r="E277" i="2"/>
  <c r="L421" i="2"/>
  <c r="N421" i="2"/>
  <c r="E253" i="2"/>
  <c r="E229" i="2"/>
  <c r="L415" i="2"/>
  <c r="N194" i="2"/>
  <c r="N465" i="2"/>
  <c r="I423" i="2"/>
  <c r="L382" i="2"/>
  <c r="N196" i="2"/>
  <c r="N202" i="2"/>
  <c r="N475" i="2"/>
  <c r="L417" i="2"/>
  <c r="I449" i="2"/>
  <c r="J394" i="2"/>
  <c r="N198" i="2"/>
  <c r="J387" i="2"/>
  <c r="N249" i="2"/>
  <c r="L396" i="2"/>
  <c r="N439" i="2"/>
  <c r="M355" i="2"/>
  <c r="G405" i="2"/>
  <c r="I420" i="2"/>
  <c r="N226" i="2"/>
  <c r="L411" i="2"/>
  <c r="G434" i="2"/>
  <c r="G186" i="2"/>
  <c r="N469" i="2"/>
  <c r="E488" i="2"/>
  <c r="L394" i="2"/>
  <c r="F376" i="2"/>
  <c r="G370" i="2"/>
  <c r="F384" i="2"/>
  <c r="N423" i="2"/>
  <c r="L398" i="2"/>
  <c r="F392" i="2"/>
  <c r="F411" i="2"/>
  <c r="L413" i="2"/>
  <c r="G443" i="2"/>
  <c r="N415" i="2"/>
  <c r="F413" i="2"/>
  <c r="L440" i="2"/>
  <c r="L423" i="2"/>
  <c r="F398" i="2"/>
  <c r="N482" i="2"/>
  <c r="F374" i="2"/>
  <c r="L452" i="2"/>
  <c r="L380" i="2"/>
  <c r="F356" i="2"/>
  <c r="K439" i="2"/>
  <c r="H471" i="2"/>
  <c r="L409" i="2"/>
  <c r="N419" i="2"/>
  <c r="F380" i="2"/>
  <c r="K423" i="2"/>
  <c r="H233" i="2"/>
  <c r="F427" i="2"/>
  <c r="F306" i="2"/>
  <c r="L432" i="2"/>
  <c r="L241" i="2"/>
  <c r="K443" i="2"/>
  <c r="F461" i="2"/>
  <c r="N467" i="2"/>
  <c r="F417" i="2"/>
  <c r="L388" i="2"/>
  <c r="K413" i="2"/>
  <c r="F409" i="2"/>
  <c r="L404" i="2"/>
  <c r="F400" i="2"/>
  <c r="F334" i="2"/>
  <c r="K51" i="2"/>
  <c r="K447" i="2"/>
  <c r="F390" i="2"/>
  <c r="L419" i="2"/>
  <c r="K434" i="2"/>
  <c r="K186" i="2"/>
  <c r="F406" i="2"/>
  <c r="L376" i="2"/>
  <c r="K415" i="2"/>
  <c r="F386" i="2"/>
  <c r="F396" i="2"/>
  <c r="K425" i="2"/>
  <c r="L392" i="2"/>
  <c r="F394" i="2"/>
  <c r="M484" i="2"/>
  <c r="K417" i="2"/>
  <c r="F366" i="2"/>
  <c r="L390" i="2"/>
  <c r="M224" i="2"/>
  <c r="F362" i="2"/>
  <c r="I481" i="2"/>
  <c r="K432" i="2"/>
  <c r="K241" i="2"/>
  <c r="F388" i="2"/>
  <c r="I216" i="2"/>
  <c r="K421" i="2"/>
  <c r="F382" i="2"/>
  <c r="I236" i="2"/>
  <c r="M464" i="2"/>
  <c r="F404" i="2"/>
  <c r="I263" i="2"/>
  <c r="K419" i="2"/>
  <c r="F360" i="2"/>
  <c r="K427" i="2"/>
  <c r="K306" i="2"/>
  <c r="K436" i="2"/>
  <c r="N47" i="2"/>
  <c r="N274" i="2"/>
  <c r="K465" i="2"/>
  <c r="N298" i="2"/>
  <c r="N309" i="2"/>
  <c r="K476" i="2"/>
  <c r="G211" i="2"/>
  <c r="G231" i="2"/>
  <c r="F208" i="2"/>
  <c r="L244" i="2"/>
  <c r="L222" i="2"/>
  <c r="M272" i="2"/>
  <c r="M296" i="2"/>
  <c r="K350" i="2"/>
  <c r="K328" i="2"/>
  <c r="M246" i="2"/>
  <c r="K297" i="2"/>
  <c r="K308" i="2"/>
  <c r="M410" i="2"/>
  <c r="N303" i="2"/>
  <c r="K292" i="2"/>
  <c r="N323" i="2"/>
  <c r="K45" i="2"/>
  <c r="K267" i="2"/>
  <c r="J218" i="2"/>
  <c r="N7" i="2"/>
  <c r="N281" i="2"/>
  <c r="H245" i="2"/>
  <c r="H221" i="2"/>
  <c r="K316" i="2"/>
  <c r="J265" i="2"/>
  <c r="J238" i="2"/>
  <c r="K220" i="2"/>
  <c r="J290" i="2"/>
  <c r="J426" i="2"/>
  <c r="J305" i="2"/>
  <c r="I285" i="2"/>
  <c r="J347" i="2"/>
  <c r="J325" i="2"/>
  <c r="I314" i="2"/>
  <c r="I356" i="2"/>
  <c r="G279" i="2"/>
  <c r="I391" i="2"/>
  <c r="G312" i="2"/>
  <c r="I400" i="2"/>
  <c r="I334" i="2"/>
  <c r="G259" i="2"/>
  <c r="J411" i="2"/>
  <c r="J403" i="2"/>
  <c r="L294" i="2"/>
  <c r="L270" i="2"/>
  <c r="F257" i="2"/>
  <c r="F301" i="2"/>
  <c r="H303" i="2"/>
  <c r="H261" i="2"/>
  <c r="H384" i="2"/>
  <c r="H7" i="2"/>
  <c r="H281" i="2"/>
  <c r="M411" i="2"/>
  <c r="H323" i="2"/>
  <c r="M382" i="2"/>
  <c r="I366" i="2"/>
  <c r="H345" i="2"/>
  <c r="M389" i="2"/>
  <c r="L327" i="2"/>
  <c r="I409" i="2"/>
  <c r="E416" i="2"/>
  <c r="M426" i="2"/>
  <c r="M305" i="2"/>
  <c r="L349" i="2"/>
  <c r="I399" i="2"/>
  <c r="I333" i="2"/>
  <c r="L307" i="2"/>
  <c r="E375" i="2"/>
  <c r="I414" i="2"/>
  <c r="G332" i="2"/>
  <c r="E396" i="2"/>
  <c r="G354" i="2"/>
  <c r="I348" i="2"/>
  <c r="J372" i="2"/>
  <c r="G363" i="2"/>
  <c r="J408" i="2"/>
  <c r="F321" i="2"/>
  <c r="K487" i="2"/>
  <c r="F343" i="2"/>
  <c r="K450" i="2"/>
  <c r="J365" i="2"/>
  <c r="F389" i="2"/>
  <c r="H413" i="2"/>
  <c r="K206" i="2"/>
  <c r="K338" i="2"/>
  <c r="K358" i="2"/>
  <c r="H423" i="2"/>
  <c r="K460" i="2"/>
  <c r="M360" i="2"/>
  <c r="H377" i="2"/>
  <c r="K227" i="2"/>
  <c r="M318" i="2"/>
  <c r="M420" i="2"/>
  <c r="K485" i="2"/>
  <c r="M340" i="2"/>
  <c r="M400" i="2"/>
  <c r="M334" i="2"/>
  <c r="K478" i="2"/>
  <c r="N351" i="2"/>
  <c r="M367" i="2"/>
  <c r="F476" i="2"/>
  <c r="N329" i="2"/>
  <c r="F483" i="2"/>
  <c r="N381" i="2"/>
  <c r="F466" i="2"/>
  <c r="K440" i="2"/>
  <c r="F438" i="2"/>
  <c r="K379" i="2"/>
  <c r="F485" i="2"/>
  <c r="F448" i="2"/>
  <c r="K431" i="2"/>
  <c r="K240" i="2"/>
  <c r="K386" i="2"/>
  <c r="F456" i="2"/>
  <c r="K468" i="2"/>
  <c r="G399" i="2"/>
  <c r="G333" i="2"/>
  <c r="G50" i="2"/>
  <c r="G446" i="2"/>
  <c r="G435" i="2"/>
  <c r="G464" i="2"/>
  <c r="I398" i="2"/>
  <c r="G424" i="2"/>
  <c r="I418" i="2"/>
  <c r="G454" i="2"/>
  <c r="G409" i="2"/>
  <c r="G414" i="2"/>
  <c r="F426" i="2"/>
  <c r="F305" i="2"/>
  <c r="L393" i="2"/>
  <c r="M259" i="2"/>
  <c r="M211" i="2"/>
  <c r="M279" i="2"/>
  <c r="M231" i="2"/>
  <c r="N214" i="2"/>
  <c r="L208" i="2"/>
  <c r="N233" i="2"/>
  <c r="N261" i="2"/>
  <c r="L229" i="2"/>
  <c r="L277" i="2"/>
  <c r="L257" i="2"/>
  <c r="E217" i="2"/>
  <c r="J250" i="2"/>
  <c r="H317" i="2"/>
  <c r="J225" i="2"/>
  <c r="H295" i="2"/>
  <c r="J273" i="2"/>
  <c r="J203" i="2"/>
  <c r="K253" i="2"/>
  <c r="H46" i="2"/>
  <c r="H268" i="2"/>
  <c r="K48" i="2"/>
  <c r="K275" i="2"/>
  <c r="K310" i="2"/>
  <c r="G266" i="2"/>
  <c r="F260" i="2"/>
  <c r="K330" i="2"/>
  <c r="G219" i="2"/>
  <c r="F246" i="2"/>
  <c r="I248" i="2"/>
  <c r="I297" i="2"/>
  <c r="F212" i="2"/>
  <c r="I271" i="2"/>
  <c r="I350" i="2"/>
  <c r="F238" i="2"/>
  <c r="I223" i="2"/>
  <c r="F221" i="2"/>
  <c r="I308" i="2"/>
  <c r="F233" i="2"/>
  <c r="E289" i="2"/>
  <c r="I328" i="2"/>
  <c r="F296" i="2"/>
  <c r="E237" i="2"/>
  <c r="F249" i="2"/>
  <c r="G427" i="2"/>
  <c r="G306" i="2"/>
  <c r="F231" i="2"/>
  <c r="G326" i="2"/>
  <c r="H451" i="2"/>
  <c r="F215" i="2"/>
  <c r="H432" i="2"/>
  <c r="H241" i="2"/>
  <c r="J439" i="2"/>
  <c r="G293" i="2"/>
  <c r="F258" i="2"/>
  <c r="J434" i="2"/>
  <c r="J186" i="2"/>
  <c r="H479" i="2"/>
  <c r="F236" i="2"/>
  <c r="F291" i="2"/>
  <c r="J432" i="2"/>
  <c r="J241" i="2"/>
  <c r="H461" i="2"/>
  <c r="F209" i="2"/>
  <c r="J455" i="2"/>
  <c r="H469" i="2"/>
  <c r="F315" i="2"/>
  <c r="F229" i="2"/>
  <c r="J457" i="2"/>
  <c r="H441" i="2"/>
  <c r="L321" i="2"/>
  <c r="F46" i="2"/>
  <c r="F268" i="2"/>
  <c r="H409" i="2"/>
  <c r="J436" i="2"/>
  <c r="F244" i="2"/>
  <c r="H488" i="2"/>
  <c r="L301" i="2"/>
  <c r="J469" i="2"/>
  <c r="F204" i="2"/>
  <c r="H366" i="2"/>
  <c r="J453" i="2"/>
  <c r="L343" i="2"/>
  <c r="F225" i="2"/>
  <c r="H399" i="2"/>
  <c r="H333" i="2"/>
  <c r="J425" i="2"/>
  <c r="F431" i="2"/>
  <c r="F240" i="2"/>
  <c r="J319" i="2"/>
  <c r="F217" i="2"/>
  <c r="J441" i="2"/>
  <c r="F227" i="2"/>
  <c r="J475" i="2"/>
  <c r="J299" i="2"/>
  <c r="F223" i="2"/>
  <c r="J461" i="2"/>
  <c r="J421" i="2"/>
  <c r="M332" i="2"/>
  <c r="F207" i="2"/>
  <c r="J449" i="2"/>
  <c r="J361" i="2"/>
  <c r="M312" i="2"/>
  <c r="J463" i="2"/>
  <c r="J341" i="2"/>
  <c r="J451" i="2"/>
  <c r="J368" i="2"/>
  <c r="J465" i="2"/>
  <c r="J443" i="2"/>
  <c r="E264" i="2"/>
  <c r="E392" i="2"/>
  <c r="J467" i="2"/>
  <c r="J427" i="2"/>
  <c r="J306" i="2"/>
  <c r="E371" i="2"/>
  <c r="G215" i="2"/>
  <c r="I387" i="2"/>
  <c r="G237" i="2"/>
  <c r="F385" i="2"/>
  <c r="F357" i="2"/>
  <c r="F337" i="2"/>
  <c r="K375" i="2"/>
  <c r="K382" i="2"/>
  <c r="K352" i="2"/>
  <c r="N466" i="2"/>
  <c r="M354" i="2"/>
  <c r="M396" i="2"/>
  <c r="M363" i="2"/>
  <c r="N345" i="2"/>
  <c r="N377" i="2"/>
  <c r="G366" i="2"/>
  <c r="G348" i="2"/>
  <c r="H373" i="2"/>
  <c r="H359" i="2"/>
  <c r="H380" i="2"/>
  <c r="F371" i="2"/>
  <c r="H339" i="2"/>
  <c r="L448" i="2"/>
  <c r="L389" i="2"/>
  <c r="L426" i="2"/>
  <c r="L305" i="2"/>
  <c r="L456" i="2"/>
  <c r="L438" i="2"/>
  <c r="L466" i="2"/>
  <c r="K416" i="2"/>
  <c r="H50" i="2"/>
  <c r="H446" i="2"/>
  <c r="H474" i="2"/>
  <c r="H414" i="2"/>
  <c r="H464" i="2"/>
  <c r="H454" i="2"/>
  <c r="H483" i="2"/>
  <c r="I394" i="2"/>
  <c r="H435" i="2"/>
  <c r="L436" i="2"/>
  <c r="L467" i="2"/>
  <c r="H424" i="2"/>
  <c r="L479" i="2"/>
  <c r="L465" i="2"/>
  <c r="L434" i="2"/>
  <c r="L186" i="2"/>
  <c r="M405" i="2"/>
  <c r="L453" i="2"/>
  <c r="L477" i="2"/>
  <c r="L484" i="2"/>
  <c r="L171" i="2"/>
  <c r="E419" i="2"/>
  <c r="L469" i="2"/>
  <c r="L177" i="2"/>
  <c r="L51" i="2"/>
  <c r="L447" i="2"/>
  <c r="L197" i="2"/>
  <c r="L439" i="2"/>
  <c r="L416" i="2"/>
  <c r="L455" i="2"/>
  <c r="L461" i="2"/>
  <c r="L449" i="2"/>
  <c r="L457" i="2"/>
  <c r="E412" i="2"/>
  <c r="L488" i="2"/>
  <c r="N405" i="2"/>
  <c r="L463" i="2"/>
  <c r="I451" i="2"/>
  <c r="E422" i="2"/>
  <c r="L475" i="2"/>
  <c r="I432" i="2"/>
  <c r="I241" i="2"/>
  <c r="N363" i="2"/>
  <c r="L471" i="2"/>
  <c r="E406" i="2"/>
  <c r="I461" i="2"/>
  <c r="L443" i="2"/>
  <c r="K368" i="2"/>
  <c r="I441" i="2"/>
  <c r="I469" i="2"/>
  <c r="L451" i="2"/>
  <c r="G385" i="2"/>
  <c r="L482" i="2"/>
  <c r="I488" i="2"/>
  <c r="N426" i="2"/>
  <c r="N305" i="2"/>
  <c r="G483" i="2"/>
  <c r="N456" i="2"/>
  <c r="G392" i="2"/>
  <c r="G474" i="2"/>
  <c r="N485" i="2"/>
  <c r="I373" i="2"/>
  <c r="N476" i="2"/>
  <c r="I380" i="2"/>
  <c r="E397" i="2"/>
  <c r="N438" i="2"/>
  <c r="E378" i="2"/>
  <c r="N448" i="2"/>
  <c r="L476" i="2"/>
  <c r="F453" i="2"/>
  <c r="L375" i="2"/>
  <c r="F421" i="2"/>
  <c r="G346" i="2"/>
  <c r="L485" i="2"/>
  <c r="F419" i="2"/>
  <c r="G324" i="2"/>
  <c r="F355" i="2"/>
  <c r="F415" i="2"/>
  <c r="G304" i="2"/>
  <c r="G289" i="2"/>
  <c r="F467" i="2"/>
  <c r="F397" i="2"/>
  <c r="N208" i="2"/>
  <c r="F479" i="2"/>
  <c r="N229" i="2"/>
  <c r="M253" i="2"/>
  <c r="F449" i="2"/>
  <c r="M227" i="2"/>
  <c r="F465" i="2"/>
  <c r="M48" i="2"/>
  <c r="M275" i="2"/>
  <c r="M421" i="2"/>
  <c r="F51" i="2"/>
  <c r="F447" i="2"/>
  <c r="M456" i="2"/>
  <c r="M466" i="2"/>
  <c r="F463" i="2"/>
  <c r="M438" i="2"/>
  <c r="F423" i="2"/>
  <c r="M448" i="2"/>
  <c r="F439" i="2"/>
  <c r="N321" i="2"/>
  <c r="F441" i="2"/>
  <c r="N301" i="2"/>
  <c r="F425" i="2"/>
  <c r="L193" i="2"/>
  <c r="N343" i="2"/>
  <c r="F475" i="2"/>
  <c r="L433" i="2"/>
  <c r="L185" i="2"/>
  <c r="L201" i="2"/>
  <c r="F432" i="2"/>
  <c r="F241" i="2"/>
  <c r="L173" i="2"/>
  <c r="L400" i="2"/>
  <c r="L334" i="2"/>
  <c r="F451" i="2"/>
  <c r="L183" i="2"/>
  <c r="L406" i="2"/>
  <c r="L187" i="2"/>
  <c r="F436" i="2"/>
  <c r="L179" i="2"/>
  <c r="F455" i="2"/>
  <c r="L225" i="2"/>
  <c r="L195" i="2"/>
  <c r="F471" i="2"/>
  <c r="L175" i="2"/>
  <c r="K411" i="2"/>
  <c r="F457" i="2"/>
  <c r="L199" i="2"/>
  <c r="L203" i="2"/>
  <c r="F443" i="2"/>
  <c r="L181" i="2"/>
  <c r="F434" i="2"/>
  <c r="F186" i="2"/>
  <c r="L191" i="2"/>
  <c r="L189" i="2"/>
  <c r="F477" i="2"/>
  <c r="F314" i="2"/>
  <c r="F344" i="2"/>
  <c r="F312" i="2"/>
  <c r="K403" i="2"/>
  <c r="F372" i="2"/>
  <c r="F316" i="2"/>
  <c r="K394" i="2"/>
  <c r="G419" i="2"/>
  <c r="F352" i="2"/>
  <c r="F370" i="2"/>
  <c r="F350" i="2"/>
  <c r="F318" i="2"/>
  <c r="F354" i="2"/>
  <c r="F326" i="2"/>
  <c r="F328" i="2"/>
  <c r="J221" i="2"/>
  <c r="F322" i="2"/>
  <c r="J245" i="2"/>
  <c r="F346" i="2"/>
  <c r="M485" i="2"/>
  <c r="J46" i="2"/>
  <c r="J268" i="2"/>
  <c r="M476" i="2"/>
  <c r="F378" i="2"/>
  <c r="M206" i="2"/>
  <c r="F342" i="2"/>
  <c r="I479" i="2"/>
  <c r="I219" i="2"/>
  <c r="F338" i="2"/>
  <c r="F332" i="2"/>
  <c r="F340" i="2"/>
  <c r="G262" i="2"/>
  <c r="F358" i="2"/>
  <c r="F7" i="2"/>
  <c r="F281" i="2"/>
  <c r="N277" i="2"/>
  <c r="F330" i="2"/>
  <c r="F266" i="2"/>
  <c r="F368" i="2"/>
  <c r="N257" i="2"/>
  <c r="F348" i="2"/>
  <c r="F364" i="2"/>
  <c r="E260" i="2"/>
  <c r="F264" i="2"/>
  <c r="E212" i="2"/>
  <c r="F48" i="2"/>
  <c r="F275" i="2"/>
  <c r="E6" i="2"/>
  <c r="E280" i="2"/>
  <c r="F304" i="2"/>
  <c r="E232" i="2"/>
  <c r="F300" i="2"/>
  <c r="K223" i="2"/>
  <c r="F254" i="2"/>
  <c r="K271" i="2"/>
  <c r="F262" i="2"/>
  <c r="K248" i="2"/>
  <c r="H431" i="2"/>
  <c r="H240" i="2"/>
  <c r="F277" i="2"/>
  <c r="F235" i="2"/>
  <c r="H264" i="2"/>
  <c r="F298" i="2"/>
  <c r="H291" i="2"/>
  <c r="F310" i="2"/>
  <c r="H217" i="2"/>
  <c r="L250" i="2"/>
  <c r="F271" i="2"/>
  <c r="L273" i="2"/>
  <c r="F320" i="2"/>
  <c r="I266" i="2"/>
  <c r="M416" i="2"/>
  <c r="F290" i="2"/>
  <c r="I243" i="2"/>
  <c r="M469" i="2"/>
  <c r="I293" i="2"/>
  <c r="F251" i="2"/>
  <c r="M432" i="2"/>
  <c r="M241" i="2"/>
  <c r="F324" i="2"/>
  <c r="M451" i="2"/>
  <c r="F273" i="2"/>
  <c r="M461" i="2"/>
  <c r="F279" i="2"/>
  <c r="M441" i="2"/>
  <c r="F292" i="2"/>
  <c r="I326" i="2"/>
  <c r="F302" i="2"/>
  <c r="I427" i="2"/>
  <c r="I306" i="2"/>
  <c r="F308" i="2"/>
  <c r="F313" i="2"/>
  <c r="F284" i="2"/>
  <c r="F285" i="2"/>
  <c r="F399" i="2"/>
  <c r="F333" i="2"/>
  <c r="F294" i="2"/>
  <c r="M330" i="2"/>
  <c r="M352" i="2"/>
  <c r="M310" i="2"/>
  <c r="M368" i="2"/>
  <c r="M375" i="2"/>
  <c r="L299" i="2"/>
  <c r="L361" i="2"/>
  <c r="L319" i="2"/>
  <c r="L341" i="2"/>
  <c r="L403" i="2"/>
  <c r="J359" i="2"/>
  <c r="J373" i="2"/>
  <c r="H337" i="2"/>
  <c r="J339" i="2"/>
  <c r="H315" i="2"/>
  <c r="K387" i="2"/>
  <c r="J380" i="2"/>
  <c r="J295" i="2"/>
  <c r="H357" i="2"/>
  <c r="J317" i="2"/>
  <c r="H385" i="2"/>
  <c r="H392" i="2"/>
  <c r="I474" i="2"/>
  <c r="I454" i="2"/>
  <c r="I435" i="2"/>
  <c r="G371" i="2"/>
  <c r="G378" i="2"/>
  <c r="I424" i="2"/>
  <c r="E364" i="2"/>
  <c r="I464" i="2"/>
  <c r="M479" i="2"/>
  <c r="E383" i="2"/>
  <c r="I50" i="2"/>
  <c r="I446" i="2"/>
  <c r="M488" i="2"/>
  <c r="I483" i="2"/>
  <c r="N389" i="2"/>
  <c r="F219" i="2"/>
  <c r="L486" i="2"/>
  <c r="K469" i="2"/>
  <c r="K484" i="2"/>
  <c r="K455" i="2"/>
  <c r="H419" i="2"/>
  <c r="K461" i="2"/>
  <c r="K471" i="2"/>
  <c r="K482" i="2"/>
  <c r="K486" i="2"/>
  <c r="K463" i="2"/>
  <c r="K477" i="2"/>
  <c r="K457" i="2"/>
  <c r="K451" i="2"/>
  <c r="K488" i="2"/>
  <c r="K453" i="2"/>
  <c r="K467" i="2"/>
  <c r="K475" i="2"/>
  <c r="K479" i="2"/>
  <c r="K449" i="2"/>
  <c r="N477" i="2"/>
  <c r="F486" i="2"/>
  <c r="F482" i="2"/>
  <c r="F484" i="2"/>
  <c r="F469" i="2"/>
  <c r="F488" i="2"/>
  <c r="L378" i="2"/>
  <c r="J484" i="2"/>
  <c r="J471" i="2"/>
  <c r="J488" i="2"/>
  <c r="N360" i="2"/>
  <c r="N390" i="2"/>
  <c r="J482" i="2"/>
  <c r="N388" i="2"/>
  <c r="J486" i="2"/>
  <c r="N380" i="2"/>
  <c r="J479" i="2"/>
  <c r="N370" i="2"/>
  <c r="J477" i="2"/>
  <c r="N404" i="2"/>
  <c r="N372" i="2"/>
  <c r="N406" i="2"/>
  <c r="N374" i="2"/>
  <c r="N378" i="2"/>
  <c r="N398" i="2"/>
  <c r="N364" i="2"/>
  <c r="N386" i="2"/>
  <c r="N400" i="2"/>
  <c r="N334" i="2"/>
  <c r="N384" i="2"/>
  <c r="N352" i="2"/>
  <c r="N362" i="2"/>
  <c r="J51" i="2"/>
  <c r="J447" i="2"/>
  <c r="N392" i="2"/>
  <c r="N486" i="2"/>
  <c r="N368" i="2"/>
  <c r="N356" i="2"/>
  <c r="N354" i="2"/>
  <c r="N376" i="2"/>
  <c r="N396" i="2"/>
  <c r="N413" i="2"/>
  <c r="K441" i="2"/>
  <c r="N338" i="2"/>
  <c r="N304" i="2"/>
  <c r="N300" i="2"/>
  <c r="N350" i="2"/>
  <c r="N310" i="2"/>
  <c r="N314" i="2"/>
  <c r="N328" i="2"/>
  <c r="N332" i="2"/>
  <c r="N320" i="2"/>
  <c r="N453" i="2"/>
  <c r="N340" i="2"/>
  <c r="N322" i="2"/>
  <c r="N366" i="2"/>
  <c r="N348" i="2"/>
  <c r="N316" i="2"/>
  <c r="N330" i="2"/>
  <c r="N308" i="2"/>
  <c r="N434" i="2"/>
  <c r="N186" i="2"/>
  <c r="N318" i="2"/>
  <c r="N382" i="2"/>
  <c r="N312" i="2"/>
  <c r="N427" i="2"/>
  <c r="N306" i="2"/>
  <c r="N342" i="2"/>
  <c r="N346" i="2"/>
  <c r="L374" i="2"/>
  <c r="L366" i="2"/>
  <c r="L364" i="2"/>
  <c r="L362" i="2"/>
  <c r="L368" i="2"/>
  <c r="L370" i="2"/>
  <c r="L384" i="2"/>
  <c r="N326" i="2"/>
  <c r="N344" i="2"/>
  <c r="N394" i="2"/>
  <c r="N358" i="2"/>
  <c r="N302" i="2"/>
  <c r="N324" i="2"/>
</calcChain>
</file>

<file path=xl/sharedStrings.xml><?xml version="1.0" encoding="utf-8"?>
<sst xmlns="http://schemas.openxmlformats.org/spreadsheetml/2006/main" count="1214" uniqueCount="507">
  <si>
    <t>United Airlines Holdings Inc- Company Financial (Multiple Periods)</t>
  </si>
  <si>
    <t>UAL US Equity    Periodicity:A    Currency:USD    Estimate Source:BST    Actual Source:Bloomberg</t>
  </si>
  <si>
    <t>In Millions of USD</t>
  </si>
  <si>
    <t>modl</t>
  </si>
  <si>
    <t>Field Expression</t>
  </si>
  <si>
    <t>Calcrt Field</t>
  </si>
  <si>
    <t>Segment Id</t>
  </si>
  <si>
    <t xml:space="preserve">  Highlights</t>
  </si>
  <si>
    <t>Highlights</t>
  </si>
  <si>
    <t xml:space="preserve">  Adjusted Diluted EPS</t>
  </si>
  <si>
    <t>IS_COMP_EPS_ADJUSTED_OLD</t>
  </si>
  <si>
    <t>Non-GAAP Diluted EPS</t>
  </si>
  <si>
    <t xml:space="preserve">    YOY Growth</t>
  </si>
  <si>
    <t xml:space="preserve">  Revenue</t>
  </si>
  <si>
    <t>IS_COMP_SALES</t>
  </si>
  <si>
    <t>Revenue</t>
  </si>
  <si>
    <t xml:space="preserve">  </t>
  </si>
  <si>
    <t xml:space="preserve">  Segment Revenue</t>
  </si>
  <si>
    <t xml:space="preserve">    Passenger</t>
  </si>
  <si>
    <t>TOTAL_PASSENGER_REVENUE</t>
  </si>
  <si>
    <t xml:space="preserve">      YOY Growth</t>
  </si>
  <si>
    <t xml:space="preserve">    Cargo</t>
  </si>
  <si>
    <t>SALES_REV_TURN</t>
  </si>
  <si>
    <t>SEG0000201729 Segment</t>
  </si>
  <si>
    <t xml:space="preserve">    Other</t>
  </si>
  <si>
    <t>SEG0000201702 Segment</t>
  </si>
  <si>
    <t xml:space="preserve">  Revenue Passenger Miles (Km)</t>
  </si>
  <si>
    <t>REV_PASS_MILES_KM</t>
  </si>
  <si>
    <t>Revenue Passenger Miles (RPM)</t>
  </si>
  <si>
    <t xml:space="preserve">  Available Seat Miles (Km)</t>
  </si>
  <si>
    <t>AVAIL_SEAT_MILES_KM</t>
  </si>
  <si>
    <t>Available Seat Miles (ASM)</t>
  </si>
  <si>
    <t xml:space="preserve">  Load Factor (%)</t>
  </si>
  <si>
    <t>LOAD_FACTOR</t>
  </si>
  <si>
    <t>Load Factor (%)</t>
  </si>
  <si>
    <t xml:space="preserve">  Passenger Revenue</t>
  </si>
  <si>
    <t xml:space="preserve">  Passenger Revenue per ASM (ASK)</t>
  </si>
  <si>
    <t>PASSENGER_REVENUE_PER_ASM</t>
  </si>
  <si>
    <t xml:space="preserve">  Yield</t>
  </si>
  <si>
    <t>YIELD_PER_PASS_MILES_KM</t>
  </si>
  <si>
    <t xml:space="preserve">  Cost per ASM</t>
  </si>
  <si>
    <t>OP_EXP_PER_ASM_ASK</t>
  </si>
  <si>
    <t xml:space="preserve">  Cost per ASM-Ex-Fuel</t>
  </si>
  <si>
    <t>CONS_COST_PER_ASM_EX_FUEL</t>
  </si>
  <si>
    <t xml:space="preserve">  Cost per ASM-Ex Fuel &amp; Abnormals</t>
  </si>
  <si>
    <t>COST_PER_SEAT_EXCL_ABN_ITMS</t>
  </si>
  <si>
    <t xml:space="preserve">  Actual Size of Fleet</t>
  </si>
  <si>
    <t>SIZE_OF_FLEET</t>
  </si>
  <si>
    <t xml:space="preserve">  Fuel Price per Gallon (Litre)</t>
  </si>
  <si>
    <t>FUEL_PRICE_PER_GALLON_LITRE</t>
  </si>
  <si>
    <t xml:space="preserve">  EBITDAR</t>
  </si>
  <si>
    <t>AIRLINES_EBITDAR_RATIO</t>
  </si>
  <si>
    <t xml:space="preserve">  Adjusted Net Income</t>
  </si>
  <si>
    <t>IS_COMP_NET_INCOME_ADJUST_OLD</t>
  </si>
  <si>
    <t>Adjusted Net Income</t>
  </si>
  <si>
    <t xml:space="preserve">  Capital Expenditures</t>
  </si>
  <si>
    <t>HEADLINE_CAPEX</t>
  </si>
  <si>
    <t xml:space="preserve">  Company Operating Metrics</t>
  </si>
  <si>
    <t xml:space="preserve">  Company Level Industry Statistics</t>
  </si>
  <si>
    <t xml:space="preserve">  Number of Revenue-paying Passengers</t>
  </si>
  <si>
    <t>REV_PASS_CARRIED</t>
  </si>
  <si>
    <t xml:space="preserve">  Total Revenue per ASM</t>
  </si>
  <si>
    <t>TOTAL_REVENUE_PER_ASM</t>
  </si>
  <si>
    <t xml:space="preserve">  Cost per ASM (ASK)</t>
  </si>
  <si>
    <t xml:space="preserve">  Cost per ASM (ASK) - Ex-Fuel</t>
  </si>
  <si>
    <t xml:space="preserve">  Cost per ASM (ASK)-Ex- Fuel &amp; Abn Itms</t>
  </si>
  <si>
    <t xml:space="preserve">  Fuel Cost per Available Seat Mile</t>
  </si>
  <si>
    <t>FUEL_COST_PER_AVAIL_SEAT_MILE</t>
  </si>
  <si>
    <t xml:space="preserve">  Fuel Gallons (Litres)</t>
  </si>
  <si>
    <t>FUEL_GALLONS_LITRES</t>
  </si>
  <si>
    <t xml:space="preserve">  AMS per Gallon (Litre)</t>
  </si>
  <si>
    <t>ASM_PER_GALLON_LITER</t>
  </si>
  <si>
    <t xml:space="preserve">  Avg. Number of Employees</t>
  </si>
  <si>
    <t>AVG_NUM_EMPLOYEES</t>
  </si>
  <si>
    <t xml:space="preserve">  Cargo Ton Miles (Km)</t>
  </si>
  <si>
    <t>CARGO_TON_MILES_KM</t>
  </si>
  <si>
    <t xml:space="preserve">  Avg Passenger Fare</t>
  </si>
  <si>
    <t>AVERAGE_PASSENGER_FARE</t>
  </si>
  <si>
    <t xml:space="preserve">  Business Breakdown</t>
  </si>
  <si>
    <t>Business Breakdown</t>
  </si>
  <si>
    <t xml:space="preserve">  Passenger</t>
  </si>
  <si>
    <t>Passenger</t>
  </si>
  <si>
    <t xml:space="preserve">    Revenue</t>
  </si>
  <si>
    <t>SEG0000201773 Segment</t>
  </si>
  <si>
    <t xml:space="preserve">      Domestic</t>
  </si>
  <si>
    <t>SEG0000201696 Segment</t>
  </si>
  <si>
    <t xml:space="preserve">        YOY Growth</t>
  </si>
  <si>
    <t xml:space="preserve">      International</t>
  </si>
  <si>
    <t>SEG0000338159 Segment</t>
  </si>
  <si>
    <t xml:space="preserve">        Pacific</t>
  </si>
  <si>
    <t>SEG0000338161 Segment</t>
  </si>
  <si>
    <t xml:space="preserve">          YOY Growth</t>
  </si>
  <si>
    <t xml:space="preserve">        Latin America</t>
  </si>
  <si>
    <t>SEG0000338160 Segment</t>
  </si>
  <si>
    <t xml:space="preserve">        Europe</t>
  </si>
  <si>
    <t>SEG0000966652 Segment</t>
  </si>
  <si>
    <t xml:space="preserve">        Middle East/India/Africa</t>
  </si>
  <si>
    <t>SEG0000966653 Segment</t>
  </si>
  <si>
    <t xml:space="preserve">  Cargo</t>
  </si>
  <si>
    <t>Cargo</t>
  </si>
  <si>
    <t xml:space="preserve">  Other</t>
  </si>
  <si>
    <t>Other</t>
  </si>
  <si>
    <t xml:space="preserve">  Regional Breakdown</t>
  </si>
  <si>
    <t>Regional Breakdown</t>
  </si>
  <si>
    <t xml:space="preserve">  Domestic</t>
  </si>
  <si>
    <t>Domestic</t>
  </si>
  <si>
    <t xml:space="preserve">    Revenue Passenger Miles</t>
  </si>
  <si>
    <t>Revenue Passenger Miles</t>
  </si>
  <si>
    <t>SEG0000201705 Segment</t>
  </si>
  <si>
    <t xml:space="preserve">    Available Seat Miles</t>
  </si>
  <si>
    <t>Available Seat Miles</t>
  </si>
  <si>
    <t xml:space="preserve">    Load Factor (%)</t>
  </si>
  <si>
    <t xml:space="preserve">  International</t>
  </si>
  <si>
    <t>SEG0000201693 Segment</t>
  </si>
  <si>
    <t xml:space="preserve">    Europe</t>
  </si>
  <si>
    <t xml:space="preserve">      Revenue Passenger Miles</t>
  </si>
  <si>
    <t>SEG0000663295 Segment</t>
  </si>
  <si>
    <t xml:space="preserve">      Available Seat Miles</t>
  </si>
  <si>
    <t xml:space="preserve">      Load Factor (%)</t>
  </si>
  <si>
    <t xml:space="preserve">    Middle East/India/Africa</t>
  </si>
  <si>
    <t>SEG0000663296 Segment</t>
  </si>
  <si>
    <t xml:space="preserve">    Latin America</t>
  </si>
  <si>
    <t>Latin America</t>
  </si>
  <si>
    <t>SEG0000201716 Segment</t>
  </si>
  <si>
    <t xml:space="preserve">    Pacific</t>
  </si>
  <si>
    <t>Pacific</t>
  </si>
  <si>
    <t>SEG0000201741 Segment</t>
  </si>
  <si>
    <t xml:space="preserve">  Income Statement</t>
  </si>
  <si>
    <t>Income Statement</t>
  </si>
  <si>
    <t xml:space="preserve">  Total Revenue</t>
  </si>
  <si>
    <t>Total Revenue</t>
  </si>
  <si>
    <t xml:space="preserve">  Total Operating Expenses</t>
  </si>
  <si>
    <t>IS_OPERATING_EXPN</t>
  </si>
  <si>
    <t>Total Operating Expenses</t>
  </si>
  <si>
    <t xml:space="preserve">    Salaries &amp; Related Costs</t>
  </si>
  <si>
    <t>IS_PERSONNEL_EXP</t>
  </si>
  <si>
    <t>Salaries &amp; Related Costs</t>
  </si>
  <si>
    <t xml:space="preserve">      As % of Revenue</t>
  </si>
  <si>
    <t>PERSONNEL_EXPN_PCT_SALES</t>
  </si>
  <si>
    <t xml:space="preserve">    Aircraft Fuel</t>
  </si>
  <si>
    <t>FUEL_EXPENSES</t>
  </si>
  <si>
    <t>Aircraft Fuel</t>
  </si>
  <si>
    <t>AIRLINE_FUEL_PCT_SALES</t>
  </si>
  <si>
    <t xml:space="preserve">    Landing Fees &amp; Other Rent</t>
  </si>
  <si>
    <t>OTHER_RENTALS_LANDING_FEES</t>
  </si>
  <si>
    <t>Landing Fees &amp; Other Rent</t>
  </si>
  <si>
    <t>AIRLINE_LANDING_FEES_PCT_SALES</t>
  </si>
  <si>
    <t xml:space="preserve">    Depreciation &amp; Amortization</t>
  </si>
  <si>
    <t>IS_D_AND_A_GAAP</t>
  </si>
  <si>
    <t>Depreciation &amp; Amortization</t>
  </si>
  <si>
    <t>D_AND_A_TO_SALES</t>
  </si>
  <si>
    <t xml:space="preserve">    Regional Capacity Purchase</t>
  </si>
  <si>
    <t>IS_REGIONAL_CAPACITY_PURCH_EXPN</t>
  </si>
  <si>
    <t>Regional Capacity Purchase</t>
  </si>
  <si>
    <t xml:space="preserve">    Aircraft Maintenance Materials &amp; Repairs</t>
  </si>
  <si>
    <t>MAINTENANCE_MATERIALS_REPAIRS</t>
  </si>
  <si>
    <t>Aircraft Maintenance Materials &amp; Repairs</t>
  </si>
  <si>
    <t>AIRLINE_MAINTENANCE_PCT_SALES</t>
  </si>
  <si>
    <t xml:space="preserve">    Distribution Expenses</t>
  </si>
  <si>
    <t>CB_IS_S_AND_M_EXPENSE</t>
  </si>
  <si>
    <t>Distribution Expenses</t>
  </si>
  <si>
    <t xml:space="preserve">    Aircraft Rent</t>
  </si>
  <si>
    <t>AIRCRAFT_RENTALS</t>
  </si>
  <si>
    <t>Aircraft Rent</t>
  </si>
  <si>
    <t>AIRCRAFT_RENTALS_PCT_SALES</t>
  </si>
  <si>
    <t xml:space="preserve">    Special Charges (Credits)</t>
  </si>
  <si>
    <t>IS_ADJUSTMENT_FACE</t>
  </si>
  <si>
    <t>Special Charges</t>
  </si>
  <si>
    <t xml:space="preserve">    Other Operating Expenses</t>
  </si>
  <si>
    <t>CB_IS_OTHER_OPEX</t>
  </si>
  <si>
    <t>Other Operating Expenses</t>
  </si>
  <si>
    <t xml:space="preserve">  Operating Income</t>
  </si>
  <si>
    <t>IS_EBIT_AS_REPORTED</t>
  </si>
  <si>
    <t>Operating Income</t>
  </si>
  <si>
    <t xml:space="preserve">    Operating Margin (%)</t>
  </si>
  <si>
    <t>OPER_MARGIN</t>
  </si>
  <si>
    <t>Operating Margin (%)</t>
  </si>
  <si>
    <t xml:space="preserve">  EBITDA</t>
  </si>
  <si>
    <t>EBITDA</t>
  </si>
  <si>
    <t xml:space="preserve">  Total Non-Operating Expense</t>
  </si>
  <si>
    <t>IS_NON_OPERATING_INC_LOSS_GAAP</t>
  </si>
  <si>
    <t>Total Non-Operating Expense</t>
  </si>
  <si>
    <t xml:space="preserve">  Net Interest Income / (Expense)</t>
  </si>
  <si>
    <t>IS_NET_INTEREST_EXPENSE</t>
  </si>
  <si>
    <t>Net Interest Income / (Expense)</t>
  </si>
  <si>
    <t xml:space="preserve">    Interest Expense</t>
  </si>
  <si>
    <t>CB_IS_INTEREST_EXPENSE</t>
  </si>
  <si>
    <t>Interest Expense</t>
  </si>
  <si>
    <t xml:space="preserve">    Interest Capitalized</t>
  </si>
  <si>
    <t>IS_CAP_INT_EXP</t>
  </si>
  <si>
    <t>Interest Capitalized</t>
  </si>
  <si>
    <t xml:space="preserve">    Interest Income</t>
  </si>
  <si>
    <t>IS_INT_INC</t>
  </si>
  <si>
    <t>Interest Income</t>
  </si>
  <si>
    <t xml:space="preserve">  Other Non-Operating (Income) Expense</t>
  </si>
  <si>
    <t>IS_OTHER_NONOP_INC_LOSS_GAAP</t>
  </si>
  <si>
    <t xml:space="preserve">    Unrealized (Gain) Loss on Investment</t>
  </si>
  <si>
    <t>IS_NET_INCR_FAIR_VALUE_INVEST</t>
  </si>
  <si>
    <t xml:space="preserve">    Miscellaneous, net</t>
  </si>
  <si>
    <t>CB_IS_OTHER_NON_OPER_INC_EXPN</t>
  </si>
  <si>
    <t xml:space="preserve">  Pre-Tax Income</t>
  </si>
  <si>
    <t>PRETAX_INC</t>
  </si>
  <si>
    <t>Pre-Tax Income</t>
  </si>
  <si>
    <t xml:space="preserve">    Pre-Tax Margin (%)</t>
  </si>
  <si>
    <t>PRETAX_INC_TO_NET_SALES</t>
  </si>
  <si>
    <t>Pre-Tax Margin (%)</t>
  </si>
  <si>
    <t xml:space="preserve">  Income Tax Expense</t>
  </si>
  <si>
    <t>IS_INC_TAX_EXP</t>
  </si>
  <si>
    <t>Income Tax Expense</t>
  </si>
  <si>
    <t xml:space="preserve">    Tax Rate (%)</t>
  </si>
  <si>
    <t>EFF_TAX_RATE</t>
  </si>
  <si>
    <t>Tax Rate (%)</t>
  </si>
  <si>
    <t xml:space="preserve">  Net Income</t>
  </si>
  <si>
    <t>IS_COMP_NET_INCOME_GAAP</t>
  </si>
  <si>
    <t>Net Income</t>
  </si>
  <si>
    <t xml:space="preserve">  Basic Weighted Avg. Shares</t>
  </si>
  <si>
    <t>IS_AVG_NUM_SH_FOR_EPS</t>
  </si>
  <si>
    <t xml:space="preserve">  Basic EPS</t>
  </si>
  <si>
    <t>IS_COMP_EPS_GAAP</t>
  </si>
  <si>
    <t>Basic EPS</t>
  </si>
  <si>
    <t xml:space="preserve">  Diluted Weighted Avg. Shares</t>
  </si>
  <si>
    <t>IS_SH_FOR_DILUTED_EPS</t>
  </si>
  <si>
    <t>Diluted Weighted Avg. Shares</t>
  </si>
  <si>
    <t xml:space="preserve">  Diluted EPS</t>
  </si>
  <si>
    <t>IS_EPS</t>
  </si>
  <si>
    <t xml:space="preserve">  Dividend per Share</t>
  </si>
  <si>
    <t>IS_REGULAR_CASH_DIVIDEND_PER_SH</t>
  </si>
  <si>
    <t xml:space="preserve">  Adjusted Results</t>
  </si>
  <si>
    <t>Non-GAAP Results</t>
  </si>
  <si>
    <t xml:space="preserve">    Total Operating Expenses</t>
  </si>
  <si>
    <t>CB_IS_ADJUSTED_OPEX</t>
  </si>
  <si>
    <t xml:space="preserve">    Operating Income</t>
  </si>
  <si>
    <t>IS_COMPARABLE_EBIT</t>
  </si>
  <si>
    <t xml:space="preserve">      Operating Margin (%)</t>
  </si>
  <si>
    <t>CB_IS_ADJ_OPERATING_MARGIN</t>
  </si>
  <si>
    <t xml:space="preserve">    EBITDA</t>
  </si>
  <si>
    <t>IS_COMPARABLE_EBITDA</t>
  </si>
  <si>
    <t xml:space="preserve">      EBITDA Margin (%)</t>
  </si>
  <si>
    <t>CB_IS_ADJ_EBITDA_MARGIN</t>
  </si>
  <si>
    <t xml:space="preserve">    EBITDAR</t>
  </si>
  <si>
    <t xml:space="preserve">      EBITDAR Margin (%)</t>
  </si>
  <si>
    <t xml:space="preserve">    Pre-Tax Income</t>
  </si>
  <si>
    <t>IS_COMP_PTP_EX_STK_BASED_COMP</t>
  </si>
  <si>
    <t>CB_IS_ETR_PCT</t>
  </si>
  <si>
    <t xml:space="preserve">    Net Income</t>
  </si>
  <si>
    <t xml:space="preserve">      Net Margin (%)</t>
  </si>
  <si>
    <t>ADJ_PROFIT_MARGIN</t>
  </si>
  <si>
    <t>Net Margin (%)</t>
  </si>
  <si>
    <t xml:space="preserve">    Basic EPS</t>
  </si>
  <si>
    <t>IS_ADJUSTED_EPS_AS_REPORTED</t>
  </si>
  <si>
    <t xml:space="preserve">    Diluted EPS</t>
  </si>
  <si>
    <t>Diluted EPS</t>
  </si>
  <si>
    <t xml:space="preserve">  Company Specific Adjustments</t>
  </si>
  <si>
    <t xml:space="preserve">    Net Income Adjustment</t>
  </si>
  <si>
    <t>IS_NET_ABNORMAL_ITEMS</t>
  </si>
  <si>
    <t xml:space="preserve">  Condensed Balance Sheet</t>
  </si>
  <si>
    <t>Condensed Balance Sheet</t>
  </si>
  <si>
    <t xml:space="preserve">  Assets</t>
  </si>
  <si>
    <t>Assets</t>
  </si>
  <si>
    <t xml:space="preserve">    Current Assets</t>
  </si>
  <si>
    <t>BS_CUR_ASSET_REPORT</t>
  </si>
  <si>
    <t>Current Assets</t>
  </si>
  <si>
    <t xml:space="preserve">      Cash, Cash Equivalents &amp; STI</t>
  </si>
  <si>
    <t>BS_CASH_CASH_EQUIVALENTS_AND_STI</t>
  </si>
  <si>
    <t>Cash, Cash Equivalents &amp; STI</t>
  </si>
  <si>
    <t xml:space="preserve">        Cash &amp; Cash Equivalents</t>
  </si>
  <si>
    <t>BS_CASH_NEAR_CASH_ITEM</t>
  </si>
  <si>
    <t>Cash &amp; Cash Equivalents</t>
  </si>
  <si>
    <t xml:space="preserve">        Short-Term Investments</t>
  </si>
  <si>
    <t>BS_MKT_SEC_OTHER_ST_INVEST</t>
  </si>
  <si>
    <t>Short-Term Investments</t>
  </si>
  <si>
    <t xml:space="preserve">      Accounts Receivable</t>
  </si>
  <si>
    <t>BS_ACCTS_REC_EXCL_NOTES_REC</t>
  </si>
  <si>
    <t>Accounts Receivable</t>
  </si>
  <si>
    <t xml:space="preserve">      Inventories</t>
  </si>
  <si>
    <t>CB_BS_OTHER_CURRENT_ASSETS</t>
  </si>
  <si>
    <t>Inventories</t>
  </si>
  <si>
    <t xml:space="preserve">      Prepaid Expenses &amp; Other Current Assets</t>
  </si>
  <si>
    <t>PREPAID_EXPNSS_AND_OTHR</t>
  </si>
  <si>
    <t>Prepaid Expenses &amp; Other Current Assets</t>
  </si>
  <si>
    <t xml:space="preserve">      Restricted cash</t>
  </si>
  <si>
    <t>BS_RESTRICTED_CASH</t>
  </si>
  <si>
    <t>Restricted cash</t>
  </si>
  <si>
    <t xml:space="preserve">      Working Capital</t>
  </si>
  <si>
    <t>WORKING_CAPITAL</t>
  </si>
  <si>
    <t xml:space="preserve">    Non-Current Assets</t>
  </si>
  <si>
    <t>BS_TOTAL_NON_CURRENT_ASSETS</t>
  </si>
  <si>
    <t xml:space="preserve">      Flight Equipment</t>
  </si>
  <si>
    <t>BS_FLIGHT_EQUIPMNT</t>
  </si>
  <si>
    <t xml:space="preserve">      Purchase Deposits For Flight Equipment</t>
  </si>
  <si>
    <t>BS_SECRTY_DEPSTS_ASSTS</t>
  </si>
  <si>
    <t xml:space="preserve">      Property, Plant &amp; Equipment, Net</t>
  </si>
  <si>
    <t>CB_BS_PP_AND_E_NET</t>
  </si>
  <si>
    <t>Property, Plant &amp; Equipment, Net</t>
  </si>
  <si>
    <t xml:space="preserve">        Other PPE Gross</t>
  </si>
  <si>
    <t>BS_OTHER_PPE_GROSS</t>
  </si>
  <si>
    <t xml:space="preserve">        Accumulated Depreciation</t>
  </si>
  <si>
    <t>BS_ACCUM_DEPR</t>
  </si>
  <si>
    <t xml:space="preserve">      Operating Lease Right-of-Use</t>
  </si>
  <si>
    <t>TOT_OPER_LEA_RT_OF_USE_ASSETS</t>
  </si>
  <si>
    <t>Operating Lease Right-of-Use</t>
  </si>
  <si>
    <t xml:space="preserve">      Investments in Affiliates</t>
  </si>
  <si>
    <t>BS_INVEST_IN_ASSOC_CO</t>
  </si>
  <si>
    <t xml:space="preserve">      Deferred Tax Assets</t>
  </si>
  <si>
    <t>BS_DEFERRED_TAX_ASSETS_LT</t>
  </si>
  <si>
    <t xml:space="preserve">      Total Intangible Assets</t>
  </si>
  <si>
    <t>BS_DISCLOSED_INTANGIBLES</t>
  </si>
  <si>
    <t xml:space="preserve">        Goodwill</t>
  </si>
  <si>
    <t>BS_GOODWILL</t>
  </si>
  <si>
    <t>Goodwill</t>
  </si>
  <si>
    <t xml:space="preserve">        Intangible Assets</t>
  </si>
  <si>
    <t>BS_OTHER_INTANGIBLE_ASSETS</t>
  </si>
  <si>
    <t>Intangible Assets</t>
  </si>
  <si>
    <t xml:space="preserve">      Restricted Cash</t>
  </si>
  <si>
    <t>BS_LONG_TERM_RESTRCTD_CASH_INVT</t>
  </si>
  <si>
    <t>Restricted Cash</t>
  </si>
  <si>
    <t xml:space="preserve">    Total Assets</t>
  </si>
  <si>
    <t>BS_TOT_ASSET</t>
  </si>
  <si>
    <t>Total Assets</t>
  </si>
  <si>
    <t xml:space="preserve">  Liabilities &amp; Equity</t>
  </si>
  <si>
    <t>Liabilities &amp; Equity</t>
  </si>
  <si>
    <t xml:space="preserve">    Current Liabilities</t>
  </si>
  <si>
    <t>CB_BS_CURR_LIABILITIES</t>
  </si>
  <si>
    <t>Current Liabilities</t>
  </si>
  <si>
    <t xml:space="preserve">      Accounts Payable</t>
  </si>
  <si>
    <t>BS_ACCT_PAYABLE</t>
  </si>
  <si>
    <t>Accounts Payable</t>
  </si>
  <si>
    <t xml:space="preserve">      Accrued Salaries &amp; Expenses</t>
  </si>
  <si>
    <t>BS_ACCRUAL</t>
  </si>
  <si>
    <t>Accrued Salaries &amp; Expenses</t>
  </si>
  <si>
    <t xml:space="preserve">      Current Portion of Long-Term Debt</t>
  </si>
  <si>
    <t>BS_ST_PORTION_OF_LT_DEBT</t>
  </si>
  <si>
    <t>Short-Term Debt</t>
  </si>
  <si>
    <t xml:space="preserve">        Short-Term Debt</t>
  </si>
  <si>
    <t>BS_ST_BORROW</t>
  </si>
  <si>
    <t>Short-Term Borrowings</t>
  </si>
  <si>
    <t xml:space="preserve">        Current Portion of Short-Term Debt</t>
  </si>
  <si>
    <t>BS_CURR_PORTION_LT_DEBT</t>
  </si>
  <si>
    <t>Current Portion of Short-Term Debt</t>
  </si>
  <si>
    <t xml:space="preserve">        Short-Term Operating Leases</t>
  </si>
  <si>
    <t>BS_ST_OPERATING_LEASE_LIABS</t>
  </si>
  <si>
    <t>Short-Term Operating Leases</t>
  </si>
  <si>
    <t xml:space="preserve">        Current Maturities of Capital Lease Liabilities</t>
  </si>
  <si>
    <t>ST_CAPITAL_LEASE_OBLIGATIONS</t>
  </si>
  <si>
    <t>Current Maturities of Capital Lease Liabilities</t>
  </si>
  <si>
    <t xml:space="preserve">      Frequent Flyer Deferred Revenue (Short-Term)</t>
  </si>
  <si>
    <t>CB_BS_ST_DEFER_REVENUE</t>
  </si>
  <si>
    <t>Frequent Flyer Deferred Revenue (Short-Term)</t>
  </si>
  <si>
    <t xml:space="preserve">      Advance Ticket Sales</t>
  </si>
  <si>
    <t>BS_ST_AIR_TRAFFC_LIBLTS</t>
  </si>
  <si>
    <t>Advance Ticket Sales</t>
  </si>
  <si>
    <t xml:space="preserve">      Other Current Liabilities</t>
  </si>
  <si>
    <t>BS_OTHER_CUR_LIAB</t>
  </si>
  <si>
    <t>Other Current Liabilities</t>
  </si>
  <si>
    <t xml:space="preserve">    Non-Current Liabilities</t>
  </si>
  <si>
    <t>BS_ADJ_TOTAL_LT_LIABILITIES</t>
  </si>
  <si>
    <t>Non-Current Liabilities</t>
  </si>
  <si>
    <t xml:space="preserve">      Long-Term Debt &amp; Capital Leases</t>
  </si>
  <si>
    <t>BS_LT_BORROW</t>
  </si>
  <si>
    <t>Long-Term Debt &amp; Capital Leases</t>
  </si>
  <si>
    <t xml:space="preserve">        Long-Term Debt</t>
  </si>
  <si>
    <t>CB_BS_LT_BORROWING</t>
  </si>
  <si>
    <t>Long-Term Debt</t>
  </si>
  <si>
    <t xml:space="preserve">        Long-Term Operating Leases</t>
  </si>
  <si>
    <t>BS_LT_OPERATING_LEASE_LIABS</t>
  </si>
  <si>
    <t>Long-Term Operating leases</t>
  </si>
  <si>
    <t xml:space="preserve">        Long-Term Capital Leases</t>
  </si>
  <si>
    <t>LT_CAPITAL_LEASE_OBLIGATIONS</t>
  </si>
  <si>
    <t xml:space="preserve">      Post-Retirement Benefit &amp; Pension Liabilities</t>
  </si>
  <si>
    <t>PENSION_LIABILITIES</t>
  </si>
  <si>
    <t>Post-Retirement Benefit &amp; Pension Liabilities</t>
  </si>
  <si>
    <t xml:space="preserve">        Post-Retirement Benefit Liabilities</t>
  </si>
  <si>
    <t>BS_OPRB_LT_LIABS</t>
  </si>
  <si>
    <t>Post-Retirement Benefit Liabilities</t>
  </si>
  <si>
    <t xml:space="preserve">        Pension Liabilities</t>
  </si>
  <si>
    <t>BS_PENSIONS_LT_LIABS</t>
  </si>
  <si>
    <t>Pension Liabilities</t>
  </si>
  <si>
    <t xml:space="preserve">      Deferred Tax Liabilities</t>
  </si>
  <si>
    <t>BS_DEFERRED_TAX_LIABILITIES_LT</t>
  </si>
  <si>
    <t xml:space="preserve">      Frequent Flyer Deferred Revenue</t>
  </si>
  <si>
    <t>LT_DEFERRED_REVENUE</t>
  </si>
  <si>
    <t>Frequent Flyer Deferred Revenue</t>
  </si>
  <si>
    <t xml:space="preserve">      Other Liabilities &amp; Deferred Credits</t>
  </si>
  <si>
    <t>BS_OTHER_LT_LIABILITIES</t>
  </si>
  <si>
    <t xml:space="preserve">      Other Non-Current Liabilities</t>
  </si>
  <si>
    <t>BS_OTHER_NONCURRENT_LIABILITIES</t>
  </si>
  <si>
    <t>Other Non-Current Liabilities</t>
  </si>
  <si>
    <t xml:space="preserve">    Short-term Deferred Revenue</t>
  </si>
  <si>
    <t>ST_DEFERRED_REVENUE</t>
  </si>
  <si>
    <t xml:space="preserve">    Total Liabilities</t>
  </si>
  <si>
    <t>BS_TOTAL_LIABILITIES</t>
  </si>
  <si>
    <t>Total Liabilities</t>
  </si>
  <si>
    <t xml:space="preserve">    Total Shareholders' Equity</t>
  </si>
  <si>
    <t>HEADLINE_NAV</t>
  </si>
  <si>
    <t>Total Shareholders' Equity</t>
  </si>
  <si>
    <t xml:space="preserve">      Common Stock</t>
  </si>
  <si>
    <t>BS_COMMON_STOCK</t>
  </si>
  <si>
    <t>Common Stock</t>
  </si>
  <si>
    <t xml:space="preserve">      Additional Capital Invested</t>
  </si>
  <si>
    <t>BS_ADD_PAID_IN_CAP</t>
  </si>
  <si>
    <t>Additional Capital Invested</t>
  </si>
  <si>
    <t xml:space="preserve">      Retained Earnings</t>
  </si>
  <si>
    <t>BS_PURE_RETAINED_EARNINGS</t>
  </si>
  <si>
    <t>Retained Earnings</t>
  </si>
  <si>
    <t xml:space="preserve">      Treasury Stock</t>
  </si>
  <si>
    <t>BS_AMT_OF_TSY_STOCK</t>
  </si>
  <si>
    <t>Treasury Stock</t>
  </si>
  <si>
    <t xml:space="preserve">      Accumulated Other Comprehensive Income (Loss)</t>
  </si>
  <si>
    <t>BS_ACCUMULATED_OTHER_COMP_INC</t>
  </si>
  <si>
    <t>Accumulated Other Comprehensive Income (Loss)</t>
  </si>
  <si>
    <t xml:space="preserve">    Total Liabilities &amp; Shareholders' Equity</t>
  </si>
  <si>
    <t>Total Liabilities &amp; Shareholders' Equity</t>
  </si>
  <si>
    <t xml:space="preserve">  Special Company Reference Items</t>
  </si>
  <si>
    <t>Special Company Reference Items</t>
  </si>
  <si>
    <t xml:space="preserve">    Net Debt (Cash)</t>
  </si>
  <si>
    <t>NET_DEBT</t>
  </si>
  <si>
    <t>Net Debt (Cash)</t>
  </si>
  <si>
    <t xml:space="preserve">    Total Debt</t>
  </si>
  <si>
    <t>SHORT_AND_LONG_TERM_DEBT</t>
  </si>
  <si>
    <t xml:space="preserve">    </t>
  </si>
  <si>
    <t xml:space="preserve">    Return on Assets (%)</t>
  </si>
  <si>
    <t>HEADLINE_ROA</t>
  </si>
  <si>
    <t>Return on Assets (%)</t>
  </si>
  <si>
    <t xml:space="preserve">    Return on Equity (%)</t>
  </si>
  <si>
    <t>HEADLINE_ROE</t>
  </si>
  <si>
    <t>Return on Equity (%)</t>
  </si>
  <si>
    <t xml:space="preserve">    Cash Ratio</t>
  </si>
  <si>
    <t>CASH_RATIO</t>
  </si>
  <si>
    <t xml:space="preserve">    Total Debts to Total Capital</t>
  </si>
  <si>
    <t>CAPITALIZATION_RATIO</t>
  </si>
  <si>
    <t xml:space="preserve">    Book Value per Share</t>
  </si>
  <si>
    <t>HEADLINE_BVPS</t>
  </si>
  <si>
    <t>Book Value per Share</t>
  </si>
  <si>
    <t xml:space="preserve">    Total Operating Lease Liabilities</t>
  </si>
  <si>
    <t>BS_TOTAL_OPERATING_LEASE_LIABS</t>
  </si>
  <si>
    <t xml:space="preserve">    Days Sales Outstanding</t>
  </si>
  <si>
    <t>ANNUALIZED_DAYS_SALES_OUTSTDG</t>
  </si>
  <si>
    <t xml:space="preserve">    Number of Shares</t>
  </si>
  <si>
    <t>AUTHORIZED_SHARES</t>
  </si>
  <si>
    <t xml:space="preserve">    Quick Ratio</t>
  </si>
  <si>
    <t>QUICK_RATIO</t>
  </si>
  <si>
    <t xml:space="preserve">    Working Capital</t>
  </si>
  <si>
    <t xml:space="preserve">  Condensed Cash Flow Statement</t>
  </si>
  <si>
    <t>Condensed Cash Flow Statement</t>
  </si>
  <si>
    <t xml:space="preserve">  Cash from Operating Activities</t>
  </si>
  <si>
    <t>Cash from Operating Activities</t>
  </si>
  <si>
    <t xml:space="preserve">    Deferred Income Taxes</t>
  </si>
  <si>
    <t>CF_DEF_INC_TAX</t>
  </si>
  <si>
    <t xml:space="preserve">    Change in Non-Cash Working Capital</t>
  </si>
  <si>
    <t>CF_CHANGE_IN_ACCOUNTS_PAYABLE</t>
  </si>
  <si>
    <t xml:space="preserve">      Deposits Advances</t>
  </si>
  <si>
    <t>CB_CF_CHANGE_IN_DEPOSITS_ADVANCES</t>
  </si>
  <si>
    <t xml:space="preserve">  Cash Flow from Operations</t>
  </si>
  <si>
    <t>CB_CF_NET_CASH_OPERATING_ACT</t>
  </si>
  <si>
    <t>Cash Flow from Operations</t>
  </si>
  <si>
    <t xml:space="preserve">  Cash from Investing Activities</t>
  </si>
  <si>
    <t>Cash from Investing Activities</t>
  </si>
  <si>
    <t xml:space="preserve">    Capital Expenditures</t>
  </si>
  <si>
    <t>Capital Expenditures</t>
  </si>
  <si>
    <t xml:space="preserve">    Purchases of Short-Term &amp; Other Investments</t>
  </si>
  <si>
    <t>CB_CF_PURCHASES_OF_ST_INV</t>
  </si>
  <si>
    <t xml:space="preserve">    Proceeds from Sale of Short-Term &amp; Other Investments</t>
  </si>
  <si>
    <t>CB_CF_PROCEEDS_FROM_ST_INV</t>
  </si>
  <si>
    <t xml:space="preserve">    Proceeds from Sale of Property &amp; Equipment</t>
  </si>
  <si>
    <t>CF_DISPOSAL_OF_FIXED_PROD_ASSETS</t>
  </si>
  <si>
    <t xml:space="preserve">    Sales (Purchases) of Short-Term Investments</t>
  </si>
  <si>
    <t>CF_NET_CHG_ST_INVEST</t>
  </si>
  <si>
    <t xml:space="preserve">  Cash Flow from Investing</t>
  </si>
  <si>
    <t>CB_CF_NET_CASH_INVESTING_ACT</t>
  </si>
  <si>
    <t>Cash Flow from Investing</t>
  </si>
  <si>
    <t xml:space="preserve">  Cash from Financing Activities</t>
  </si>
  <si>
    <t>Cash from Financing Activities</t>
  </si>
  <si>
    <t xml:space="preserve">    Issuance of Long-Term Debt</t>
  </si>
  <si>
    <t>CB_CF_INCREASE_IN_LT_BORROWINGS</t>
  </si>
  <si>
    <t>Issuance of Long-Term Debt</t>
  </si>
  <si>
    <t xml:space="preserve">    Decrease in Long-Term Borrowings</t>
  </si>
  <si>
    <t>CB_CF_REPAYMENT_LT_DEBT</t>
  </si>
  <si>
    <t xml:space="preserve">    Debt Issuance / Repayment</t>
  </si>
  <si>
    <t>CF_PROCEEDS_REPAYMNTS_BORROWINGS</t>
  </si>
  <si>
    <t>Debt Issuance / Repayment</t>
  </si>
  <si>
    <t xml:space="preserve">    Repurchases of Common Stock</t>
  </si>
  <si>
    <t>CF_DECR_CAP_STOCK</t>
  </si>
  <si>
    <t>Repurchases of Common Stock</t>
  </si>
  <si>
    <t>CB_CF_OTHER_FINANCING_ACTIVITIES</t>
  </si>
  <si>
    <t xml:space="preserve">  Cash Flow from Financing</t>
  </si>
  <si>
    <t>CB_CF_NET_CASH_FINANCING_ACT</t>
  </si>
  <si>
    <t>Cash Flow from Financing</t>
  </si>
  <si>
    <t xml:space="preserve">    Net Change in Cash</t>
  </si>
  <si>
    <t>CF_NET_CHNG_CASH</t>
  </si>
  <si>
    <t>Net Change in Cash</t>
  </si>
  <si>
    <t xml:space="preserve">      Cash &amp; Cash Equivalents (EOP)</t>
  </si>
  <si>
    <t>CF_CASH_AND_CASH_EQUIV_END_BAL</t>
  </si>
  <si>
    <t>Cash &amp; Cash Equivalents (End of Period)</t>
  </si>
  <si>
    <t xml:space="preserve">      Cash &amp; Cash Equivalents (BOP)</t>
  </si>
  <si>
    <t>CF_CASH_AND_CASH_EQUIV_BEG_BAL</t>
  </si>
  <si>
    <t>Cash &amp; Cash Equivalents (Beg of Period)</t>
  </si>
  <si>
    <t xml:space="preserve">    Cash Flow per Share</t>
  </si>
  <si>
    <t>HEADLINE_CPS</t>
  </si>
  <si>
    <t>Cash Flow per Share</t>
  </si>
  <si>
    <t xml:space="preserve">    Free Cash Flow</t>
  </si>
  <si>
    <t>HEADLINE_FCF</t>
  </si>
  <si>
    <t>Free Cash Flow</t>
  </si>
  <si>
    <t xml:space="preserve">    Capital Expenditures/Revenue (%)</t>
  </si>
  <si>
    <t>CAP_EXPEND_TO_SALES</t>
  </si>
  <si>
    <t>EBITDAR</t>
  </si>
  <si>
    <t>Source: Bloomberg</t>
  </si>
  <si>
    <t xml:space="preserve"> 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</si>
</sst>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9" applyNumberFormat="0" applyAlignment="0" applyProtection="0"/>
    <xf numFmtId="0" fontId="20" fillId="7" borderId="12" applyNumberFormat="0" applyAlignment="0" applyProtection="0"/>
    <xf numFmtId="0" fontId="22" fillId="0" borderId="0" applyNumberFormat="0" applyFill="0" applyBorder="0" applyAlignment="0" applyProtection="0"/>
    <xf numFmtId="0" fontId="5" fillId="33" borderId="3">
      <alignment horizontal="left"/>
    </xf>
    <xf numFmtId="4" fontId="1" fillId="34" borderId="2"/>
    <xf numFmtId="0" fontId="7" fillId="35" borderId="4" applyNumberFormat="0" applyAlignment="0" applyProtection="0"/>
    <xf numFmtId="0" fontId="3" fillId="0" borderId="0"/>
    <xf numFmtId="0" fontId="6" fillId="34" borderId="5"/>
    <xf numFmtId="0" fontId="13" fillId="2" borderId="0" applyNumberFormat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9" applyNumberFormat="0" applyAlignment="0" applyProtection="0"/>
    <xf numFmtId="0" fontId="19" fillId="0" borderId="11" applyNumberFormat="0" applyFill="0" applyAlignment="0" applyProtection="0"/>
    <xf numFmtId="0" fontId="15" fillId="4" borderId="0" applyNumberFormat="0" applyBorder="0" applyAlignment="0" applyProtection="0"/>
    <xf numFmtId="0" fontId="8" fillId="8" borderId="13" applyNumberFormat="0" applyFont="0" applyAlignment="0" applyProtection="0"/>
    <xf numFmtId="0" fontId="17" fillId="6" borderId="10" applyNumberFormat="0" applyAlignment="0" applyProtection="0"/>
    <xf numFmtId="0" fontId="9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5" fillId="33" borderId="1">
      <alignment horizontal="left"/>
    </xf>
    <xf numFmtId="4" fontId="1" fillId="34" borderId="2">
      <alignment horizontal="right"/>
    </xf>
  </cellStyleXfs>
  <cellXfs count="10">
    <xf numFmtId="0" fontId="0" fillId="0" borderId="0" xfId="0"/>
    <xf numFmtId="14" fontId="5" fillId="33" borderId="1" xfId="48" applyNumberFormat="1">
      <alignment horizontal="left"/>
    </xf>
    <xf numFmtId="0" fontId="3" fillId="0" borderId="0" xfId="32"/>
    <xf numFmtId="0" fontId="5" fillId="33" borderId="3" xfId="29">
      <alignment horizontal="left"/>
    </xf>
    <xf numFmtId="4" fontId="1" fillId="34" borderId="2" xfId="30"/>
    <xf numFmtId="0" fontId="7" fillId="35" borderId="4" xfId="31"/>
    <xf numFmtId="0" fontId="4" fillId="33" borderId="15" xfId="47">
      <alignment horizontal="left" vertical="center" readingOrder="1"/>
    </xf>
    <xf numFmtId="0" fontId="5" fillId="33" borderId="1" xfId="48">
      <alignment horizontal="left"/>
    </xf>
    <xf numFmtId="0" fontId="2" fillId="34" borderId="5" xfId="33" applyFont="1"/>
    <xf numFmtId="4" fontId="1" fillId="34" borderId="2" xfId="49">
      <alignment horizontal="right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title_header_row_left" xfId="47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fa_column_header_bottom_left" xfId="48" xr:uid="{00000000-0005-0000-0000-00001D000000}"/>
    <cellStyle name="fa_column_header_top_left" xfId="29" xr:uid="{00000000-0005-0000-0000-00001E000000}"/>
    <cellStyle name="fa_data_standard" xfId="30" xr:uid="{00000000-0005-0000-0000-00001F000000}"/>
    <cellStyle name="fa_data_standard_2_grouped" xfId="49" xr:uid="{00000000-0005-0000-0000-000020000000}"/>
    <cellStyle name="fa_footer_italic" xfId="31" xr:uid="{00000000-0005-0000-0000-000021000000}"/>
    <cellStyle name="fa_grey_text_italics" xfId="32" xr:uid="{00000000-0005-0000-0000-000022000000}"/>
    <cellStyle name="fa_row_header_standard" xfId="33" xr:uid="{00000000-0005-0000-0000-000023000000}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9"/>
  <sheetViews>
    <sheetView tabSelected="1" workbookViewId="0">
      <selection activeCell="A20" sqref="A20"/>
    </sheetView>
  </sheetViews>
  <sheetFormatPr baseColWidth="10" defaultColWidth="8.83203125" defaultRowHeight="15" x14ac:dyDescent="0.2"/>
  <cols>
    <col min="1" max="1" width="34.33203125" customWidth="1"/>
    <col min="2" max="4" width="0" hidden="1" customWidth="1"/>
    <col min="5" max="14" width="19" customWidth="1"/>
  </cols>
  <sheetData>
    <row r="1" spans="1:14" ht="20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2">
      <c r="A3" s="3" t="s">
        <v>2</v>
      </c>
      <c r="B3" s="3"/>
      <c r="C3" s="3"/>
      <c r="D3" s="3"/>
      <c r="E3" s="3" t="str">
        <f>_xll.BQL("UAL US Equity", "FISCAL_PERIOD", "FPT=A", "FPO=5A", "ACT_EST_MAPPING=PRECISE", "FS=MRC", "CURRENCY=USD", "XLFILL=b")</f>
        <v>2028 A (Fwd)</v>
      </c>
      <c r="F3" s="3" t="str">
        <f>_xll.BQL("UAL US Equity", "FISCAL_PERIOD", "FPT=A", "FPO=4A", "ACT_EST_MAPPING=PRECISE", "FS=MRC", "CURRENCY=USD", "XLFILL=b")</f>
        <v>2027 A (Fwd)</v>
      </c>
      <c r="G3" s="3" t="str">
        <f>_xll.BQL("UAL US Equity", "FISCAL_PERIOD", "FPT=A", "FPO=3A", "ACT_EST_MAPPING=PRECISE", "FS=MRC", "CURRENCY=USD", "XLFILL=b")</f>
        <v>2026 A (Fwd)</v>
      </c>
      <c r="H3" s="3" t="str">
        <f>_xll.BQL("UAL US Equity", "FISCAL_PERIOD", "FPT=A", "FPO=2A", "ACT_EST_MAPPING=PRECISE", "FS=MRC", "CURRENCY=USD", "XLFILL=b")</f>
        <v>2025 A (Fwd)</v>
      </c>
      <c r="I3" s="3" t="str">
        <f>_xll.BQL("UAL US Equity", "FISCAL_PERIOD", "FPT=A", "FPO=1A", "ACT_EST_MAPPING=PRECISE", "FS=MRC", "CURRENCY=USD", "XLFILL=b")</f>
        <v>2024 A (Fwd)</v>
      </c>
      <c r="J3" s="3" t="str">
        <f>_xll.BQL("UAL US Equity", "FISCAL_PERIOD", "FPT=A", "FPO=0A", "ACT_EST_MAPPING=PRECISE", "FS=MRC", "CURRENCY=USD", "XLFILL=b")</f>
        <v>2023 A (Rep)</v>
      </c>
      <c r="K3" s="3" t="str">
        <f>_xll.BQL("UAL US Equity", "FISCAL_PERIOD", "FPT=A", "FPO=-1A", "ACT_EST_MAPPING=PRECISE", "FS=MRC", "CURRENCY=USD", "XLFILL=b")</f>
        <v>2022 A (Rep)</v>
      </c>
      <c r="L3" s="3" t="str">
        <f>_xll.BQL("UAL US Equity", "FISCAL_PERIOD", "FPT=A", "FPO=-2A", "ACT_EST_MAPPING=PRECISE", "FS=MRC", "CURRENCY=USD", "XLFILL=b")</f>
        <v>2021 A (Rep)</v>
      </c>
      <c r="M3" s="3" t="str">
        <f>_xll.BQL("UAL US Equity", "FISCAL_PERIOD", "FPT=A", "FPO=-3A", "ACT_EST_MAPPING=PRECISE", "FS=MRC", "CURRENCY=USD", "XLFILL=b")</f>
        <v>2020 A (Rep)</v>
      </c>
      <c r="N3" s="3" t="str">
        <f>_xll.BQL("UAL US Equity", "FISCAL_PERIOD", "FPT=A", "FPO=-4A", "ACT_EST_MAPPING=PRECISE", "FS=MRC", "CURRENCY=USD", "XLFILL=b")</f>
        <v>2019 A (Rep)</v>
      </c>
    </row>
    <row r="4" spans="1:14" x14ac:dyDescent="0.2">
      <c r="A4" s="7" t="s">
        <v>3</v>
      </c>
      <c r="B4" s="7" t="s">
        <v>4</v>
      </c>
      <c r="C4" s="7" t="s">
        <v>5</v>
      </c>
      <c r="D4" s="7" t="s">
        <v>6</v>
      </c>
      <c r="E4" s="1">
        <f>_xll.BQL("UAL US Equity", "IS_COMP_SALES().period_end_date", "FPT=A", "FPO=5A", "ACT_EST_MAPPING=PRECISE", "FS=MRC", "CURRENCY=USD", "XLFILL=b")</f>
        <v>47118</v>
      </c>
      <c r="F4" s="1">
        <f>_xll.BQL("UAL US Equity", "IS_COMP_SALES().period_end_date", "FPT=A", "FPO=4A", "ACT_EST_MAPPING=PRECISE", "FS=MRC", "CURRENCY=USD", "XLFILL=b")</f>
        <v>46752</v>
      </c>
      <c r="G4" s="1">
        <f>_xll.BQL("UAL US Equity", "IS_COMP_SALES().period_end_date", "FPT=A", "FPO=3A", "ACT_EST_MAPPING=PRECISE", "FS=MRC", "CURRENCY=USD", "XLFILL=b")</f>
        <v>46387</v>
      </c>
      <c r="H4" s="1">
        <f>_xll.BQL("UAL US Equity", "IS_COMP_SALES().period_end_date", "FPT=A", "FPO=2A", "ACT_EST_MAPPING=PRECISE", "FS=MRC", "CURRENCY=USD", "XLFILL=b")</f>
        <v>46022</v>
      </c>
      <c r="I4" s="1">
        <f>_xll.BQL("UAL US Equity", "IS_COMP_SALES().period_end_date", "FPT=A", "FPO=1A", "ACT_EST_MAPPING=PRECISE", "FS=MRC", "CURRENCY=USD", "XLFILL=b")</f>
        <v>45657</v>
      </c>
      <c r="J4" s="1">
        <f>_xll.BQL("UAL US Equity", "IS_COMP_SALES().period_end_date", "FPT=A", "FPO=0A", "ACT_EST_MAPPING=PRECISE", "FS=MRC", "CURRENCY=USD", "XLFILL=b")</f>
        <v>45291</v>
      </c>
      <c r="K4" s="1">
        <f>_xll.BQL("UAL US Equity", "IS_COMP_SALES().period_end_date", "FPT=A", "FPO=-1A", "ACT_EST_MAPPING=PRECISE", "FS=MRC", "CURRENCY=USD", "XLFILL=b")</f>
        <v>44926</v>
      </c>
      <c r="L4" s="1">
        <f>_xll.BQL("UAL US Equity", "IS_COMP_SALES().period_end_date", "FPT=A", "FPO=-2A", "ACT_EST_MAPPING=PRECISE", "FS=MRC", "CURRENCY=USD", "XLFILL=b")</f>
        <v>44561</v>
      </c>
      <c r="M4" s="1">
        <f>_xll.BQL("UAL US Equity", "IS_COMP_SALES().period_end_date", "FPT=A", "FPO=-3A", "ACT_EST_MAPPING=PRECISE", "FS=MRC", "CURRENCY=USD", "XLFILL=b")</f>
        <v>44196</v>
      </c>
      <c r="N4" s="1">
        <f>_xll.BQL("UAL US Equity", "IS_COMP_SALES().period_end_date", "FPT=A", "FPO=-4A", "ACT_EST_MAPPING=PRECISE", "FS=MRC", "CURRENCY=USD", "XLFILL=b")</f>
        <v>43830</v>
      </c>
    </row>
    <row r="5" spans="1:14" x14ac:dyDescent="0.2">
      <c r="A5" s="8" t="s">
        <v>7</v>
      </c>
      <c r="B5" s="4"/>
      <c r="C5" s="4" t="s">
        <v>8</v>
      </c>
      <c r="D5" s="4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 s="8" t="s">
        <v>9</v>
      </c>
      <c r="B6" s="4" t="s">
        <v>10</v>
      </c>
      <c r="C6" s="4" t="s">
        <v>11</v>
      </c>
      <c r="D6" s="4"/>
      <c r="E6" s="9">
        <f>_xll.BQL("UAL US Equity", "IS_COMP_EPS_ADJUSTED_OLD", "FPT=A", "FPO=5A", "ACT_EST_MAPPING=PRECISE", "FS=MRC", "CURRENCY=USD", "XLFILL=b")</f>
        <v>15.955</v>
      </c>
      <c r="F6" s="9">
        <f>_xll.BQL("UAL US Equity", "IS_COMP_EPS_ADJUSTED_OLD", "FPT=A", "FPO=4A", "ACT_EST_MAPPING=PRECISE", "FS=MRC", "CURRENCY=USD", "XLFILL=b")</f>
        <v>14.44</v>
      </c>
      <c r="G6" s="9">
        <f>_xll.BQL("UAL US Equity", "IS_COMP_EPS_ADJUSTED_OLD", "FPT=A", "FPO=3A", "ACT_EST_MAPPING=PRECISE", "FS=MRC", "CURRENCY=USD", "XLFILL=b")</f>
        <v>13.001666666666667</v>
      </c>
      <c r="H6" s="9">
        <f>_xll.BQL("UAL US Equity", "IS_COMP_EPS_ADJUSTED_OLD", "FPT=A", "FPO=2A", "ACT_EST_MAPPING=PRECISE", "FS=MRC", "CURRENCY=USD", "XLFILL=b")</f>
        <v>11.234999999999999</v>
      </c>
      <c r="I6" s="9">
        <f>_xll.BQL("UAL US Equity", "IS_COMP_EPS_ADJUSTED_OLD", "FPT=A", "FPO=1A", "ACT_EST_MAPPING=PRECISE", "FS=MRC", "CURRENCY=USD", "XLFILL=b")</f>
        <v>9.6611111111111132</v>
      </c>
      <c r="J6" s="9">
        <f>_xll.BQL("UAL US Equity", "IS_COMP_EPS_ADJUSTED_OLD", "FPT=A", "FPO=0A", "ACT_EST_MAPPING=PRECISE", "FS=MRC", "CURRENCY=USD", "XLFILL=b")</f>
        <v>10.050000000000001</v>
      </c>
      <c r="K6" s="9">
        <f>_xll.BQL("UAL US Equity", "IS_COMP_EPS_ADJUSTED_OLD", "FPT=A", "FPO=-1A", "ACT_EST_MAPPING=PRECISE", "FS=MRC", "CURRENCY=USD", "XLFILL=b")</f>
        <v>2.52</v>
      </c>
      <c r="L6" s="9">
        <f>_xll.BQL("UAL US Equity", "IS_COMP_EPS_ADJUSTED_OLD", "FPT=A", "FPO=-2A", "ACT_EST_MAPPING=PRECISE", "FS=MRC", "CURRENCY=USD", "XLFILL=b")</f>
        <v>-13.94</v>
      </c>
      <c r="M6" s="9">
        <f>_xll.BQL("UAL US Equity", "IS_COMP_EPS_ADJUSTED_OLD", "FPT=A", "FPO=-3A", "ACT_EST_MAPPING=PRECISE", "FS=MRC", "CURRENCY=USD", "XLFILL=b")</f>
        <v>-27.57</v>
      </c>
      <c r="N6" s="9">
        <f>_xll.BQL("UAL US Equity", "IS_COMP_EPS_ADJUSTED_OLD", "FPT=A", "FPO=-4A", "ACT_EST_MAPPING=PRECISE", "FS=MRC", "CURRENCY=USD", "XLFILL=b")</f>
        <v>12.05</v>
      </c>
    </row>
    <row r="7" spans="1:14" x14ac:dyDescent="0.2">
      <c r="A7" s="8" t="s">
        <v>12</v>
      </c>
      <c r="B7" s="4" t="s">
        <v>10</v>
      </c>
      <c r="C7" s="4" t="s">
        <v>11</v>
      </c>
      <c r="D7" s="4"/>
      <c r="E7" s="9">
        <f>_xll.BQL("UAL US Equity", "FA_GROWTH(IS_COMP_EPS_ADJUSTED_OLD, YOY)", "FPT=A", "FPO=5A", "ACT_EST_MAPPING=PRECISE", "FS=MRC", "CURRENCY=USD", "XLFILL=b")</f>
        <v>10.491689750692524</v>
      </c>
      <c r="F7" s="9">
        <f>_xll.BQL("UAL US Equity", "FA_GROWTH(IS_COMP_EPS_ADJUSTED_OLD, YOY)", "FPT=A", "FPO=4A", "ACT_EST_MAPPING=PRECISE", "FS=MRC", "CURRENCY=USD", "XLFILL=b")</f>
        <v>11.062684271247269</v>
      </c>
      <c r="G7" s="9">
        <f>_xll.BQL("UAL US Equity", "FA_GROWTH(IS_COMP_EPS_ADJUSTED_OLD, YOY)", "FPT=A", "FPO=3A", "ACT_EST_MAPPING=PRECISE", "FS=MRC", "CURRENCY=USD", "XLFILL=b")</f>
        <v>15.724669930277415</v>
      </c>
      <c r="H7" s="9">
        <f>_xll.BQL("UAL US Equity", "FA_GROWTH(IS_COMP_EPS_ADJUSTED_OLD, YOY)", "FPT=A", "FPO=2A", "ACT_EST_MAPPING=PRECISE", "FS=MRC", "CURRENCY=USD", "XLFILL=b")</f>
        <v>16.290971822886686</v>
      </c>
      <c r="I7" s="9">
        <f>_xll.BQL("UAL US Equity", "FA_GROWTH(IS_COMP_EPS_ADJUSTED_OLD, YOY)", "FPT=A", "FPO=1A", "ACT_EST_MAPPING=PRECISE", "FS=MRC", "CURRENCY=USD", "XLFILL=b")</f>
        <v>-3.8695411829740047</v>
      </c>
      <c r="J7" s="9">
        <f>_xll.BQL("UAL US Equity", "FA_GROWTH(IS_COMP_EPS_ADJUSTED_OLD, YOY)", "FPT=A", "FPO=0A", "ACT_EST_MAPPING=PRECISE", "FS=MRC", "CURRENCY=USD", "XLFILL=b")</f>
        <v>298.80952380952385</v>
      </c>
      <c r="K7" s="9">
        <f>_xll.BQL("UAL US Equity", "FA_GROWTH(IS_COMP_EPS_ADJUSTED_OLD, YOY)", "FPT=A", "FPO=-1A", "ACT_EST_MAPPING=PRECISE", "FS=MRC", "CURRENCY=USD", "XLFILL=b")</f>
        <v>118.07747489239598</v>
      </c>
      <c r="L7" s="9">
        <f>_xll.BQL("UAL US Equity", "FA_GROWTH(IS_COMP_EPS_ADJUSTED_OLD, YOY)", "FPT=A", "FPO=-2A", "ACT_EST_MAPPING=PRECISE", "FS=MRC", "CURRENCY=USD", "XLFILL=b")</f>
        <v>49.437794704388828</v>
      </c>
      <c r="M7" s="9">
        <f>_xll.BQL("UAL US Equity", "FA_GROWTH(IS_COMP_EPS_ADJUSTED_OLD, YOY)", "FPT=A", "FPO=-3A", "ACT_EST_MAPPING=PRECISE", "FS=MRC", "CURRENCY=USD", "XLFILL=b")</f>
        <v>-328.79668049792531</v>
      </c>
      <c r="N7" s="9">
        <f>_xll.BQL("UAL US Equity", "FA_GROWTH(IS_COMP_EPS_ADJUSTED_OLD, YOY)", "FPT=A", "FPO=-4A", "ACT_EST_MAPPING=PRECISE", "FS=MRC", "CURRENCY=USD", "XLFILL=b")</f>
        <v>31.982475355969328</v>
      </c>
    </row>
    <row r="8" spans="1:14" x14ac:dyDescent="0.2">
      <c r="A8" s="8" t="s">
        <v>13</v>
      </c>
      <c r="B8" s="4" t="s">
        <v>14</v>
      </c>
      <c r="C8" s="4" t="s">
        <v>15</v>
      </c>
      <c r="D8" s="4"/>
      <c r="E8" s="9">
        <f>_xll.BQL("UAL US Equity", "IS_COMP_SALES/1M", "FPT=A", "FPO=5A", "ACT_EST_MAPPING=PRECISE", "FS=MRC", "CURRENCY=USD", "XLFILL=b")</f>
        <v>68319</v>
      </c>
      <c r="F8" s="9">
        <f>_xll.BQL("UAL US Equity", "IS_COMP_SALES/1M", "FPT=A", "FPO=4A", "ACT_EST_MAPPING=PRECISE", "FS=MRC", "CURRENCY=USD", "XLFILL=b")</f>
        <v>66429</v>
      </c>
      <c r="G8" s="9">
        <f>_xll.BQL("UAL US Equity", "IS_COMP_SALES/1M", "FPT=A", "FPO=3A", "ACT_EST_MAPPING=PRECISE", "FS=MRC", "CURRENCY=USD", "XLFILL=b")</f>
        <v>63560.583333333336</v>
      </c>
      <c r="H8" s="9">
        <f>_xll.BQL("UAL US Equity", "IS_COMP_SALES/1M", "FPT=A", "FPO=2A", "ACT_EST_MAPPING=PRECISE", "FS=MRC", "CURRENCY=USD", "XLFILL=b")</f>
        <v>60146.235294117643</v>
      </c>
      <c r="I8" s="9">
        <f>_xll.BQL("UAL US Equity", "IS_COMP_SALES/1M", "FPT=A", "FPO=1A", "ACT_EST_MAPPING=PRECISE", "FS=MRC", "CURRENCY=USD", "XLFILL=b")</f>
        <v>56468.777777777781</v>
      </c>
      <c r="J8" s="9">
        <f>_xll.BQL("UAL US Equity", "IS_COMP_SALES/1M", "FPT=A", "FPO=0A", "ACT_EST_MAPPING=PRECISE", "FS=MRC", "CURRENCY=USD", "XLFILL=b")</f>
        <v>53717</v>
      </c>
      <c r="K8" s="9">
        <f>_xll.BQL("UAL US Equity", "IS_COMP_SALES/1M", "FPT=A", "FPO=-1A", "ACT_EST_MAPPING=PRECISE", "FS=MRC", "CURRENCY=USD", "XLFILL=b")</f>
        <v>44955</v>
      </c>
      <c r="L8" s="9">
        <f>_xll.BQL("UAL US Equity", "IS_COMP_SALES/1M", "FPT=A", "FPO=-2A", "ACT_EST_MAPPING=PRECISE", "FS=MRC", "CURRENCY=USD", "XLFILL=b")</f>
        <v>24634</v>
      </c>
      <c r="M8" s="9">
        <f>_xll.BQL("UAL US Equity", "IS_COMP_SALES/1M", "FPT=A", "FPO=-3A", "ACT_EST_MAPPING=PRECISE", "FS=MRC", "CURRENCY=USD", "XLFILL=b")</f>
        <v>15355</v>
      </c>
      <c r="N8" s="9">
        <f>_xll.BQL("UAL US Equity", "IS_COMP_SALES/1M", "FPT=A", "FPO=-4A", "ACT_EST_MAPPING=PRECISE", "FS=MRC", "CURRENCY=USD", "XLFILL=b")</f>
        <v>43259</v>
      </c>
    </row>
    <row r="9" spans="1:14" x14ac:dyDescent="0.2">
      <c r="A9" s="8" t="s">
        <v>12</v>
      </c>
      <c r="B9" s="4" t="s">
        <v>14</v>
      </c>
      <c r="C9" s="4" t="s">
        <v>15</v>
      </c>
      <c r="D9" s="4"/>
      <c r="E9" s="9">
        <f>_xll.BQL("UAL US Equity", "FA_GROWTH(IS_COMP_SALES, YOY)", "FPT=A", "FPO=5A", "ACT_EST_MAPPING=PRECISE", "FS=MRC", "CURRENCY=USD", "XLFILL=b")</f>
        <v>2.8451429345617125</v>
      </c>
      <c r="F9" s="9">
        <f>_xll.BQL("UAL US Equity", "FA_GROWTH(IS_COMP_SALES, YOY)", "FPT=A", "FPO=4A", "ACT_EST_MAPPING=PRECISE", "FS=MRC", "CURRENCY=USD", "XLFILL=b")</f>
        <v>4.5128859998400426</v>
      </c>
      <c r="G9" s="9">
        <f>_xll.BQL("UAL US Equity", "FA_GROWTH(IS_COMP_SALES, YOY)", "FPT=A", "FPO=3A", "ACT_EST_MAPPING=PRECISE", "FS=MRC", "CURRENCY=USD", "XLFILL=b")</f>
        <v>5.6767443922622656</v>
      </c>
      <c r="H9" s="9">
        <f>_xll.BQL("UAL US Equity", "FA_GROWTH(IS_COMP_SALES, YOY)", "FPT=A", "FPO=2A", "ACT_EST_MAPPING=PRECISE", "FS=MRC", "CURRENCY=USD", "XLFILL=b")</f>
        <v>6.5123731397407028</v>
      </c>
      <c r="I9" s="9">
        <f>_xll.BQL("UAL US Equity", "FA_GROWTH(IS_COMP_SALES, YOY)", "FPT=A", "FPO=1A", "ACT_EST_MAPPING=PRECISE", "FS=MRC", "CURRENCY=USD", "XLFILL=b")</f>
        <v>5.1227316822938329</v>
      </c>
      <c r="J9" s="9">
        <f>_xll.BQL("UAL US Equity", "FA_GROWTH(IS_COMP_SALES, YOY)", "FPT=A", "FPO=0A", "ACT_EST_MAPPING=PRECISE", "FS=MRC", "CURRENCY=USD", "XLFILL=b")</f>
        <v>19.490601712823935</v>
      </c>
      <c r="K9" s="9">
        <f>_xll.BQL("UAL US Equity", "FA_GROWTH(IS_COMP_SALES, YOY)", "FPT=A", "FPO=-1A", "ACT_EST_MAPPING=PRECISE", "FS=MRC", "CURRENCY=USD", "XLFILL=b")</f>
        <v>82.491678168385164</v>
      </c>
      <c r="L9" s="9">
        <f>_xll.BQL("UAL US Equity", "FA_GROWTH(IS_COMP_SALES, YOY)", "FPT=A", "FPO=-2A", "ACT_EST_MAPPING=PRECISE", "FS=MRC", "CURRENCY=USD", "XLFILL=b")</f>
        <v>60.429827417779222</v>
      </c>
      <c r="M9" s="9">
        <f>_xll.BQL("UAL US Equity", "FA_GROWTH(IS_COMP_SALES, YOY)", "FPT=A", "FPO=-3A", "ACT_EST_MAPPING=PRECISE", "FS=MRC", "CURRENCY=USD", "XLFILL=b")</f>
        <v>-64.504496174206523</v>
      </c>
      <c r="N9" s="9">
        <f>_xll.BQL("UAL US Equity", "FA_GROWTH(IS_COMP_SALES, YOY)", "FPT=A", "FPO=-4A", "ACT_EST_MAPPING=PRECISE", "FS=MRC", "CURRENCY=USD", "XLFILL=b")</f>
        <v>4.7357334818294072</v>
      </c>
    </row>
    <row r="10" spans="1:14" x14ac:dyDescent="0.2">
      <c r="A10" s="8" t="s">
        <v>16</v>
      </c>
      <c r="B10" s="4"/>
      <c r="C10" s="4"/>
      <c r="D10" s="4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A11" s="8" t="s">
        <v>17</v>
      </c>
      <c r="B11" s="4"/>
      <c r="C11" s="4"/>
      <c r="D11" s="4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A12" s="8" t="s">
        <v>18</v>
      </c>
      <c r="B12" s="4" t="s">
        <v>19</v>
      </c>
      <c r="C12" s="4"/>
      <c r="D12" s="4"/>
      <c r="E12" s="9">
        <f>_xll.BQL("UAL US Equity", "TOTAL_PASSENGER_REVENUE/1M", "FPT=A", "FPO=5A", "ACT_EST_MAPPING=PRECISE", "FS=MRC", "CURRENCY=USD", "XLFILL=b")</f>
        <v>59785.875609706447</v>
      </c>
      <c r="F12" s="9">
        <f>_xll.BQL("UAL US Equity", "TOTAL_PASSENGER_REVENUE/1M", "FPT=A", "FPO=4A", "ACT_EST_MAPPING=PRECISE", "FS=MRC", "CURRENCY=USD", "XLFILL=b")</f>
        <v>58592.823777724683</v>
      </c>
      <c r="G12" s="9">
        <f>_xll.BQL("UAL US Equity", "TOTAL_PASSENGER_REVENUE/1M", "FPT=A", "FPO=3A", "ACT_EST_MAPPING=PRECISE", "FS=MRC", "CURRENCY=USD", "XLFILL=b")</f>
        <v>56988.268499926213</v>
      </c>
      <c r="H12" s="9">
        <f>_xll.BQL("UAL US Equity", "TOTAL_PASSENGER_REVENUE/1M", "FPT=A", "FPO=2A", "ACT_EST_MAPPING=PRECISE", "FS=MRC", "CURRENCY=USD", "XLFILL=b")</f>
        <v>54284.184653077216</v>
      </c>
      <c r="I12" s="9">
        <f>_xll.BQL("UAL US Equity", "TOTAL_PASSENGER_REVENUE/1M", "FPT=A", "FPO=1A", "ACT_EST_MAPPING=PRECISE", "FS=MRC", "CURRENCY=USD", "XLFILL=b")</f>
        <v>51220.734180586885</v>
      </c>
      <c r="J12" s="9">
        <f>_xll.BQL("UAL US Equity", "TOTAL_PASSENGER_REVENUE/1M", "FPT=A", "FPO=0A", "ACT_EST_MAPPING=PRECISE", "FS=MRC", "CURRENCY=USD", "XLFILL=b")</f>
        <v>49046</v>
      </c>
      <c r="K12" s="9">
        <f>_xll.BQL("UAL US Equity", "TOTAL_PASSENGER_REVENUE/1M", "FPT=A", "FPO=-1A", "ACT_EST_MAPPING=PRECISE", "FS=MRC", "CURRENCY=USD", "XLFILL=b")</f>
        <v>40032</v>
      </c>
      <c r="L12" s="9">
        <f>_xll.BQL("UAL US Equity", "TOTAL_PASSENGER_REVENUE/1M", "FPT=A", "FPO=-2A", "ACT_EST_MAPPING=PRECISE", "FS=MRC", "CURRENCY=USD", "XLFILL=b")</f>
        <v>20197</v>
      </c>
      <c r="M12" s="9">
        <f>_xll.BQL("UAL US Equity", "TOTAL_PASSENGER_REVENUE/1M", "FPT=A", "FPO=-3A", "ACT_EST_MAPPING=PRECISE", "FS=MRC", "CURRENCY=USD", "XLFILL=b")</f>
        <v>11805</v>
      </c>
      <c r="N12" s="9">
        <f>_xll.BQL("UAL US Equity", "TOTAL_PASSENGER_REVENUE/1M", "FPT=A", "FPO=-4A", "ACT_EST_MAPPING=PRECISE", "FS=MRC", "CURRENCY=USD", "XLFILL=b")</f>
        <v>39625</v>
      </c>
    </row>
    <row r="13" spans="1:14" x14ac:dyDescent="0.2">
      <c r="A13" s="8" t="s">
        <v>20</v>
      </c>
      <c r="B13" s="4" t="s">
        <v>19</v>
      </c>
      <c r="C13" s="4"/>
      <c r="D13" s="4"/>
      <c r="E13" s="9">
        <f>_xll.BQL("UAL US Equity", "FA_GROWTH(TOTAL_PASSENGER_REVENUE, YOY)", "FPT=A", "FPO=5A", "ACT_EST_MAPPING=PRECISE", "FS=MRC", "CURRENCY=USD", "XLFILL=b")</f>
        <v>2.0361739801236927</v>
      </c>
      <c r="F13" s="9">
        <f>_xll.BQL("UAL US Equity", "FA_GROWTH(TOTAL_PASSENGER_REVENUE, YOY)", "FPT=A", "FPO=4A", "ACT_EST_MAPPING=PRECISE", "FS=MRC", "CURRENCY=USD", "XLFILL=b")</f>
        <v>2.8155887519210152</v>
      </c>
      <c r="G13" s="9">
        <f>_xll.BQL("UAL US Equity", "FA_GROWTH(TOTAL_PASSENGER_REVENUE, YOY)", "FPT=A", "FPO=3A", "ACT_EST_MAPPING=PRECISE", "FS=MRC", "CURRENCY=USD", "XLFILL=b")</f>
        <v>4.9813474479361313</v>
      </c>
      <c r="H13" s="9">
        <f>_xll.BQL("UAL US Equity", "FA_GROWTH(TOTAL_PASSENGER_REVENUE, YOY)", "FPT=A", "FPO=2A", "ACT_EST_MAPPING=PRECISE", "FS=MRC", "CURRENCY=USD", "XLFILL=b")</f>
        <v>5.9808796603532643</v>
      </c>
      <c r="I13" s="9">
        <f>_xll.BQL("UAL US Equity", "FA_GROWTH(TOTAL_PASSENGER_REVENUE, YOY)", "FPT=A", "FPO=1A", "ACT_EST_MAPPING=PRECISE", "FS=MRC", "CURRENCY=USD", "XLFILL=b")</f>
        <v>4.4340704248804865</v>
      </c>
      <c r="J13" s="9">
        <f>_xll.BQL("UAL US Equity", "FA_GROWTH(TOTAL_PASSENGER_REVENUE, YOY)", "FPT=A", "FPO=0A", "ACT_EST_MAPPING=PRECISE", "FS=MRC", "CURRENCY=USD", "XLFILL=b")</f>
        <v>22.516986410871304</v>
      </c>
      <c r="K13" s="9">
        <f>_xll.BQL("UAL US Equity", "FA_GROWTH(TOTAL_PASSENGER_REVENUE, YOY)", "FPT=A", "FPO=-1A", "ACT_EST_MAPPING=PRECISE", "FS=MRC", "CURRENCY=USD", "XLFILL=b")</f>
        <v>98.207654602168645</v>
      </c>
      <c r="L13" s="9">
        <f>_xll.BQL("UAL US Equity", "FA_GROWTH(TOTAL_PASSENGER_REVENUE, YOY)", "FPT=A", "FPO=-2A", "ACT_EST_MAPPING=PRECISE", "FS=MRC", "CURRENCY=USD", "XLFILL=b")</f>
        <v>71.088521812791186</v>
      </c>
      <c r="M13" s="9">
        <f>_xll.BQL("UAL US Equity", "FA_GROWTH(TOTAL_PASSENGER_REVENUE, YOY)", "FPT=A", "FPO=-3A", "ACT_EST_MAPPING=PRECISE", "FS=MRC", "CURRENCY=USD", "XLFILL=b")</f>
        <v>-70.208201892744484</v>
      </c>
      <c r="N13" s="9">
        <f>_xll.BQL("UAL US Equity", "FA_GROWTH(TOTAL_PASSENGER_REVENUE, YOY)", "FPT=A", "FPO=-4A", "ACT_EST_MAPPING=PRECISE", "FS=MRC", "CURRENCY=USD", "XLFILL=b")</f>
        <v>5.0893756961756749</v>
      </c>
    </row>
    <row r="14" spans="1:14" x14ac:dyDescent="0.2">
      <c r="A14" s="8" t="s">
        <v>21</v>
      </c>
      <c r="B14" s="4" t="s">
        <v>22</v>
      </c>
      <c r="C14" s="4"/>
      <c r="D14" s="4" t="s">
        <v>23</v>
      </c>
      <c r="E14" s="9">
        <f>_xll.BQL("SEG0000201729 Segment", "SALES_REV_TURN/1M", "FPT=A", "FPO=5A", "ACT_EST_MAPPING=PRECISE", "FS=MRC", "CURRENCY=USD", "XLFILL=b")</f>
        <v>1829.3909483523446</v>
      </c>
      <c r="F14" s="9">
        <f>_xll.BQL("SEG0000201729 Segment", "SALES_REV_TURN/1M", "FPT=A", "FPO=4A", "ACT_EST_MAPPING=PRECISE", "FS=MRC", "CURRENCY=USD", "XLFILL=b")</f>
        <v>1733.0730867523064</v>
      </c>
      <c r="G14" s="9">
        <f>_xll.BQL("SEG0000201729 Segment", "SALES_REV_TURN/1M", "FPT=A", "FPO=3A", "ACT_EST_MAPPING=PRECISE", "FS=MRC", "CURRENCY=USD", "XLFILL=b")</f>
        <v>1727.4593215492137</v>
      </c>
      <c r="H14" s="9">
        <f>_xll.BQL("SEG0000201729 Segment", "SALES_REV_TURN/1M", "FPT=A", "FPO=2A", "ACT_EST_MAPPING=PRECISE", "FS=MRC", "CURRENCY=USD", "XLFILL=b")</f>
        <v>1679.6460733955796</v>
      </c>
      <c r="I14" s="9">
        <f>_xll.BQL("SEG0000201729 Segment", "SALES_REV_TURN/1M", "FPT=A", "FPO=1A", "ACT_EST_MAPPING=PRECISE", "FS=MRC", "CURRENCY=USD", "XLFILL=b")</f>
        <v>1594.1965814208634</v>
      </c>
      <c r="J14" s="9">
        <f>_xll.BQL("SEG0000201729 Segment", "SALES_REV_TURN/1M", "FPT=A", "FPO=0A", "ACT_EST_MAPPING=PRECISE", "FS=MRC", "CURRENCY=USD", "XLFILL=b")</f>
        <v>1495</v>
      </c>
      <c r="K14" s="9">
        <f>_xll.BQL("SEG0000201729 Segment", "SALES_REV_TURN/1M", "FPT=A", "FPO=-1A", "ACT_EST_MAPPING=PRECISE", "FS=MRC", "CURRENCY=USD", "XLFILL=b")</f>
        <v>2171</v>
      </c>
      <c r="L14" s="9">
        <f>_xll.BQL("SEG0000201729 Segment", "SALES_REV_TURN/1M", "FPT=A", "FPO=-2A", "ACT_EST_MAPPING=PRECISE", "FS=MRC", "CURRENCY=USD", "XLFILL=b")</f>
        <v>2349</v>
      </c>
      <c r="M14" s="9">
        <f>_xll.BQL("SEG0000201729 Segment", "SALES_REV_TURN/1M", "FPT=A", "FPO=-3A", "ACT_EST_MAPPING=PRECISE", "FS=MRC", "CURRENCY=USD", "XLFILL=b")</f>
        <v>1648</v>
      </c>
      <c r="N14" s="9">
        <f>_xll.BQL("SEG0000201729 Segment", "SALES_REV_TURN/1M", "FPT=A", "FPO=-4A", "ACT_EST_MAPPING=PRECISE", "FS=MRC", "CURRENCY=USD", "XLFILL=b")</f>
        <v>1179</v>
      </c>
    </row>
    <row r="15" spans="1:14" x14ac:dyDescent="0.2">
      <c r="A15" s="8" t="s">
        <v>20</v>
      </c>
      <c r="B15" s="4" t="s">
        <v>22</v>
      </c>
      <c r="C15" s="4"/>
      <c r="D15" s="4" t="s">
        <v>23</v>
      </c>
      <c r="E15" s="9">
        <f>_xll.BQL("SEG0000201729 Segment", "FA_GROWTH(SALES_REV_TURN, YOY)", "FPT=A", "FPO=5A", "ACT_EST_MAPPING=PRECISE", "FS=MRC", "CURRENCY=USD", "XLFILL=b")</f>
        <v>5.5576341434355188</v>
      </c>
      <c r="F15" s="9">
        <f>_xll.BQL("SEG0000201729 Segment", "FA_GROWTH(SALES_REV_TURN, YOY)", "FPT=A", "FPO=4A", "ACT_EST_MAPPING=PRECISE", "FS=MRC", "CURRENCY=USD", "XLFILL=b")</f>
        <v>0.32497235292685778</v>
      </c>
      <c r="G15" s="9">
        <f>_xll.BQL("SEG0000201729 Segment", "FA_GROWTH(SALES_REV_TURN, YOY)", "FPT=A", "FPO=3A", "ACT_EST_MAPPING=PRECISE", "FS=MRC", "CURRENCY=USD", "XLFILL=b")</f>
        <v>2.8466263762921558</v>
      </c>
      <c r="H15" s="9">
        <f>_xll.BQL("SEG0000201729 Segment", "FA_GROWTH(SALES_REV_TURN, YOY)", "FPT=A", "FPO=2A", "ACT_EST_MAPPING=PRECISE", "FS=MRC", "CURRENCY=USD", "XLFILL=b")</f>
        <v>5.3600348269820914</v>
      </c>
      <c r="I15" s="9">
        <f>_xll.BQL("SEG0000201729 Segment", "FA_GROWTH(SALES_REV_TURN, YOY)", "FPT=A", "FPO=1A", "ACT_EST_MAPPING=PRECISE", "FS=MRC", "CURRENCY=USD", "XLFILL=b")</f>
        <v>6.6352228375159452</v>
      </c>
      <c r="J15" s="9">
        <f>_xll.BQL("SEG0000201729 Segment", "FA_GROWTH(SALES_REV_TURN, YOY)", "FPT=A", "FPO=0A", "ACT_EST_MAPPING=PRECISE", "FS=MRC", "CURRENCY=USD", "XLFILL=b")</f>
        <v>-31.137724550898202</v>
      </c>
      <c r="K15" s="9">
        <f>_xll.BQL("SEG0000201729 Segment", "FA_GROWTH(SALES_REV_TURN, YOY)", "FPT=A", "FPO=-1A", "ACT_EST_MAPPING=PRECISE", "FS=MRC", "CURRENCY=USD", "XLFILL=b")</f>
        <v>-7.5776926351638991</v>
      </c>
      <c r="L15" s="9">
        <f>_xll.BQL("SEG0000201729 Segment", "FA_GROWTH(SALES_REV_TURN, YOY)", "FPT=A", "FPO=-2A", "ACT_EST_MAPPING=PRECISE", "FS=MRC", "CURRENCY=USD", "XLFILL=b")</f>
        <v>42.536407766990294</v>
      </c>
      <c r="M15" s="9">
        <f>_xll.BQL("SEG0000201729 Segment", "FA_GROWTH(SALES_REV_TURN, YOY)", "FPT=A", "FPO=-3A", "ACT_EST_MAPPING=PRECISE", "FS=MRC", "CURRENCY=USD", "XLFILL=b")</f>
        <v>39.779474130619171</v>
      </c>
      <c r="N15" s="9">
        <f>_xll.BQL("SEG0000201729 Segment", "FA_GROWTH(SALES_REV_TURN, YOY)", "FPT=A", "FPO=-4A", "ACT_EST_MAPPING=PRECISE", "FS=MRC", "CURRENCY=USD", "XLFILL=b")</f>
        <v>-4.6887631366208566</v>
      </c>
    </row>
    <row r="16" spans="1:14" x14ac:dyDescent="0.2">
      <c r="A16" s="8" t="s">
        <v>24</v>
      </c>
      <c r="B16" s="4" t="s">
        <v>22</v>
      </c>
      <c r="C16" s="4"/>
      <c r="D16" s="4" t="s">
        <v>25</v>
      </c>
      <c r="E16" s="9">
        <f>_xll.BQL("SEG0000201702 Segment", "SALES_REV_TURN/1M", "FPT=A", "FPO=5A", "ACT_EST_MAPPING=PRECISE", "FS=MRC", "CURRENCY=USD", "XLFILL=b")</f>
        <v>3951.2978603206716</v>
      </c>
      <c r="F16" s="9">
        <f>_xll.BQL("SEG0000201702 Segment", "SALES_REV_TURN/1M", "FPT=A", "FPO=4A", "ACT_EST_MAPPING=PRECISE", "FS=MRC", "CURRENCY=USD", "XLFILL=b")</f>
        <v>3797.027732423458</v>
      </c>
      <c r="G16" s="9">
        <f>_xll.BQL("SEG0000201702 Segment", "SALES_REV_TURN/1M", "FPT=A", "FPO=3A", "ACT_EST_MAPPING=PRECISE", "FS=MRC", "CURRENCY=USD", "XLFILL=b")</f>
        <v>3854.0489004939286</v>
      </c>
      <c r="H16" s="9">
        <f>_xll.BQL("SEG0000201702 Segment", "SALES_REV_TURN/1M", "FPT=A", "FPO=2A", "ACT_EST_MAPPING=PRECISE", "FS=MRC", "CURRENCY=USD", "XLFILL=b")</f>
        <v>3724.6442710573401</v>
      </c>
      <c r="I16" s="9">
        <f>_xll.BQL("SEG0000201702 Segment", "SALES_REV_TURN/1M", "FPT=A", "FPO=1A", "ACT_EST_MAPPING=PRECISE", "FS=MRC", "CURRENCY=USD", "XLFILL=b")</f>
        <v>3453.3950838354708</v>
      </c>
      <c r="J16" s="9">
        <f>_xll.BQL("SEG0000201702 Segment", "SALES_REV_TURN/1M", "FPT=A", "FPO=0A", "ACT_EST_MAPPING=PRECISE", "FS=MRC", "CURRENCY=USD", "XLFILL=b")</f>
        <v>3176</v>
      </c>
      <c r="K16" s="9">
        <f>_xll.BQL("SEG0000201702 Segment", "SALES_REV_TURN/1M", "FPT=A", "FPO=-1A", "ACT_EST_MAPPING=PRECISE", "FS=MRC", "CURRENCY=USD", "XLFILL=b")</f>
        <v>2752</v>
      </c>
      <c r="L16" s="9">
        <f>_xll.BQL("SEG0000201702 Segment", "SALES_REV_TURN/1M", "FPT=A", "FPO=-2A", "ACT_EST_MAPPING=PRECISE", "FS=MRC", "CURRENCY=USD", "XLFILL=b")</f>
        <v>2088</v>
      </c>
      <c r="M16" s="9">
        <f>_xll.BQL("SEG0000201702 Segment", "SALES_REV_TURN/1M", "FPT=A", "FPO=-3A", "ACT_EST_MAPPING=PRECISE", "FS=MRC", "CURRENCY=USD", "XLFILL=b")</f>
        <v>1902</v>
      </c>
      <c r="N16" s="9">
        <f>_xll.BQL("SEG0000201702 Segment", "SALES_REV_TURN/1M", "FPT=A", "FPO=-4A", "ACT_EST_MAPPING=PRECISE", "FS=MRC", "CURRENCY=USD", "XLFILL=b")</f>
        <v>2455</v>
      </c>
    </row>
    <row r="17" spans="1:14" x14ac:dyDescent="0.2">
      <c r="A17" s="8" t="s">
        <v>20</v>
      </c>
      <c r="B17" s="4" t="s">
        <v>22</v>
      </c>
      <c r="C17" s="4"/>
      <c r="D17" s="4" t="s">
        <v>25</v>
      </c>
      <c r="E17" s="9">
        <f>_xll.BQL("SEG0000201702 Segment", "FA_GROWTH(SALES_REV_TURN, YOY)", "FPT=A", "FPO=5A", "ACT_EST_MAPPING=PRECISE", "FS=MRC", "CURRENCY=USD", "XLFILL=b")</f>
        <v>4.0629181235595118</v>
      </c>
      <c r="F17" s="9">
        <f>_xll.BQL("SEG0000201702 Segment", "FA_GROWTH(SALES_REV_TURN, YOY)", "FPT=A", "FPO=4A", "ACT_EST_MAPPING=PRECISE", "FS=MRC", "CURRENCY=USD", "XLFILL=b")</f>
        <v>-1.4795133518716537</v>
      </c>
      <c r="G17" s="9">
        <f>_xll.BQL("SEG0000201702 Segment", "FA_GROWTH(SALES_REV_TURN, YOY)", "FPT=A", "FPO=3A", "ACT_EST_MAPPING=PRECISE", "FS=MRC", "CURRENCY=USD", "XLFILL=b")</f>
        <v>3.4742815694410814</v>
      </c>
      <c r="H17" s="9">
        <f>_xll.BQL("SEG0000201702 Segment", "FA_GROWTH(SALES_REV_TURN, YOY)", "FPT=A", "FPO=2A", "ACT_EST_MAPPING=PRECISE", "FS=MRC", "CURRENCY=USD", "XLFILL=b")</f>
        <v>7.8545657428981421</v>
      </c>
      <c r="I17" s="9">
        <f>_xll.BQL("SEG0000201702 Segment", "FA_GROWTH(SALES_REV_TURN, YOY)", "FPT=A", "FPO=1A", "ACT_EST_MAPPING=PRECISE", "FS=MRC", "CURRENCY=USD", "XLFILL=b")</f>
        <v>8.7341021358775404</v>
      </c>
      <c r="J17" s="9">
        <f>_xll.BQL("SEG0000201702 Segment", "FA_GROWTH(SALES_REV_TURN, YOY)", "FPT=A", "FPO=0A", "ACT_EST_MAPPING=PRECISE", "FS=MRC", "CURRENCY=USD", "XLFILL=b")</f>
        <v>15.406976744186046</v>
      </c>
      <c r="K17" s="9">
        <f>_xll.BQL("SEG0000201702 Segment", "FA_GROWTH(SALES_REV_TURN, YOY)", "FPT=A", "FPO=-1A", "ACT_EST_MAPPING=PRECISE", "FS=MRC", "CURRENCY=USD", "XLFILL=b")</f>
        <v>31.800766283524904</v>
      </c>
      <c r="L17" s="9">
        <f>_xll.BQL("SEG0000201702 Segment", "FA_GROWTH(SALES_REV_TURN, YOY)", "FPT=A", "FPO=-2A", "ACT_EST_MAPPING=PRECISE", "FS=MRC", "CURRENCY=USD", "XLFILL=b")</f>
        <v>9.7791798107255516</v>
      </c>
      <c r="M17" s="9">
        <f>_xll.BQL("SEG0000201702 Segment", "FA_GROWTH(SALES_REV_TURN, YOY)", "FPT=A", "FPO=-3A", "ACT_EST_MAPPING=PRECISE", "FS=MRC", "CURRENCY=USD", "XLFILL=b")</f>
        <v>-22.525458248472503</v>
      </c>
      <c r="N17" s="9">
        <f>_xll.BQL("SEG0000201702 Segment", "FA_GROWTH(SALES_REV_TURN, YOY)", "FPT=A", "FPO=-4A", "ACT_EST_MAPPING=PRECISE", "FS=MRC", "CURRENCY=USD", "XLFILL=b")</f>
        <v>4.0254237288135597</v>
      </c>
    </row>
    <row r="18" spans="1:14" x14ac:dyDescent="0.2">
      <c r="A18" s="8" t="s">
        <v>16</v>
      </c>
      <c r="B18" s="4"/>
      <c r="C18" s="4"/>
      <c r="D18" s="4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2">
      <c r="A19" s="8" t="s">
        <v>506</v>
      </c>
      <c r="B19" s="4" t="s">
        <v>27</v>
      </c>
      <c r="C19" s="4" t="s">
        <v>28</v>
      </c>
      <c r="D19" s="4"/>
      <c r="E19" s="9">
        <f>_xll.BQL("UAL US Equity", "REV_PASS_MILES_KM/1M", "FPT=A", "FPO=5A", "ACT_EST_MAPPING=PRECISE", "FS=MRC", "CURRENCY=USD", "XLFILL=b")</f>
        <v>302527.02325284079</v>
      </c>
      <c r="F19" s="9">
        <f>_xll.BQL("UAL US Equity", "REV_PASS_MILES_KM/1M", "FPT=A", "FPO=4A", "ACT_EST_MAPPING=PRECISE", "FS=MRC", "CURRENCY=USD", "XLFILL=b")</f>
        <v>295800.3885015542</v>
      </c>
      <c r="G19" s="9">
        <f>_xll.BQL("UAL US Equity", "REV_PASS_MILES_KM/1M", "FPT=A", "FPO=3A", "ACT_EST_MAPPING=PRECISE", "FS=MRC", "CURRENCY=USD", "XLFILL=b")</f>
        <v>286126.03109730768</v>
      </c>
      <c r="H19" s="9">
        <f>_xll.BQL("UAL US Equity", "REV_PASS_MILES_KM/1M", "FPT=A", "FPO=2A", "ACT_EST_MAPPING=PRECISE", "FS=MRC", "CURRENCY=USD", "XLFILL=b")</f>
        <v>271481.31006956141</v>
      </c>
      <c r="I19" s="9">
        <f>_xll.BQL("UAL US Equity", "REV_PASS_MILES_KM/1M", "FPT=A", "FPO=1A", "ACT_EST_MAPPING=PRECISE", "FS=MRC", "CURRENCY=USD", "XLFILL=b")</f>
        <v>258410.57090243642</v>
      </c>
      <c r="J19" s="9">
        <f>_xll.BQL("UAL US Equity", "REV_PASS_MILES_KM/1M", "FPT=A", "FPO=0A", "ACT_EST_MAPPING=PRECISE", "FS=MRC", "CURRENCY=USD", "XLFILL=b")</f>
        <v>244435</v>
      </c>
      <c r="K19" s="9">
        <f>_xll.BQL("UAL US Equity", "REV_PASS_MILES_KM/1M", "FPT=A", "FPO=-1A", "ACT_EST_MAPPING=PRECISE", "FS=MRC", "CURRENCY=USD", "XLFILL=b")</f>
        <v>206791</v>
      </c>
      <c r="L19" s="9">
        <f>_xll.BQL("UAL US Equity", "REV_PASS_MILES_KM/1M", "FPT=A", "FPO=-2A", "ACT_EST_MAPPING=PRECISE", "FS=MRC", "CURRENCY=USD", "XLFILL=b")</f>
        <v>128979</v>
      </c>
      <c r="M19" s="9">
        <f>_xll.BQL("UAL US Equity", "REV_PASS_MILES_KM/1M", "FPT=A", "FPO=-3A", "ACT_EST_MAPPING=PRECISE", "FS=MRC", "CURRENCY=USD", "XLFILL=b")</f>
        <v>73883</v>
      </c>
      <c r="N19" s="9">
        <f>_xll.BQL("UAL US Equity", "REV_PASS_MILES_KM/1M", "FPT=A", "FPO=-4A", "ACT_EST_MAPPING=PRECISE", "FS=MRC", "CURRENCY=USD", "XLFILL=b")</f>
        <v>239360</v>
      </c>
    </row>
    <row r="20" spans="1:14" x14ac:dyDescent="0.2">
      <c r="A20" s="8" t="s">
        <v>12</v>
      </c>
      <c r="B20" s="4" t="s">
        <v>27</v>
      </c>
      <c r="C20" s="4" t="s">
        <v>28</v>
      </c>
      <c r="D20" s="4"/>
      <c r="E20" s="9">
        <f>_xll.BQL("UAL US Equity", "FA_GROWTH(REV_PASS_MILES_KM, YOY)", "FPT=A", "FPO=5A", "ACT_EST_MAPPING=PRECISE", "FS=MRC", "CURRENCY=USD", "XLFILL=b")</f>
        <v>2.2740452726793081</v>
      </c>
      <c r="F20" s="9">
        <f>_xll.BQL("UAL US Equity", "FA_GROWTH(REV_PASS_MILES_KM, YOY)", "FPT=A", "FPO=4A", "ACT_EST_MAPPING=PRECISE", "FS=MRC", "CURRENCY=USD", "XLFILL=b")</f>
        <v>3.38115248275205</v>
      </c>
      <c r="G20" s="9">
        <f>_xll.BQL("UAL US Equity", "FA_GROWTH(REV_PASS_MILES_KM, YOY)", "FPT=A", "FPO=3A", "ACT_EST_MAPPING=PRECISE", "FS=MRC", "CURRENCY=USD", "XLFILL=b")</f>
        <v>5.3943754080138602</v>
      </c>
      <c r="H20" s="9">
        <f>_xll.BQL("UAL US Equity", "FA_GROWTH(REV_PASS_MILES_KM, YOY)", "FPT=A", "FPO=2A", "ACT_EST_MAPPING=PRECISE", "FS=MRC", "CURRENCY=USD", "XLFILL=b")</f>
        <v>5.0581286676773995</v>
      </c>
      <c r="I20" s="9">
        <f>_xll.BQL("UAL US Equity", "FA_GROWTH(REV_PASS_MILES_KM, YOY)", "FPT=A", "FPO=1A", "ACT_EST_MAPPING=PRECISE", "FS=MRC", "CURRENCY=USD", "XLFILL=b")</f>
        <v>5.7174999089477492</v>
      </c>
      <c r="J20" s="9">
        <f>_xll.BQL("UAL US Equity", "FA_GROWTH(REV_PASS_MILES_KM, YOY)", "FPT=A", "FPO=0A", "ACT_EST_MAPPING=PRECISE", "FS=MRC", "CURRENCY=USD", "XLFILL=b")</f>
        <v>18.203887016359513</v>
      </c>
      <c r="K20" s="9">
        <f>_xll.BQL("UAL US Equity", "FA_GROWTH(REV_PASS_MILES_KM, YOY)", "FPT=A", "FPO=-1A", "ACT_EST_MAPPING=PRECISE", "FS=MRC", "CURRENCY=USD", "XLFILL=b")</f>
        <v>60.329200877662252</v>
      </c>
      <c r="L20" s="9">
        <f>_xll.BQL("UAL US Equity", "FA_GROWTH(REV_PASS_MILES_KM, YOY)", "FPT=A", "FPO=-2A", "ACT_EST_MAPPING=PRECISE", "FS=MRC", "CURRENCY=USD", "XLFILL=b")</f>
        <v>74.571958366606665</v>
      </c>
      <c r="M20" s="9">
        <f>_xll.BQL("UAL US Equity", "FA_GROWTH(REV_PASS_MILES_KM, YOY)", "FPT=A", "FPO=-3A", "ACT_EST_MAPPING=PRECISE", "FS=MRC", "CURRENCY=USD", "XLFILL=b")</f>
        <v>-69.133104946524071</v>
      </c>
      <c r="N20" s="9">
        <f>_xll.BQL("UAL US Equity", "FA_GROWTH(REV_PASS_MILES_KM, YOY)", "FPT=A", "FPO=-4A", "ACT_EST_MAPPING=PRECISE", "FS=MRC", "CURRENCY=USD", "XLFILL=b")</f>
        <v>3.9994786122395776</v>
      </c>
    </row>
    <row r="21" spans="1:14" x14ac:dyDescent="0.2">
      <c r="A21" s="8" t="s">
        <v>29</v>
      </c>
      <c r="B21" s="4" t="s">
        <v>30</v>
      </c>
      <c r="C21" s="4" t="s">
        <v>31</v>
      </c>
      <c r="D21" s="4"/>
      <c r="E21" s="9">
        <f>_xll.BQL("UAL US Equity", "AVAIL_SEAT_MILES_KM/1M", "FPT=A", "FPO=5A", "ACT_EST_MAPPING=PRECISE", "FS=MRC", "CURRENCY=USD", "XLFILL=b")</f>
        <v>361828.75533082709</v>
      </c>
      <c r="F21" s="9">
        <f>_xll.BQL("UAL US Equity", "AVAIL_SEAT_MILES_KM/1M", "FPT=A", "FPO=4A", "ACT_EST_MAPPING=PRECISE", "FS=MRC", "CURRENCY=USD", "XLFILL=b")</f>
        <v>352359.41517946153</v>
      </c>
      <c r="G21" s="9">
        <f>_xll.BQL("UAL US Equity", "AVAIL_SEAT_MILES_KM/1M", "FPT=A", "FPO=3A", "ACT_EST_MAPPING=PRECISE", "FS=MRC", "CURRENCY=USD", "XLFILL=b")</f>
        <v>340718.52746518899</v>
      </c>
      <c r="H21" s="9">
        <f>_xll.BQL("UAL US Equity", "AVAIL_SEAT_MILES_KM/1M", "FPT=A", "FPO=2A", "ACT_EST_MAPPING=PRECISE", "FS=MRC", "CURRENCY=USD", "XLFILL=b")</f>
        <v>325169.09682762012</v>
      </c>
      <c r="I21" s="9">
        <f>_xll.BQL("UAL US Equity", "AVAIL_SEAT_MILES_KM/1M", "FPT=A", "FPO=1A", "ACT_EST_MAPPING=PRECISE", "FS=MRC", "CURRENCY=USD", "XLFILL=b")</f>
        <v>309174.95003201626</v>
      </c>
      <c r="J21" s="9">
        <f>_xll.BQL("UAL US Equity", "AVAIL_SEAT_MILES_KM/1M", "FPT=A", "FPO=0A", "ACT_EST_MAPPING=PRECISE", "FS=MRC", "CURRENCY=USD", "XLFILL=b")</f>
        <v>291333</v>
      </c>
      <c r="K21" s="9">
        <f>_xll.BQL("UAL US Equity", "AVAIL_SEAT_MILES_KM/1M", "FPT=A", "FPO=-1A", "ACT_EST_MAPPING=PRECISE", "FS=MRC", "CURRENCY=USD", "XLFILL=b")</f>
        <v>247858</v>
      </c>
      <c r="L21" s="9">
        <f>_xll.BQL("UAL US Equity", "AVAIL_SEAT_MILES_KM/1M", "FPT=A", "FPO=-2A", "ACT_EST_MAPPING=PRECISE", "FS=MRC", "CURRENCY=USD", "XLFILL=b")</f>
        <v>178684</v>
      </c>
      <c r="M21" s="9">
        <f>_xll.BQL("UAL US Equity", "AVAIL_SEAT_MILES_KM/1M", "FPT=A", "FPO=-3A", "ACT_EST_MAPPING=PRECISE", "FS=MRC", "CURRENCY=USD", "XLFILL=b")</f>
        <v>122804</v>
      </c>
      <c r="N21" s="9">
        <f>_xll.BQL("UAL US Equity", "AVAIL_SEAT_MILES_KM/1M", "FPT=A", "FPO=-4A", "ACT_EST_MAPPING=PRECISE", "FS=MRC", "CURRENCY=USD", "XLFILL=b")</f>
        <v>284999</v>
      </c>
    </row>
    <row r="22" spans="1:14" x14ac:dyDescent="0.2">
      <c r="A22" s="8" t="s">
        <v>12</v>
      </c>
      <c r="B22" s="4" t="s">
        <v>30</v>
      </c>
      <c r="C22" s="4" t="s">
        <v>31</v>
      </c>
      <c r="D22" s="4"/>
      <c r="E22" s="9">
        <f>_xll.BQL("UAL US Equity", "FA_GROWTH(AVAIL_SEAT_MILES_KM, YOY)", "FPT=A", "FPO=5A", "ACT_EST_MAPPING=PRECISE", "FS=MRC", "CURRENCY=USD", "XLFILL=b")</f>
        <v>2.6874094300964466</v>
      </c>
      <c r="F22" s="9">
        <f>_xll.BQL("UAL US Equity", "FA_GROWTH(AVAIL_SEAT_MILES_KM, YOY)", "FPT=A", "FPO=4A", "ACT_EST_MAPPING=PRECISE", "FS=MRC", "CURRENCY=USD", "XLFILL=b")</f>
        <v>3.4165702114517171</v>
      </c>
      <c r="G22" s="9">
        <f>_xll.BQL("UAL US Equity", "FA_GROWTH(AVAIL_SEAT_MILES_KM, YOY)", "FPT=A", "FPO=3A", "ACT_EST_MAPPING=PRECISE", "FS=MRC", "CURRENCY=USD", "XLFILL=b")</f>
        <v>4.7819521563612701</v>
      </c>
      <c r="H22" s="9">
        <f>_xll.BQL("UAL US Equity", "FA_GROWTH(AVAIL_SEAT_MILES_KM, YOY)", "FPT=A", "FPO=2A", "ACT_EST_MAPPING=PRECISE", "FS=MRC", "CURRENCY=USD", "XLFILL=b")</f>
        <v>5.1731703341255901</v>
      </c>
      <c r="I22" s="9">
        <f>_xll.BQL("UAL US Equity", "FA_GROWTH(AVAIL_SEAT_MILES_KM, YOY)", "FPT=A", "FPO=1A", "ACT_EST_MAPPING=PRECISE", "FS=MRC", "CURRENCY=USD", "XLFILL=b")</f>
        <v>6.1242461485709603</v>
      </c>
      <c r="J22" s="9">
        <f>_xll.BQL("UAL US Equity", "FA_GROWTH(AVAIL_SEAT_MILES_KM, YOY)", "FPT=A", "FPO=0A", "ACT_EST_MAPPING=PRECISE", "FS=MRC", "CURRENCY=USD", "XLFILL=b")</f>
        <v>17.540285163278973</v>
      </c>
      <c r="K22" s="9">
        <f>_xll.BQL("UAL US Equity", "FA_GROWTH(AVAIL_SEAT_MILES_KM, YOY)", "FPT=A", "FPO=-1A", "ACT_EST_MAPPING=PRECISE", "FS=MRC", "CURRENCY=USD", "XLFILL=b")</f>
        <v>38.713035302545272</v>
      </c>
      <c r="L22" s="9">
        <f>_xll.BQL("UAL US Equity", "FA_GROWTH(AVAIL_SEAT_MILES_KM, YOY)", "FPT=A", "FPO=-2A", "ACT_EST_MAPPING=PRECISE", "FS=MRC", "CURRENCY=USD", "XLFILL=b")</f>
        <v>45.503403797921891</v>
      </c>
      <c r="M22" s="9">
        <f>_xll.BQL("UAL US Equity", "FA_GROWTH(AVAIL_SEAT_MILES_KM, YOY)", "FPT=A", "FPO=-3A", "ACT_EST_MAPPING=PRECISE", "FS=MRC", "CURRENCY=USD", "XLFILL=b")</f>
        <v>-56.910726002547378</v>
      </c>
      <c r="N22" s="9">
        <f>_xll.BQL("UAL US Equity", "FA_GROWTH(AVAIL_SEAT_MILES_KM, YOY)", "FPT=A", "FPO=-4A", "ACT_EST_MAPPING=PRECISE", "FS=MRC", "CURRENCY=USD", "XLFILL=b")</f>
        <v>3.537357136110324</v>
      </c>
    </row>
    <row r="23" spans="1:14" x14ac:dyDescent="0.2">
      <c r="A23" s="8" t="s">
        <v>32</v>
      </c>
      <c r="B23" s="4" t="s">
        <v>33</v>
      </c>
      <c r="C23" s="4" t="s">
        <v>34</v>
      </c>
      <c r="D23" s="4"/>
      <c r="E23" s="9">
        <f>_xll.BQL("UAL US Equity", "LOAD_FACTOR", "FPT=A", "FPO=5A", "ACT_EST_MAPPING=PRECISE", "FS=MRC", "CURRENCY=USD", "XLFILL=b")</f>
        <v>83.615942856427594</v>
      </c>
      <c r="F23" s="9">
        <f>_xll.BQL("UAL US Equity", "LOAD_FACTOR", "FPT=A", "FPO=4A", "ACT_EST_MAPPING=PRECISE", "FS=MRC", "CURRENCY=USD", "XLFILL=b")</f>
        <v>83.946957142320684</v>
      </c>
      <c r="G23" s="9">
        <f>_xll.BQL("UAL US Equity", "LOAD_FACTOR", "FPT=A", "FPO=3A", "ACT_EST_MAPPING=PRECISE", "FS=MRC", "CURRENCY=USD", "XLFILL=b")</f>
        <v>83.850605460811266</v>
      </c>
      <c r="H23" s="9">
        <f>_xll.BQL("UAL US Equity", "LOAD_FACTOR", "FPT=A", "FPO=2A", "ACT_EST_MAPPING=PRECISE", "FS=MRC", "CURRENCY=USD", "XLFILL=b")</f>
        <v>83.430585274707468</v>
      </c>
      <c r="I23" s="9">
        <f>_xll.BQL("UAL US Equity", "LOAD_FACTOR", "FPT=A", "FPO=1A", "ACT_EST_MAPPING=PRECISE", "FS=MRC", "CURRENCY=USD", "XLFILL=b")</f>
        <v>83.410733867593152</v>
      </c>
      <c r="J23" s="9">
        <f>_xll.BQL("UAL US Equity", "LOAD_FACTOR", "FPT=A", "FPO=0A", "ACT_EST_MAPPING=PRECISE", "FS=MRC", "CURRENCY=USD", "XLFILL=b")</f>
        <v>83.9</v>
      </c>
      <c r="K23" s="9">
        <f>_xll.BQL("UAL US Equity", "LOAD_FACTOR", "FPT=A", "FPO=-1A", "ACT_EST_MAPPING=PRECISE", "FS=MRC", "CURRENCY=USD", "XLFILL=b")</f>
        <v>83.4</v>
      </c>
      <c r="L23" s="9">
        <f>_xll.BQL("UAL US Equity", "LOAD_FACTOR", "FPT=A", "FPO=-2A", "ACT_EST_MAPPING=PRECISE", "FS=MRC", "CURRENCY=USD", "XLFILL=b")</f>
        <v>72.2</v>
      </c>
      <c r="M23" s="9">
        <f>_xll.BQL("UAL US Equity", "LOAD_FACTOR", "FPT=A", "FPO=-3A", "ACT_EST_MAPPING=PRECISE", "FS=MRC", "CURRENCY=USD", "XLFILL=b")</f>
        <v>60.2</v>
      </c>
      <c r="N23" s="9">
        <f>_xll.BQL("UAL US Equity", "LOAD_FACTOR", "FPT=A", "FPO=-4A", "ACT_EST_MAPPING=PRECISE", "FS=MRC", "CURRENCY=USD", "XLFILL=b")</f>
        <v>84</v>
      </c>
    </row>
    <row r="24" spans="1:14" x14ac:dyDescent="0.2">
      <c r="A24" s="8" t="s">
        <v>12</v>
      </c>
      <c r="B24" s="4" t="s">
        <v>33</v>
      </c>
      <c r="C24" s="4" t="s">
        <v>34</v>
      </c>
      <c r="D24" s="4"/>
      <c r="E24" s="9">
        <f>_xll.BQL("UAL US Equity", "FA_GROWTH(LOAD_FACTOR, YOY)", "FPT=A", "FPO=5A", "ACT_EST_MAPPING=PRECISE", "FS=MRC", "CURRENCY=USD", "XLFILL=b")</f>
        <v>-0.39431362036374989</v>
      </c>
      <c r="F24" s="9">
        <f>_xll.BQL("UAL US Equity", "FA_GROWTH(LOAD_FACTOR, YOY)", "FPT=A", "FPO=4A", "ACT_EST_MAPPING=PRECISE", "FS=MRC", "CURRENCY=USD", "XLFILL=b")</f>
        <v>0.11490874869645321</v>
      </c>
      <c r="G24" s="9">
        <f>_xll.BQL("UAL US Equity", "FA_GROWTH(LOAD_FACTOR, YOY)", "FPT=A", "FPO=3A", "ACT_EST_MAPPING=PRECISE", "FS=MRC", "CURRENCY=USD", "XLFILL=b")</f>
        <v>0.50343670096622239</v>
      </c>
      <c r="H24" s="9">
        <f>_xll.BQL("UAL US Equity", "FA_GROWTH(LOAD_FACTOR, YOY)", "FPT=A", "FPO=2A", "ACT_EST_MAPPING=PRECISE", "FS=MRC", "CURRENCY=USD", "XLFILL=b")</f>
        <v>2.3799583331599532E-2</v>
      </c>
      <c r="I24" s="9">
        <f>_xll.BQL("UAL US Equity", "FA_GROWTH(LOAD_FACTOR, YOY)", "FPT=A", "FPO=1A", "ACT_EST_MAPPING=PRECISE", "FS=MRC", "CURRENCY=USD", "XLFILL=b")</f>
        <v>-0.58315391228468905</v>
      </c>
      <c r="J24" s="9">
        <f>_xll.BQL("UAL US Equity", "FA_GROWTH(LOAD_FACTOR, YOY)", "FPT=A", "FPO=0A", "ACT_EST_MAPPING=PRECISE", "FS=MRC", "CURRENCY=USD", "XLFILL=b")</f>
        <v>0.5995203836930455</v>
      </c>
      <c r="K24" s="9">
        <f>_xll.BQL("UAL US Equity", "FA_GROWTH(LOAD_FACTOR, YOY)", "FPT=A", "FPO=-1A", "ACT_EST_MAPPING=PRECISE", "FS=MRC", "CURRENCY=USD", "XLFILL=b")</f>
        <v>15.512465373961222</v>
      </c>
      <c r="L24" s="9">
        <f>_xll.BQL("UAL US Equity", "FA_GROWTH(LOAD_FACTOR, YOY)", "FPT=A", "FPO=-2A", "ACT_EST_MAPPING=PRECISE", "FS=MRC", "CURRENCY=USD", "XLFILL=b")</f>
        <v>19.933554817275745</v>
      </c>
      <c r="M24" s="9">
        <f>_xll.BQL("UAL US Equity", "FA_GROWTH(LOAD_FACTOR, YOY)", "FPT=A", "FPO=-3A", "ACT_EST_MAPPING=PRECISE", "FS=MRC", "CURRENCY=USD", "XLFILL=b")</f>
        <v>-28.333333333333329</v>
      </c>
      <c r="N24" s="9">
        <f>_xll.BQL("UAL US Equity", "FA_GROWTH(LOAD_FACTOR, YOY)", "FPT=A", "FPO=-4A", "ACT_EST_MAPPING=PRECISE", "FS=MRC", "CURRENCY=USD", "XLFILL=b")</f>
        <v>0.47846889952153793</v>
      </c>
    </row>
    <row r="25" spans="1:14" x14ac:dyDescent="0.2">
      <c r="A25" s="8" t="s">
        <v>16</v>
      </c>
      <c r="B25" s="4"/>
      <c r="C25" s="4"/>
      <c r="D25" s="4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2">
      <c r="A26" s="8" t="s">
        <v>35</v>
      </c>
      <c r="B26" s="4" t="s">
        <v>19</v>
      </c>
      <c r="C26" s="4"/>
      <c r="D26" s="4"/>
      <c r="E26" s="9">
        <f>_xll.BQL("UAL US Equity", "TOTAL_PASSENGER_REVENUE/1M", "FPT=A", "FPO=5A", "ACT_EST_MAPPING=PRECISE", "FS=MRC", "CURRENCY=USD", "XLFILL=b")</f>
        <v>59785.875609706447</v>
      </c>
      <c r="F26" s="9">
        <f>_xll.BQL("UAL US Equity", "TOTAL_PASSENGER_REVENUE/1M", "FPT=A", "FPO=4A", "ACT_EST_MAPPING=PRECISE", "FS=MRC", "CURRENCY=USD", "XLFILL=b")</f>
        <v>58592.823777724683</v>
      </c>
      <c r="G26" s="9">
        <f>_xll.BQL("UAL US Equity", "TOTAL_PASSENGER_REVENUE/1M", "FPT=A", "FPO=3A", "ACT_EST_MAPPING=PRECISE", "FS=MRC", "CURRENCY=USD", "XLFILL=b")</f>
        <v>56988.268499926213</v>
      </c>
      <c r="H26" s="9">
        <f>_xll.BQL("UAL US Equity", "TOTAL_PASSENGER_REVENUE/1M", "FPT=A", "FPO=2A", "ACT_EST_MAPPING=PRECISE", "FS=MRC", "CURRENCY=USD", "XLFILL=b")</f>
        <v>54284.184653077216</v>
      </c>
      <c r="I26" s="9">
        <f>_xll.BQL("UAL US Equity", "TOTAL_PASSENGER_REVENUE/1M", "FPT=A", "FPO=1A", "ACT_EST_MAPPING=PRECISE", "FS=MRC", "CURRENCY=USD", "XLFILL=b")</f>
        <v>51220.734180586885</v>
      </c>
      <c r="J26" s="9">
        <f>_xll.BQL("UAL US Equity", "TOTAL_PASSENGER_REVENUE/1M", "FPT=A", "FPO=0A", "ACT_EST_MAPPING=PRECISE", "FS=MRC", "CURRENCY=USD", "XLFILL=b")</f>
        <v>49046</v>
      </c>
      <c r="K26" s="9">
        <f>_xll.BQL("UAL US Equity", "TOTAL_PASSENGER_REVENUE/1M", "FPT=A", "FPO=-1A", "ACT_EST_MAPPING=PRECISE", "FS=MRC", "CURRENCY=USD", "XLFILL=b")</f>
        <v>40032</v>
      </c>
      <c r="L26" s="9">
        <f>_xll.BQL("UAL US Equity", "TOTAL_PASSENGER_REVENUE/1M", "FPT=A", "FPO=-2A", "ACT_EST_MAPPING=PRECISE", "FS=MRC", "CURRENCY=USD", "XLFILL=b")</f>
        <v>20197</v>
      </c>
      <c r="M26" s="9">
        <f>_xll.BQL("UAL US Equity", "TOTAL_PASSENGER_REVENUE/1M", "FPT=A", "FPO=-3A", "ACT_EST_MAPPING=PRECISE", "FS=MRC", "CURRENCY=USD", "XLFILL=b")</f>
        <v>11805</v>
      </c>
      <c r="N26" s="9">
        <f>_xll.BQL("UAL US Equity", "TOTAL_PASSENGER_REVENUE/1M", "FPT=A", "FPO=-4A", "ACT_EST_MAPPING=PRECISE", "FS=MRC", "CURRENCY=USD", "XLFILL=b")</f>
        <v>39625</v>
      </c>
    </row>
    <row r="27" spans="1:14" x14ac:dyDescent="0.2">
      <c r="A27" s="8" t="s">
        <v>12</v>
      </c>
      <c r="B27" s="4" t="s">
        <v>19</v>
      </c>
      <c r="C27" s="4"/>
      <c r="D27" s="4"/>
      <c r="E27" s="9">
        <f>_xll.BQL("UAL US Equity", "FA_GROWTH(TOTAL_PASSENGER_REVENUE, YOY)", "FPT=A", "FPO=5A", "ACT_EST_MAPPING=PRECISE", "FS=MRC", "CURRENCY=USD", "XLFILL=b")</f>
        <v>2.0361739801236927</v>
      </c>
      <c r="F27" s="9">
        <f>_xll.BQL("UAL US Equity", "FA_GROWTH(TOTAL_PASSENGER_REVENUE, YOY)", "FPT=A", "FPO=4A", "ACT_EST_MAPPING=PRECISE", "FS=MRC", "CURRENCY=USD", "XLFILL=b")</f>
        <v>2.8155887519210152</v>
      </c>
      <c r="G27" s="9">
        <f>_xll.BQL("UAL US Equity", "FA_GROWTH(TOTAL_PASSENGER_REVENUE, YOY)", "FPT=A", "FPO=3A", "ACT_EST_MAPPING=PRECISE", "FS=MRC", "CURRENCY=USD", "XLFILL=b")</f>
        <v>4.9813474479361313</v>
      </c>
      <c r="H27" s="9">
        <f>_xll.BQL("UAL US Equity", "FA_GROWTH(TOTAL_PASSENGER_REVENUE, YOY)", "FPT=A", "FPO=2A", "ACT_EST_MAPPING=PRECISE", "FS=MRC", "CURRENCY=USD", "XLFILL=b")</f>
        <v>5.9808796603532643</v>
      </c>
      <c r="I27" s="9">
        <f>_xll.BQL("UAL US Equity", "FA_GROWTH(TOTAL_PASSENGER_REVENUE, YOY)", "FPT=A", "FPO=1A", "ACT_EST_MAPPING=PRECISE", "FS=MRC", "CURRENCY=USD", "XLFILL=b")</f>
        <v>4.4340704248804865</v>
      </c>
      <c r="J27" s="9">
        <f>_xll.BQL("UAL US Equity", "FA_GROWTH(TOTAL_PASSENGER_REVENUE, YOY)", "FPT=A", "FPO=0A", "ACT_EST_MAPPING=PRECISE", "FS=MRC", "CURRENCY=USD", "XLFILL=b")</f>
        <v>22.516986410871304</v>
      </c>
      <c r="K27" s="9">
        <f>_xll.BQL("UAL US Equity", "FA_GROWTH(TOTAL_PASSENGER_REVENUE, YOY)", "FPT=A", "FPO=-1A", "ACT_EST_MAPPING=PRECISE", "FS=MRC", "CURRENCY=USD", "XLFILL=b")</f>
        <v>98.207654602168645</v>
      </c>
      <c r="L27" s="9">
        <f>_xll.BQL("UAL US Equity", "FA_GROWTH(TOTAL_PASSENGER_REVENUE, YOY)", "FPT=A", "FPO=-2A", "ACT_EST_MAPPING=PRECISE", "FS=MRC", "CURRENCY=USD", "XLFILL=b")</f>
        <v>71.088521812791186</v>
      </c>
      <c r="M27" s="9">
        <f>_xll.BQL("UAL US Equity", "FA_GROWTH(TOTAL_PASSENGER_REVENUE, YOY)", "FPT=A", "FPO=-3A", "ACT_EST_MAPPING=PRECISE", "FS=MRC", "CURRENCY=USD", "XLFILL=b")</f>
        <v>-70.208201892744484</v>
      </c>
      <c r="N27" s="9">
        <f>_xll.BQL("UAL US Equity", "FA_GROWTH(TOTAL_PASSENGER_REVENUE, YOY)", "FPT=A", "FPO=-4A", "ACT_EST_MAPPING=PRECISE", "FS=MRC", "CURRENCY=USD", "XLFILL=b")</f>
        <v>5.0893756961756749</v>
      </c>
    </row>
    <row r="28" spans="1:14" x14ac:dyDescent="0.2">
      <c r="A28" s="8" t="s">
        <v>36</v>
      </c>
      <c r="B28" s="4" t="s">
        <v>37</v>
      </c>
      <c r="C28" s="4"/>
      <c r="D28" s="4"/>
      <c r="E28" s="9">
        <f>_xll.BQL("UAL US Equity", "PASSENGER_REVENUE_PER_ASM", "FPT=A", "FPO=5A", "ACT_EST_MAPPING=PRECISE", "FS=MRC", "CURRENCY=USD", "XLFILL=b")</f>
        <v>16.520147518812891</v>
      </c>
      <c r="F28" s="9">
        <f>_xll.BQL("UAL US Equity", "PASSENGER_REVENUE_PER_ASM", "FPT=A", "FPO=4A", "ACT_EST_MAPPING=PRECISE", "FS=MRC", "CURRENCY=USD", "XLFILL=b")</f>
        <v>16.61570022155027</v>
      </c>
      <c r="G28" s="9">
        <f>_xll.BQL("UAL US Equity", "PASSENGER_REVENUE_PER_ASM", "FPT=A", "FPO=3A", "ACT_EST_MAPPING=PRECISE", "FS=MRC", "CURRENCY=USD", "XLFILL=b")</f>
        <v>16.737708044464156</v>
      </c>
      <c r="H28" s="9">
        <f>_xll.BQL("UAL US Equity", "PASSENGER_REVENUE_PER_ASM", "FPT=A", "FPO=2A", "ACT_EST_MAPPING=PRECISE", "FS=MRC", "CURRENCY=USD", "XLFILL=b")</f>
        <v>16.710023889874435</v>
      </c>
      <c r="I28" s="9">
        <f>_xll.BQL("UAL US Equity", "PASSENGER_REVENUE_PER_ASM", "FPT=A", "FPO=1A", "ACT_EST_MAPPING=PRECISE", "FS=MRC", "CURRENCY=USD", "XLFILL=b")</f>
        <v>16.572259478121207</v>
      </c>
      <c r="J28" s="9">
        <f>_xll.BQL("UAL US Equity", "PASSENGER_REVENUE_PER_ASM", "FPT=A", "FPO=0A", "ACT_EST_MAPPING=PRECISE", "FS=MRC", "CURRENCY=USD", "XLFILL=b")</f>
        <v>16.84</v>
      </c>
      <c r="K28" s="9">
        <f>_xll.BQL("UAL US Equity", "PASSENGER_REVENUE_PER_ASM", "FPT=A", "FPO=-1A", "ACT_EST_MAPPING=PRECISE", "FS=MRC", "CURRENCY=USD", "XLFILL=b")</f>
        <v>16.149999999999999</v>
      </c>
      <c r="L28" s="9">
        <f>_xll.BQL("UAL US Equity", "PASSENGER_REVENUE_PER_ASM", "FPT=A", "FPO=-2A", "ACT_EST_MAPPING=PRECISE", "FS=MRC", "CURRENCY=USD", "XLFILL=b")</f>
        <v>11.3</v>
      </c>
      <c r="M28" s="9">
        <f>_xll.BQL("UAL US Equity", "PASSENGER_REVENUE_PER_ASM", "FPT=A", "FPO=-3A", "ACT_EST_MAPPING=PRECISE", "FS=MRC", "CURRENCY=USD", "XLFILL=b")</f>
        <v>9.61</v>
      </c>
      <c r="N28" s="9">
        <f>_xll.BQL("UAL US Equity", "PASSENGER_REVENUE_PER_ASM", "FPT=A", "FPO=-4A", "ACT_EST_MAPPING=PRECISE", "FS=MRC", "CURRENCY=USD", "XLFILL=b")</f>
        <v>13.9</v>
      </c>
    </row>
    <row r="29" spans="1:14" x14ac:dyDescent="0.2">
      <c r="A29" s="8" t="s">
        <v>12</v>
      </c>
      <c r="B29" s="4" t="s">
        <v>37</v>
      </c>
      <c r="C29" s="4"/>
      <c r="D29" s="4"/>
      <c r="E29" s="9">
        <f>_xll.BQL("UAL US Equity", "FA_GROWTH(PASSENGER_REVENUE_PER_ASM, YOY)", "FPT=A", "FPO=5A", "ACT_EST_MAPPING=PRECISE", "FS=MRC", "CURRENCY=USD", "XLFILL=b")</f>
        <v>-0.57507478747990937</v>
      </c>
      <c r="F29" s="9">
        <f>_xll.BQL("UAL US Equity", "FA_GROWTH(PASSENGER_REVENUE_PER_ASM, YOY)", "FPT=A", "FPO=4A", "ACT_EST_MAPPING=PRECISE", "FS=MRC", "CURRENCY=USD", "XLFILL=b")</f>
        <v>-0.72893984403222589</v>
      </c>
      <c r="G29" s="9">
        <f>_xll.BQL("UAL US Equity", "FA_GROWTH(PASSENGER_REVENUE_PER_ASM, YOY)", "FPT=A", "FPO=3A", "ACT_EST_MAPPING=PRECISE", "FS=MRC", "CURRENCY=USD", "XLFILL=b")</f>
        <v>0.16567393782421047</v>
      </c>
      <c r="H29" s="9">
        <f>_xll.BQL("UAL US Equity", "FA_GROWTH(PASSENGER_REVENUE_PER_ASM, YOY)", "FPT=A", "FPO=2A", "ACT_EST_MAPPING=PRECISE", "FS=MRC", "CURRENCY=USD", "XLFILL=b")</f>
        <v>0.83129528556504384</v>
      </c>
      <c r="I29" s="9">
        <f>_xll.BQL("UAL US Equity", "FA_GROWTH(PASSENGER_REVENUE_PER_ASM, YOY)", "FPT=A", "FPO=1A", "ACT_EST_MAPPING=PRECISE", "FS=MRC", "CURRENCY=USD", "XLFILL=b")</f>
        <v>-1.5899080871662261</v>
      </c>
      <c r="J29" s="9">
        <f>_xll.BQL("UAL US Equity", "FA_GROWTH(PASSENGER_REVENUE_PER_ASM, YOY)", "FPT=A", "FPO=0A", "ACT_EST_MAPPING=PRECISE", "FS=MRC", "CURRENCY=USD", "XLFILL=b")</f>
        <v>4.272445820433445</v>
      </c>
      <c r="K29" s="9">
        <f>_xll.BQL("UAL US Equity", "FA_GROWTH(PASSENGER_REVENUE_PER_ASM, YOY)", "FPT=A", "FPO=-1A", "ACT_EST_MAPPING=PRECISE", "FS=MRC", "CURRENCY=USD", "XLFILL=b")</f>
        <v>42.92035398230086</v>
      </c>
      <c r="L29" s="9">
        <f>_xll.BQL("UAL US Equity", "FA_GROWTH(PASSENGER_REVENUE_PER_ASM, YOY)", "FPT=A", "FPO=-2A", "ACT_EST_MAPPING=PRECISE", "FS=MRC", "CURRENCY=USD", "XLFILL=b")</f>
        <v>17.585848074921969</v>
      </c>
      <c r="M29" s="9">
        <f>_xll.BQL("UAL US Equity", "FA_GROWTH(PASSENGER_REVENUE_PER_ASM, YOY)", "FPT=A", "FPO=-3A", "ACT_EST_MAPPING=PRECISE", "FS=MRC", "CURRENCY=USD", "XLFILL=b")</f>
        <v>-30.863309352517994</v>
      </c>
      <c r="N29" s="9">
        <f>_xll.BQL("UAL US Equity", "FA_GROWTH(PASSENGER_REVENUE_PER_ASM, YOY)", "FPT=A", "FPO=-4A", "ACT_EST_MAPPING=PRECISE", "FS=MRC", "CURRENCY=USD", "XLFILL=b")</f>
        <v>1.4598540145985479</v>
      </c>
    </row>
    <row r="30" spans="1:14" x14ac:dyDescent="0.2">
      <c r="A30" s="8" t="s">
        <v>38</v>
      </c>
      <c r="B30" s="4" t="s">
        <v>39</v>
      </c>
      <c r="C30" s="4"/>
      <c r="D30" s="4"/>
      <c r="E30" s="9">
        <f>_xll.BQL("UAL US Equity", "YIELD_PER_PASS_MILES_KM", "FPT=A", "FPO=5A", "ACT_EST_MAPPING=PRECISE", "FS=MRC", "CURRENCY=USD", "XLFILL=b")</f>
        <v>21.582107504699866</v>
      </c>
      <c r="F30" s="9">
        <f>_xll.BQL("UAL US Equity", "YIELD_PER_PASS_MILES_KM", "FPT=A", "FPO=4A", "ACT_EST_MAPPING=PRECISE", "FS=MRC", "CURRENCY=USD", "XLFILL=b")</f>
        <v>21.01054446267937</v>
      </c>
      <c r="G30" s="9">
        <f>_xll.BQL("UAL US Equity", "YIELD_PER_PASS_MILES_KM", "FPT=A", "FPO=3A", "ACT_EST_MAPPING=PRECISE", "FS=MRC", "CURRENCY=USD", "XLFILL=b")</f>
        <v>20.442498451942264</v>
      </c>
      <c r="H30" s="9">
        <f>_xll.BQL("UAL US Equity", "YIELD_PER_PASS_MILES_KM", "FPT=A", "FPO=2A", "ACT_EST_MAPPING=PRECISE", "FS=MRC", "CURRENCY=USD", "XLFILL=b")</f>
        <v>20.17624136298339</v>
      </c>
      <c r="I30" s="9">
        <f>_xll.BQL("UAL US Equity", "YIELD_PER_PASS_MILES_KM", "FPT=A", "FPO=1A", "ACT_EST_MAPPING=PRECISE", "FS=MRC", "CURRENCY=USD", "XLFILL=b")</f>
        <v>20.003597463784072</v>
      </c>
      <c r="J30" s="9">
        <f>_xll.BQL("UAL US Equity", "YIELD_PER_PASS_MILES_KM", "FPT=A", "FPO=0A", "ACT_EST_MAPPING=PRECISE", "FS=MRC", "CURRENCY=USD", "XLFILL=b")</f>
        <v>20.07</v>
      </c>
      <c r="K30" s="9">
        <f>_xll.BQL("UAL US Equity", "YIELD_PER_PASS_MILES_KM", "FPT=A", "FPO=-1A", "ACT_EST_MAPPING=PRECISE", "FS=MRC", "CURRENCY=USD", "XLFILL=b")</f>
        <v>19.36</v>
      </c>
      <c r="L30" s="9">
        <f>_xll.BQL("UAL US Equity", "YIELD_PER_PASS_MILES_KM", "FPT=A", "FPO=-2A", "ACT_EST_MAPPING=PRECISE", "FS=MRC", "CURRENCY=USD", "XLFILL=b")</f>
        <v>15.66</v>
      </c>
      <c r="M30" s="9">
        <f>_xll.BQL("UAL US Equity", "YIELD_PER_PASS_MILES_KM", "FPT=A", "FPO=-3A", "ACT_EST_MAPPING=PRECISE", "FS=MRC", "CURRENCY=USD", "XLFILL=b")</f>
        <v>15.98</v>
      </c>
      <c r="N30" s="9">
        <f>_xll.BQL("UAL US Equity", "YIELD_PER_PASS_MILES_KM", "FPT=A", "FPO=-4A", "ACT_EST_MAPPING=PRECISE", "FS=MRC", "CURRENCY=USD", "XLFILL=b")</f>
        <v>16.55</v>
      </c>
    </row>
    <row r="31" spans="1:14" x14ac:dyDescent="0.2">
      <c r="A31" s="8" t="s">
        <v>12</v>
      </c>
      <c r="B31" s="4" t="s">
        <v>39</v>
      </c>
      <c r="C31" s="4"/>
      <c r="D31" s="4"/>
      <c r="E31" s="9">
        <f>_xll.BQL("UAL US Equity", "FA_GROWTH(YIELD_PER_PASS_MILES_KM, YOY)", "FPT=A", "FPO=5A", "ACT_EST_MAPPING=PRECISE", "FS=MRC", "CURRENCY=USD", "XLFILL=b")</f>
        <v>2.7203628303671676</v>
      </c>
      <c r="F31" s="9">
        <f>_xll.BQL("UAL US Equity", "FA_GROWTH(YIELD_PER_PASS_MILES_KM, YOY)", "FPT=A", "FPO=4A", "ACT_EST_MAPPING=PRECISE", "FS=MRC", "CURRENCY=USD", "XLFILL=b")</f>
        <v>2.778750415818843</v>
      </c>
      <c r="G31" s="9">
        <f>_xll.BQL("UAL US Equity", "FA_GROWTH(YIELD_PER_PASS_MILES_KM, YOY)", "FPT=A", "FPO=3A", "ACT_EST_MAPPING=PRECISE", "FS=MRC", "CURRENCY=USD", "XLFILL=b")</f>
        <v>1.319656541417896</v>
      </c>
      <c r="H31" s="9">
        <f>_xll.BQL("UAL US Equity", "FA_GROWTH(YIELD_PER_PASS_MILES_KM, YOY)", "FPT=A", "FPO=2A", "ACT_EST_MAPPING=PRECISE", "FS=MRC", "CURRENCY=USD", "XLFILL=b")</f>
        <v>0.86306425387675978</v>
      </c>
      <c r="I31" s="9">
        <f>_xll.BQL("UAL US Equity", "FA_GROWTH(YIELD_PER_PASS_MILES_KM, YOY)", "FPT=A", "FPO=1A", "ACT_EST_MAPPING=PRECISE", "FS=MRC", "CURRENCY=USD", "XLFILL=b")</f>
        <v>-0.33085468966581277</v>
      </c>
      <c r="J31" s="9">
        <f>_xll.BQL("UAL US Equity", "FA_GROWTH(YIELD_PER_PASS_MILES_KM, YOY)", "FPT=A", "FPO=0A", "ACT_EST_MAPPING=PRECISE", "FS=MRC", "CURRENCY=USD", "XLFILL=b")</f>
        <v>3.6673553719008312</v>
      </c>
      <c r="K31" s="9">
        <f>_xll.BQL("UAL US Equity", "FA_GROWTH(YIELD_PER_PASS_MILES_KM, YOY)", "FPT=A", "FPO=-1A", "ACT_EST_MAPPING=PRECISE", "FS=MRC", "CURRENCY=USD", "XLFILL=b")</f>
        <v>23.627075351213279</v>
      </c>
      <c r="L31" s="9">
        <f>_xll.BQL("UAL US Equity", "FA_GROWTH(YIELD_PER_PASS_MILES_KM, YOY)", "FPT=A", "FPO=-2A", "ACT_EST_MAPPING=PRECISE", "FS=MRC", "CURRENCY=USD", "XLFILL=b")</f>
        <v>-2.0025031289111408</v>
      </c>
      <c r="M31" s="9">
        <f>_xll.BQL("UAL US Equity", "FA_GROWTH(YIELD_PER_PASS_MILES_KM, YOY)", "FPT=A", "FPO=-3A", "ACT_EST_MAPPING=PRECISE", "FS=MRC", "CURRENCY=USD", "XLFILL=b")</f>
        <v>-3.4441087613293067</v>
      </c>
      <c r="N31" s="9">
        <f>_xll.BQL("UAL US Equity", "FA_GROWTH(YIELD_PER_PASS_MILES_KM, YOY)", "FPT=A", "FPO=-4A", "ACT_EST_MAPPING=PRECISE", "FS=MRC", "CURRENCY=USD", "XLFILL=b")</f>
        <v>1.0378510378510484</v>
      </c>
    </row>
    <row r="32" spans="1:14" x14ac:dyDescent="0.2">
      <c r="A32" s="8" t="s">
        <v>16</v>
      </c>
      <c r="B32" s="4"/>
      <c r="C32" s="4"/>
      <c r="D32" s="4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2">
      <c r="A33" s="8" t="s">
        <v>40</v>
      </c>
      <c r="B33" s="4" t="s">
        <v>41</v>
      </c>
      <c r="C33" s="4"/>
      <c r="D33" s="4"/>
      <c r="E33" s="9">
        <f>_xll.BQL("UAL US Equity", "OP_EXP_PER_ASM_ASK", "FPT=A", "FPO=5A", "ACT_EST_MAPPING=PRECISE", "FS=MRC", "CURRENCY=USD", "XLFILL=b")</f>
        <v>16.671168557433148</v>
      </c>
      <c r="F33" s="9">
        <f>_xll.BQL("UAL US Equity", "OP_EXP_PER_ASM_ASK", "FPT=A", "FPO=4A", "ACT_EST_MAPPING=PRECISE", "FS=MRC", "CURRENCY=USD", "XLFILL=b")</f>
        <v>16.728497477284453</v>
      </c>
      <c r="G33" s="9">
        <f>_xll.BQL("UAL US Equity", "OP_EXP_PER_ASM_ASK", "FPT=A", "FPO=3A", "ACT_EST_MAPPING=PRECISE", "FS=MRC", "CURRENCY=USD", "XLFILL=b")</f>
        <v>16.768264074624774</v>
      </c>
      <c r="H33" s="9">
        <f>_xll.BQL("UAL US Equity", "OP_EXP_PER_ASM_ASK", "FPT=A", "FPO=2A", "ACT_EST_MAPPING=PRECISE", "FS=MRC", "CURRENCY=USD", "XLFILL=b")</f>
        <v>16.798788653172515</v>
      </c>
      <c r="I33" s="9">
        <f>_xll.BQL("UAL US Equity", "OP_EXP_PER_ASM_ASK", "FPT=A", "FPO=1A", "ACT_EST_MAPPING=PRECISE", "FS=MRC", "CURRENCY=USD", "XLFILL=b")</f>
        <v>16.686225159138317</v>
      </c>
      <c r="J33" s="9">
        <f>_xll.BQL("UAL US Equity", "OP_EXP_PER_ASM_ASK", "FPT=A", "FPO=0A", "ACT_EST_MAPPING=PRECISE", "FS=MRC", "CURRENCY=USD", "XLFILL=b")</f>
        <v>16.989999999999998</v>
      </c>
      <c r="K33" s="9">
        <f>_xll.BQL("UAL US Equity", "OP_EXP_PER_ASM_ASK", "FPT=A", "FPO=-1A", "ACT_EST_MAPPING=PRECISE", "FS=MRC", "CURRENCY=USD", "XLFILL=b")</f>
        <v>17.190000000000001</v>
      </c>
      <c r="L33" s="9">
        <f>_xll.BQL("UAL US Equity", "OP_EXP_PER_ASM_ASK", "FPT=A", "FPO=-2A", "ACT_EST_MAPPING=PRECISE", "FS=MRC", "CURRENCY=USD", "XLFILL=b")</f>
        <v>14.36</v>
      </c>
      <c r="M33" s="9">
        <f>_xll.BQL("UAL US Equity", "OP_EXP_PER_ASM_ASK", "FPT=A", "FPO=-3A", "ACT_EST_MAPPING=PRECISE", "FS=MRC", "CURRENCY=USD", "XLFILL=b")</f>
        <v>17.68</v>
      </c>
      <c r="N33" s="9">
        <f>_xll.BQL("UAL US Equity", "OP_EXP_PER_ASM_ASK", "FPT=A", "FPO=-4A", "ACT_EST_MAPPING=PRECISE", "FS=MRC", "CURRENCY=USD", "XLFILL=b")</f>
        <v>13.67</v>
      </c>
    </row>
    <row r="34" spans="1:14" x14ac:dyDescent="0.2">
      <c r="A34" s="8" t="s">
        <v>12</v>
      </c>
      <c r="B34" s="4" t="s">
        <v>41</v>
      </c>
      <c r="C34" s="4"/>
      <c r="D34" s="4"/>
      <c r="E34" s="9">
        <f>_xll.BQL("UAL US Equity", "FA_GROWTH(OP_EXP_PER_ASM_ASK, YOY)", "FPT=A", "FPO=5A", "ACT_EST_MAPPING=PRECISE", "FS=MRC", "CURRENCY=USD", "XLFILL=b")</f>
        <v>-0.3427021460185003</v>
      </c>
      <c r="F34" s="9">
        <f>_xll.BQL("UAL US Equity", "FA_GROWTH(OP_EXP_PER_ASM_ASK, YOY)", "FPT=A", "FPO=4A", "ACT_EST_MAPPING=PRECISE", "FS=MRC", "CURRENCY=USD", "XLFILL=b")</f>
        <v>-0.2371539305639857</v>
      </c>
      <c r="G34" s="9">
        <f>_xll.BQL("UAL US Equity", "FA_GROWTH(OP_EXP_PER_ASM_ASK, YOY)", "FPT=A", "FPO=3A", "ACT_EST_MAPPING=PRECISE", "FS=MRC", "CURRENCY=USD", "XLFILL=b")</f>
        <v>-0.18170702172609549</v>
      </c>
      <c r="H34" s="9">
        <f>_xll.BQL("UAL US Equity", "FA_GROWTH(OP_EXP_PER_ASM_ASK, YOY)", "FPT=A", "FPO=2A", "ACT_EST_MAPPING=PRECISE", "FS=MRC", "CURRENCY=USD", "XLFILL=b")</f>
        <v>0.67458932718855269</v>
      </c>
      <c r="I34" s="9">
        <f>_xll.BQL("UAL US Equity", "FA_GROWTH(OP_EXP_PER_ASM_ASK, YOY)", "FPT=A", "FPO=1A", "ACT_EST_MAPPING=PRECISE", "FS=MRC", "CURRENCY=USD", "XLFILL=b")</f>
        <v>-1.7879625712871183</v>
      </c>
      <c r="J34" s="9">
        <f>_xll.BQL("UAL US Equity", "FA_GROWTH(OP_EXP_PER_ASM_ASK, YOY)", "FPT=A", "FPO=0A", "ACT_EST_MAPPING=PRECISE", "FS=MRC", "CURRENCY=USD", "XLFILL=b")</f>
        <v>-1.1634671320535359</v>
      </c>
      <c r="K34" s="9">
        <f>_xll.BQL("UAL US Equity", "FA_GROWTH(OP_EXP_PER_ASM_ASK, YOY)", "FPT=A", "FPO=-1A", "ACT_EST_MAPPING=PRECISE", "FS=MRC", "CURRENCY=USD", "XLFILL=b")</f>
        <v>19.707520891364915</v>
      </c>
      <c r="L34" s="9">
        <f>_xll.BQL("UAL US Equity", "FA_GROWTH(OP_EXP_PER_ASM_ASK, YOY)", "FPT=A", "FPO=-2A", "ACT_EST_MAPPING=PRECISE", "FS=MRC", "CURRENCY=USD", "XLFILL=b")</f>
        <v>-18.778280542986426</v>
      </c>
      <c r="M34" s="9">
        <f>_xll.BQL("UAL US Equity", "FA_GROWTH(OP_EXP_PER_ASM_ASK, YOY)", "FPT=A", "FPO=-3A", "ACT_EST_MAPPING=PRECISE", "FS=MRC", "CURRENCY=USD", "XLFILL=b")</f>
        <v>29.334308705193855</v>
      </c>
      <c r="N34" s="9">
        <f>_xll.BQL("UAL US Equity", "FA_GROWTH(OP_EXP_PER_ASM_ASK, YOY)", "FPT=A", "FPO=-4A", "ACT_EST_MAPPING=PRECISE", "FS=MRC", "CURRENCY=USD", "XLFILL=b")</f>
        <v>-1.1569052783803335</v>
      </c>
    </row>
    <row r="35" spans="1:14" x14ac:dyDescent="0.2">
      <c r="A35" s="8" t="s">
        <v>42</v>
      </c>
      <c r="B35" s="4" t="s">
        <v>43</v>
      </c>
      <c r="C35" s="4"/>
      <c r="D35" s="4"/>
      <c r="E35" s="9">
        <f>_xll.BQL("UAL US Equity", "CONS_COST_PER_ASM_EX_FUEL", "FPT=A", "FPO=5A", "ACT_EST_MAPPING=PRECISE", "FS=MRC", "CURRENCY=USD", "XLFILL=b")</f>
        <v>12.806633358980935</v>
      </c>
      <c r="F35" s="9">
        <f>_xll.BQL("UAL US Equity", "CONS_COST_PER_ASM_EX_FUEL", "FPT=A", "FPO=4A", "ACT_EST_MAPPING=PRECISE", "FS=MRC", "CURRENCY=USD", "XLFILL=b")</f>
        <v>12.643432141520536</v>
      </c>
      <c r="G35" s="9">
        <f>_xll.BQL("UAL US Equity", "CONS_COST_PER_ASM_EX_FUEL", "FPT=A", "FPO=3A", "ACT_EST_MAPPING=PRECISE", "FS=MRC", "CURRENCY=USD", "XLFILL=b")</f>
        <v>12.789646445910236</v>
      </c>
      <c r="H35" s="9">
        <f>_xll.BQL("UAL US Equity", "CONS_COST_PER_ASM_EX_FUEL", "FPT=A", "FPO=2A", "ACT_EST_MAPPING=PRECISE", "FS=MRC", "CURRENCY=USD", "XLFILL=b")</f>
        <v>12.786448015162218</v>
      </c>
      <c r="I35" s="9">
        <f>_xll.BQL("UAL US Equity", "CONS_COST_PER_ASM_EX_FUEL", "FPT=A", "FPO=1A", "ACT_EST_MAPPING=PRECISE", "FS=MRC", "CURRENCY=USD", "XLFILL=b")</f>
        <v>12.641851236373764</v>
      </c>
      <c r="J35" s="9">
        <f>_xll.BQL("UAL US Equity", "CONS_COST_PER_ASM_EX_FUEL", "FPT=A", "FPO=0A", "ACT_EST_MAPPING=PRECISE", "FS=MRC", "CURRENCY=USD", "XLFILL=b")</f>
        <v>12.65</v>
      </c>
      <c r="K35" s="9">
        <f>_xll.BQL("UAL US Equity", "CONS_COST_PER_ASM_EX_FUEL", "FPT=A", "FPO=-1A", "ACT_EST_MAPPING=PRECISE", "FS=MRC", "CURRENCY=USD", "XLFILL=b")</f>
        <v>11.9</v>
      </c>
      <c r="L35" s="9">
        <f>_xll.BQL("UAL US Equity", "CONS_COST_PER_ASM_EX_FUEL", "FPT=A", "FPO=-2A", "ACT_EST_MAPPING=PRECISE", "FS=MRC", "CURRENCY=USD", "XLFILL=b")</f>
        <v>11.14</v>
      </c>
      <c r="M35" s="9">
        <f>_xll.BQL("UAL US Equity", "CONS_COST_PER_ASM_EX_FUEL", "FPT=A", "FPO=-3A", "ACT_EST_MAPPING=PRECISE", "FS=MRC", "CURRENCY=USD", "XLFILL=b")</f>
        <v>15.11</v>
      </c>
      <c r="N35" s="9">
        <f>_xll.BQL("UAL US Equity", "CONS_COST_PER_ASM_EX_FUEL", "FPT=A", "FPO=-4A", "ACT_EST_MAPPING=PRECISE", "FS=MRC", "CURRENCY=USD", "XLFILL=b")</f>
        <v>10.53</v>
      </c>
    </row>
    <row r="36" spans="1:14" x14ac:dyDescent="0.2">
      <c r="A36" s="8" t="s">
        <v>12</v>
      </c>
      <c r="B36" s="4" t="s">
        <v>43</v>
      </c>
      <c r="C36" s="4"/>
      <c r="D36" s="4"/>
      <c r="E36" s="9">
        <f>_xll.BQL("UAL US Equity", "FA_GROWTH(CONS_COST_PER_ASM_EX_FUEL, YOY)", "FPT=A", "FPO=5A", "ACT_EST_MAPPING=PRECISE", "FS=MRC", "CURRENCY=USD", "XLFILL=b")</f>
        <v>1.2907983815917559</v>
      </c>
      <c r="F36" s="9">
        <f>_xll.BQL("UAL US Equity", "FA_GROWTH(CONS_COST_PER_ASM_EX_FUEL, YOY)", "FPT=A", "FPO=4A", "ACT_EST_MAPPING=PRECISE", "FS=MRC", "CURRENCY=USD", "XLFILL=b")</f>
        <v>-1.1432239742362456</v>
      </c>
      <c r="G36" s="9">
        <f>_xll.BQL("UAL US Equity", "FA_GROWTH(CONS_COST_PER_ASM_EX_FUEL, YOY)", "FPT=A", "FPO=3A", "ACT_EST_MAPPING=PRECISE", "FS=MRC", "CURRENCY=USD", "XLFILL=b")</f>
        <v>2.5014223998918575E-2</v>
      </c>
      <c r="H36" s="9">
        <f>_xll.BQL("UAL US Equity", "FA_GROWTH(CONS_COST_PER_ASM_EX_FUEL, YOY)", "FPT=A", "FPO=2A", "ACT_EST_MAPPING=PRECISE", "FS=MRC", "CURRENCY=USD", "XLFILL=b")</f>
        <v>1.1437943390158956</v>
      </c>
      <c r="I36" s="9">
        <f>_xll.BQL("UAL US Equity", "FA_GROWTH(CONS_COST_PER_ASM_EX_FUEL, YOY)", "FPT=A", "FPO=1A", "ACT_EST_MAPPING=PRECISE", "FS=MRC", "CURRENCY=USD", "XLFILL=b")</f>
        <v>-6.441710376471374E-2</v>
      </c>
      <c r="J36" s="9">
        <f>_xll.BQL("UAL US Equity", "FA_GROWTH(CONS_COST_PER_ASM_EX_FUEL, YOY)", "FPT=A", "FPO=0A", "ACT_EST_MAPPING=PRECISE", "FS=MRC", "CURRENCY=USD", "XLFILL=b")</f>
        <v>6.3025210084033612</v>
      </c>
      <c r="K36" s="9">
        <f>_xll.BQL("UAL US Equity", "FA_GROWTH(CONS_COST_PER_ASM_EX_FUEL, YOY)", "FPT=A", "FPO=-1A", "ACT_EST_MAPPING=PRECISE", "FS=MRC", "CURRENCY=USD", "XLFILL=b")</f>
        <v>6.8222621184919179</v>
      </c>
      <c r="L36" s="9">
        <f>_xll.BQL("UAL US Equity", "FA_GROWTH(CONS_COST_PER_ASM_EX_FUEL, YOY)", "FPT=A", "FPO=-2A", "ACT_EST_MAPPING=PRECISE", "FS=MRC", "CURRENCY=USD", "XLFILL=b")</f>
        <v>-26.273990734612834</v>
      </c>
      <c r="M36" s="9">
        <f>_xll.BQL("UAL US Equity", "FA_GROWTH(CONS_COST_PER_ASM_EX_FUEL, YOY)", "FPT=A", "FPO=-3A", "ACT_EST_MAPPING=PRECISE", "FS=MRC", "CURRENCY=USD", "XLFILL=b")</f>
        <v>43.494776828110162</v>
      </c>
      <c r="N36" s="9">
        <f>_xll.BQL("UAL US Equity", "FA_GROWTH(CONS_COST_PER_ASM_EX_FUEL, YOY)", "FPT=A", "FPO=-4A", "ACT_EST_MAPPING=PRECISE", "FS=MRC", "CURRENCY=USD", "XLFILL=b")</f>
        <v>0.76555023923445054</v>
      </c>
    </row>
    <row r="37" spans="1:14" x14ac:dyDescent="0.2">
      <c r="A37" s="8" t="s">
        <v>44</v>
      </c>
      <c r="B37" s="4" t="s">
        <v>45</v>
      </c>
      <c r="C37" s="4"/>
      <c r="D37" s="4"/>
      <c r="E37" s="9">
        <f>_xll.BQL("UAL US Equity", "COST_PER_SEAT_EXCL_ABN_ITMS", "FPT=A", "FPO=5A", "ACT_EST_MAPPING=PRECISE", "FS=MRC", "CURRENCY=USD", "XLFILL=b")</f>
        <v>12.533220298676722</v>
      </c>
      <c r="F37" s="9">
        <f>_xll.BQL("UAL US Equity", "COST_PER_SEAT_EXCL_ABN_ITMS", "FPT=A", "FPO=4A", "ACT_EST_MAPPING=PRECISE", "FS=MRC", "CURRENCY=USD", "XLFILL=b")</f>
        <v>12.405692350572474</v>
      </c>
      <c r="G37" s="9">
        <f>_xll.BQL("UAL US Equity", "COST_PER_SEAT_EXCL_ABN_ITMS", "FPT=A", "FPO=3A", "ACT_EST_MAPPING=PRECISE", "FS=MRC", "CURRENCY=USD", "XLFILL=b")</f>
        <v>10.13877413661692</v>
      </c>
      <c r="H37" s="9">
        <f>_xll.BQL("UAL US Equity", "COST_PER_SEAT_EXCL_ABN_ITMS", "FPT=A", "FPO=2A", "ACT_EST_MAPPING=PRECISE", "FS=MRC", "CURRENCY=USD", "XLFILL=b")</f>
        <v>10.905604906162576</v>
      </c>
      <c r="I37" s="9">
        <f>_xll.BQL("UAL US Equity", "COST_PER_SEAT_EXCL_ABN_ITMS", "FPT=A", "FPO=1A", "ACT_EST_MAPPING=PRECISE", "FS=MRC", "CURRENCY=USD", "XLFILL=b")</f>
        <v>12.506251575152669</v>
      </c>
      <c r="J37" s="9">
        <f>_xll.BQL("UAL US Equity", "COST_PER_SEAT_EXCL_ABN_ITMS", "FPT=A", "FPO=0A", "ACT_EST_MAPPING=PRECISE", "FS=MRC", "CURRENCY=USD", "XLFILL=b")</f>
        <v>12.03</v>
      </c>
      <c r="K37" s="9">
        <f>_xll.BQL("UAL US Equity", "COST_PER_SEAT_EXCL_ABN_ITMS", "FPT=A", "FPO=-1A", "ACT_EST_MAPPING=PRECISE", "FS=MRC", "CURRENCY=USD", "XLFILL=b")</f>
        <v>11.73</v>
      </c>
      <c r="L37" s="9">
        <f>_xll.BQL("UAL US Equity", "COST_PER_SEAT_EXCL_ABN_ITMS", "FPT=A", "FPO=-2A", "ACT_EST_MAPPING=PRECISE", "FS=MRC", "CURRENCY=USD", "XLFILL=b")</f>
        <v>12.96</v>
      </c>
      <c r="M37" s="9">
        <f>_xll.BQL("UAL US Equity", "COST_PER_SEAT_EXCL_ABN_ITMS", "FPT=A", "FPO=-3A", "ACT_EST_MAPPING=PRECISE", "FS=MRC", "CURRENCY=USD", "XLFILL=b")</f>
        <v>17.13</v>
      </c>
      <c r="N37" s="9">
        <f>_xll.BQL("UAL US Equity", "COST_PER_SEAT_EXCL_ABN_ITMS", "FPT=A", "FPO=-4A", "ACT_EST_MAPPING=PRECISE", "FS=MRC", "CURRENCY=USD", "XLFILL=b")</f>
        <v>10.210000000000001</v>
      </c>
    </row>
    <row r="38" spans="1:14" x14ac:dyDescent="0.2">
      <c r="A38" s="8" t="s">
        <v>12</v>
      </c>
      <c r="B38" s="4" t="s">
        <v>45</v>
      </c>
      <c r="C38" s="4"/>
      <c r="D38" s="4"/>
      <c r="E38" s="9">
        <f>_xll.BQL("UAL US Equity", "FA_GROWTH(COST_PER_SEAT_EXCL_ABN_ITMS, YOY)", "FPT=A", "FPO=5A", "ACT_EST_MAPPING=PRECISE", "FS=MRC", "CURRENCY=USD", "XLFILL=b")</f>
        <v>1.0279792896715132</v>
      </c>
      <c r="F38" s="9">
        <f>_xll.BQL("UAL US Equity", "FA_GROWTH(COST_PER_SEAT_EXCL_ABN_ITMS, YOY)", "FPT=A", "FPO=4A", "ACT_EST_MAPPING=PRECISE", "FS=MRC", "CURRENCY=USD", "XLFILL=b")</f>
        <v>22.358898456652803</v>
      </c>
      <c r="G38" s="9">
        <f>_xll.BQL("UAL US Equity", "FA_GROWTH(COST_PER_SEAT_EXCL_ABN_ITMS, YOY)", "FPT=A", "FPO=3A", "ACT_EST_MAPPING=PRECISE", "FS=MRC", "CURRENCY=USD", "XLFILL=b")</f>
        <v>-7.0315289811419159</v>
      </c>
      <c r="H38" s="9">
        <f>_xll.BQL("UAL US Equity", "FA_GROWTH(COST_PER_SEAT_EXCL_ABN_ITMS, YOY)", "FPT=A", "FPO=2A", "ACT_EST_MAPPING=PRECISE", "FS=MRC", "CURRENCY=USD", "XLFILL=b")</f>
        <v>-12.798772352942638</v>
      </c>
      <c r="I38" s="9">
        <f>_xll.BQL("UAL US Equity", "FA_GROWTH(COST_PER_SEAT_EXCL_ABN_ITMS, YOY)", "FPT=A", "FPO=1A", "ACT_EST_MAPPING=PRECISE", "FS=MRC", "CURRENCY=USD", "XLFILL=b")</f>
        <v>3.9588659613688275</v>
      </c>
      <c r="J38" s="9">
        <f>_xll.BQL("UAL US Equity", "FA_GROWTH(COST_PER_SEAT_EXCL_ABN_ITMS, YOY)", "FPT=A", "FPO=0A", "ACT_EST_MAPPING=PRECISE", "FS=MRC", "CURRENCY=USD", "XLFILL=b")</f>
        <v>2.5575447570332388</v>
      </c>
      <c r="K38" s="9">
        <f>_xll.BQL("UAL US Equity", "FA_GROWTH(COST_PER_SEAT_EXCL_ABN_ITMS, YOY)", "FPT=A", "FPO=-1A", "ACT_EST_MAPPING=PRECISE", "FS=MRC", "CURRENCY=USD", "XLFILL=b")</f>
        <v>-9.490740740740744</v>
      </c>
      <c r="L38" s="9">
        <f>_xll.BQL("UAL US Equity", "FA_GROWTH(COST_PER_SEAT_EXCL_ABN_ITMS, YOY)", "FPT=A", "FPO=-2A", "ACT_EST_MAPPING=PRECISE", "FS=MRC", "CURRENCY=USD", "XLFILL=b")</f>
        <v>-24.343257443082305</v>
      </c>
      <c r="M38" s="9">
        <f>_xll.BQL("UAL US Equity", "FA_GROWTH(COST_PER_SEAT_EXCL_ABN_ITMS, YOY)", "FPT=A", "FPO=-3A", "ACT_EST_MAPPING=PRECISE", "FS=MRC", "CURRENCY=USD", "XLFILL=b")</f>
        <v>67.776689520078321</v>
      </c>
      <c r="N38" s="9">
        <f>_xll.BQL("UAL US Equity", "FA_GROWTH(COST_PER_SEAT_EXCL_ABN_ITMS, YOY)", "FPT=A", "FPO=-4A", "ACT_EST_MAPPING=PRECISE", "FS=MRC", "CURRENCY=USD", "XLFILL=b")</f>
        <v>0.98911968348171542</v>
      </c>
    </row>
    <row r="39" spans="1:14" x14ac:dyDescent="0.2">
      <c r="A39" s="8" t="s">
        <v>16</v>
      </c>
      <c r="B39" s="4"/>
      <c r="C39" s="4"/>
      <c r="D39" s="4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x14ac:dyDescent="0.2">
      <c r="A40" s="8" t="s">
        <v>46</v>
      </c>
      <c r="B40" s="4" t="s">
        <v>47</v>
      </c>
      <c r="C40" s="4"/>
      <c r="D40" s="4"/>
      <c r="E40" s="9">
        <f>_xll.BQL("UAL US Equity", "SIZE_OF_FLEET", "FPT=A", "FPO=5A", "ACT_EST_MAPPING=PRECISE", "FS=MRC", "CURRENCY=USD", "XLFILL=b")</f>
        <v>1626</v>
      </c>
      <c r="F40" s="9">
        <f>_xll.BQL("UAL US Equity", "SIZE_OF_FLEET", "FPT=A", "FPO=4A", "ACT_EST_MAPPING=PRECISE", "FS=MRC", "CURRENCY=USD", "XLFILL=b")</f>
        <v>1649</v>
      </c>
      <c r="G40" s="9">
        <f>_xll.BQL("UAL US Equity", "SIZE_OF_FLEET", "FPT=A", "FPO=3A", "ACT_EST_MAPPING=PRECISE", "FS=MRC", "CURRENCY=USD", "XLFILL=b")</f>
        <v>1583</v>
      </c>
      <c r="H40" s="9">
        <f>_xll.BQL("UAL US Equity", "SIZE_OF_FLEET", "FPT=A", "FPO=2A", "ACT_EST_MAPPING=PRECISE", "FS=MRC", "CURRENCY=USD", "XLFILL=b")</f>
        <v>1385.5</v>
      </c>
      <c r="I40" s="9">
        <f>_xll.BQL("UAL US Equity", "SIZE_OF_FLEET", "FPT=A", "FPO=1A", "ACT_EST_MAPPING=PRECISE", "FS=MRC", "CURRENCY=USD", "XLFILL=b")</f>
        <v>1439</v>
      </c>
      <c r="J40" s="9">
        <f>_xll.BQL("UAL US Equity", "SIZE_OF_FLEET", "FPT=A", "FPO=0A", "ACT_EST_MAPPING=PRECISE", "FS=MRC", "CURRENCY=USD", "XLFILL=b")</f>
        <v>1358</v>
      </c>
      <c r="K40" s="9">
        <f>_xll.BQL("UAL US Equity", "SIZE_OF_FLEET", "FPT=A", "FPO=-1A", "ACT_EST_MAPPING=PRECISE", "FS=MRC", "CURRENCY=USD", "XLFILL=b")</f>
        <v>1338</v>
      </c>
      <c r="L40" s="9">
        <f>_xll.BQL("UAL US Equity", "SIZE_OF_FLEET", "FPT=A", "FPO=-2A", "ACT_EST_MAPPING=PRECISE", "FS=MRC", "CURRENCY=USD", "XLFILL=b")</f>
        <v>1344</v>
      </c>
      <c r="M40" s="9">
        <f>_xll.BQL("UAL US Equity", "SIZE_OF_FLEET", "FPT=A", "FPO=-3A", "ACT_EST_MAPPING=PRECISE", "FS=MRC", "CURRENCY=USD", "XLFILL=b")</f>
        <v>1287</v>
      </c>
      <c r="N40" s="9">
        <f>_xll.BQL("UAL US Equity", "SIZE_OF_FLEET", "FPT=A", "FPO=-4A", "ACT_EST_MAPPING=PRECISE", "FS=MRC", "CURRENCY=USD", "XLFILL=b")</f>
        <v>1372</v>
      </c>
    </row>
    <row r="41" spans="1:14" x14ac:dyDescent="0.2">
      <c r="A41" s="8" t="s">
        <v>12</v>
      </c>
      <c r="B41" s="4" t="s">
        <v>47</v>
      </c>
      <c r="C41" s="4"/>
      <c r="D41" s="4"/>
      <c r="E41" s="9">
        <f>_xll.BQL("UAL US Equity", "FA_GROWTH(SIZE_OF_FLEET, YOY)", "FPT=A", "FPO=5A", "ACT_EST_MAPPING=PRECISE", "FS=MRC", "CURRENCY=USD", "XLFILL=b")</f>
        <v>-1.3947847180109156</v>
      </c>
      <c r="F41" s="9">
        <f>_xll.BQL("UAL US Equity", "FA_GROWTH(SIZE_OF_FLEET, YOY)", "FPT=A", "FPO=4A", "ACT_EST_MAPPING=PRECISE", "FS=MRC", "CURRENCY=USD", "XLFILL=b")</f>
        <v>4.169298799747315</v>
      </c>
      <c r="G41" s="9">
        <f>_xll.BQL("UAL US Equity", "FA_GROWTH(SIZE_OF_FLEET, YOY)", "FPT=A", "FPO=3A", "ACT_EST_MAPPING=PRECISE", "FS=MRC", "CURRENCY=USD", "XLFILL=b")</f>
        <v>14.254781667268134</v>
      </c>
      <c r="H41" s="9">
        <f>_xll.BQL("UAL US Equity", "FA_GROWTH(SIZE_OF_FLEET, YOY)", "FPT=A", "FPO=2A", "ACT_EST_MAPPING=PRECISE", "FS=MRC", "CURRENCY=USD", "XLFILL=b")</f>
        <v>-3.7178596247394022</v>
      </c>
      <c r="I41" s="9">
        <f>_xll.BQL("UAL US Equity", "FA_GROWTH(SIZE_OF_FLEET, YOY)", "FPT=A", "FPO=1A", "ACT_EST_MAPPING=PRECISE", "FS=MRC", "CURRENCY=USD", "XLFILL=b")</f>
        <v>5.9646539027982328</v>
      </c>
      <c r="J41" s="9">
        <f>_xll.BQL("UAL US Equity", "FA_GROWTH(SIZE_OF_FLEET, YOY)", "FPT=A", "FPO=0A", "ACT_EST_MAPPING=PRECISE", "FS=MRC", "CURRENCY=USD", "XLFILL=b")</f>
        <v>1.4947683109118086</v>
      </c>
      <c r="K41" s="9">
        <f>_xll.BQL("UAL US Equity", "FA_GROWTH(SIZE_OF_FLEET, YOY)", "FPT=A", "FPO=-1A", "ACT_EST_MAPPING=PRECISE", "FS=MRC", "CURRENCY=USD", "XLFILL=b")</f>
        <v>-0.44642857142857145</v>
      </c>
      <c r="L41" s="9">
        <f>_xll.BQL("UAL US Equity", "FA_GROWTH(SIZE_OF_FLEET, YOY)", "FPT=A", "FPO=-2A", "ACT_EST_MAPPING=PRECISE", "FS=MRC", "CURRENCY=USD", "XLFILL=b")</f>
        <v>4.4289044289044286</v>
      </c>
      <c r="M41" s="9">
        <f>_xll.BQL("UAL US Equity", "FA_GROWTH(SIZE_OF_FLEET, YOY)", "FPT=A", "FPO=-3A", "ACT_EST_MAPPING=PRECISE", "FS=MRC", "CURRENCY=USD", "XLFILL=b")</f>
        <v>-6.1953352769679304</v>
      </c>
      <c r="N41" s="9">
        <f>_xll.BQL("UAL US Equity", "FA_GROWTH(SIZE_OF_FLEET, YOY)", "FPT=A", "FPO=-4A", "ACT_EST_MAPPING=PRECISE", "FS=MRC", "CURRENCY=USD", "XLFILL=b")</f>
        <v>3.2355154251316778</v>
      </c>
    </row>
    <row r="42" spans="1:14" x14ac:dyDescent="0.2">
      <c r="A42" s="8" t="s">
        <v>48</v>
      </c>
      <c r="B42" s="4" t="s">
        <v>49</v>
      </c>
      <c r="C42" s="4"/>
      <c r="D42" s="4"/>
      <c r="E42" s="9">
        <f>_xll.BQL("UAL US Equity", "FUEL_PRICE_PER_GALLON_LITRE", "FPT=A", "FPO=5A", "ACT_EST_MAPPING=PRECISE", "FS=MRC", "CURRENCY=USD", "XLFILL=b")</f>
        <v>2.4299096204000605</v>
      </c>
      <c r="F42" s="9">
        <f>_xll.BQL("UAL US Equity", "FUEL_PRICE_PER_GALLON_LITRE", "FPT=A", "FPO=4A", "ACT_EST_MAPPING=PRECISE", "FS=MRC", "CURRENCY=USD", "XLFILL=b")</f>
        <v>2.6303512159000455</v>
      </c>
      <c r="G42" s="9">
        <f>_xll.BQL("UAL US Equity", "FUEL_PRICE_PER_GALLON_LITRE", "FPT=A", "FPO=3A", "ACT_EST_MAPPING=PRECISE", "FS=MRC", "CURRENCY=USD", "XLFILL=b")</f>
        <v>2.6594327272976415</v>
      </c>
      <c r="H42" s="9">
        <f>_xll.BQL("UAL US Equity", "FUEL_PRICE_PER_GALLON_LITRE", "FPT=A", "FPO=2A", "ACT_EST_MAPPING=PRECISE", "FS=MRC", "CURRENCY=USD", "XLFILL=b")</f>
        <v>2.6889518040473988</v>
      </c>
      <c r="I42" s="9">
        <f>_xll.BQL("UAL US Equity", "FUEL_PRICE_PER_GALLON_LITRE", "FPT=A", "FPO=1A", "ACT_EST_MAPPING=PRECISE", "FS=MRC", "CURRENCY=USD", "XLFILL=b")</f>
        <v>2.7799534198582845</v>
      </c>
      <c r="J42" s="9">
        <f>_xll.BQL("UAL US Equity", "FUEL_PRICE_PER_GALLON_LITRE", "FPT=A", "FPO=0A", "ACT_EST_MAPPING=PRECISE", "FS=MRC", "CURRENCY=USD", "XLFILL=b")</f>
        <v>3.01</v>
      </c>
      <c r="K42" s="9">
        <f>_xll.BQL("UAL US Equity", "FUEL_PRICE_PER_GALLON_LITRE", "FPT=A", "FPO=-1A", "ACT_EST_MAPPING=PRECISE", "FS=MRC", "CURRENCY=USD", "XLFILL=b")</f>
        <v>3.63</v>
      </c>
      <c r="L42" s="9">
        <f>_xll.BQL("UAL US Equity", "FUEL_PRICE_PER_GALLON_LITRE", "FPT=A", "FPO=-2A", "ACT_EST_MAPPING=PRECISE", "FS=MRC", "CURRENCY=USD", "XLFILL=b")</f>
        <v>2.11</v>
      </c>
      <c r="M42" s="9">
        <f>_xll.BQL("UAL US Equity", "FUEL_PRICE_PER_GALLON_LITRE", "FPT=A", "FPO=-3A", "ACT_EST_MAPPING=PRECISE", "FS=MRC", "CURRENCY=USD", "XLFILL=b")</f>
        <v>1.57</v>
      </c>
      <c r="N42" s="9">
        <f>_xll.BQL("UAL US Equity", "FUEL_PRICE_PER_GALLON_LITRE", "FPT=A", "FPO=-4A", "ACT_EST_MAPPING=PRECISE", "FS=MRC", "CURRENCY=USD", "XLFILL=b")</f>
        <v>2.09</v>
      </c>
    </row>
    <row r="43" spans="1:14" x14ac:dyDescent="0.2">
      <c r="A43" s="8" t="s">
        <v>12</v>
      </c>
      <c r="B43" s="4" t="s">
        <v>49</v>
      </c>
      <c r="C43" s="4"/>
      <c r="D43" s="4"/>
      <c r="E43" s="9">
        <f>_xll.BQL("UAL US Equity", "FA_GROWTH(FUEL_PRICE_PER_GALLON_LITRE, YOY)", "FPT=A", "FPO=5A", "ACT_EST_MAPPING=PRECISE", "FS=MRC", "CURRENCY=USD", "XLFILL=b")</f>
        <v>-7.6203358049049914</v>
      </c>
      <c r="F43" s="9">
        <f>_xll.BQL("UAL US Equity", "FA_GROWTH(FUEL_PRICE_PER_GALLON_LITRE, YOY)", "FPT=A", "FPO=4A", "ACT_EST_MAPPING=PRECISE", "FS=MRC", "CURRENCY=USD", "XLFILL=b")</f>
        <v>-1.093523107356315</v>
      </c>
      <c r="G43" s="9">
        <f>_xll.BQL("UAL US Equity", "FA_GROWTH(FUEL_PRICE_PER_GALLON_LITRE, YOY)", "FPT=A", "FPO=3A", "ACT_EST_MAPPING=PRECISE", "FS=MRC", "CURRENCY=USD", "XLFILL=b")</f>
        <v>-1.0977912175787345</v>
      </c>
      <c r="H43" s="9">
        <f>_xll.BQL("UAL US Equity", "FA_GROWTH(FUEL_PRICE_PER_GALLON_LITRE, YOY)", "FPT=A", "FPO=2A", "ACT_EST_MAPPING=PRECISE", "FS=MRC", "CURRENCY=USD", "XLFILL=b")</f>
        <v>-3.2734942665163351</v>
      </c>
      <c r="I43" s="9">
        <f>_xll.BQL("UAL US Equity", "FA_GROWTH(FUEL_PRICE_PER_GALLON_LITRE, YOY)", "FPT=A", "FPO=1A", "ACT_EST_MAPPING=PRECISE", "FS=MRC", "CURRENCY=USD", "XLFILL=b")</f>
        <v>-7.6427435263028354</v>
      </c>
      <c r="J43" s="9">
        <f>_xll.BQL("UAL US Equity", "FA_GROWTH(FUEL_PRICE_PER_GALLON_LITRE, YOY)", "FPT=A", "FPO=0A", "ACT_EST_MAPPING=PRECISE", "FS=MRC", "CURRENCY=USD", "XLFILL=b")</f>
        <v>-17.079889807162537</v>
      </c>
      <c r="K43" s="9">
        <f>_xll.BQL("UAL US Equity", "FA_GROWTH(FUEL_PRICE_PER_GALLON_LITRE, YOY)", "FPT=A", "FPO=-1A", "ACT_EST_MAPPING=PRECISE", "FS=MRC", "CURRENCY=USD", "XLFILL=b")</f>
        <v>72.037914691943129</v>
      </c>
      <c r="L43" s="9">
        <f>_xll.BQL("UAL US Equity", "FA_GROWTH(FUEL_PRICE_PER_GALLON_LITRE, YOY)", "FPT=A", "FPO=-2A", "ACT_EST_MAPPING=PRECISE", "FS=MRC", "CURRENCY=USD", "XLFILL=b")</f>
        <v>34.39490445859871</v>
      </c>
      <c r="M43" s="9">
        <f>_xll.BQL("UAL US Equity", "FA_GROWTH(FUEL_PRICE_PER_GALLON_LITRE, YOY)", "FPT=A", "FPO=-3A", "ACT_EST_MAPPING=PRECISE", "FS=MRC", "CURRENCY=USD", "XLFILL=b")</f>
        <v>-24.88038277511961</v>
      </c>
      <c r="N43" s="9">
        <f>_xll.BQL("UAL US Equity", "FA_GROWTH(FUEL_PRICE_PER_GALLON_LITRE, YOY)", "FPT=A", "FPO=-4A", "ACT_EST_MAPPING=PRECISE", "FS=MRC", "CURRENCY=USD", "XLFILL=b")</f>
        <v>-7.1111111111111178</v>
      </c>
    </row>
    <row r="44" spans="1:14" x14ac:dyDescent="0.2">
      <c r="A44" s="8" t="s">
        <v>16</v>
      </c>
      <c r="B44" s="4"/>
      <c r="C44" s="4"/>
      <c r="D44" s="4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 x14ac:dyDescent="0.2">
      <c r="A45" s="8" t="s">
        <v>50</v>
      </c>
      <c r="B45" s="4" t="s">
        <v>51</v>
      </c>
      <c r="C45" s="4"/>
      <c r="D45" s="4"/>
      <c r="E45" s="9" t="str">
        <f>_xll.BQL("UAL US Equity", "AIRLINES_EBITDAR_RATIO/1M", "FPT=A", "FPO=5A", "ACT_EST_MAPPING=PRECISE", "FS=MRC", "CURRENCY=USD", "XLFILL=b")</f>
        <v/>
      </c>
      <c r="F45" s="9" t="str">
        <f>_xll.BQL("UAL US Equity", "AIRLINES_EBITDAR_RATIO/1M", "FPT=A", "FPO=4A", "ACT_EST_MAPPING=PRECISE", "FS=MRC", "CURRENCY=USD", "XLFILL=b")</f>
        <v/>
      </c>
      <c r="G45" s="9">
        <f>_xll.BQL("UAL US Equity", "AIRLINES_EBITDAR_RATIO/1M", "FPT=A", "FPO=3A", "ACT_EST_MAPPING=PRECISE", "FS=MRC", "CURRENCY=USD", "XLFILL=b")</f>
        <v>9339.0495630018086</v>
      </c>
      <c r="H45" s="9">
        <f>_xll.BQL("UAL US Equity", "AIRLINES_EBITDAR_RATIO/1M", "FPT=A", "FPO=2A", "ACT_EST_MAPPING=PRECISE", "FS=MRC", "CURRENCY=USD", "XLFILL=b")</f>
        <v>8639.0819564537869</v>
      </c>
      <c r="I45" s="9">
        <f>_xll.BQL("UAL US Equity", "AIRLINES_EBITDAR_RATIO/1M", "FPT=A", "FPO=1A", "ACT_EST_MAPPING=PRECISE", "FS=MRC", "CURRENCY=USD", "XLFILL=b")</f>
        <v>7900.8327238580587</v>
      </c>
      <c r="J45" s="9">
        <f>_xll.BQL("UAL US Equity", "AIRLINES_EBITDAR_RATIO/1M", "FPT=A", "FPO=0A", "ACT_EST_MAPPING=PRECISE", "FS=MRC", "CURRENCY=USD", "XLFILL=b")</f>
        <v>7768</v>
      </c>
      <c r="K45" s="9">
        <f>_xll.BQL("UAL US Equity", "AIRLINES_EBITDAR_RATIO/1M", "FPT=A", "FPO=-1A", "ACT_EST_MAPPING=PRECISE", "FS=MRC", "CURRENCY=USD", "XLFILL=b")</f>
        <v>5701</v>
      </c>
      <c r="L45" s="9">
        <f>_xll.BQL("UAL US Equity", "AIRLINES_EBITDAR_RATIO/1M", "FPT=A", "FPO=-2A", "ACT_EST_MAPPING=PRECISE", "FS=MRC", "CURRENCY=USD", "XLFILL=b")</f>
        <v>2395</v>
      </c>
      <c r="M45" s="9">
        <f>_xll.BQL("UAL US Equity", "AIRLINES_EBITDAR_RATIO/1M", "FPT=A", "FPO=-3A", "ACT_EST_MAPPING=PRECISE", "FS=MRC", "CURRENCY=USD", "XLFILL=b")</f>
        <v>-2961</v>
      </c>
      <c r="N45" s="9">
        <f>_xll.BQL("UAL US Equity", "AIRLINES_EBITDAR_RATIO/1M", "FPT=A", "FPO=-4A", "ACT_EST_MAPPING=PRECISE", "FS=MRC", "CURRENCY=USD", "XLFILL=b")</f>
        <v>7595</v>
      </c>
    </row>
    <row r="46" spans="1:14" x14ac:dyDescent="0.2">
      <c r="A46" s="8" t="s">
        <v>12</v>
      </c>
      <c r="B46" s="4" t="s">
        <v>51</v>
      </c>
      <c r="C46" s="4"/>
      <c r="D46" s="4"/>
      <c r="E46" s="9" t="str">
        <f>_xll.BQL("UAL US Equity", "FA_GROWTH(AIRLINES_EBITDAR_RATIO, YOY)", "FPT=A", "FPO=5A", "ACT_EST_MAPPING=PRECISE", "FS=MRC", "CURRENCY=USD", "XLFILL=b")</f>
        <v/>
      </c>
      <c r="F46" s="9" t="str">
        <f>_xll.BQL("UAL US Equity", "FA_GROWTH(AIRLINES_EBITDAR_RATIO, YOY)", "FPT=A", "FPO=4A", "ACT_EST_MAPPING=PRECISE", "FS=MRC", "CURRENCY=USD", "XLFILL=b")</f>
        <v/>
      </c>
      <c r="G46" s="9">
        <f>_xll.BQL("UAL US Equity", "FA_GROWTH(AIRLINES_EBITDAR_RATIO, YOY)", "FPT=A", "FPO=3A", "ACT_EST_MAPPING=PRECISE", "FS=MRC", "CURRENCY=USD", "XLFILL=b")</f>
        <v>8.1023378418711918</v>
      </c>
      <c r="H46" s="9">
        <f>_xll.BQL("UAL US Equity", "FA_GROWTH(AIRLINES_EBITDAR_RATIO, YOY)", "FPT=A", "FPO=2A", "ACT_EST_MAPPING=PRECISE", "FS=MRC", "CURRENCY=USD", "XLFILL=b")</f>
        <v>9.343942067858805</v>
      </c>
      <c r="I46" s="9">
        <f>_xll.BQL("UAL US Equity", "FA_GROWTH(AIRLINES_EBITDAR_RATIO, YOY)", "FPT=A", "FPO=1A", "ACT_EST_MAPPING=PRECISE", "FS=MRC", "CURRENCY=USD", "XLFILL=b")</f>
        <v>1.7099990197999346</v>
      </c>
      <c r="J46" s="9">
        <f>_xll.BQL("UAL US Equity", "FA_GROWTH(AIRLINES_EBITDAR_RATIO, YOY)", "FPT=A", "FPO=0A", "ACT_EST_MAPPING=PRECISE", "FS=MRC", "CURRENCY=USD", "XLFILL=b")</f>
        <v>36.256797053148567</v>
      </c>
      <c r="K46" s="9">
        <f>_xll.BQL("UAL US Equity", "FA_GROWTH(AIRLINES_EBITDAR_RATIO, YOY)", "FPT=A", "FPO=-1A", "ACT_EST_MAPPING=PRECISE", "FS=MRC", "CURRENCY=USD", "XLFILL=b")</f>
        <v>138.03757828810021</v>
      </c>
      <c r="L46" s="9">
        <f>_xll.BQL("UAL US Equity", "FA_GROWTH(AIRLINES_EBITDAR_RATIO, YOY)", "FPT=A", "FPO=-2A", "ACT_EST_MAPPING=PRECISE", "FS=MRC", "CURRENCY=USD", "XLFILL=b")</f>
        <v>180.88483620398515</v>
      </c>
      <c r="M46" s="9">
        <f>_xll.BQL("UAL US Equity", "FA_GROWTH(AIRLINES_EBITDAR_RATIO, YOY)", "FPT=A", "FPO=-3A", "ACT_EST_MAPPING=PRECISE", "FS=MRC", "CURRENCY=USD", "XLFILL=b")</f>
        <v>-138.98617511520737</v>
      </c>
      <c r="N46" s="9">
        <f>_xll.BQL("UAL US Equity", "FA_GROWTH(AIRLINES_EBITDAR_RATIO, YOY)", "FPT=A", "FPO=-4A", "ACT_EST_MAPPING=PRECISE", "FS=MRC", "CURRENCY=USD", "XLFILL=b")</f>
        <v>15.618815649261684</v>
      </c>
    </row>
    <row r="47" spans="1:14" x14ac:dyDescent="0.2">
      <c r="A47" s="8" t="s">
        <v>52</v>
      </c>
      <c r="B47" s="4" t="s">
        <v>53</v>
      </c>
      <c r="C47" s="4" t="s">
        <v>54</v>
      </c>
      <c r="D47" s="4"/>
      <c r="E47" s="9">
        <f>_xll.BQL("UAL US Equity", "IS_COMP_NET_INCOME_ADJUST_OLD/1M", "FPT=A", "FPO=5A", "ACT_EST_MAPPING=PRECISE", "FS=MRC", "CURRENCY=USD", "XLFILL=b")</f>
        <v>5326.5</v>
      </c>
      <c r="F47" s="9">
        <f>_xll.BQL("UAL US Equity", "IS_COMP_NET_INCOME_ADJUST_OLD/1M", "FPT=A", "FPO=4A", "ACT_EST_MAPPING=PRECISE", "FS=MRC", "CURRENCY=USD", "XLFILL=b")</f>
        <v>4824</v>
      </c>
      <c r="G47" s="9">
        <f>_xll.BQL("UAL US Equity", "IS_COMP_NET_INCOME_ADJUST_OLD/1M", "FPT=A", "FPO=3A", "ACT_EST_MAPPING=PRECISE", "FS=MRC", "CURRENCY=USD", "XLFILL=b")</f>
        <v>4373</v>
      </c>
      <c r="H47" s="9">
        <f>_xll.BQL("UAL US Equity", "IS_COMP_NET_INCOME_ADJUST_OLD/1M", "FPT=A", "FPO=2A", "ACT_EST_MAPPING=PRECISE", "FS=MRC", "CURRENCY=USD", "XLFILL=b")</f>
        <v>3748.0588235294117</v>
      </c>
      <c r="I47" s="9">
        <f>_xll.BQL("UAL US Equity", "IS_COMP_NET_INCOME_ADJUST_OLD/1M", "FPT=A", "FPO=1A", "ACT_EST_MAPPING=PRECISE", "FS=MRC", "CURRENCY=USD", "XLFILL=b")</f>
        <v>3177.5</v>
      </c>
      <c r="J47" s="9">
        <f>_xll.BQL("UAL US Equity", "IS_COMP_NET_INCOME_ADJUST_OLD/1M", "FPT=A", "FPO=0A", "ACT_EST_MAPPING=PRECISE", "FS=MRC", "CURRENCY=USD", "XLFILL=b")</f>
        <v>3337</v>
      </c>
      <c r="K47" s="9">
        <f>_xll.BQL("UAL US Equity", "IS_COMP_NET_INCOME_ADJUST_OLD/1M", "FPT=A", "FPO=-1A", "ACT_EST_MAPPING=PRECISE", "FS=MRC", "CURRENCY=USD", "XLFILL=b")</f>
        <v>831</v>
      </c>
      <c r="L47" s="9">
        <f>_xll.BQL("UAL US Equity", "IS_COMP_NET_INCOME_ADJUST_OLD/1M", "FPT=A", "FPO=-2A", "ACT_EST_MAPPING=PRECISE", "FS=MRC", "CURRENCY=USD", "XLFILL=b")</f>
        <v>-4488</v>
      </c>
      <c r="M47" s="9">
        <f>_xll.BQL("UAL US Equity", "IS_COMP_NET_INCOME_ADJUST_OLD/1M", "FPT=A", "FPO=-3A", "ACT_EST_MAPPING=PRECISE", "FS=MRC", "CURRENCY=USD", "XLFILL=b")</f>
        <v>-7703</v>
      </c>
      <c r="N47" s="9">
        <f>_xll.BQL("UAL US Equity", "IS_COMP_NET_INCOME_ADJUST_OLD/1M", "FPT=A", "FPO=-4A", "ACT_EST_MAPPING=PRECISE", "FS=MRC", "CURRENCY=USD", "XLFILL=b")</f>
        <v>3131</v>
      </c>
    </row>
    <row r="48" spans="1:14" x14ac:dyDescent="0.2">
      <c r="A48" s="8" t="s">
        <v>12</v>
      </c>
      <c r="B48" s="4" t="s">
        <v>53</v>
      </c>
      <c r="C48" s="4" t="s">
        <v>54</v>
      </c>
      <c r="D48" s="4"/>
      <c r="E48" s="9">
        <f>_xll.BQL("UAL US Equity", "FA_GROWTH(IS_COMP_NET_INCOME_ADJUST_OLD, YOY)", "FPT=A", "FPO=5A", "ACT_EST_MAPPING=PRECISE", "FS=MRC", "CURRENCY=USD", "XLFILL=b")</f>
        <v>10.416666666666666</v>
      </c>
      <c r="F48" s="9">
        <f>_xll.BQL("UAL US Equity", "FA_GROWTH(IS_COMP_NET_INCOME_ADJUST_OLD, YOY)", "FPT=A", "FPO=4A", "ACT_EST_MAPPING=PRECISE", "FS=MRC", "CURRENCY=USD", "XLFILL=b")</f>
        <v>10.313286073633661</v>
      </c>
      <c r="G48" s="9">
        <f>_xll.BQL("UAL US Equity", "FA_GROWTH(IS_COMP_NET_INCOME_ADJUST_OLD, YOY)", "FPT=A", "FPO=3A", "ACT_EST_MAPPING=PRECISE", "FS=MRC", "CURRENCY=USD", "XLFILL=b")</f>
        <v>16.673729146067767</v>
      </c>
      <c r="H48" s="9">
        <f>_xll.BQL("UAL US Equity", "FA_GROWTH(IS_COMP_NET_INCOME_ADJUST_OLD, YOY)", "FPT=A", "FPO=2A", "ACT_EST_MAPPING=PRECISE", "FS=MRC", "CURRENCY=USD", "XLFILL=b")</f>
        <v>17.956217892349702</v>
      </c>
      <c r="I48" s="9">
        <f>_xll.BQL("UAL US Equity", "FA_GROWTH(IS_COMP_NET_INCOME_ADJUST_OLD, YOY)", "FPT=A", "FPO=1A", "ACT_EST_MAPPING=PRECISE", "FS=MRC", "CURRENCY=USD", "XLFILL=b")</f>
        <v>-4.7797422834881633</v>
      </c>
      <c r="J48" s="9">
        <f>_xll.BQL("UAL US Equity", "FA_GROWTH(IS_COMP_NET_INCOME_ADJUST_OLD, YOY)", "FPT=A", "FPO=0A", "ACT_EST_MAPPING=PRECISE", "FS=MRC", "CURRENCY=USD", "XLFILL=b")</f>
        <v>301.56438026474126</v>
      </c>
      <c r="K48" s="9">
        <f>_xll.BQL("UAL US Equity", "FA_GROWTH(IS_COMP_NET_INCOME_ADJUST_OLD, YOY)", "FPT=A", "FPO=-1A", "ACT_EST_MAPPING=PRECISE", "FS=MRC", "CURRENCY=USD", "XLFILL=b")</f>
        <v>118.51604278074866</v>
      </c>
      <c r="L48" s="9">
        <f>_xll.BQL("UAL US Equity", "FA_GROWTH(IS_COMP_NET_INCOME_ADJUST_OLD, YOY)", "FPT=A", "FPO=-2A", "ACT_EST_MAPPING=PRECISE", "FS=MRC", "CURRENCY=USD", "XLFILL=b")</f>
        <v>41.73698559002986</v>
      </c>
      <c r="M48" s="9">
        <f>_xll.BQL("UAL US Equity", "FA_GROWTH(IS_COMP_NET_INCOME_ADJUST_OLD, YOY)", "FPT=A", "FPO=-3A", "ACT_EST_MAPPING=PRECISE", "FS=MRC", "CURRENCY=USD", "XLFILL=b")</f>
        <v>-346.0236346215267</v>
      </c>
      <c r="N48" s="9">
        <f>_xll.BQL("UAL US Equity", "FA_GROWTH(IS_COMP_NET_INCOME_ADJUST_OLD, YOY)", "FPT=A", "FPO=-4A", "ACT_EST_MAPPING=PRECISE", "FS=MRC", "CURRENCY=USD", "XLFILL=b")</f>
        <v>23.950910530482979</v>
      </c>
    </row>
    <row r="49" spans="1:14" x14ac:dyDescent="0.2">
      <c r="A49" s="8" t="s">
        <v>16</v>
      </c>
      <c r="B49" s="4"/>
      <c r="C49" s="4"/>
      <c r="D49" s="4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2">
      <c r="A50" s="8" t="s">
        <v>55</v>
      </c>
      <c r="B50" s="4" t="s">
        <v>56</v>
      </c>
      <c r="C50" s="4"/>
      <c r="D50" s="4"/>
      <c r="E50" s="9">
        <f>_xll.BQL("UAL US Equity", "HEADLINE_CAPEX/1M", "FPT=A", "FPO=5A", "ACT_EST_MAPPING=PRECISE", "FS=MRC", "CURRENCY=USD", "XLFILL=b")</f>
        <v>-7750</v>
      </c>
      <c r="F50" s="9">
        <f>_xll.BQL("UAL US Equity", "HEADLINE_CAPEX/1M", "FPT=A", "FPO=4A", "ACT_EST_MAPPING=PRECISE", "FS=MRC", "CURRENCY=USD", "XLFILL=b")</f>
        <v>-8266.6666666666679</v>
      </c>
      <c r="G50" s="9">
        <f>_xll.BQL("UAL US Equity", "HEADLINE_CAPEX/1M", "FPT=A", "FPO=3A", "ACT_EST_MAPPING=PRECISE", "FS=MRC", "CURRENCY=USD", "XLFILL=b")</f>
        <v>-7874.5</v>
      </c>
      <c r="H50" s="9">
        <f>_xll.BQL("UAL US Equity", "HEADLINE_CAPEX/1M", "FPT=A", "FPO=2A", "ACT_EST_MAPPING=PRECISE", "FS=MRC", "CURRENCY=USD", "XLFILL=b")</f>
        <v>-7788.166666666667</v>
      </c>
      <c r="I50" s="9">
        <f>_xll.BQL("UAL US Equity", "HEADLINE_CAPEX/1M", "FPT=A", "FPO=1A", "ACT_EST_MAPPING=PRECISE", "FS=MRC", "CURRENCY=USD", "XLFILL=b")</f>
        <v>-6275.0769230769238</v>
      </c>
      <c r="J50" s="9">
        <f>_xll.BQL("UAL US Equity", "HEADLINE_CAPEX/1M", "FPT=A", "FPO=0A", "ACT_EST_MAPPING=PRECISE", "FS=MRC", "CURRENCY=USD", "XLFILL=b")</f>
        <v>-7171</v>
      </c>
      <c r="K50" s="9">
        <f>_xll.BQL("UAL US Equity", "HEADLINE_CAPEX/1M", "FPT=A", "FPO=-1A", "ACT_EST_MAPPING=PRECISE", "FS=MRC", "CURRENCY=USD", "XLFILL=b")</f>
        <v>-4819</v>
      </c>
      <c r="L50" s="9">
        <f>_xll.BQL("UAL US Equity", "HEADLINE_CAPEX/1M", "FPT=A", "FPO=-2A", "ACT_EST_MAPPING=PRECISE", "FS=MRC", "CURRENCY=USD", "XLFILL=b")</f>
        <v>-2107</v>
      </c>
      <c r="M50" s="9">
        <f>_xll.BQL("UAL US Equity", "HEADLINE_CAPEX/1M", "FPT=A", "FPO=-3A", "ACT_EST_MAPPING=PRECISE", "FS=MRC", "CURRENCY=USD", "XLFILL=b")</f>
        <v>-1727</v>
      </c>
      <c r="N50" s="9">
        <f>_xll.BQL("UAL US Equity", "HEADLINE_CAPEX/1M", "FPT=A", "FPO=-4A", "ACT_EST_MAPPING=PRECISE", "FS=MRC", "CURRENCY=USD", "XLFILL=b")</f>
        <v>-4528</v>
      </c>
    </row>
    <row r="51" spans="1:14" x14ac:dyDescent="0.2">
      <c r="A51" s="8" t="s">
        <v>12</v>
      </c>
      <c r="B51" s="4" t="s">
        <v>56</v>
      </c>
      <c r="C51" s="4"/>
      <c r="D51" s="4"/>
      <c r="E51" s="9">
        <f>_xll.BQL("UAL US Equity", "FA_GROWTH(HEADLINE_CAPEX, YOY)", "FPT=A", "FPO=5A", "ACT_EST_MAPPING=PRECISE", "FS=MRC", "CURRENCY=USD", "XLFILL=b")</f>
        <v>6.2500000000000044</v>
      </c>
      <c r="F51" s="9">
        <f>_xll.BQL("UAL US Equity", "FA_GROWTH(HEADLINE_CAPEX, YOY)", "FPT=A", "FPO=4A", "ACT_EST_MAPPING=PRECISE", "FS=MRC", "CURRENCY=USD", "XLFILL=b")</f>
        <v>-4.980210383728072</v>
      </c>
      <c r="G51" s="9">
        <f>_xll.BQL("UAL US Equity", "FA_GROWTH(HEADLINE_CAPEX, YOY)", "FPT=A", "FPO=3A", "ACT_EST_MAPPING=PRECISE", "FS=MRC", "CURRENCY=USD", "XLFILL=b")</f>
        <v>-1.108519334888395</v>
      </c>
      <c r="H51" s="9">
        <f>_xll.BQL("UAL US Equity", "FA_GROWTH(HEADLINE_CAPEX, YOY)", "FPT=A", "FPO=2A", "ACT_EST_MAPPING=PRECISE", "FS=MRC", "CURRENCY=USD", "XLFILL=b")</f>
        <v>-24.112688372397109</v>
      </c>
      <c r="I51" s="9">
        <f>_xll.BQL("UAL US Equity", "FA_GROWTH(HEADLINE_CAPEX, YOY)", "FPT=A", "FPO=1A", "ACT_EST_MAPPING=PRECISE", "FS=MRC", "CURRENCY=USD", "XLFILL=b")</f>
        <v>12.493697907168828</v>
      </c>
      <c r="J51" s="9">
        <f>_xll.BQL("UAL US Equity", "FA_GROWTH(HEADLINE_CAPEX, YOY)", "FPT=A", "FPO=0A", "ACT_EST_MAPPING=PRECISE", "FS=MRC", "CURRENCY=USD", "XLFILL=b")</f>
        <v>-48.806806391367502</v>
      </c>
      <c r="K51" s="9">
        <f>_xll.BQL("UAL US Equity", "FA_GROWTH(HEADLINE_CAPEX, YOY)", "FPT=A", "FPO=-1A", "ACT_EST_MAPPING=PRECISE", "FS=MRC", "CURRENCY=USD", "XLFILL=b")</f>
        <v>-128.71381110583769</v>
      </c>
      <c r="L51" s="9">
        <f>_xll.BQL("UAL US Equity", "FA_GROWTH(HEADLINE_CAPEX, YOY)", "FPT=A", "FPO=-2A", "ACT_EST_MAPPING=PRECISE", "FS=MRC", "CURRENCY=USD", "XLFILL=b")</f>
        <v>-22.003474232773595</v>
      </c>
      <c r="M51" s="9">
        <f>_xll.BQL("UAL US Equity", "FA_GROWTH(HEADLINE_CAPEX, YOY)", "FPT=A", "FPO=-3A", "ACT_EST_MAPPING=PRECISE", "FS=MRC", "CURRENCY=USD", "XLFILL=b")</f>
        <v>61.859540636042404</v>
      </c>
      <c r="N51" s="9">
        <f>_xll.BQL("UAL US Equity", "FA_GROWTH(HEADLINE_CAPEX, YOY)", "FPT=A", "FPO=-4A", "ACT_EST_MAPPING=PRECISE", "FS=MRC", "CURRENCY=USD", "XLFILL=b")</f>
        <v>-11.253071253071253</v>
      </c>
    </row>
    <row r="52" spans="1:14" x14ac:dyDescent="0.2">
      <c r="A52" s="8" t="s">
        <v>16</v>
      </c>
      <c r="B52" s="4"/>
      <c r="C52" s="4"/>
      <c r="D52" s="4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 x14ac:dyDescent="0.2">
      <c r="A53" s="8" t="s">
        <v>57</v>
      </c>
      <c r="B53" s="4"/>
      <c r="C53" s="4"/>
      <c r="D53" s="4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1:14" x14ac:dyDescent="0.2">
      <c r="A54" s="8" t="s">
        <v>16</v>
      </c>
      <c r="B54" s="4"/>
      <c r="C54" s="4"/>
      <c r="D54" s="4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1:14" x14ac:dyDescent="0.2">
      <c r="A55" s="8" t="s">
        <v>58</v>
      </c>
      <c r="B55" s="4"/>
      <c r="C55" s="4"/>
      <c r="D55" s="4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1:14" x14ac:dyDescent="0.2">
      <c r="A56" s="8" t="s">
        <v>26</v>
      </c>
      <c r="B56" s="4" t="s">
        <v>27</v>
      </c>
      <c r="C56" s="4"/>
      <c r="D56" s="4"/>
      <c r="E56" s="9">
        <f>_xll.BQL("UAL US Equity", "REV_PASS_MILES_KM/1M", "FPT=A", "FPO=5A", "ACT_EST_MAPPING=PRECISE", "FS=MRC", "CURRENCY=USD", "XLFILL=b")</f>
        <v>302527.02325284079</v>
      </c>
      <c r="F56" s="9">
        <f>_xll.BQL("UAL US Equity", "REV_PASS_MILES_KM/1M", "FPT=A", "FPO=4A", "ACT_EST_MAPPING=PRECISE", "FS=MRC", "CURRENCY=USD", "XLFILL=b")</f>
        <v>295800.3885015542</v>
      </c>
      <c r="G56" s="9">
        <f>_xll.BQL("UAL US Equity", "REV_PASS_MILES_KM/1M", "FPT=A", "FPO=3A", "ACT_EST_MAPPING=PRECISE", "FS=MRC", "CURRENCY=USD", "XLFILL=b")</f>
        <v>286126.03109730768</v>
      </c>
      <c r="H56" s="9">
        <f>_xll.BQL("UAL US Equity", "REV_PASS_MILES_KM/1M", "FPT=A", "FPO=2A", "ACT_EST_MAPPING=PRECISE", "FS=MRC", "CURRENCY=USD", "XLFILL=b")</f>
        <v>271481.31006956141</v>
      </c>
      <c r="I56" s="9">
        <f>_xll.BQL("UAL US Equity", "REV_PASS_MILES_KM/1M", "FPT=A", "FPO=1A", "ACT_EST_MAPPING=PRECISE", "FS=MRC", "CURRENCY=USD", "XLFILL=b")</f>
        <v>258410.57090243642</v>
      </c>
      <c r="J56" s="9">
        <f>_xll.BQL("UAL US Equity", "REV_PASS_MILES_KM/1M", "FPT=A", "FPO=0A", "ACT_EST_MAPPING=PRECISE", "FS=MRC", "CURRENCY=USD", "XLFILL=b")</f>
        <v>244435</v>
      </c>
      <c r="K56" s="9">
        <f>_xll.BQL("UAL US Equity", "REV_PASS_MILES_KM/1M", "FPT=A", "FPO=-1A", "ACT_EST_MAPPING=PRECISE", "FS=MRC", "CURRENCY=USD", "XLFILL=b")</f>
        <v>206791</v>
      </c>
      <c r="L56" s="9">
        <f>_xll.BQL("UAL US Equity", "REV_PASS_MILES_KM/1M", "FPT=A", "FPO=-2A", "ACT_EST_MAPPING=PRECISE", "FS=MRC", "CURRENCY=USD", "XLFILL=b")</f>
        <v>128979</v>
      </c>
      <c r="M56" s="9">
        <f>_xll.BQL("UAL US Equity", "REV_PASS_MILES_KM/1M", "FPT=A", "FPO=-3A", "ACT_EST_MAPPING=PRECISE", "FS=MRC", "CURRENCY=USD", "XLFILL=b")</f>
        <v>73883</v>
      </c>
      <c r="N56" s="9">
        <f>_xll.BQL("UAL US Equity", "REV_PASS_MILES_KM/1M", "FPT=A", "FPO=-4A", "ACT_EST_MAPPING=PRECISE", "FS=MRC", "CURRENCY=USD", "XLFILL=b")</f>
        <v>239360</v>
      </c>
    </row>
    <row r="57" spans="1:14" x14ac:dyDescent="0.2">
      <c r="A57" s="8" t="s">
        <v>12</v>
      </c>
      <c r="B57" s="4" t="s">
        <v>27</v>
      </c>
      <c r="C57" s="4"/>
      <c r="D57" s="4"/>
      <c r="E57" s="9">
        <f>_xll.BQL("UAL US Equity", "FA_GROWTH(REV_PASS_MILES_KM, YOY)", "FPT=A", "FPO=5A", "ACT_EST_MAPPING=PRECISE", "FS=MRC", "CURRENCY=USD", "XLFILL=b")</f>
        <v>2.2740452726793081</v>
      </c>
      <c r="F57" s="9">
        <f>_xll.BQL("UAL US Equity", "FA_GROWTH(REV_PASS_MILES_KM, YOY)", "FPT=A", "FPO=4A", "ACT_EST_MAPPING=PRECISE", "FS=MRC", "CURRENCY=USD", "XLFILL=b")</f>
        <v>3.38115248275205</v>
      </c>
      <c r="G57" s="9">
        <f>_xll.BQL("UAL US Equity", "FA_GROWTH(REV_PASS_MILES_KM, YOY)", "FPT=A", "FPO=3A", "ACT_EST_MAPPING=PRECISE", "FS=MRC", "CURRENCY=USD", "XLFILL=b")</f>
        <v>5.3943754080138602</v>
      </c>
      <c r="H57" s="9">
        <f>_xll.BQL("UAL US Equity", "FA_GROWTH(REV_PASS_MILES_KM, YOY)", "FPT=A", "FPO=2A", "ACT_EST_MAPPING=PRECISE", "FS=MRC", "CURRENCY=USD", "XLFILL=b")</f>
        <v>5.0581286676773995</v>
      </c>
      <c r="I57" s="9">
        <f>_xll.BQL("UAL US Equity", "FA_GROWTH(REV_PASS_MILES_KM, YOY)", "FPT=A", "FPO=1A", "ACT_EST_MAPPING=PRECISE", "FS=MRC", "CURRENCY=USD", "XLFILL=b")</f>
        <v>5.7174999089477492</v>
      </c>
      <c r="J57" s="9">
        <f>_xll.BQL("UAL US Equity", "FA_GROWTH(REV_PASS_MILES_KM, YOY)", "FPT=A", "FPO=0A", "ACT_EST_MAPPING=PRECISE", "FS=MRC", "CURRENCY=USD", "XLFILL=b")</f>
        <v>18.203887016359513</v>
      </c>
      <c r="K57" s="9">
        <f>_xll.BQL("UAL US Equity", "FA_GROWTH(REV_PASS_MILES_KM, YOY)", "FPT=A", "FPO=-1A", "ACT_EST_MAPPING=PRECISE", "FS=MRC", "CURRENCY=USD", "XLFILL=b")</f>
        <v>60.329200877662252</v>
      </c>
      <c r="L57" s="9">
        <f>_xll.BQL("UAL US Equity", "FA_GROWTH(REV_PASS_MILES_KM, YOY)", "FPT=A", "FPO=-2A", "ACT_EST_MAPPING=PRECISE", "FS=MRC", "CURRENCY=USD", "XLFILL=b")</f>
        <v>74.571958366606665</v>
      </c>
      <c r="M57" s="9">
        <f>_xll.BQL("UAL US Equity", "FA_GROWTH(REV_PASS_MILES_KM, YOY)", "FPT=A", "FPO=-3A", "ACT_EST_MAPPING=PRECISE", "FS=MRC", "CURRENCY=USD", "XLFILL=b")</f>
        <v>-69.133104946524071</v>
      </c>
      <c r="N57" s="9">
        <f>_xll.BQL("UAL US Equity", "FA_GROWTH(REV_PASS_MILES_KM, YOY)", "FPT=A", "FPO=-4A", "ACT_EST_MAPPING=PRECISE", "FS=MRC", "CURRENCY=USD", "XLFILL=b")</f>
        <v>3.9994786122395776</v>
      </c>
    </row>
    <row r="58" spans="1:14" x14ac:dyDescent="0.2">
      <c r="A58" s="8" t="s">
        <v>59</v>
      </c>
      <c r="B58" s="4" t="s">
        <v>60</v>
      </c>
      <c r="C58" s="4"/>
      <c r="D58" s="4"/>
      <c r="E58" s="9" t="str">
        <f>_xll.BQL("UAL US Equity", "REV_PASS_CARRIED/1K", "FPT=A", "FPO=5A", "ACT_EST_MAPPING=PRECISE", "FS=MRC", "CURRENCY=USD", "XLFILL=b")</f>
        <v/>
      </c>
      <c r="F58" s="9" t="str">
        <f>_xll.BQL("UAL US Equity", "REV_PASS_CARRIED/1K", "FPT=A", "FPO=4A", "ACT_EST_MAPPING=PRECISE", "FS=MRC", "CURRENCY=USD", "XLFILL=b")</f>
        <v/>
      </c>
      <c r="G58" s="9" t="str">
        <f>_xll.BQL("UAL US Equity", "REV_PASS_CARRIED/1K", "FPT=A", "FPO=3A", "ACT_EST_MAPPING=PRECISE", "FS=MRC", "CURRENCY=USD", "XLFILL=b")</f>
        <v/>
      </c>
      <c r="H58" s="9">
        <f>_xll.BQL("UAL US Equity", "REV_PASS_CARRIED/1K", "FPT=A", "FPO=2A", "ACT_EST_MAPPING=PRECISE", "FS=MRC", "CURRENCY=USD", "XLFILL=b")</f>
        <v>248653</v>
      </c>
      <c r="I58" s="9">
        <f>_xll.BQL("UAL US Equity", "REV_PASS_CARRIED/1K", "FPT=A", "FPO=1A", "ACT_EST_MAPPING=PRECISE", "FS=MRC", "CURRENCY=USD", "XLFILL=b")</f>
        <v>83700</v>
      </c>
      <c r="J58" s="9">
        <f>_xll.BQL("UAL US Equity", "REV_PASS_CARRIED/1K", "FPT=A", "FPO=0A", "ACT_EST_MAPPING=PRECISE", "FS=MRC", "CURRENCY=USD", "XLFILL=b")</f>
        <v>164927</v>
      </c>
      <c r="K58" s="9">
        <f>_xll.BQL("UAL US Equity", "REV_PASS_CARRIED/1K", "FPT=A", "FPO=-1A", "ACT_EST_MAPPING=PRECISE", "FS=MRC", "CURRENCY=USD", "XLFILL=b")</f>
        <v>144300</v>
      </c>
      <c r="L58" s="9">
        <f>_xll.BQL("UAL US Equity", "REV_PASS_CARRIED/1K", "FPT=A", "FPO=-2A", "ACT_EST_MAPPING=PRECISE", "FS=MRC", "CURRENCY=USD", "XLFILL=b")</f>
        <v>104082</v>
      </c>
      <c r="M58" s="9">
        <f>_xll.BQL("UAL US Equity", "REV_PASS_CARRIED/1K", "FPT=A", "FPO=-3A", "ACT_EST_MAPPING=PRECISE", "FS=MRC", "CURRENCY=USD", "XLFILL=b")</f>
        <v>57761</v>
      </c>
      <c r="N58" s="9">
        <f>_xll.BQL("UAL US Equity", "REV_PASS_CARRIED/1K", "FPT=A", "FPO=-4A", "ACT_EST_MAPPING=PRECISE", "FS=MRC", "CURRENCY=USD", "XLFILL=b")</f>
        <v>162443</v>
      </c>
    </row>
    <row r="59" spans="1:14" x14ac:dyDescent="0.2">
      <c r="A59" s="8" t="s">
        <v>12</v>
      </c>
      <c r="B59" s="4" t="s">
        <v>60</v>
      </c>
      <c r="C59" s="4"/>
      <c r="D59" s="4"/>
      <c r="E59" s="9" t="str">
        <f>_xll.BQL("UAL US Equity", "FA_GROWTH(REV_PASS_CARRIED, YOY)", "FPT=A", "FPO=5A", "ACT_EST_MAPPING=PRECISE", "FS=MRC", "CURRENCY=USD", "XLFILL=b")</f>
        <v/>
      </c>
      <c r="F59" s="9" t="str">
        <f>_xll.BQL("UAL US Equity", "FA_GROWTH(REV_PASS_CARRIED, YOY)", "FPT=A", "FPO=4A", "ACT_EST_MAPPING=PRECISE", "FS=MRC", "CURRENCY=USD", "XLFILL=b")</f>
        <v/>
      </c>
      <c r="G59" s="9" t="str">
        <f>_xll.BQL("UAL US Equity", "FA_GROWTH(REV_PASS_CARRIED, YOY)", "FPT=A", "FPO=3A", "ACT_EST_MAPPING=PRECISE", "FS=MRC", "CURRENCY=USD", "XLFILL=b")</f>
        <v/>
      </c>
      <c r="H59" s="9">
        <f>_xll.BQL("UAL US Equity", "FA_GROWTH(REV_PASS_CARRIED, YOY)", "FPT=A", "FPO=2A", "ACT_EST_MAPPING=PRECISE", "FS=MRC", "CURRENCY=USD", "XLFILL=b")</f>
        <v>197.07646356033453</v>
      </c>
      <c r="I59" s="9">
        <f>_xll.BQL("UAL US Equity", "FA_GROWTH(REV_PASS_CARRIED, YOY)", "FPT=A", "FPO=1A", "ACT_EST_MAPPING=PRECISE", "FS=MRC", "CURRENCY=USD", "XLFILL=b")</f>
        <v>-49.250274363809446</v>
      </c>
      <c r="J59" s="9">
        <f>_xll.BQL("UAL US Equity", "FA_GROWTH(REV_PASS_CARRIED, YOY)", "FPT=A", "FPO=0A", "ACT_EST_MAPPING=PRECISE", "FS=MRC", "CURRENCY=USD", "XLFILL=b")</f>
        <v>14.294525294525295</v>
      </c>
      <c r="K59" s="9">
        <f>_xll.BQL("UAL US Equity", "FA_GROWTH(REV_PASS_CARRIED, YOY)", "FPT=A", "FPO=-1A", "ACT_EST_MAPPING=PRECISE", "FS=MRC", "CURRENCY=USD", "XLFILL=b")</f>
        <v>38.640687150515937</v>
      </c>
      <c r="L59" s="9">
        <f>_xll.BQL("UAL US Equity", "FA_GROWTH(REV_PASS_CARRIED, YOY)", "FPT=A", "FPO=-2A", "ACT_EST_MAPPING=PRECISE", "FS=MRC", "CURRENCY=USD", "XLFILL=b")</f>
        <v>80.194248714530559</v>
      </c>
      <c r="M59" s="9">
        <f>_xll.BQL("UAL US Equity", "FA_GROWTH(REV_PASS_CARRIED, YOY)", "FPT=A", "FPO=-3A", "ACT_EST_MAPPING=PRECISE", "FS=MRC", "CURRENCY=USD", "XLFILL=b")</f>
        <v>-64.442296682528635</v>
      </c>
      <c r="N59" s="9">
        <f>_xll.BQL("UAL US Equity", "FA_GROWTH(REV_PASS_CARRIED, YOY)", "FPT=A", "FPO=-4A", "ACT_EST_MAPPING=PRECISE", "FS=MRC", "CURRENCY=USD", "XLFILL=b")</f>
        <v>2.5977388997663109</v>
      </c>
    </row>
    <row r="60" spans="1:14" x14ac:dyDescent="0.2">
      <c r="A60" s="8" t="s">
        <v>29</v>
      </c>
      <c r="B60" s="4" t="s">
        <v>30</v>
      </c>
      <c r="C60" s="4"/>
      <c r="D60" s="4"/>
      <c r="E60" s="9">
        <f>_xll.BQL("UAL US Equity", "AVAIL_SEAT_MILES_KM/1M", "FPT=A", "FPO=5A", "ACT_EST_MAPPING=PRECISE", "FS=MRC", "CURRENCY=USD", "XLFILL=b")</f>
        <v>361828.75533082709</v>
      </c>
      <c r="F60" s="9">
        <f>_xll.BQL("UAL US Equity", "AVAIL_SEAT_MILES_KM/1M", "FPT=A", "FPO=4A", "ACT_EST_MAPPING=PRECISE", "FS=MRC", "CURRENCY=USD", "XLFILL=b")</f>
        <v>352359.41517946153</v>
      </c>
      <c r="G60" s="9">
        <f>_xll.BQL("UAL US Equity", "AVAIL_SEAT_MILES_KM/1M", "FPT=A", "FPO=3A", "ACT_EST_MAPPING=PRECISE", "FS=MRC", "CURRENCY=USD", "XLFILL=b")</f>
        <v>340718.52746518899</v>
      </c>
      <c r="H60" s="9">
        <f>_xll.BQL("UAL US Equity", "AVAIL_SEAT_MILES_KM/1M", "FPT=A", "FPO=2A", "ACT_EST_MAPPING=PRECISE", "FS=MRC", "CURRENCY=USD", "XLFILL=b")</f>
        <v>325169.09682762012</v>
      </c>
      <c r="I60" s="9">
        <f>_xll.BQL("UAL US Equity", "AVAIL_SEAT_MILES_KM/1M", "FPT=A", "FPO=1A", "ACT_EST_MAPPING=PRECISE", "FS=MRC", "CURRENCY=USD", "XLFILL=b")</f>
        <v>309174.95003201626</v>
      </c>
      <c r="J60" s="9">
        <f>_xll.BQL("UAL US Equity", "AVAIL_SEAT_MILES_KM/1M", "FPT=A", "FPO=0A", "ACT_EST_MAPPING=PRECISE", "FS=MRC", "CURRENCY=USD", "XLFILL=b")</f>
        <v>291333</v>
      </c>
      <c r="K60" s="9">
        <f>_xll.BQL("UAL US Equity", "AVAIL_SEAT_MILES_KM/1M", "FPT=A", "FPO=-1A", "ACT_EST_MAPPING=PRECISE", "FS=MRC", "CURRENCY=USD", "XLFILL=b")</f>
        <v>247858</v>
      </c>
      <c r="L60" s="9">
        <f>_xll.BQL("UAL US Equity", "AVAIL_SEAT_MILES_KM/1M", "FPT=A", "FPO=-2A", "ACT_EST_MAPPING=PRECISE", "FS=MRC", "CURRENCY=USD", "XLFILL=b")</f>
        <v>178684</v>
      </c>
      <c r="M60" s="9">
        <f>_xll.BQL("UAL US Equity", "AVAIL_SEAT_MILES_KM/1M", "FPT=A", "FPO=-3A", "ACT_EST_MAPPING=PRECISE", "FS=MRC", "CURRENCY=USD", "XLFILL=b")</f>
        <v>122804</v>
      </c>
      <c r="N60" s="9">
        <f>_xll.BQL("UAL US Equity", "AVAIL_SEAT_MILES_KM/1M", "FPT=A", "FPO=-4A", "ACT_EST_MAPPING=PRECISE", "FS=MRC", "CURRENCY=USD", "XLFILL=b")</f>
        <v>284999</v>
      </c>
    </row>
    <row r="61" spans="1:14" x14ac:dyDescent="0.2">
      <c r="A61" s="8" t="s">
        <v>12</v>
      </c>
      <c r="B61" s="4" t="s">
        <v>30</v>
      </c>
      <c r="C61" s="4"/>
      <c r="D61" s="4"/>
      <c r="E61" s="9">
        <f>_xll.BQL("UAL US Equity", "FA_GROWTH(AVAIL_SEAT_MILES_KM, YOY)", "FPT=A", "FPO=5A", "ACT_EST_MAPPING=PRECISE", "FS=MRC", "CURRENCY=USD", "XLFILL=b")</f>
        <v>2.6874094300964466</v>
      </c>
      <c r="F61" s="9">
        <f>_xll.BQL("UAL US Equity", "FA_GROWTH(AVAIL_SEAT_MILES_KM, YOY)", "FPT=A", "FPO=4A", "ACT_EST_MAPPING=PRECISE", "FS=MRC", "CURRENCY=USD", "XLFILL=b")</f>
        <v>3.4165702114517171</v>
      </c>
      <c r="G61" s="9">
        <f>_xll.BQL("UAL US Equity", "FA_GROWTH(AVAIL_SEAT_MILES_KM, YOY)", "FPT=A", "FPO=3A", "ACT_EST_MAPPING=PRECISE", "FS=MRC", "CURRENCY=USD", "XLFILL=b")</f>
        <v>4.7819521563612701</v>
      </c>
      <c r="H61" s="9">
        <f>_xll.BQL("UAL US Equity", "FA_GROWTH(AVAIL_SEAT_MILES_KM, YOY)", "FPT=A", "FPO=2A", "ACT_EST_MAPPING=PRECISE", "FS=MRC", "CURRENCY=USD", "XLFILL=b")</f>
        <v>5.1731703341255901</v>
      </c>
      <c r="I61" s="9">
        <f>_xll.BQL("UAL US Equity", "FA_GROWTH(AVAIL_SEAT_MILES_KM, YOY)", "FPT=A", "FPO=1A", "ACT_EST_MAPPING=PRECISE", "FS=MRC", "CURRENCY=USD", "XLFILL=b")</f>
        <v>6.1242461485709603</v>
      </c>
      <c r="J61" s="9">
        <f>_xll.BQL("UAL US Equity", "FA_GROWTH(AVAIL_SEAT_MILES_KM, YOY)", "FPT=A", "FPO=0A", "ACT_EST_MAPPING=PRECISE", "FS=MRC", "CURRENCY=USD", "XLFILL=b")</f>
        <v>17.540285163278973</v>
      </c>
      <c r="K61" s="9">
        <f>_xll.BQL("UAL US Equity", "FA_GROWTH(AVAIL_SEAT_MILES_KM, YOY)", "FPT=A", "FPO=-1A", "ACT_EST_MAPPING=PRECISE", "FS=MRC", "CURRENCY=USD", "XLFILL=b")</f>
        <v>38.713035302545272</v>
      </c>
      <c r="L61" s="9">
        <f>_xll.BQL("UAL US Equity", "FA_GROWTH(AVAIL_SEAT_MILES_KM, YOY)", "FPT=A", "FPO=-2A", "ACT_EST_MAPPING=PRECISE", "FS=MRC", "CURRENCY=USD", "XLFILL=b")</f>
        <v>45.503403797921891</v>
      </c>
      <c r="M61" s="9">
        <f>_xll.BQL("UAL US Equity", "FA_GROWTH(AVAIL_SEAT_MILES_KM, YOY)", "FPT=A", "FPO=-3A", "ACT_EST_MAPPING=PRECISE", "FS=MRC", "CURRENCY=USD", "XLFILL=b")</f>
        <v>-56.910726002547378</v>
      </c>
      <c r="N61" s="9">
        <f>_xll.BQL("UAL US Equity", "FA_GROWTH(AVAIL_SEAT_MILES_KM, YOY)", "FPT=A", "FPO=-4A", "ACT_EST_MAPPING=PRECISE", "FS=MRC", "CURRENCY=USD", "XLFILL=b")</f>
        <v>3.537357136110324</v>
      </c>
    </row>
    <row r="62" spans="1:14" x14ac:dyDescent="0.2">
      <c r="A62" s="8" t="s">
        <v>32</v>
      </c>
      <c r="B62" s="4" t="s">
        <v>33</v>
      </c>
      <c r="C62" s="4"/>
      <c r="D62" s="4"/>
      <c r="E62" s="9">
        <f>_xll.BQL("UAL US Equity", "LOAD_FACTOR", "FPT=A", "FPO=5A", "ACT_EST_MAPPING=PRECISE", "FS=MRC", "CURRENCY=USD", "XLFILL=b")</f>
        <v>83.615942856427594</v>
      </c>
      <c r="F62" s="9">
        <f>_xll.BQL("UAL US Equity", "LOAD_FACTOR", "FPT=A", "FPO=4A", "ACT_EST_MAPPING=PRECISE", "FS=MRC", "CURRENCY=USD", "XLFILL=b")</f>
        <v>83.946957142320684</v>
      </c>
      <c r="G62" s="9">
        <f>_xll.BQL("UAL US Equity", "LOAD_FACTOR", "FPT=A", "FPO=3A", "ACT_EST_MAPPING=PRECISE", "FS=MRC", "CURRENCY=USD", "XLFILL=b")</f>
        <v>83.850605460811266</v>
      </c>
      <c r="H62" s="9">
        <f>_xll.BQL("UAL US Equity", "LOAD_FACTOR", "FPT=A", "FPO=2A", "ACT_EST_MAPPING=PRECISE", "FS=MRC", "CURRENCY=USD", "XLFILL=b")</f>
        <v>83.430585274707468</v>
      </c>
      <c r="I62" s="9">
        <f>_xll.BQL("UAL US Equity", "LOAD_FACTOR", "FPT=A", "FPO=1A", "ACT_EST_MAPPING=PRECISE", "FS=MRC", "CURRENCY=USD", "XLFILL=b")</f>
        <v>83.410733867593152</v>
      </c>
      <c r="J62" s="9">
        <f>_xll.BQL("UAL US Equity", "LOAD_FACTOR", "FPT=A", "FPO=0A", "ACT_EST_MAPPING=PRECISE", "FS=MRC", "CURRENCY=USD", "XLFILL=b")</f>
        <v>83.9</v>
      </c>
      <c r="K62" s="9">
        <f>_xll.BQL("UAL US Equity", "LOAD_FACTOR", "FPT=A", "FPO=-1A", "ACT_EST_MAPPING=PRECISE", "FS=MRC", "CURRENCY=USD", "XLFILL=b")</f>
        <v>83.4</v>
      </c>
      <c r="L62" s="9">
        <f>_xll.BQL("UAL US Equity", "LOAD_FACTOR", "FPT=A", "FPO=-2A", "ACT_EST_MAPPING=PRECISE", "FS=MRC", "CURRENCY=USD", "XLFILL=b")</f>
        <v>72.2</v>
      </c>
      <c r="M62" s="9">
        <f>_xll.BQL("UAL US Equity", "LOAD_FACTOR", "FPT=A", "FPO=-3A", "ACT_EST_MAPPING=PRECISE", "FS=MRC", "CURRENCY=USD", "XLFILL=b")</f>
        <v>60.2</v>
      </c>
      <c r="N62" s="9">
        <f>_xll.BQL("UAL US Equity", "LOAD_FACTOR", "FPT=A", "FPO=-4A", "ACT_EST_MAPPING=PRECISE", "FS=MRC", "CURRENCY=USD", "XLFILL=b")</f>
        <v>84</v>
      </c>
    </row>
    <row r="63" spans="1:14" x14ac:dyDescent="0.2">
      <c r="A63" s="8" t="s">
        <v>12</v>
      </c>
      <c r="B63" s="4" t="s">
        <v>33</v>
      </c>
      <c r="C63" s="4"/>
      <c r="D63" s="4"/>
      <c r="E63" s="9">
        <f>_xll.BQL("UAL US Equity", "FA_GROWTH(LOAD_FACTOR, YOY)", "FPT=A", "FPO=5A", "ACT_EST_MAPPING=PRECISE", "FS=MRC", "CURRENCY=USD", "XLFILL=b")</f>
        <v>-0.39431362036374989</v>
      </c>
      <c r="F63" s="9">
        <f>_xll.BQL("UAL US Equity", "FA_GROWTH(LOAD_FACTOR, YOY)", "FPT=A", "FPO=4A", "ACT_EST_MAPPING=PRECISE", "FS=MRC", "CURRENCY=USD", "XLFILL=b")</f>
        <v>0.11490874869645321</v>
      </c>
      <c r="G63" s="9">
        <f>_xll.BQL("UAL US Equity", "FA_GROWTH(LOAD_FACTOR, YOY)", "FPT=A", "FPO=3A", "ACT_EST_MAPPING=PRECISE", "FS=MRC", "CURRENCY=USD", "XLFILL=b")</f>
        <v>0.50343670096622239</v>
      </c>
      <c r="H63" s="9">
        <f>_xll.BQL("UAL US Equity", "FA_GROWTH(LOAD_FACTOR, YOY)", "FPT=A", "FPO=2A", "ACT_EST_MAPPING=PRECISE", "FS=MRC", "CURRENCY=USD", "XLFILL=b")</f>
        <v>2.3799583331599532E-2</v>
      </c>
      <c r="I63" s="9">
        <f>_xll.BQL("UAL US Equity", "FA_GROWTH(LOAD_FACTOR, YOY)", "FPT=A", "FPO=1A", "ACT_EST_MAPPING=PRECISE", "FS=MRC", "CURRENCY=USD", "XLFILL=b")</f>
        <v>-0.58315391228468905</v>
      </c>
      <c r="J63" s="9">
        <f>_xll.BQL("UAL US Equity", "FA_GROWTH(LOAD_FACTOR, YOY)", "FPT=A", "FPO=0A", "ACT_EST_MAPPING=PRECISE", "FS=MRC", "CURRENCY=USD", "XLFILL=b")</f>
        <v>0.5995203836930455</v>
      </c>
      <c r="K63" s="9">
        <f>_xll.BQL("UAL US Equity", "FA_GROWTH(LOAD_FACTOR, YOY)", "FPT=A", "FPO=-1A", "ACT_EST_MAPPING=PRECISE", "FS=MRC", "CURRENCY=USD", "XLFILL=b")</f>
        <v>15.512465373961222</v>
      </c>
      <c r="L63" s="9">
        <f>_xll.BQL("UAL US Equity", "FA_GROWTH(LOAD_FACTOR, YOY)", "FPT=A", "FPO=-2A", "ACT_EST_MAPPING=PRECISE", "FS=MRC", "CURRENCY=USD", "XLFILL=b")</f>
        <v>19.933554817275745</v>
      </c>
      <c r="M63" s="9">
        <f>_xll.BQL("UAL US Equity", "FA_GROWTH(LOAD_FACTOR, YOY)", "FPT=A", "FPO=-3A", "ACT_EST_MAPPING=PRECISE", "FS=MRC", "CURRENCY=USD", "XLFILL=b")</f>
        <v>-28.333333333333329</v>
      </c>
      <c r="N63" s="9">
        <f>_xll.BQL("UAL US Equity", "FA_GROWTH(LOAD_FACTOR, YOY)", "FPT=A", "FPO=-4A", "ACT_EST_MAPPING=PRECISE", "FS=MRC", "CURRENCY=USD", "XLFILL=b")</f>
        <v>0.47846889952153793</v>
      </c>
    </row>
    <row r="64" spans="1:14" x14ac:dyDescent="0.2">
      <c r="A64" s="8" t="s">
        <v>16</v>
      </c>
      <c r="B64" s="4"/>
      <c r="C64" s="4"/>
      <c r="D64" s="4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 x14ac:dyDescent="0.2">
      <c r="A65" s="8" t="s">
        <v>61</v>
      </c>
      <c r="B65" s="4" t="s">
        <v>62</v>
      </c>
      <c r="C65" s="4"/>
      <c r="D65" s="4"/>
      <c r="E65" s="9">
        <f>_xll.BQL("UAL US Equity", "TOTAL_REVENUE_PER_ASM", "FPT=A", "FPO=5A", "ACT_EST_MAPPING=PRECISE", "FS=MRC", "CURRENCY=USD", "XLFILL=b")</f>
        <v>18.11279764748053</v>
      </c>
      <c r="F65" s="9">
        <f>_xll.BQL("UAL US Equity", "TOTAL_REVENUE_PER_ASM", "FPT=A", "FPO=4A", "ACT_EST_MAPPING=PRECISE", "FS=MRC", "CURRENCY=USD", "XLFILL=b")</f>
        <v>18.184723995386594</v>
      </c>
      <c r="G65" s="9">
        <f>_xll.BQL("UAL US Equity", "TOTAL_REVENUE_PER_ASM", "FPT=A", "FPO=3A", "ACT_EST_MAPPING=PRECISE", "FS=MRC", "CURRENCY=USD", "XLFILL=b")</f>
        <v>18.391066908449925</v>
      </c>
      <c r="H65" s="9">
        <f>_xll.BQL("UAL US Equity", "TOTAL_REVENUE_PER_ASM", "FPT=A", "FPO=2A", "ACT_EST_MAPPING=PRECISE", "FS=MRC", "CURRENCY=USD", "XLFILL=b")</f>
        <v>18.36596890221481</v>
      </c>
      <c r="I65" s="9">
        <f>_xll.BQL("UAL US Equity", "TOTAL_REVENUE_PER_ASM", "FPT=A", "FPO=1A", "ACT_EST_MAPPING=PRECISE", "FS=MRC", "CURRENCY=USD", "XLFILL=b")</f>
        <v>18.205665431992063</v>
      </c>
      <c r="J65" s="9">
        <f>_xll.BQL("UAL US Equity", "TOTAL_REVENUE_PER_ASM", "FPT=A", "FPO=0A", "ACT_EST_MAPPING=PRECISE", "FS=MRC", "CURRENCY=USD", "XLFILL=b")</f>
        <v>18.440000000000001</v>
      </c>
      <c r="K65" s="9">
        <f>_xll.BQL("UAL US Equity", "TOTAL_REVENUE_PER_ASM", "FPT=A", "FPO=-1A", "ACT_EST_MAPPING=PRECISE", "FS=MRC", "CURRENCY=USD", "XLFILL=b")</f>
        <v>18.14</v>
      </c>
      <c r="L65" s="9">
        <f>_xll.BQL("UAL US Equity", "TOTAL_REVENUE_PER_ASM", "FPT=A", "FPO=-2A", "ACT_EST_MAPPING=PRECISE", "FS=MRC", "CURRENCY=USD", "XLFILL=b")</f>
        <v>13.79</v>
      </c>
      <c r="M65" s="9">
        <f>_xll.BQL("UAL US Equity", "TOTAL_REVENUE_PER_ASM", "FPT=A", "FPO=-3A", "ACT_EST_MAPPING=PRECISE", "FS=MRC", "CURRENCY=USD", "XLFILL=b")</f>
        <v>12.5</v>
      </c>
      <c r="N65" s="9">
        <f>_xll.BQL("UAL US Equity", "TOTAL_REVENUE_PER_ASM", "FPT=A", "FPO=-4A", "ACT_EST_MAPPING=PRECISE", "FS=MRC", "CURRENCY=USD", "XLFILL=b")</f>
        <v>15.18</v>
      </c>
    </row>
    <row r="66" spans="1:14" x14ac:dyDescent="0.2">
      <c r="A66" s="8" t="s">
        <v>12</v>
      </c>
      <c r="B66" s="4" t="s">
        <v>62</v>
      </c>
      <c r="C66" s="4"/>
      <c r="D66" s="4"/>
      <c r="E66" s="9">
        <f>_xll.BQL("UAL US Equity", "FA_GROWTH(TOTAL_REVENUE_PER_ASM, YOY)", "FPT=A", "FPO=5A", "ACT_EST_MAPPING=PRECISE", "FS=MRC", "CURRENCY=USD", "XLFILL=b")</f>
        <v>-0.39553169970746777</v>
      </c>
      <c r="F66" s="9">
        <f>_xll.BQL("UAL US Equity", "FA_GROWTH(TOTAL_REVENUE_PER_ASM, YOY)", "FPT=A", "FPO=4A", "ACT_EST_MAPPING=PRECISE", "FS=MRC", "CURRENCY=USD", "XLFILL=b")</f>
        <v>-1.1219735869077017</v>
      </c>
      <c r="G66" s="9">
        <f>_xll.BQL("UAL US Equity", "FA_GROWTH(TOTAL_REVENUE_PER_ASM, YOY)", "FPT=A", "FPO=3A", "ACT_EST_MAPPING=PRECISE", "FS=MRC", "CURRENCY=USD", "XLFILL=b")</f>
        <v>0.13665495334737679</v>
      </c>
      <c r="H66" s="9">
        <f>_xll.BQL("UAL US Equity", "FA_GROWTH(TOTAL_REVENUE_PER_ASM, YOY)", "FPT=A", "FPO=2A", "ACT_EST_MAPPING=PRECISE", "FS=MRC", "CURRENCY=USD", "XLFILL=b")</f>
        <v>0.8805142048862008</v>
      </c>
      <c r="I66" s="9">
        <f>_xll.BQL("UAL US Equity", "FA_GROWTH(TOTAL_REVENUE_PER_ASM, YOY)", "FPT=A", "FPO=1A", "ACT_EST_MAPPING=PRECISE", "FS=MRC", "CURRENCY=USD", "XLFILL=b")</f>
        <v>-1.2707948373532432</v>
      </c>
      <c r="J66" s="9">
        <f>_xll.BQL("UAL US Equity", "FA_GROWTH(TOTAL_REVENUE_PER_ASM, YOY)", "FPT=A", "FPO=0A", "ACT_EST_MAPPING=PRECISE", "FS=MRC", "CURRENCY=USD", "XLFILL=b")</f>
        <v>1.653803748621834</v>
      </c>
      <c r="K66" s="9">
        <f>_xll.BQL("UAL US Equity", "FA_GROWTH(TOTAL_REVENUE_PER_ASM, YOY)", "FPT=A", "FPO=-1A", "ACT_EST_MAPPING=PRECISE", "FS=MRC", "CURRENCY=USD", "XLFILL=b")</f>
        <v>31.544597534445259</v>
      </c>
      <c r="L66" s="9">
        <f>_xll.BQL("UAL US Equity", "FA_GROWTH(TOTAL_REVENUE_PER_ASM, YOY)", "FPT=A", "FPO=-2A", "ACT_EST_MAPPING=PRECISE", "FS=MRC", "CURRENCY=USD", "XLFILL=b")</f>
        <v>10.319999999999993</v>
      </c>
      <c r="M66" s="9">
        <f>_xll.BQL("UAL US Equity", "FA_GROWTH(TOTAL_REVENUE_PER_ASM, YOY)", "FPT=A", "FPO=-3A", "ACT_EST_MAPPING=PRECISE", "FS=MRC", "CURRENCY=USD", "XLFILL=b")</f>
        <v>-17.654808959156785</v>
      </c>
      <c r="N66" s="9">
        <f>_xll.BQL("UAL US Equity", "FA_GROWTH(TOTAL_REVENUE_PER_ASM, YOY)", "FPT=A", "FPO=-4A", "ACT_EST_MAPPING=PRECISE", "FS=MRC", "CURRENCY=USD", "XLFILL=b")</f>
        <v>1.1999999999999982</v>
      </c>
    </row>
    <row r="67" spans="1:14" x14ac:dyDescent="0.2">
      <c r="A67" s="8" t="s">
        <v>38</v>
      </c>
      <c r="B67" s="4" t="s">
        <v>39</v>
      </c>
      <c r="C67" s="4"/>
      <c r="D67" s="4"/>
      <c r="E67" s="9">
        <f>_xll.BQL("UAL US Equity", "YIELD_PER_PASS_MILES_KM", "FPT=A", "FPO=5A", "ACT_EST_MAPPING=PRECISE", "FS=MRC", "CURRENCY=USD", "XLFILL=b")</f>
        <v>21.582107504699866</v>
      </c>
      <c r="F67" s="9">
        <f>_xll.BQL("UAL US Equity", "YIELD_PER_PASS_MILES_KM", "FPT=A", "FPO=4A", "ACT_EST_MAPPING=PRECISE", "FS=MRC", "CURRENCY=USD", "XLFILL=b")</f>
        <v>21.01054446267937</v>
      </c>
      <c r="G67" s="9">
        <f>_xll.BQL("UAL US Equity", "YIELD_PER_PASS_MILES_KM", "FPT=A", "FPO=3A", "ACT_EST_MAPPING=PRECISE", "FS=MRC", "CURRENCY=USD", "XLFILL=b")</f>
        <v>20.442498451942264</v>
      </c>
      <c r="H67" s="9">
        <f>_xll.BQL("UAL US Equity", "YIELD_PER_PASS_MILES_KM", "FPT=A", "FPO=2A", "ACT_EST_MAPPING=PRECISE", "FS=MRC", "CURRENCY=USD", "XLFILL=b")</f>
        <v>20.17624136298339</v>
      </c>
      <c r="I67" s="9">
        <f>_xll.BQL("UAL US Equity", "YIELD_PER_PASS_MILES_KM", "FPT=A", "FPO=1A", "ACT_EST_MAPPING=PRECISE", "FS=MRC", "CURRENCY=USD", "XLFILL=b")</f>
        <v>20.003597463784072</v>
      </c>
      <c r="J67" s="9">
        <f>_xll.BQL("UAL US Equity", "YIELD_PER_PASS_MILES_KM", "FPT=A", "FPO=0A", "ACT_EST_MAPPING=PRECISE", "FS=MRC", "CURRENCY=USD", "XLFILL=b")</f>
        <v>20.07</v>
      </c>
      <c r="K67" s="9">
        <f>_xll.BQL("UAL US Equity", "YIELD_PER_PASS_MILES_KM", "FPT=A", "FPO=-1A", "ACT_EST_MAPPING=PRECISE", "FS=MRC", "CURRENCY=USD", "XLFILL=b")</f>
        <v>19.36</v>
      </c>
      <c r="L67" s="9">
        <f>_xll.BQL("UAL US Equity", "YIELD_PER_PASS_MILES_KM", "FPT=A", "FPO=-2A", "ACT_EST_MAPPING=PRECISE", "FS=MRC", "CURRENCY=USD", "XLFILL=b")</f>
        <v>15.66</v>
      </c>
      <c r="M67" s="9">
        <f>_xll.BQL("UAL US Equity", "YIELD_PER_PASS_MILES_KM", "FPT=A", "FPO=-3A", "ACT_EST_MAPPING=PRECISE", "FS=MRC", "CURRENCY=USD", "XLFILL=b")</f>
        <v>15.98</v>
      </c>
      <c r="N67" s="9">
        <f>_xll.BQL("UAL US Equity", "YIELD_PER_PASS_MILES_KM", "FPT=A", "FPO=-4A", "ACT_EST_MAPPING=PRECISE", "FS=MRC", "CURRENCY=USD", "XLFILL=b")</f>
        <v>16.55</v>
      </c>
    </row>
    <row r="68" spans="1:14" x14ac:dyDescent="0.2">
      <c r="A68" s="8" t="s">
        <v>12</v>
      </c>
      <c r="B68" s="4" t="s">
        <v>39</v>
      </c>
      <c r="C68" s="4"/>
      <c r="D68" s="4"/>
      <c r="E68" s="9">
        <f>_xll.BQL("UAL US Equity", "FA_GROWTH(YIELD_PER_PASS_MILES_KM, YOY)", "FPT=A", "FPO=5A", "ACT_EST_MAPPING=PRECISE", "FS=MRC", "CURRENCY=USD", "XLFILL=b")</f>
        <v>2.7203628303671676</v>
      </c>
      <c r="F68" s="9">
        <f>_xll.BQL("UAL US Equity", "FA_GROWTH(YIELD_PER_PASS_MILES_KM, YOY)", "FPT=A", "FPO=4A", "ACT_EST_MAPPING=PRECISE", "FS=MRC", "CURRENCY=USD", "XLFILL=b")</f>
        <v>2.778750415818843</v>
      </c>
      <c r="G68" s="9">
        <f>_xll.BQL("UAL US Equity", "FA_GROWTH(YIELD_PER_PASS_MILES_KM, YOY)", "FPT=A", "FPO=3A", "ACT_EST_MAPPING=PRECISE", "FS=MRC", "CURRENCY=USD", "XLFILL=b")</f>
        <v>1.319656541417896</v>
      </c>
      <c r="H68" s="9">
        <f>_xll.BQL("UAL US Equity", "FA_GROWTH(YIELD_PER_PASS_MILES_KM, YOY)", "FPT=A", "FPO=2A", "ACT_EST_MAPPING=PRECISE", "FS=MRC", "CURRENCY=USD", "XLFILL=b")</f>
        <v>0.86306425387675978</v>
      </c>
      <c r="I68" s="9">
        <f>_xll.BQL("UAL US Equity", "FA_GROWTH(YIELD_PER_PASS_MILES_KM, YOY)", "FPT=A", "FPO=1A", "ACT_EST_MAPPING=PRECISE", "FS=MRC", "CURRENCY=USD", "XLFILL=b")</f>
        <v>-0.33085468966581277</v>
      </c>
      <c r="J68" s="9">
        <f>_xll.BQL("UAL US Equity", "FA_GROWTH(YIELD_PER_PASS_MILES_KM, YOY)", "FPT=A", "FPO=0A", "ACT_EST_MAPPING=PRECISE", "FS=MRC", "CURRENCY=USD", "XLFILL=b")</f>
        <v>3.6673553719008312</v>
      </c>
      <c r="K68" s="9">
        <f>_xll.BQL("UAL US Equity", "FA_GROWTH(YIELD_PER_PASS_MILES_KM, YOY)", "FPT=A", "FPO=-1A", "ACT_EST_MAPPING=PRECISE", "FS=MRC", "CURRENCY=USD", "XLFILL=b")</f>
        <v>23.627075351213279</v>
      </c>
      <c r="L68" s="9">
        <f>_xll.BQL("UAL US Equity", "FA_GROWTH(YIELD_PER_PASS_MILES_KM, YOY)", "FPT=A", "FPO=-2A", "ACT_EST_MAPPING=PRECISE", "FS=MRC", "CURRENCY=USD", "XLFILL=b")</f>
        <v>-2.0025031289111408</v>
      </c>
      <c r="M68" s="9">
        <f>_xll.BQL("UAL US Equity", "FA_GROWTH(YIELD_PER_PASS_MILES_KM, YOY)", "FPT=A", "FPO=-3A", "ACT_EST_MAPPING=PRECISE", "FS=MRC", "CURRENCY=USD", "XLFILL=b")</f>
        <v>-3.4441087613293067</v>
      </c>
      <c r="N68" s="9">
        <f>_xll.BQL("UAL US Equity", "FA_GROWTH(YIELD_PER_PASS_MILES_KM, YOY)", "FPT=A", "FPO=-4A", "ACT_EST_MAPPING=PRECISE", "FS=MRC", "CURRENCY=USD", "XLFILL=b")</f>
        <v>1.0378510378510484</v>
      </c>
    </row>
    <row r="69" spans="1:14" x14ac:dyDescent="0.2">
      <c r="A69" s="8" t="s">
        <v>36</v>
      </c>
      <c r="B69" s="4" t="s">
        <v>37</v>
      </c>
      <c r="C69" s="4"/>
      <c r="D69" s="4"/>
      <c r="E69" s="9">
        <f>_xll.BQL("UAL US Equity", "PASSENGER_REVENUE_PER_ASM", "FPT=A", "FPO=5A", "ACT_EST_MAPPING=PRECISE", "FS=MRC", "CURRENCY=USD", "XLFILL=b")</f>
        <v>16.520147518812891</v>
      </c>
      <c r="F69" s="9">
        <f>_xll.BQL("UAL US Equity", "PASSENGER_REVENUE_PER_ASM", "FPT=A", "FPO=4A", "ACT_EST_MAPPING=PRECISE", "FS=MRC", "CURRENCY=USD", "XLFILL=b")</f>
        <v>16.61570022155027</v>
      </c>
      <c r="G69" s="9">
        <f>_xll.BQL("UAL US Equity", "PASSENGER_REVENUE_PER_ASM", "FPT=A", "FPO=3A", "ACT_EST_MAPPING=PRECISE", "FS=MRC", "CURRENCY=USD", "XLFILL=b")</f>
        <v>16.737708044464156</v>
      </c>
      <c r="H69" s="9">
        <f>_xll.BQL("UAL US Equity", "PASSENGER_REVENUE_PER_ASM", "FPT=A", "FPO=2A", "ACT_EST_MAPPING=PRECISE", "FS=MRC", "CURRENCY=USD", "XLFILL=b")</f>
        <v>16.710023889874435</v>
      </c>
      <c r="I69" s="9">
        <f>_xll.BQL("UAL US Equity", "PASSENGER_REVENUE_PER_ASM", "FPT=A", "FPO=1A", "ACT_EST_MAPPING=PRECISE", "FS=MRC", "CURRENCY=USD", "XLFILL=b")</f>
        <v>16.572259478121207</v>
      </c>
      <c r="J69" s="9">
        <f>_xll.BQL("UAL US Equity", "PASSENGER_REVENUE_PER_ASM", "FPT=A", "FPO=0A", "ACT_EST_MAPPING=PRECISE", "FS=MRC", "CURRENCY=USD", "XLFILL=b")</f>
        <v>16.84</v>
      </c>
      <c r="K69" s="9">
        <f>_xll.BQL("UAL US Equity", "PASSENGER_REVENUE_PER_ASM", "FPT=A", "FPO=-1A", "ACT_EST_MAPPING=PRECISE", "FS=MRC", "CURRENCY=USD", "XLFILL=b")</f>
        <v>16.149999999999999</v>
      </c>
      <c r="L69" s="9">
        <f>_xll.BQL("UAL US Equity", "PASSENGER_REVENUE_PER_ASM", "FPT=A", "FPO=-2A", "ACT_EST_MAPPING=PRECISE", "FS=MRC", "CURRENCY=USD", "XLFILL=b")</f>
        <v>11.3</v>
      </c>
      <c r="M69" s="9">
        <f>_xll.BQL("UAL US Equity", "PASSENGER_REVENUE_PER_ASM", "FPT=A", "FPO=-3A", "ACT_EST_MAPPING=PRECISE", "FS=MRC", "CURRENCY=USD", "XLFILL=b")</f>
        <v>9.61</v>
      </c>
      <c r="N69" s="9">
        <f>_xll.BQL("UAL US Equity", "PASSENGER_REVENUE_PER_ASM", "FPT=A", "FPO=-4A", "ACT_EST_MAPPING=PRECISE", "FS=MRC", "CURRENCY=USD", "XLFILL=b")</f>
        <v>13.9</v>
      </c>
    </row>
    <row r="70" spans="1:14" x14ac:dyDescent="0.2">
      <c r="A70" s="8" t="s">
        <v>12</v>
      </c>
      <c r="B70" s="4" t="s">
        <v>37</v>
      </c>
      <c r="C70" s="4"/>
      <c r="D70" s="4"/>
      <c r="E70" s="9">
        <f>_xll.BQL("UAL US Equity", "FA_GROWTH(PASSENGER_REVENUE_PER_ASM, YOY)", "FPT=A", "FPO=5A", "ACT_EST_MAPPING=PRECISE", "FS=MRC", "CURRENCY=USD", "XLFILL=b")</f>
        <v>-0.57507478747990937</v>
      </c>
      <c r="F70" s="9">
        <f>_xll.BQL("UAL US Equity", "FA_GROWTH(PASSENGER_REVENUE_PER_ASM, YOY)", "FPT=A", "FPO=4A", "ACT_EST_MAPPING=PRECISE", "FS=MRC", "CURRENCY=USD", "XLFILL=b")</f>
        <v>-0.72893984403222589</v>
      </c>
      <c r="G70" s="9">
        <f>_xll.BQL("UAL US Equity", "FA_GROWTH(PASSENGER_REVENUE_PER_ASM, YOY)", "FPT=A", "FPO=3A", "ACT_EST_MAPPING=PRECISE", "FS=MRC", "CURRENCY=USD", "XLFILL=b")</f>
        <v>0.16567393782421047</v>
      </c>
      <c r="H70" s="9">
        <f>_xll.BQL("UAL US Equity", "FA_GROWTH(PASSENGER_REVENUE_PER_ASM, YOY)", "FPT=A", "FPO=2A", "ACT_EST_MAPPING=PRECISE", "FS=MRC", "CURRENCY=USD", "XLFILL=b")</f>
        <v>0.83129528556504384</v>
      </c>
      <c r="I70" s="9">
        <f>_xll.BQL("UAL US Equity", "FA_GROWTH(PASSENGER_REVENUE_PER_ASM, YOY)", "FPT=A", "FPO=1A", "ACT_EST_MAPPING=PRECISE", "FS=MRC", "CURRENCY=USD", "XLFILL=b")</f>
        <v>-1.5899080871662261</v>
      </c>
      <c r="J70" s="9">
        <f>_xll.BQL("UAL US Equity", "FA_GROWTH(PASSENGER_REVENUE_PER_ASM, YOY)", "FPT=A", "FPO=0A", "ACT_EST_MAPPING=PRECISE", "FS=MRC", "CURRENCY=USD", "XLFILL=b")</f>
        <v>4.272445820433445</v>
      </c>
      <c r="K70" s="9">
        <f>_xll.BQL("UAL US Equity", "FA_GROWTH(PASSENGER_REVENUE_PER_ASM, YOY)", "FPT=A", "FPO=-1A", "ACT_EST_MAPPING=PRECISE", "FS=MRC", "CURRENCY=USD", "XLFILL=b")</f>
        <v>42.92035398230086</v>
      </c>
      <c r="L70" s="9">
        <f>_xll.BQL("UAL US Equity", "FA_GROWTH(PASSENGER_REVENUE_PER_ASM, YOY)", "FPT=A", "FPO=-2A", "ACT_EST_MAPPING=PRECISE", "FS=MRC", "CURRENCY=USD", "XLFILL=b")</f>
        <v>17.585848074921969</v>
      </c>
      <c r="M70" s="9">
        <f>_xll.BQL("UAL US Equity", "FA_GROWTH(PASSENGER_REVENUE_PER_ASM, YOY)", "FPT=A", "FPO=-3A", "ACT_EST_MAPPING=PRECISE", "FS=MRC", "CURRENCY=USD", "XLFILL=b")</f>
        <v>-30.863309352517994</v>
      </c>
      <c r="N70" s="9">
        <f>_xll.BQL("UAL US Equity", "FA_GROWTH(PASSENGER_REVENUE_PER_ASM, YOY)", "FPT=A", "FPO=-4A", "ACT_EST_MAPPING=PRECISE", "FS=MRC", "CURRENCY=USD", "XLFILL=b")</f>
        <v>1.4598540145985479</v>
      </c>
    </row>
    <row r="71" spans="1:14" x14ac:dyDescent="0.2">
      <c r="A71" s="8" t="s">
        <v>16</v>
      </c>
      <c r="B71" s="4"/>
      <c r="C71" s="4"/>
      <c r="D71" s="4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1:14" x14ac:dyDescent="0.2">
      <c r="A72" s="8" t="s">
        <v>63</v>
      </c>
      <c r="B72" s="4" t="s">
        <v>41</v>
      </c>
      <c r="C72" s="4"/>
      <c r="D72" s="4"/>
      <c r="E72" s="9">
        <f>_xll.BQL("UAL US Equity", "OP_EXP_PER_ASM_ASK", "FPT=A", "FPO=5A", "ACT_EST_MAPPING=PRECISE", "FS=MRC", "CURRENCY=USD", "XLFILL=b")</f>
        <v>16.671168557433148</v>
      </c>
      <c r="F72" s="9">
        <f>_xll.BQL("UAL US Equity", "OP_EXP_PER_ASM_ASK", "FPT=A", "FPO=4A", "ACT_EST_MAPPING=PRECISE", "FS=MRC", "CURRENCY=USD", "XLFILL=b")</f>
        <v>16.728497477284453</v>
      </c>
      <c r="G72" s="9">
        <f>_xll.BQL("UAL US Equity", "OP_EXP_PER_ASM_ASK", "FPT=A", "FPO=3A", "ACT_EST_MAPPING=PRECISE", "FS=MRC", "CURRENCY=USD", "XLFILL=b")</f>
        <v>16.768264074624774</v>
      </c>
      <c r="H72" s="9">
        <f>_xll.BQL("UAL US Equity", "OP_EXP_PER_ASM_ASK", "FPT=A", "FPO=2A", "ACT_EST_MAPPING=PRECISE", "FS=MRC", "CURRENCY=USD", "XLFILL=b")</f>
        <v>16.798788653172515</v>
      </c>
      <c r="I72" s="9">
        <f>_xll.BQL("UAL US Equity", "OP_EXP_PER_ASM_ASK", "FPT=A", "FPO=1A", "ACT_EST_MAPPING=PRECISE", "FS=MRC", "CURRENCY=USD", "XLFILL=b")</f>
        <v>16.686225159138317</v>
      </c>
      <c r="J72" s="9">
        <f>_xll.BQL("UAL US Equity", "OP_EXP_PER_ASM_ASK", "FPT=A", "FPO=0A", "ACT_EST_MAPPING=PRECISE", "FS=MRC", "CURRENCY=USD", "XLFILL=b")</f>
        <v>16.989999999999998</v>
      </c>
      <c r="K72" s="9">
        <f>_xll.BQL("UAL US Equity", "OP_EXP_PER_ASM_ASK", "FPT=A", "FPO=-1A", "ACT_EST_MAPPING=PRECISE", "FS=MRC", "CURRENCY=USD", "XLFILL=b")</f>
        <v>17.190000000000001</v>
      </c>
      <c r="L72" s="9">
        <f>_xll.BQL("UAL US Equity", "OP_EXP_PER_ASM_ASK", "FPT=A", "FPO=-2A", "ACT_EST_MAPPING=PRECISE", "FS=MRC", "CURRENCY=USD", "XLFILL=b")</f>
        <v>14.36</v>
      </c>
      <c r="M72" s="9">
        <f>_xll.BQL("UAL US Equity", "OP_EXP_PER_ASM_ASK", "FPT=A", "FPO=-3A", "ACT_EST_MAPPING=PRECISE", "FS=MRC", "CURRENCY=USD", "XLFILL=b")</f>
        <v>17.68</v>
      </c>
      <c r="N72" s="9">
        <f>_xll.BQL("UAL US Equity", "OP_EXP_PER_ASM_ASK", "FPT=A", "FPO=-4A", "ACT_EST_MAPPING=PRECISE", "FS=MRC", "CURRENCY=USD", "XLFILL=b")</f>
        <v>13.67</v>
      </c>
    </row>
    <row r="73" spans="1:14" x14ac:dyDescent="0.2">
      <c r="A73" s="8" t="s">
        <v>12</v>
      </c>
      <c r="B73" s="4" t="s">
        <v>41</v>
      </c>
      <c r="C73" s="4"/>
      <c r="D73" s="4"/>
      <c r="E73" s="9">
        <f>_xll.BQL("UAL US Equity", "FA_GROWTH(OP_EXP_PER_ASM_ASK, YOY)", "FPT=A", "FPO=5A", "ACT_EST_MAPPING=PRECISE", "FS=MRC", "CURRENCY=USD", "XLFILL=b")</f>
        <v>-0.3427021460185003</v>
      </c>
      <c r="F73" s="9">
        <f>_xll.BQL("UAL US Equity", "FA_GROWTH(OP_EXP_PER_ASM_ASK, YOY)", "FPT=A", "FPO=4A", "ACT_EST_MAPPING=PRECISE", "FS=MRC", "CURRENCY=USD", "XLFILL=b")</f>
        <v>-0.2371539305639857</v>
      </c>
      <c r="G73" s="9">
        <f>_xll.BQL("UAL US Equity", "FA_GROWTH(OP_EXP_PER_ASM_ASK, YOY)", "FPT=A", "FPO=3A", "ACT_EST_MAPPING=PRECISE", "FS=MRC", "CURRENCY=USD", "XLFILL=b")</f>
        <v>-0.18170702172609549</v>
      </c>
      <c r="H73" s="9">
        <f>_xll.BQL("UAL US Equity", "FA_GROWTH(OP_EXP_PER_ASM_ASK, YOY)", "FPT=A", "FPO=2A", "ACT_EST_MAPPING=PRECISE", "FS=MRC", "CURRENCY=USD", "XLFILL=b")</f>
        <v>0.67458932718855269</v>
      </c>
      <c r="I73" s="9">
        <f>_xll.BQL("UAL US Equity", "FA_GROWTH(OP_EXP_PER_ASM_ASK, YOY)", "FPT=A", "FPO=1A", "ACT_EST_MAPPING=PRECISE", "FS=MRC", "CURRENCY=USD", "XLFILL=b")</f>
        <v>-1.7879625712871183</v>
      </c>
      <c r="J73" s="9">
        <f>_xll.BQL("UAL US Equity", "FA_GROWTH(OP_EXP_PER_ASM_ASK, YOY)", "FPT=A", "FPO=0A", "ACT_EST_MAPPING=PRECISE", "FS=MRC", "CURRENCY=USD", "XLFILL=b")</f>
        <v>-1.1634671320535359</v>
      </c>
      <c r="K73" s="9">
        <f>_xll.BQL("UAL US Equity", "FA_GROWTH(OP_EXP_PER_ASM_ASK, YOY)", "FPT=A", "FPO=-1A", "ACT_EST_MAPPING=PRECISE", "FS=MRC", "CURRENCY=USD", "XLFILL=b")</f>
        <v>19.707520891364915</v>
      </c>
      <c r="L73" s="9">
        <f>_xll.BQL("UAL US Equity", "FA_GROWTH(OP_EXP_PER_ASM_ASK, YOY)", "FPT=A", "FPO=-2A", "ACT_EST_MAPPING=PRECISE", "FS=MRC", "CURRENCY=USD", "XLFILL=b")</f>
        <v>-18.778280542986426</v>
      </c>
      <c r="M73" s="9">
        <f>_xll.BQL("UAL US Equity", "FA_GROWTH(OP_EXP_PER_ASM_ASK, YOY)", "FPT=A", "FPO=-3A", "ACT_EST_MAPPING=PRECISE", "FS=MRC", "CURRENCY=USD", "XLFILL=b")</f>
        <v>29.334308705193855</v>
      </c>
      <c r="N73" s="9">
        <f>_xll.BQL("UAL US Equity", "FA_GROWTH(OP_EXP_PER_ASM_ASK, YOY)", "FPT=A", "FPO=-4A", "ACT_EST_MAPPING=PRECISE", "FS=MRC", "CURRENCY=USD", "XLFILL=b")</f>
        <v>-1.1569052783803335</v>
      </c>
    </row>
    <row r="74" spans="1:14" x14ac:dyDescent="0.2">
      <c r="A74" s="8" t="s">
        <v>64</v>
      </c>
      <c r="B74" s="4" t="s">
        <v>43</v>
      </c>
      <c r="C74" s="4"/>
      <c r="D74" s="4"/>
      <c r="E74" s="9">
        <f>_xll.BQL("UAL US Equity", "CONS_COST_PER_ASM_EX_FUEL", "FPT=A", "FPO=5A", "ACT_EST_MAPPING=PRECISE", "FS=MRC", "CURRENCY=USD", "XLFILL=b")</f>
        <v>12.806633358980935</v>
      </c>
      <c r="F74" s="9">
        <f>_xll.BQL("UAL US Equity", "CONS_COST_PER_ASM_EX_FUEL", "FPT=A", "FPO=4A", "ACT_EST_MAPPING=PRECISE", "FS=MRC", "CURRENCY=USD", "XLFILL=b")</f>
        <v>12.643432141520536</v>
      </c>
      <c r="G74" s="9">
        <f>_xll.BQL("UAL US Equity", "CONS_COST_PER_ASM_EX_FUEL", "FPT=A", "FPO=3A", "ACT_EST_MAPPING=PRECISE", "FS=MRC", "CURRENCY=USD", "XLFILL=b")</f>
        <v>12.789646445910236</v>
      </c>
      <c r="H74" s="9">
        <f>_xll.BQL("UAL US Equity", "CONS_COST_PER_ASM_EX_FUEL", "FPT=A", "FPO=2A", "ACT_EST_MAPPING=PRECISE", "FS=MRC", "CURRENCY=USD", "XLFILL=b")</f>
        <v>12.786448015162218</v>
      </c>
      <c r="I74" s="9">
        <f>_xll.BQL("UAL US Equity", "CONS_COST_PER_ASM_EX_FUEL", "FPT=A", "FPO=1A", "ACT_EST_MAPPING=PRECISE", "FS=MRC", "CURRENCY=USD", "XLFILL=b")</f>
        <v>12.641851236373764</v>
      </c>
      <c r="J74" s="9">
        <f>_xll.BQL("UAL US Equity", "CONS_COST_PER_ASM_EX_FUEL", "FPT=A", "FPO=0A", "ACT_EST_MAPPING=PRECISE", "FS=MRC", "CURRENCY=USD", "XLFILL=b")</f>
        <v>12.65</v>
      </c>
      <c r="K74" s="9">
        <f>_xll.BQL("UAL US Equity", "CONS_COST_PER_ASM_EX_FUEL", "FPT=A", "FPO=-1A", "ACT_EST_MAPPING=PRECISE", "FS=MRC", "CURRENCY=USD", "XLFILL=b")</f>
        <v>11.9</v>
      </c>
      <c r="L74" s="9">
        <f>_xll.BQL("UAL US Equity", "CONS_COST_PER_ASM_EX_FUEL", "FPT=A", "FPO=-2A", "ACT_EST_MAPPING=PRECISE", "FS=MRC", "CURRENCY=USD", "XLFILL=b")</f>
        <v>11.14</v>
      </c>
      <c r="M74" s="9">
        <f>_xll.BQL("UAL US Equity", "CONS_COST_PER_ASM_EX_FUEL", "FPT=A", "FPO=-3A", "ACT_EST_MAPPING=PRECISE", "FS=MRC", "CURRENCY=USD", "XLFILL=b")</f>
        <v>15.11</v>
      </c>
      <c r="N74" s="9">
        <f>_xll.BQL("UAL US Equity", "CONS_COST_PER_ASM_EX_FUEL", "FPT=A", "FPO=-4A", "ACT_EST_MAPPING=PRECISE", "FS=MRC", "CURRENCY=USD", "XLFILL=b")</f>
        <v>10.53</v>
      </c>
    </row>
    <row r="75" spans="1:14" x14ac:dyDescent="0.2">
      <c r="A75" s="8" t="s">
        <v>12</v>
      </c>
      <c r="B75" s="4" t="s">
        <v>43</v>
      </c>
      <c r="C75" s="4"/>
      <c r="D75" s="4"/>
      <c r="E75" s="9">
        <f>_xll.BQL("UAL US Equity", "FA_GROWTH(CONS_COST_PER_ASM_EX_FUEL, YOY)", "FPT=A", "FPO=5A", "ACT_EST_MAPPING=PRECISE", "FS=MRC", "CURRENCY=USD", "XLFILL=b")</f>
        <v>1.2907983815917559</v>
      </c>
      <c r="F75" s="9">
        <f>_xll.BQL("UAL US Equity", "FA_GROWTH(CONS_COST_PER_ASM_EX_FUEL, YOY)", "FPT=A", "FPO=4A", "ACT_EST_MAPPING=PRECISE", "FS=MRC", "CURRENCY=USD", "XLFILL=b")</f>
        <v>-1.1432239742362456</v>
      </c>
      <c r="G75" s="9">
        <f>_xll.BQL("UAL US Equity", "FA_GROWTH(CONS_COST_PER_ASM_EX_FUEL, YOY)", "FPT=A", "FPO=3A", "ACT_EST_MAPPING=PRECISE", "FS=MRC", "CURRENCY=USD", "XLFILL=b")</f>
        <v>2.5014223998918575E-2</v>
      </c>
      <c r="H75" s="9">
        <f>_xll.BQL("UAL US Equity", "FA_GROWTH(CONS_COST_PER_ASM_EX_FUEL, YOY)", "FPT=A", "FPO=2A", "ACT_EST_MAPPING=PRECISE", "FS=MRC", "CURRENCY=USD", "XLFILL=b")</f>
        <v>1.1437943390158956</v>
      </c>
      <c r="I75" s="9">
        <f>_xll.BQL("UAL US Equity", "FA_GROWTH(CONS_COST_PER_ASM_EX_FUEL, YOY)", "FPT=A", "FPO=1A", "ACT_EST_MAPPING=PRECISE", "FS=MRC", "CURRENCY=USD", "XLFILL=b")</f>
        <v>-6.441710376471374E-2</v>
      </c>
      <c r="J75" s="9">
        <f>_xll.BQL("UAL US Equity", "FA_GROWTH(CONS_COST_PER_ASM_EX_FUEL, YOY)", "FPT=A", "FPO=0A", "ACT_EST_MAPPING=PRECISE", "FS=MRC", "CURRENCY=USD", "XLFILL=b")</f>
        <v>6.3025210084033612</v>
      </c>
      <c r="K75" s="9">
        <f>_xll.BQL("UAL US Equity", "FA_GROWTH(CONS_COST_PER_ASM_EX_FUEL, YOY)", "FPT=A", "FPO=-1A", "ACT_EST_MAPPING=PRECISE", "FS=MRC", "CURRENCY=USD", "XLFILL=b")</f>
        <v>6.8222621184919179</v>
      </c>
      <c r="L75" s="9">
        <f>_xll.BQL("UAL US Equity", "FA_GROWTH(CONS_COST_PER_ASM_EX_FUEL, YOY)", "FPT=A", "FPO=-2A", "ACT_EST_MAPPING=PRECISE", "FS=MRC", "CURRENCY=USD", "XLFILL=b")</f>
        <v>-26.273990734612834</v>
      </c>
      <c r="M75" s="9">
        <f>_xll.BQL("UAL US Equity", "FA_GROWTH(CONS_COST_PER_ASM_EX_FUEL, YOY)", "FPT=A", "FPO=-3A", "ACT_EST_MAPPING=PRECISE", "FS=MRC", "CURRENCY=USD", "XLFILL=b")</f>
        <v>43.494776828110162</v>
      </c>
      <c r="N75" s="9">
        <f>_xll.BQL("UAL US Equity", "FA_GROWTH(CONS_COST_PER_ASM_EX_FUEL, YOY)", "FPT=A", "FPO=-4A", "ACT_EST_MAPPING=PRECISE", "FS=MRC", "CURRENCY=USD", "XLFILL=b")</f>
        <v>0.76555023923445054</v>
      </c>
    </row>
    <row r="76" spans="1:14" x14ac:dyDescent="0.2">
      <c r="A76" s="8" t="s">
        <v>65</v>
      </c>
      <c r="B76" s="4" t="s">
        <v>45</v>
      </c>
      <c r="C76" s="4"/>
      <c r="D76" s="4"/>
      <c r="E76" s="9">
        <f>_xll.BQL("UAL US Equity", "COST_PER_SEAT_EXCL_ABN_ITMS", "FPT=A", "FPO=5A", "ACT_EST_MAPPING=PRECISE", "FS=MRC", "CURRENCY=USD", "XLFILL=b")</f>
        <v>12.533220298676722</v>
      </c>
      <c r="F76" s="9">
        <f>_xll.BQL("UAL US Equity", "COST_PER_SEAT_EXCL_ABN_ITMS", "FPT=A", "FPO=4A", "ACT_EST_MAPPING=PRECISE", "FS=MRC", "CURRENCY=USD", "XLFILL=b")</f>
        <v>12.405692350572474</v>
      </c>
      <c r="G76" s="9">
        <f>_xll.BQL("UAL US Equity", "COST_PER_SEAT_EXCL_ABN_ITMS", "FPT=A", "FPO=3A", "ACT_EST_MAPPING=PRECISE", "FS=MRC", "CURRENCY=USD", "XLFILL=b")</f>
        <v>10.13877413661692</v>
      </c>
      <c r="H76" s="9">
        <f>_xll.BQL("UAL US Equity", "COST_PER_SEAT_EXCL_ABN_ITMS", "FPT=A", "FPO=2A", "ACT_EST_MAPPING=PRECISE", "FS=MRC", "CURRENCY=USD", "XLFILL=b")</f>
        <v>10.905604906162576</v>
      </c>
      <c r="I76" s="9">
        <f>_xll.BQL("UAL US Equity", "COST_PER_SEAT_EXCL_ABN_ITMS", "FPT=A", "FPO=1A", "ACT_EST_MAPPING=PRECISE", "FS=MRC", "CURRENCY=USD", "XLFILL=b")</f>
        <v>12.506251575152669</v>
      </c>
      <c r="J76" s="9">
        <f>_xll.BQL("UAL US Equity", "COST_PER_SEAT_EXCL_ABN_ITMS", "FPT=A", "FPO=0A", "ACT_EST_MAPPING=PRECISE", "FS=MRC", "CURRENCY=USD", "XLFILL=b")</f>
        <v>12.03</v>
      </c>
      <c r="K76" s="9">
        <f>_xll.BQL("UAL US Equity", "COST_PER_SEAT_EXCL_ABN_ITMS", "FPT=A", "FPO=-1A", "ACT_EST_MAPPING=PRECISE", "FS=MRC", "CURRENCY=USD", "XLFILL=b")</f>
        <v>11.73</v>
      </c>
      <c r="L76" s="9">
        <f>_xll.BQL("UAL US Equity", "COST_PER_SEAT_EXCL_ABN_ITMS", "FPT=A", "FPO=-2A", "ACT_EST_MAPPING=PRECISE", "FS=MRC", "CURRENCY=USD", "XLFILL=b")</f>
        <v>12.96</v>
      </c>
      <c r="M76" s="9">
        <f>_xll.BQL("UAL US Equity", "COST_PER_SEAT_EXCL_ABN_ITMS", "FPT=A", "FPO=-3A", "ACT_EST_MAPPING=PRECISE", "FS=MRC", "CURRENCY=USD", "XLFILL=b")</f>
        <v>17.13</v>
      </c>
      <c r="N76" s="9">
        <f>_xll.BQL("UAL US Equity", "COST_PER_SEAT_EXCL_ABN_ITMS", "FPT=A", "FPO=-4A", "ACT_EST_MAPPING=PRECISE", "FS=MRC", "CURRENCY=USD", "XLFILL=b")</f>
        <v>10.210000000000001</v>
      </c>
    </row>
    <row r="77" spans="1:14" x14ac:dyDescent="0.2">
      <c r="A77" s="8" t="s">
        <v>12</v>
      </c>
      <c r="B77" s="4" t="s">
        <v>45</v>
      </c>
      <c r="C77" s="4"/>
      <c r="D77" s="4"/>
      <c r="E77" s="9">
        <f>_xll.BQL("UAL US Equity", "FA_GROWTH(COST_PER_SEAT_EXCL_ABN_ITMS, YOY)", "FPT=A", "FPO=5A", "ACT_EST_MAPPING=PRECISE", "FS=MRC", "CURRENCY=USD", "XLFILL=b")</f>
        <v>1.0279792896715132</v>
      </c>
      <c r="F77" s="9">
        <f>_xll.BQL("UAL US Equity", "FA_GROWTH(COST_PER_SEAT_EXCL_ABN_ITMS, YOY)", "FPT=A", "FPO=4A", "ACT_EST_MAPPING=PRECISE", "FS=MRC", "CURRENCY=USD", "XLFILL=b")</f>
        <v>22.358898456652803</v>
      </c>
      <c r="G77" s="9">
        <f>_xll.BQL("UAL US Equity", "FA_GROWTH(COST_PER_SEAT_EXCL_ABN_ITMS, YOY)", "FPT=A", "FPO=3A", "ACT_EST_MAPPING=PRECISE", "FS=MRC", "CURRENCY=USD", "XLFILL=b")</f>
        <v>-7.0315289811419159</v>
      </c>
      <c r="H77" s="9">
        <f>_xll.BQL("UAL US Equity", "FA_GROWTH(COST_PER_SEAT_EXCL_ABN_ITMS, YOY)", "FPT=A", "FPO=2A", "ACT_EST_MAPPING=PRECISE", "FS=MRC", "CURRENCY=USD", "XLFILL=b")</f>
        <v>-12.798772352942638</v>
      </c>
      <c r="I77" s="9">
        <f>_xll.BQL("UAL US Equity", "FA_GROWTH(COST_PER_SEAT_EXCL_ABN_ITMS, YOY)", "FPT=A", "FPO=1A", "ACT_EST_MAPPING=PRECISE", "FS=MRC", "CURRENCY=USD", "XLFILL=b")</f>
        <v>3.9588659613688275</v>
      </c>
      <c r="J77" s="9">
        <f>_xll.BQL("UAL US Equity", "FA_GROWTH(COST_PER_SEAT_EXCL_ABN_ITMS, YOY)", "FPT=A", "FPO=0A", "ACT_EST_MAPPING=PRECISE", "FS=MRC", "CURRENCY=USD", "XLFILL=b")</f>
        <v>2.5575447570332388</v>
      </c>
      <c r="K77" s="9">
        <f>_xll.BQL("UAL US Equity", "FA_GROWTH(COST_PER_SEAT_EXCL_ABN_ITMS, YOY)", "FPT=A", "FPO=-1A", "ACT_EST_MAPPING=PRECISE", "FS=MRC", "CURRENCY=USD", "XLFILL=b")</f>
        <v>-9.490740740740744</v>
      </c>
      <c r="L77" s="9">
        <f>_xll.BQL("UAL US Equity", "FA_GROWTH(COST_PER_SEAT_EXCL_ABN_ITMS, YOY)", "FPT=A", "FPO=-2A", "ACT_EST_MAPPING=PRECISE", "FS=MRC", "CURRENCY=USD", "XLFILL=b")</f>
        <v>-24.343257443082305</v>
      </c>
      <c r="M77" s="9">
        <f>_xll.BQL("UAL US Equity", "FA_GROWTH(COST_PER_SEAT_EXCL_ABN_ITMS, YOY)", "FPT=A", "FPO=-3A", "ACT_EST_MAPPING=PRECISE", "FS=MRC", "CURRENCY=USD", "XLFILL=b")</f>
        <v>67.776689520078321</v>
      </c>
      <c r="N77" s="9">
        <f>_xll.BQL("UAL US Equity", "FA_GROWTH(COST_PER_SEAT_EXCL_ABN_ITMS, YOY)", "FPT=A", "FPO=-4A", "ACT_EST_MAPPING=PRECISE", "FS=MRC", "CURRENCY=USD", "XLFILL=b")</f>
        <v>0.98911968348171542</v>
      </c>
    </row>
    <row r="78" spans="1:14" x14ac:dyDescent="0.2">
      <c r="A78" s="8" t="s">
        <v>66</v>
      </c>
      <c r="B78" s="4" t="s">
        <v>67</v>
      </c>
      <c r="C78" s="4"/>
      <c r="D78" s="4"/>
      <c r="E78" s="9">
        <f>_xll.BQL("UAL US Equity", "FUEL_COST_PER_AVAIL_SEAT_MILE", "FPT=A", "FPO=5A", "ACT_EST_MAPPING=PRECISE", "FS=MRC", "CURRENCY=USD", "XLFILL=b")</f>
        <v>3.8326217384995118</v>
      </c>
      <c r="F78" s="9">
        <f>_xll.BQL("UAL US Equity", "FUEL_COST_PER_AVAIL_SEAT_MILE", "FPT=A", "FPO=4A", "ACT_EST_MAPPING=PRECISE", "FS=MRC", "CURRENCY=USD", "XLFILL=b")</f>
        <v>3.8709479558845068</v>
      </c>
      <c r="G78" s="9">
        <f>_xll.BQL("UAL US Equity", "FUEL_COST_PER_AVAIL_SEAT_MILE", "FPT=A", "FPO=3A", "ACT_EST_MAPPING=PRECISE", "FS=MRC", "CURRENCY=USD", "XLFILL=b")</f>
        <v>3.844115300133121</v>
      </c>
      <c r="H78" s="9">
        <f>_xll.BQL("UAL US Equity", "FUEL_COST_PER_AVAIL_SEAT_MILE", "FPT=A", "FPO=2A", "ACT_EST_MAPPING=PRECISE", "FS=MRC", "CURRENCY=USD", "XLFILL=b")</f>
        <v>3.7661960496157296</v>
      </c>
      <c r="I78" s="9">
        <f>_xll.BQL("UAL US Equity", "FUEL_COST_PER_AVAIL_SEAT_MILE", "FPT=A", "FPO=1A", "ACT_EST_MAPPING=PRECISE", "FS=MRC", "CURRENCY=USD", "XLFILL=b")</f>
        <v>3.9297925907151345</v>
      </c>
      <c r="J78" s="9">
        <f>_xll.BQL("UAL US Equity", "FUEL_COST_PER_AVAIL_SEAT_MILE", "FPT=A", "FPO=0A", "ACT_EST_MAPPING=PRECISE", "FS=MRC", "CURRENCY=USD", "XLFILL=b")</f>
        <v>4.3424534810680555</v>
      </c>
      <c r="K78" s="9">
        <f>_xll.BQL("UAL US Equity", "FUEL_COST_PER_AVAIL_SEAT_MILE", "FPT=A", "FPO=-1A", "ACT_EST_MAPPING=PRECISE", "FS=MRC", "CURRENCY=USD", "XLFILL=b")</f>
        <v>5.2905292546538742</v>
      </c>
      <c r="L78" s="9">
        <f>_xll.BQL("UAL US Equity", "FUEL_COST_PER_AVAIL_SEAT_MILE", "FPT=A", "FPO=-2A", "ACT_EST_MAPPING=PRECISE", "FS=MRC", "CURRENCY=USD", "XLFILL=b")</f>
        <v>3.2207696268272481</v>
      </c>
      <c r="M78" s="9">
        <f>_xll.BQL("UAL US Equity", "FUEL_COST_PER_AVAIL_SEAT_MILE", "FPT=A", "FPO=-3A", "ACT_EST_MAPPING=PRECISE", "FS=MRC", "CURRENCY=USD", "XLFILL=b")</f>
        <v>2.5675059444317774</v>
      </c>
      <c r="N78" s="9">
        <f>_xll.BQL("UAL US Equity", "FUEL_COST_PER_AVAIL_SEAT_MILE", "FPT=A", "FPO=-4A", "ACT_EST_MAPPING=PRECISE", "FS=MRC", "CURRENCY=USD", "XLFILL=b")</f>
        <v>3.1414145312790569</v>
      </c>
    </row>
    <row r="79" spans="1:14" x14ac:dyDescent="0.2">
      <c r="A79" s="8" t="s">
        <v>12</v>
      </c>
      <c r="B79" s="4" t="s">
        <v>67</v>
      </c>
      <c r="C79" s="4"/>
      <c r="D79" s="4"/>
      <c r="E79" s="9">
        <f>_xll.BQL("UAL US Equity", "FA_GROWTH(FUEL_COST_PER_AVAIL_SEAT_MILE, YOY)", "FPT=A", "FPO=5A", "ACT_EST_MAPPING=PRECISE", "FS=MRC", "CURRENCY=USD", "XLFILL=b")</f>
        <v>-0.99009900990098643</v>
      </c>
      <c r="F79" s="9">
        <f>_xll.BQL("UAL US Equity", "FA_GROWTH(FUEL_COST_PER_AVAIL_SEAT_MILE, YOY)", "FPT=A", "FPO=4A", "ACT_EST_MAPPING=PRECISE", "FS=MRC", "CURRENCY=USD", "XLFILL=b")</f>
        <v>0.69801901494621188</v>
      </c>
      <c r="G79" s="9">
        <f>_xll.BQL("UAL US Equity", "FA_GROWTH(FUEL_COST_PER_AVAIL_SEAT_MILE, YOY)", "FPT=A", "FPO=3A", "ACT_EST_MAPPING=PRECISE", "FS=MRC", "CURRENCY=USD", "XLFILL=b")</f>
        <v>2.0689111637016762</v>
      </c>
      <c r="H79" s="9">
        <f>_xll.BQL("UAL US Equity", "FA_GROWTH(FUEL_COST_PER_AVAIL_SEAT_MILE, YOY)", "FPT=A", "FPO=2A", "ACT_EST_MAPPING=PRECISE", "FS=MRC", "CURRENCY=USD", "XLFILL=b")</f>
        <v>-4.162981565132271</v>
      </c>
      <c r="I79" s="9">
        <f>_xll.BQL("UAL US Equity", "FA_GROWTH(FUEL_COST_PER_AVAIL_SEAT_MILE, YOY)", "FPT=A", "FPO=1A", "ACT_EST_MAPPING=PRECISE", "FS=MRC", "CURRENCY=USD", "XLFILL=b")</f>
        <v>-9.5029432589666865</v>
      </c>
      <c r="J79" s="9">
        <f>_xll.BQL("UAL US Equity", "FA_GROWTH(FUEL_COST_PER_AVAIL_SEAT_MILE, YOY)", "FPT=A", "FPO=0A", "ACT_EST_MAPPING=PRECISE", "FS=MRC", "CURRENCY=USD", "XLFILL=b")</f>
        <v>-17.920244420760611</v>
      </c>
      <c r="K79" s="9">
        <f>_xll.BQL("UAL US Equity", "FA_GROWTH(FUEL_COST_PER_AVAIL_SEAT_MILE, YOY)", "FPT=A", "FPO=-1A", "ACT_EST_MAPPING=PRECISE", "FS=MRC", "CURRENCY=USD", "XLFILL=b")</f>
        <v>64.262889546233339</v>
      </c>
      <c r="L79" s="9">
        <f>_xll.BQL("UAL US Equity", "FA_GROWTH(FUEL_COST_PER_AVAIL_SEAT_MILE, YOY)", "FPT=A", "FPO=-2A", "ACT_EST_MAPPING=PRECISE", "FS=MRC", "CURRENCY=USD", "XLFILL=b")</f>
        <v>25.44351197364205</v>
      </c>
      <c r="M79" s="9">
        <f>_xll.BQL("UAL US Equity", "FA_GROWTH(FUEL_COST_PER_AVAIL_SEAT_MILE, YOY)", "FPT=A", "FPO=-3A", "ACT_EST_MAPPING=PRECISE", "FS=MRC", "CURRENCY=USD", "XLFILL=b")</f>
        <v>-18.269113519813228</v>
      </c>
      <c r="N79" s="9">
        <f>_xll.BQL("UAL US Equity", "FA_GROWTH(FUEL_COST_PER_AVAIL_SEAT_MILE, YOY)", "FPT=A", "FPO=-4A", "ACT_EST_MAPPING=PRECISE", "FS=MRC", "CURRENCY=USD", "XLFILL=b")</f>
        <v>-7.090142182342773</v>
      </c>
    </row>
    <row r="80" spans="1:14" x14ac:dyDescent="0.2">
      <c r="A80" s="8" t="s">
        <v>16</v>
      </c>
      <c r="B80" s="4"/>
      <c r="C80" s="4"/>
      <c r="D80" s="4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14" x14ac:dyDescent="0.2">
      <c r="A81" s="8" t="s">
        <v>68</v>
      </c>
      <c r="B81" s="4" t="s">
        <v>69</v>
      </c>
      <c r="C81" s="4"/>
      <c r="D81" s="4"/>
      <c r="E81" s="9">
        <f>_xll.BQL("UAL US Equity", "FUEL_GALLONS_LITRES/1M", "FPT=A", "FPO=5A", "ACT_EST_MAPPING=PRECISE", "FS=MRC", "CURRENCY=USD", "XLFILL=b")</f>
        <v>4994.0577553430585</v>
      </c>
      <c r="F81" s="9">
        <f>_xll.BQL("UAL US Equity", "FUEL_GALLONS_LITRES/1M", "FPT=A", "FPO=4A", "ACT_EST_MAPPING=PRECISE", "FS=MRC", "CURRENCY=USD", "XLFILL=b")</f>
        <v>4955.0527460284611</v>
      </c>
      <c r="G81" s="9">
        <f>_xll.BQL("UAL US Equity", "FUEL_GALLONS_LITRES/1M", "FPT=A", "FPO=3A", "ACT_EST_MAPPING=PRECISE", "FS=MRC", "CURRENCY=USD", "XLFILL=b")</f>
        <v>4798.7617466648198</v>
      </c>
      <c r="H81" s="9">
        <f>_xll.BQL("UAL US Equity", "FUEL_GALLONS_LITRES/1M", "FPT=A", "FPO=2A", "ACT_EST_MAPPING=PRECISE", "FS=MRC", "CURRENCY=USD", "XLFILL=b")</f>
        <v>4588.0994505009057</v>
      </c>
      <c r="I81" s="9">
        <f>_xll.BQL("UAL US Equity", "FUEL_GALLONS_LITRES/1M", "FPT=A", "FPO=1A", "ACT_EST_MAPPING=PRECISE", "FS=MRC", "CURRENCY=USD", "XLFILL=b")</f>
        <v>4406.564796850269</v>
      </c>
      <c r="J81" s="9">
        <f>_xll.BQL("UAL US Equity", "FUEL_GALLONS_LITRES/1M", "FPT=A", "FPO=0A", "ACT_EST_MAPPING=PRECISE", "FS=MRC", "CURRENCY=USD", "XLFILL=b")</f>
        <v>4205</v>
      </c>
      <c r="K81" s="9">
        <f>_xll.BQL("UAL US Equity", "FUEL_GALLONS_LITRES/1M", "FPT=A", "FPO=-1A", "ACT_EST_MAPPING=PRECISE", "FS=MRC", "CURRENCY=USD", "XLFILL=b")</f>
        <v>3608</v>
      </c>
      <c r="L81" s="9">
        <f>_xll.BQL("UAL US Equity", "FUEL_GALLONS_LITRES/1M", "FPT=A", "FPO=-2A", "ACT_EST_MAPPING=PRECISE", "FS=MRC", "CURRENCY=USD", "XLFILL=b")</f>
        <v>2729</v>
      </c>
      <c r="M81" s="9">
        <f>_xll.BQL("UAL US Equity", "FUEL_GALLONS_LITRES/1M", "FPT=A", "FPO=-3A", "ACT_EST_MAPPING=PRECISE", "FS=MRC", "CURRENCY=USD", "XLFILL=b")</f>
        <v>2004</v>
      </c>
      <c r="N81" s="9">
        <f>_xll.BQL("UAL US Equity", "FUEL_GALLONS_LITRES/1M", "FPT=A", "FPO=-4A", "ACT_EST_MAPPING=PRECISE", "FS=MRC", "CURRENCY=USD", "XLFILL=b")</f>
        <v>4292</v>
      </c>
    </row>
    <row r="82" spans="1:14" x14ac:dyDescent="0.2">
      <c r="A82" s="8" t="s">
        <v>12</v>
      </c>
      <c r="B82" s="4" t="s">
        <v>69</v>
      </c>
      <c r="C82" s="4"/>
      <c r="D82" s="4"/>
      <c r="E82" s="9">
        <f>_xll.BQL("UAL US Equity", "FA_GROWTH(FUEL_GALLONS_LITRES, YOY)", "FPT=A", "FPO=5A", "ACT_EST_MAPPING=PRECISE", "FS=MRC", "CURRENCY=USD", "XLFILL=b")</f>
        <v>0.78717647043939432</v>
      </c>
      <c r="F82" s="9">
        <f>_xll.BQL("UAL US Equity", "FA_GROWTH(FUEL_GALLONS_LITRES, YOY)", "FPT=A", "FPO=4A", "ACT_EST_MAPPING=PRECISE", "FS=MRC", "CURRENCY=USD", "XLFILL=b")</f>
        <v>3.2569026681156927</v>
      </c>
      <c r="G82" s="9">
        <f>_xll.BQL("UAL US Equity", "FA_GROWTH(FUEL_GALLONS_LITRES, YOY)", "FPT=A", "FPO=3A", "ACT_EST_MAPPING=PRECISE", "FS=MRC", "CURRENCY=USD", "XLFILL=b")</f>
        <v>4.5914936769933066</v>
      </c>
      <c r="H82" s="9">
        <f>_xll.BQL("UAL US Equity", "FA_GROWTH(FUEL_GALLONS_LITRES, YOY)", "FPT=A", "FPO=2A", "ACT_EST_MAPPING=PRECISE", "FS=MRC", "CURRENCY=USD", "XLFILL=b")</f>
        <v>4.1196410814245663</v>
      </c>
      <c r="I82" s="9">
        <f>_xll.BQL("UAL US Equity", "FA_GROWTH(FUEL_GALLONS_LITRES, YOY)", "FPT=A", "FPO=1A", "ACT_EST_MAPPING=PRECISE", "FS=MRC", "CURRENCY=USD", "XLFILL=b")</f>
        <v>4.7934553353215055</v>
      </c>
      <c r="J82" s="9">
        <f>_xll.BQL("UAL US Equity", "FA_GROWTH(FUEL_GALLONS_LITRES, YOY)", "FPT=A", "FPO=0A", "ACT_EST_MAPPING=PRECISE", "FS=MRC", "CURRENCY=USD", "XLFILL=b")</f>
        <v>16.546563192904657</v>
      </c>
      <c r="K82" s="9">
        <f>_xll.BQL("UAL US Equity", "FA_GROWTH(FUEL_GALLONS_LITRES, YOY)", "FPT=A", "FPO=-1A", "ACT_EST_MAPPING=PRECISE", "FS=MRC", "CURRENCY=USD", "XLFILL=b")</f>
        <v>32.209600586295345</v>
      </c>
      <c r="L82" s="9">
        <f>_xll.BQL("UAL US Equity", "FA_GROWTH(FUEL_GALLONS_LITRES, YOY)", "FPT=A", "FPO=-2A", "ACT_EST_MAPPING=PRECISE", "FS=MRC", "CURRENCY=USD", "XLFILL=b")</f>
        <v>36.177644710578839</v>
      </c>
      <c r="M82" s="9">
        <f>_xll.BQL("UAL US Equity", "FA_GROWTH(FUEL_GALLONS_LITRES, YOY)", "FPT=A", "FPO=-3A", "ACT_EST_MAPPING=PRECISE", "FS=MRC", "CURRENCY=USD", "XLFILL=b")</f>
        <v>-53.30848089468779</v>
      </c>
      <c r="N82" s="9">
        <f>_xll.BQL("UAL US Equity", "FA_GROWTH(FUEL_GALLONS_LITRES, YOY)", "FPT=A", "FPO=-4A", "ACT_EST_MAPPING=PRECISE", "FS=MRC", "CURRENCY=USD", "XLFILL=b")</f>
        <v>3.7466763355088228</v>
      </c>
    </row>
    <row r="83" spans="1:14" x14ac:dyDescent="0.2">
      <c r="A83" s="8" t="s">
        <v>48</v>
      </c>
      <c r="B83" s="4" t="s">
        <v>49</v>
      </c>
      <c r="C83" s="4"/>
      <c r="D83" s="4"/>
      <c r="E83" s="9">
        <f>_xll.BQL("UAL US Equity", "FUEL_PRICE_PER_GALLON_LITRE", "FPT=A", "FPO=5A", "ACT_EST_MAPPING=PRECISE", "FS=MRC", "CURRENCY=USD", "XLFILL=b")</f>
        <v>2.4299096204000605</v>
      </c>
      <c r="F83" s="9">
        <f>_xll.BQL("UAL US Equity", "FUEL_PRICE_PER_GALLON_LITRE", "FPT=A", "FPO=4A", "ACT_EST_MAPPING=PRECISE", "FS=MRC", "CURRENCY=USD", "XLFILL=b")</f>
        <v>2.6303512159000455</v>
      </c>
      <c r="G83" s="9">
        <f>_xll.BQL("UAL US Equity", "FUEL_PRICE_PER_GALLON_LITRE", "FPT=A", "FPO=3A", "ACT_EST_MAPPING=PRECISE", "FS=MRC", "CURRENCY=USD", "XLFILL=b")</f>
        <v>2.6594327272976415</v>
      </c>
      <c r="H83" s="9">
        <f>_xll.BQL("UAL US Equity", "FUEL_PRICE_PER_GALLON_LITRE", "FPT=A", "FPO=2A", "ACT_EST_MAPPING=PRECISE", "FS=MRC", "CURRENCY=USD", "XLFILL=b")</f>
        <v>2.6889518040473988</v>
      </c>
      <c r="I83" s="9">
        <f>_xll.BQL("UAL US Equity", "FUEL_PRICE_PER_GALLON_LITRE", "FPT=A", "FPO=1A", "ACT_EST_MAPPING=PRECISE", "FS=MRC", "CURRENCY=USD", "XLFILL=b")</f>
        <v>2.7799534198582845</v>
      </c>
      <c r="J83" s="9">
        <f>_xll.BQL("UAL US Equity", "FUEL_PRICE_PER_GALLON_LITRE", "FPT=A", "FPO=0A", "ACT_EST_MAPPING=PRECISE", "FS=MRC", "CURRENCY=USD", "XLFILL=b")</f>
        <v>3.01</v>
      </c>
      <c r="K83" s="9">
        <f>_xll.BQL("UAL US Equity", "FUEL_PRICE_PER_GALLON_LITRE", "FPT=A", "FPO=-1A", "ACT_EST_MAPPING=PRECISE", "FS=MRC", "CURRENCY=USD", "XLFILL=b")</f>
        <v>3.63</v>
      </c>
      <c r="L83" s="9">
        <f>_xll.BQL("UAL US Equity", "FUEL_PRICE_PER_GALLON_LITRE", "FPT=A", "FPO=-2A", "ACT_EST_MAPPING=PRECISE", "FS=MRC", "CURRENCY=USD", "XLFILL=b")</f>
        <v>2.11</v>
      </c>
      <c r="M83" s="9">
        <f>_xll.BQL("UAL US Equity", "FUEL_PRICE_PER_GALLON_LITRE", "FPT=A", "FPO=-3A", "ACT_EST_MAPPING=PRECISE", "FS=MRC", "CURRENCY=USD", "XLFILL=b")</f>
        <v>1.57</v>
      </c>
      <c r="N83" s="9">
        <f>_xll.BQL("UAL US Equity", "FUEL_PRICE_PER_GALLON_LITRE", "FPT=A", "FPO=-4A", "ACT_EST_MAPPING=PRECISE", "FS=MRC", "CURRENCY=USD", "XLFILL=b")</f>
        <v>2.09</v>
      </c>
    </row>
    <row r="84" spans="1:14" x14ac:dyDescent="0.2">
      <c r="A84" s="8" t="s">
        <v>12</v>
      </c>
      <c r="B84" s="4" t="s">
        <v>49</v>
      </c>
      <c r="C84" s="4"/>
      <c r="D84" s="4"/>
      <c r="E84" s="9">
        <f>_xll.BQL("UAL US Equity", "FA_GROWTH(FUEL_PRICE_PER_GALLON_LITRE, YOY)", "FPT=A", "FPO=5A", "ACT_EST_MAPPING=PRECISE", "FS=MRC", "CURRENCY=USD", "XLFILL=b")</f>
        <v>-7.6203358049049914</v>
      </c>
      <c r="F84" s="9">
        <f>_xll.BQL("UAL US Equity", "FA_GROWTH(FUEL_PRICE_PER_GALLON_LITRE, YOY)", "FPT=A", "FPO=4A", "ACT_EST_MAPPING=PRECISE", "FS=MRC", "CURRENCY=USD", "XLFILL=b")</f>
        <v>-1.093523107356315</v>
      </c>
      <c r="G84" s="9">
        <f>_xll.BQL("UAL US Equity", "FA_GROWTH(FUEL_PRICE_PER_GALLON_LITRE, YOY)", "FPT=A", "FPO=3A", "ACT_EST_MAPPING=PRECISE", "FS=MRC", "CURRENCY=USD", "XLFILL=b")</f>
        <v>-1.0977912175787345</v>
      </c>
      <c r="H84" s="9">
        <f>_xll.BQL("UAL US Equity", "FA_GROWTH(FUEL_PRICE_PER_GALLON_LITRE, YOY)", "FPT=A", "FPO=2A", "ACT_EST_MAPPING=PRECISE", "FS=MRC", "CURRENCY=USD", "XLFILL=b")</f>
        <v>-3.2734942665163351</v>
      </c>
      <c r="I84" s="9">
        <f>_xll.BQL("UAL US Equity", "FA_GROWTH(FUEL_PRICE_PER_GALLON_LITRE, YOY)", "FPT=A", "FPO=1A", "ACT_EST_MAPPING=PRECISE", "FS=MRC", "CURRENCY=USD", "XLFILL=b")</f>
        <v>-7.6427435263028354</v>
      </c>
      <c r="J84" s="9">
        <f>_xll.BQL("UAL US Equity", "FA_GROWTH(FUEL_PRICE_PER_GALLON_LITRE, YOY)", "FPT=A", "FPO=0A", "ACT_EST_MAPPING=PRECISE", "FS=MRC", "CURRENCY=USD", "XLFILL=b")</f>
        <v>-17.079889807162537</v>
      </c>
      <c r="K84" s="9">
        <f>_xll.BQL("UAL US Equity", "FA_GROWTH(FUEL_PRICE_PER_GALLON_LITRE, YOY)", "FPT=A", "FPO=-1A", "ACT_EST_MAPPING=PRECISE", "FS=MRC", "CURRENCY=USD", "XLFILL=b")</f>
        <v>72.037914691943129</v>
      </c>
      <c r="L84" s="9">
        <f>_xll.BQL("UAL US Equity", "FA_GROWTH(FUEL_PRICE_PER_GALLON_LITRE, YOY)", "FPT=A", "FPO=-2A", "ACT_EST_MAPPING=PRECISE", "FS=MRC", "CURRENCY=USD", "XLFILL=b")</f>
        <v>34.39490445859871</v>
      </c>
      <c r="M84" s="9">
        <f>_xll.BQL("UAL US Equity", "FA_GROWTH(FUEL_PRICE_PER_GALLON_LITRE, YOY)", "FPT=A", "FPO=-3A", "ACT_EST_MAPPING=PRECISE", "FS=MRC", "CURRENCY=USD", "XLFILL=b")</f>
        <v>-24.88038277511961</v>
      </c>
      <c r="N84" s="9">
        <f>_xll.BQL("UAL US Equity", "FA_GROWTH(FUEL_PRICE_PER_GALLON_LITRE, YOY)", "FPT=A", "FPO=-4A", "ACT_EST_MAPPING=PRECISE", "FS=MRC", "CURRENCY=USD", "XLFILL=b")</f>
        <v>-7.1111111111111178</v>
      </c>
    </row>
    <row r="85" spans="1:14" x14ac:dyDescent="0.2">
      <c r="A85" s="8" t="s">
        <v>70</v>
      </c>
      <c r="B85" s="4" t="s">
        <v>71</v>
      </c>
      <c r="C85" s="4"/>
      <c r="D85" s="4"/>
      <c r="E85" s="9">
        <f>_xll.BQL("UAL US Equity", "ASM_PER_GALLON_LITER", "FPT=A", "FPO=5A", "ACT_EST_MAPPING=PRECISE", "FS=MRC", "CURRENCY=USD", "XLFILL=b")</f>
        <v>72.810150181287668</v>
      </c>
      <c r="F85" s="9">
        <f>_xll.BQL("UAL US Equity", "ASM_PER_GALLON_LITER", "FPT=A", "FPO=4A", "ACT_EST_MAPPING=PRECISE", "FS=MRC", "CURRENCY=USD", "XLFILL=b")</f>
        <v>72.089257605235304</v>
      </c>
      <c r="G85" s="9">
        <f>_xll.BQL("UAL US Equity", "ASM_PER_GALLON_LITER", "FPT=A", "FPO=3A", "ACT_EST_MAPPING=PRECISE", "FS=MRC", "CURRENCY=USD", "XLFILL=b")</f>
        <v>71.291445088015351</v>
      </c>
      <c r="H85" s="9">
        <f>_xll.BQL("UAL US Equity", "ASM_PER_GALLON_LITER", "FPT=A", "FPO=2A", "ACT_EST_MAPPING=PRECISE", "FS=MRC", "CURRENCY=USD", "XLFILL=b")</f>
        <v>70.715241048094441</v>
      </c>
      <c r="I85" s="9">
        <f>_xll.BQL("UAL US Equity", "ASM_PER_GALLON_LITER", "FPT=A", "FPO=1A", "ACT_EST_MAPPING=PRECISE", "FS=MRC", "CURRENCY=USD", "XLFILL=b")</f>
        <v>70.105291458081211</v>
      </c>
      <c r="J85" s="9">
        <f>_xll.BQL("UAL US Equity", "ASM_PER_GALLON_LITER", "FPT=A", "FPO=0A", "ACT_EST_MAPPING=PRECISE", "FS=MRC", "CURRENCY=USD", "XLFILL=b")</f>
        <v>69.28252080856123</v>
      </c>
      <c r="K85" s="9">
        <f>_xll.BQL("UAL US Equity", "ASM_PER_GALLON_LITER", "FPT=A", "FPO=-1A", "ACT_EST_MAPPING=PRECISE", "FS=MRC", "CURRENCY=USD", "XLFILL=b")</f>
        <v>68.696784922394684</v>
      </c>
      <c r="L85" s="9">
        <f>_xll.BQL("UAL US Equity", "ASM_PER_GALLON_LITER", "FPT=A", "FPO=-2A", "ACT_EST_MAPPING=PRECISE", "FS=MRC", "CURRENCY=USD", "XLFILL=b")</f>
        <v>65.475998534261635</v>
      </c>
      <c r="M85" s="9">
        <f>_xll.BQL("UAL US Equity", "ASM_PER_GALLON_LITER", "FPT=A", "FPO=-3A", "ACT_EST_MAPPING=PRECISE", "FS=MRC", "CURRENCY=USD", "XLFILL=b")</f>
        <v>61.27944111776447</v>
      </c>
      <c r="N85" s="9">
        <f>_xll.BQL("UAL US Equity", "ASM_PER_GALLON_LITER", "FPT=A", "FPO=-4A", "ACT_EST_MAPPING=PRECISE", "FS=MRC", "CURRENCY=USD", "XLFILL=b")</f>
        <v>66.402376514445479</v>
      </c>
    </row>
    <row r="86" spans="1:14" x14ac:dyDescent="0.2">
      <c r="A86" s="8" t="s">
        <v>12</v>
      </c>
      <c r="B86" s="4" t="s">
        <v>71</v>
      </c>
      <c r="C86" s="4"/>
      <c r="D86" s="4"/>
      <c r="E86" s="9">
        <f>_xll.BQL("UAL US Equity", "FA_GROWTH(ASM_PER_GALLON_LITER, YOY)", "FPT=A", "FPO=5A", "ACT_EST_MAPPING=PRECISE", "FS=MRC", "CURRENCY=USD", "XLFILL=b")</f>
        <v>1.0000000000000153</v>
      </c>
      <c r="F86" s="9">
        <f>_xll.BQL("UAL US Equity", "FA_GROWTH(ASM_PER_GALLON_LITER, YOY)", "FPT=A", "FPO=4A", "ACT_EST_MAPPING=PRECISE", "FS=MRC", "CURRENCY=USD", "XLFILL=b")</f>
        <v>1.119085910286971</v>
      </c>
      <c r="G86" s="9">
        <f>_xll.BQL("UAL US Equity", "FA_GROWTH(ASM_PER_GALLON_LITER, YOY)", "FPT=A", "FPO=3A", "ACT_EST_MAPPING=PRECISE", "FS=MRC", "CURRENCY=USD", "XLFILL=b")</f>
        <v>0.81482298777575446</v>
      </c>
      <c r="H86" s="9">
        <f>_xll.BQL("UAL US Equity", "FA_GROWTH(ASM_PER_GALLON_LITER, YOY)", "FPT=A", "FPO=2A", "ACT_EST_MAPPING=PRECISE", "FS=MRC", "CURRENCY=USD", "XLFILL=b")</f>
        <v>0.87004786276074919</v>
      </c>
      <c r="I86" s="9">
        <f>_xll.BQL("UAL US Equity", "FA_GROWTH(ASM_PER_GALLON_LITER, YOY)", "FPT=A", "FPO=1A", "ACT_EST_MAPPING=PRECISE", "FS=MRC", "CURRENCY=USD", "XLFILL=b")</f>
        <v>1.1875587665082641</v>
      </c>
      <c r="J86" s="9">
        <f>_xll.BQL("UAL US Equity", "FA_GROWTH(ASM_PER_GALLON_LITER, YOY)", "FPT=A", "FPO=0A", "ACT_EST_MAPPING=PRECISE", "FS=MRC", "CURRENCY=USD", "XLFILL=b")</f>
        <v>0.85263944568619854</v>
      </c>
      <c r="K86" s="9">
        <f>_xll.BQL("UAL US Equity", "FA_GROWTH(ASM_PER_GALLON_LITER, YOY)", "FPT=A", "FPO=-1A", "ACT_EST_MAPPING=PRECISE", "FS=MRC", "CURRENCY=USD", "XLFILL=b")</f>
        <v>4.9190336309994693</v>
      </c>
      <c r="L86" s="9">
        <f>_xll.BQL("UAL US Equity", "FA_GROWTH(ASM_PER_GALLON_LITER, YOY)", "FPT=A", "FPO=-2A", "ACT_EST_MAPPING=PRECISE", "FS=MRC", "CURRENCY=USD", "XLFILL=b")</f>
        <v>6.8482305646887056</v>
      </c>
      <c r="M86" s="9">
        <f>_xll.BQL("UAL US Equity", "FA_GROWTH(ASM_PER_GALLON_LITER, YOY)", "FPT=A", "FPO=-3A", "ACT_EST_MAPPING=PRECISE", "FS=MRC", "CURRENCY=USD", "XLFILL=b")</f>
        <v>-7.7149880254158392</v>
      </c>
      <c r="N86" s="9">
        <f>_xll.BQL("UAL US Equity", "FA_GROWTH(ASM_PER_GALLON_LITER, YOY)", "FPT=A", "FPO=-4A", "ACT_EST_MAPPING=PRECISE", "FS=MRC", "CURRENCY=USD", "XLFILL=b")</f>
        <v>-0.20175990864668086</v>
      </c>
    </row>
    <row r="87" spans="1:14" x14ac:dyDescent="0.2">
      <c r="A87" s="8" t="s">
        <v>72</v>
      </c>
      <c r="B87" s="4" t="s">
        <v>73</v>
      </c>
      <c r="C87" s="4"/>
      <c r="D87" s="4"/>
      <c r="E87" s="9">
        <f>_xll.BQL("UAL US Equity", "AVG_NUM_EMPLOYEES", "FPT=A", "FPO=5A", "ACT_EST_MAPPING=PRECISE", "FS=MRC", "CURRENCY=USD", "XLFILL=b")</f>
        <v>115434.88205828439</v>
      </c>
      <c r="F87" s="9">
        <f>_xll.BQL("UAL US Equity", "AVG_NUM_EMPLOYEES", "FPT=A", "FPO=4A", "ACT_EST_MAPPING=PRECISE", "FS=MRC", "CURRENCY=USD", "XLFILL=b")</f>
        <v>113454.42401061155</v>
      </c>
      <c r="G87" s="9">
        <f>_xll.BQL("UAL US Equity", "AVG_NUM_EMPLOYEES", "FPT=A", "FPO=3A", "ACT_EST_MAPPING=PRECISE", "FS=MRC", "CURRENCY=USD", "XLFILL=b")</f>
        <v>112123.96569916129</v>
      </c>
      <c r="H87" s="9">
        <f>_xll.BQL("UAL US Equity", "AVG_NUM_EMPLOYEES", "FPT=A", "FPO=2A", "ACT_EST_MAPPING=PRECISE", "FS=MRC", "CURRENCY=USD", "XLFILL=b")</f>
        <v>108818.86921058009</v>
      </c>
      <c r="I87" s="9">
        <f>_xll.BQL("UAL US Equity", "AVG_NUM_EMPLOYEES", "FPT=A", "FPO=1A", "ACT_EST_MAPPING=PRECISE", "FS=MRC", "CURRENCY=USD", "XLFILL=b")</f>
        <v>106480.5548321931</v>
      </c>
      <c r="J87" s="9">
        <f>_xll.BQL("UAL US Equity", "AVG_NUM_EMPLOYEES", "FPT=A", "FPO=0A", "ACT_EST_MAPPING=PRECISE", "FS=MRC", "CURRENCY=USD", "XLFILL=b")</f>
        <v>103300</v>
      </c>
      <c r="K87" s="9">
        <f>_xll.BQL("UAL US Equity", "AVG_NUM_EMPLOYEES", "FPT=A", "FPO=-1A", "ACT_EST_MAPPING=PRECISE", "FS=MRC", "CURRENCY=USD", "XLFILL=b")</f>
        <v>92800</v>
      </c>
      <c r="L87" s="9">
        <f>_xll.BQL("UAL US Equity", "AVG_NUM_EMPLOYEES", "FPT=A", "FPO=-2A", "ACT_EST_MAPPING=PRECISE", "FS=MRC", "CURRENCY=USD", "XLFILL=b")</f>
        <v>84100</v>
      </c>
      <c r="M87" s="9">
        <f>_xll.BQL("UAL US Equity", "AVG_NUM_EMPLOYEES", "FPT=A", "FPO=-3A", "ACT_EST_MAPPING=PRECISE", "FS=MRC", "CURRENCY=USD", "XLFILL=b")</f>
        <v>74400</v>
      </c>
      <c r="N87" s="9">
        <f>_xll.BQL("UAL US Equity", "AVG_NUM_EMPLOYEES", "FPT=A", "FPO=-4A", "ACT_EST_MAPPING=PRECISE", "FS=MRC", "CURRENCY=USD", "XLFILL=b")</f>
        <v>90116</v>
      </c>
    </row>
    <row r="88" spans="1:14" x14ac:dyDescent="0.2">
      <c r="A88" s="8" t="s">
        <v>12</v>
      </c>
      <c r="B88" s="4" t="s">
        <v>73</v>
      </c>
      <c r="C88" s="4"/>
      <c r="D88" s="4"/>
      <c r="E88" s="9">
        <f>_xll.BQL("UAL US Equity", "FA_GROWTH(AVG_NUM_EMPLOYEES, YOY)", "FPT=A", "FPO=5A", "ACT_EST_MAPPING=PRECISE", "FS=MRC", "CURRENCY=USD", "XLFILL=b")</f>
        <v>1.7455979041307452</v>
      </c>
      <c r="F88" s="9">
        <f>_xll.BQL("UAL US Equity", "FA_GROWTH(AVG_NUM_EMPLOYEES, YOY)", "FPT=A", "FPO=4A", "ACT_EST_MAPPING=PRECISE", "FS=MRC", "CURRENCY=USD", "XLFILL=b")</f>
        <v>1.1865958389484723</v>
      </c>
      <c r="G88" s="9">
        <f>_xll.BQL("UAL US Equity", "FA_GROWTH(AVG_NUM_EMPLOYEES, YOY)", "FPT=A", "FPO=3A", "ACT_EST_MAPPING=PRECISE", "FS=MRC", "CURRENCY=USD", "XLFILL=b")</f>
        <v>3.0372457576133827</v>
      </c>
      <c r="H88" s="9">
        <f>_xll.BQL("UAL US Equity", "FA_GROWTH(AVG_NUM_EMPLOYEES, YOY)", "FPT=A", "FPO=2A", "ACT_EST_MAPPING=PRECISE", "FS=MRC", "CURRENCY=USD", "XLFILL=b")</f>
        <v>2.1960013094146915</v>
      </c>
      <c r="I88" s="9">
        <f>_xll.BQL("UAL US Equity", "FA_GROWTH(AVG_NUM_EMPLOYEES, YOY)", "FPT=A", "FPO=1A", "ACT_EST_MAPPING=PRECISE", "FS=MRC", "CURRENCY=USD", "XLFILL=b")</f>
        <v>3.0789494987348482</v>
      </c>
      <c r="J88" s="9">
        <f>_xll.BQL("UAL US Equity", "FA_GROWTH(AVG_NUM_EMPLOYEES, YOY)", "FPT=A", "FPO=0A", "ACT_EST_MAPPING=PRECISE", "FS=MRC", "CURRENCY=USD", "XLFILL=b")</f>
        <v>11.314655172413794</v>
      </c>
      <c r="K88" s="9">
        <f>_xll.BQL("UAL US Equity", "FA_GROWTH(AVG_NUM_EMPLOYEES, YOY)", "FPT=A", "FPO=-1A", "ACT_EST_MAPPING=PRECISE", "FS=MRC", "CURRENCY=USD", "XLFILL=b")</f>
        <v>10.344827586206897</v>
      </c>
      <c r="L88" s="9">
        <f>_xll.BQL("UAL US Equity", "FA_GROWTH(AVG_NUM_EMPLOYEES, YOY)", "FPT=A", "FPO=-2A", "ACT_EST_MAPPING=PRECISE", "FS=MRC", "CURRENCY=USD", "XLFILL=b")</f>
        <v>13.03763440860215</v>
      </c>
      <c r="M88" s="9">
        <f>_xll.BQL("UAL US Equity", "FA_GROWTH(AVG_NUM_EMPLOYEES, YOY)", "FPT=A", "FPO=-3A", "ACT_EST_MAPPING=PRECISE", "FS=MRC", "CURRENCY=USD", "XLFILL=b")</f>
        <v>-17.439744329530829</v>
      </c>
      <c r="N88" s="9">
        <f>_xll.BQL("UAL US Equity", "FA_GROWTH(AVG_NUM_EMPLOYEES, YOY)", "FPT=A", "FPO=-4A", "ACT_EST_MAPPING=PRECISE", "FS=MRC", "CURRENCY=USD", "XLFILL=b")</f>
        <v>4.0108031994090556</v>
      </c>
    </row>
    <row r="89" spans="1:14" x14ac:dyDescent="0.2">
      <c r="A89" s="8" t="s">
        <v>16</v>
      </c>
      <c r="B89" s="4"/>
      <c r="C89" s="4"/>
      <c r="D89" s="4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1:14" x14ac:dyDescent="0.2">
      <c r="A90" s="8" t="s">
        <v>74</v>
      </c>
      <c r="B90" s="4" t="s">
        <v>75</v>
      </c>
      <c r="C90" s="4"/>
      <c r="D90" s="4"/>
      <c r="E90" s="9">
        <f>_xll.BQL("UAL US Equity", "CARGO_TON_MILES_KM/1M", "FPT=A", "FPO=5A", "ACT_EST_MAPPING=PRECISE", "FS=MRC", "CURRENCY=USD", "XLFILL=b")</f>
        <v>3788.6123782310992</v>
      </c>
      <c r="F90" s="9">
        <f>_xll.BQL("UAL US Equity", "CARGO_TON_MILES_KM/1M", "FPT=A", "FPO=4A", "ACT_EST_MAPPING=PRECISE", "FS=MRC", "CURRENCY=USD", "XLFILL=b")</f>
        <v>3732.6230327399999</v>
      </c>
      <c r="G90" s="9">
        <f>_xll.BQL("UAL US Equity", "CARGO_TON_MILES_KM/1M", "FPT=A", "FPO=3A", "ACT_EST_MAPPING=PRECISE", "FS=MRC", "CURRENCY=USD", "XLFILL=b")</f>
        <v>3677.4611159999999</v>
      </c>
      <c r="H90" s="9">
        <f>_xll.BQL("UAL US Equity", "CARGO_TON_MILES_KM/1M", "FPT=A", "FPO=2A", "ACT_EST_MAPPING=PRECISE", "FS=MRC", "CURRENCY=USD", "XLFILL=b")</f>
        <v>3623.1144000000004</v>
      </c>
      <c r="I90" s="9">
        <f>_xll.BQL("UAL US Equity", "CARGO_TON_MILES_KM/1M", "FPT=A", "FPO=1A", "ACT_EST_MAPPING=PRECISE", "FS=MRC", "CURRENCY=USD", "XLFILL=b")</f>
        <v>3543.7200000000003</v>
      </c>
      <c r="J90" s="9">
        <f>_xll.BQL("UAL US Equity", "CARGO_TON_MILES_KM/1M", "FPT=A", "FPO=0A", "ACT_EST_MAPPING=PRECISE", "FS=MRC", "CURRENCY=USD", "XLFILL=b")</f>
        <v>3159</v>
      </c>
      <c r="K90" s="9">
        <f>_xll.BQL("UAL US Equity", "CARGO_TON_MILES_KM/1M", "FPT=A", "FPO=-1A", "ACT_EST_MAPPING=PRECISE", "FS=MRC", "CURRENCY=USD", "XLFILL=b")</f>
        <v>3041</v>
      </c>
      <c r="L90" s="9">
        <f>_xll.BQL("UAL US Equity", "CARGO_TON_MILES_KM/1M", "FPT=A", "FPO=-2A", "ACT_EST_MAPPING=PRECISE", "FS=MRC", "CURRENCY=USD", "XLFILL=b")</f>
        <v>3285</v>
      </c>
      <c r="M90" s="9">
        <f>_xll.BQL("UAL US Equity", "CARGO_TON_MILES_KM/1M", "FPT=A", "FPO=-3A", "ACT_EST_MAPPING=PRECISE", "FS=MRC", "CURRENCY=USD", "XLFILL=b")</f>
        <v>2711</v>
      </c>
      <c r="N90" s="9">
        <f>_xll.BQL("UAL US Equity", "CARGO_TON_MILES_KM/1M", "FPT=A", "FPO=-4A", "ACT_EST_MAPPING=PRECISE", "FS=MRC", "CURRENCY=USD", "XLFILL=b")</f>
        <v>3329</v>
      </c>
    </row>
    <row r="91" spans="1:14" x14ac:dyDescent="0.2">
      <c r="A91" s="8" t="s">
        <v>12</v>
      </c>
      <c r="B91" s="4" t="s">
        <v>75</v>
      </c>
      <c r="C91" s="4"/>
      <c r="D91" s="4"/>
      <c r="E91" s="9">
        <f>_xll.BQL("UAL US Equity", "FA_GROWTH(CARGO_TON_MILES_KM, YOY)", "FPT=A", "FPO=5A", "ACT_EST_MAPPING=PRECISE", "FS=MRC", "CURRENCY=USD", "XLFILL=b")</f>
        <v>1.4999999999999829</v>
      </c>
      <c r="F91" s="9">
        <f>_xll.BQL("UAL US Equity", "FA_GROWTH(CARGO_TON_MILES_KM, YOY)", "FPT=A", "FPO=4A", "ACT_EST_MAPPING=PRECISE", "FS=MRC", "CURRENCY=USD", "XLFILL=b")</f>
        <v>1.4999999999999938</v>
      </c>
      <c r="G91" s="9">
        <f>_xll.BQL("UAL US Equity", "FA_GROWTH(CARGO_TON_MILES_KM, YOY)", "FPT=A", "FPO=3A", "ACT_EST_MAPPING=PRECISE", "FS=MRC", "CURRENCY=USD", "XLFILL=b")</f>
        <v>1.4999999999999867</v>
      </c>
      <c r="H91" s="9">
        <f>_xll.BQL("UAL US Equity", "FA_GROWTH(CARGO_TON_MILES_KM, YOY)", "FPT=A", "FPO=2A", "ACT_EST_MAPPING=PRECISE", "FS=MRC", "CURRENCY=USD", "XLFILL=b")</f>
        <v>2.2404253157698686</v>
      </c>
      <c r="I91" s="9">
        <f>_xll.BQL("UAL US Equity", "FA_GROWTH(CARGO_TON_MILES_KM, YOY)", "FPT=A", "FPO=1A", "ACT_EST_MAPPING=PRECISE", "FS=MRC", "CURRENCY=USD", "XLFILL=b")</f>
        <v>12.178537511870859</v>
      </c>
      <c r="J91" s="9">
        <f>_xll.BQL("UAL US Equity", "FA_GROWTH(CARGO_TON_MILES_KM, YOY)", "FPT=A", "FPO=0A", "ACT_EST_MAPPING=PRECISE", "FS=MRC", "CURRENCY=USD", "XLFILL=b")</f>
        <v>3.8803025320618216</v>
      </c>
      <c r="K91" s="9">
        <f>_xll.BQL("UAL US Equity", "FA_GROWTH(CARGO_TON_MILES_KM, YOY)", "FPT=A", "FPO=-1A", "ACT_EST_MAPPING=PRECISE", "FS=MRC", "CURRENCY=USD", "XLFILL=b")</f>
        <v>-7.4277016742770163</v>
      </c>
      <c r="L91" s="9">
        <f>_xll.BQL("UAL US Equity", "FA_GROWTH(CARGO_TON_MILES_KM, YOY)", "FPT=A", "FPO=-2A", "ACT_EST_MAPPING=PRECISE", "FS=MRC", "CURRENCY=USD", "XLFILL=b")</f>
        <v>21.172998893397271</v>
      </c>
      <c r="M91" s="9">
        <f>_xll.BQL("UAL US Equity", "FA_GROWTH(CARGO_TON_MILES_KM, YOY)", "FPT=A", "FPO=-3A", "ACT_EST_MAPPING=PRECISE", "FS=MRC", "CURRENCY=USD", "XLFILL=b")</f>
        <v>-18.564133373385403</v>
      </c>
      <c r="N91" s="9">
        <f>_xll.BQL("UAL US Equity", "FA_GROWTH(CARGO_TON_MILES_KM, YOY)", "FPT=A", "FPO=-4A", "ACT_EST_MAPPING=PRECISE", "FS=MRC", "CURRENCY=USD", "XLFILL=b")</f>
        <v>-2.8029197080291972</v>
      </c>
    </row>
    <row r="92" spans="1:14" x14ac:dyDescent="0.2">
      <c r="A92" s="8" t="s">
        <v>46</v>
      </c>
      <c r="B92" s="4" t="s">
        <v>47</v>
      </c>
      <c r="C92" s="4"/>
      <c r="D92" s="4"/>
      <c r="E92" s="9">
        <f>_xll.BQL("UAL US Equity", "SIZE_OF_FLEET", "FPT=A", "FPO=5A", "ACT_EST_MAPPING=PRECISE", "FS=MRC", "CURRENCY=USD", "XLFILL=b")</f>
        <v>1626</v>
      </c>
      <c r="F92" s="9">
        <f>_xll.BQL("UAL US Equity", "SIZE_OF_FLEET", "FPT=A", "FPO=4A", "ACT_EST_MAPPING=PRECISE", "FS=MRC", "CURRENCY=USD", "XLFILL=b")</f>
        <v>1649</v>
      </c>
      <c r="G92" s="9">
        <f>_xll.BQL("UAL US Equity", "SIZE_OF_FLEET", "FPT=A", "FPO=3A", "ACT_EST_MAPPING=PRECISE", "FS=MRC", "CURRENCY=USD", "XLFILL=b")</f>
        <v>1583</v>
      </c>
      <c r="H92" s="9">
        <f>_xll.BQL("UAL US Equity", "SIZE_OF_FLEET", "FPT=A", "FPO=2A", "ACT_EST_MAPPING=PRECISE", "FS=MRC", "CURRENCY=USD", "XLFILL=b")</f>
        <v>1385.5</v>
      </c>
      <c r="I92" s="9">
        <f>_xll.BQL("UAL US Equity", "SIZE_OF_FLEET", "FPT=A", "FPO=1A", "ACT_EST_MAPPING=PRECISE", "FS=MRC", "CURRENCY=USD", "XLFILL=b")</f>
        <v>1439</v>
      </c>
      <c r="J92" s="9">
        <f>_xll.BQL("UAL US Equity", "SIZE_OF_FLEET", "FPT=A", "FPO=0A", "ACT_EST_MAPPING=PRECISE", "FS=MRC", "CURRENCY=USD", "XLFILL=b")</f>
        <v>1358</v>
      </c>
      <c r="K92" s="9">
        <f>_xll.BQL("UAL US Equity", "SIZE_OF_FLEET", "FPT=A", "FPO=-1A", "ACT_EST_MAPPING=PRECISE", "FS=MRC", "CURRENCY=USD", "XLFILL=b")</f>
        <v>1338</v>
      </c>
      <c r="L92" s="9">
        <f>_xll.BQL("UAL US Equity", "SIZE_OF_FLEET", "FPT=A", "FPO=-2A", "ACT_EST_MAPPING=PRECISE", "FS=MRC", "CURRENCY=USD", "XLFILL=b")</f>
        <v>1344</v>
      </c>
      <c r="M92" s="9">
        <f>_xll.BQL("UAL US Equity", "SIZE_OF_FLEET", "FPT=A", "FPO=-3A", "ACT_EST_MAPPING=PRECISE", "FS=MRC", "CURRENCY=USD", "XLFILL=b")</f>
        <v>1287</v>
      </c>
      <c r="N92" s="9">
        <f>_xll.BQL("UAL US Equity", "SIZE_OF_FLEET", "FPT=A", "FPO=-4A", "ACT_EST_MAPPING=PRECISE", "FS=MRC", "CURRENCY=USD", "XLFILL=b")</f>
        <v>1372</v>
      </c>
    </row>
    <row r="93" spans="1:14" x14ac:dyDescent="0.2">
      <c r="A93" s="8" t="s">
        <v>12</v>
      </c>
      <c r="B93" s="4" t="s">
        <v>47</v>
      </c>
      <c r="C93" s="4"/>
      <c r="D93" s="4"/>
      <c r="E93" s="9">
        <f>_xll.BQL("UAL US Equity", "FA_GROWTH(SIZE_OF_FLEET, YOY)", "FPT=A", "FPO=5A", "ACT_EST_MAPPING=PRECISE", "FS=MRC", "CURRENCY=USD", "XLFILL=b")</f>
        <v>-1.3947847180109156</v>
      </c>
      <c r="F93" s="9">
        <f>_xll.BQL("UAL US Equity", "FA_GROWTH(SIZE_OF_FLEET, YOY)", "FPT=A", "FPO=4A", "ACT_EST_MAPPING=PRECISE", "FS=MRC", "CURRENCY=USD", "XLFILL=b")</f>
        <v>4.169298799747315</v>
      </c>
      <c r="G93" s="9">
        <f>_xll.BQL("UAL US Equity", "FA_GROWTH(SIZE_OF_FLEET, YOY)", "FPT=A", "FPO=3A", "ACT_EST_MAPPING=PRECISE", "FS=MRC", "CURRENCY=USD", "XLFILL=b")</f>
        <v>14.254781667268134</v>
      </c>
      <c r="H93" s="9">
        <f>_xll.BQL("UAL US Equity", "FA_GROWTH(SIZE_OF_FLEET, YOY)", "FPT=A", "FPO=2A", "ACT_EST_MAPPING=PRECISE", "FS=MRC", "CURRENCY=USD", "XLFILL=b")</f>
        <v>-3.7178596247394022</v>
      </c>
      <c r="I93" s="9">
        <f>_xll.BQL("UAL US Equity", "FA_GROWTH(SIZE_OF_FLEET, YOY)", "FPT=A", "FPO=1A", "ACT_EST_MAPPING=PRECISE", "FS=MRC", "CURRENCY=USD", "XLFILL=b")</f>
        <v>5.9646539027982328</v>
      </c>
      <c r="J93" s="9">
        <f>_xll.BQL("UAL US Equity", "FA_GROWTH(SIZE_OF_FLEET, YOY)", "FPT=A", "FPO=0A", "ACT_EST_MAPPING=PRECISE", "FS=MRC", "CURRENCY=USD", "XLFILL=b")</f>
        <v>1.4947683109118086</v>
      </c>
      <c r="K93" s="9">
        <f>_xll.BQL("UAL US Equity", "FA_GROWTH(SIZE_OF_FLEET, YOY)", "FPT=A", "FPO=-1A", "ACT_EST_MAPPING=PRECISE", "FS=MRC", "CURRENCY=USD", "XLFILL=b")</f>
        <v>-0.44642857142857145</v>
      </c>
      <c r="L93" s="9">
        <f>_xll.BQL("UAL US Equity", "FA_GROWTH(SIZE_OF_FLEET, YOY)", "FPT=A", "FPO=-2A", "ACT_EST_MAPPING=PRECISE", "FS=MRC", "CURRENCY=USD", "XLFILL=b")</f>
        <v>4.4289044289044286</v>
      </c>
      <c r="M93" s="9">
        <f>_xll.BQL("UAL US Equity", "FA_GROWTH(SIZE_OF_FLEET, YOY)", "FPT=A", "FPO=-3A", "ACT_EST_MAPPING=PRECISE", "FS=MRC", "CURRENCY=USD", "XLFILL=b")</f>
        <v>-6.1953352769679304</v>
      </c>
      <c r="N93" s="9">
        <f>_xll.BQL("UAL US Equity", "FA_GROWTH(SIZE_OF_FLEET, YOY)", "FPT=A", "FPO=-4A", "ACT_EST_MAPPING=PRECISE", "FS=MRC", "CURRENCY=USD", "XLFILL=b")</f>
        <v>3.2355154251316778</v>
      </c>
    </row>
    <row r="94" spans="1:14" x14ac:dyDescent="0.2">
      <c r="A94" s="8" t="s">
        <v>16</v>
      </c>
      <c r="B94" s="4"/>
      <c r="C94" s="4"/>
      <c r="D94" s="4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1:14" x14ac:dyDescent="0.2">
      <c r="A95" s="8" t="s">
        <v>48</v>
      </c>
      <c r="B95" s="4" t="s">
        <v>49</v>
      </c>
      <c r="C95" s="4"/>
      <c r="D95" s="4"/>
      <c r="E95" s="9">
        <f>_xll.BQL("UAL US Equity", "FUEL_PRICE_PER_GALLON_LITRE", "FPT=A", "FPO=5A", "ACT_EST_MAPPING=PRECISE", "FS=MRC", "CURRENCY=USD", "XLFILL=b")</f>
        <v>2.4299096204000605</v>
      </c>
      <c r="F95" s="9">
        <f>_xll.BQL("UAL US Equity", "FUEL_PRICE_PER_GALLON_LITRE", "FPT=A", "FPO=4A", "ACT_EST_MAPPING=PRECISE", "FS=MRC", "CURRENCY=USD", "XLFILL=b")</f>
        <v>2.6303512159000455</v>
      </c>
      <c r="G95" s="9">
        <f>_xll.BQL("UAL US Equity", "FUEL_PRICE_PER_GALLON_LITRE", "FPT=A", "FPO=3A", "ACT_EST_MAPPING=PRECISE", "FS=MRC", "CURRENCY=USD", "XLFILL=b")</f>
        <v>2.6594327272976415</v>
      </c>
      <c r="H95" s="9">
        <f>_xll.BQL("UAL US Equity", "FUEL_PRICE_PER_GALLON_LITRE", "FPT=A", "FPO=2A", "ACT_EST_MAPPING=PRECISE", "FS=MRC", "CURRENCY=USD", "XLFILL=b")</f>
        <v>2.6889518040473988</v>
      </c>
      <c r="I95" s="9">
        <f>_xll.BQL("UAL US Equity", "FUEL_PRICE_PER_GALLON_LITRE", "FPT=A", "FPO=1A", "ACT_EST_MAPPING=PRECISE", "FS=MRC", "CURRENCY=USD", "XLFILL=b")</f>
        <v>2.7799534198582845</v>
      </c>
      <c r="J95" s="9">
        <f>_xll.BQL("UAL US Equity", "FUEL_PRICE_PER_GALLON_LITRE", "FPT=A", "FPO=0A", "ACT_EST_MAPPING=PRECISE", "FS=MRC", "CURRENCY=USD", "XLFILL=b")</f>
        <v>3.01</v>
      </c>
      <c r="K95" s="9">
        <f>_xll.BQL("UAL US Equity", "FUEL_PRICE_PER_GALLON_LITRE", "FPT=A", "FPO=-1A", "ACT_EST_MAPPING=PRECISE", "FS=MRC", "CURRENCY=USD", "XLFILL=b")</f>
        <v>3.63</v>
      </c>
      <c r="L95" s="9">
        <f>_xll.BQL("UAL US Equity", "FUEL_PRICE_PER_GALLON_LITRE", "FPT=A", "FPO=-2A", "ACT_EST_MAPPING=PRECISE", "FS=MRC", "CURRENCY=USD", "XLFILL=b")</f>
        <v>2.11</v>
      </c>
      <c r="M95" s="9">
        <f>_xll.BQL("UAL US Equity", "FUEL_PRICE_PER_GALLON_LITRE", "FPT=A", "FPO=-3A", "ACT_EST_MAPPING=PRECISE", "FS=MRC", "CURRENCY=USD", "XLFILL=b")</f>
        <v>1.57</v>
      </c>
      <c r="N95" s="9">
        <f>_xll.BQL("UAL US Equity", "FUEL_PRICE_PER_GALLON_LITRE", "FPT=A", "FPO=-4A", "ACT_EST_MAPPING=PRECISE", "FS=MRC", "CURRENCY=USD", "XLFILL=b")</f>
        <v>2.09</v>
      </c>
    </row>
    <row r="96" spans="1:14" x14ac:dyDescent="0.2">
      <c r="A96" s="8" t="s">
        <v>12</v>
      </c>
      <c r="B96" s="4" t="s">
        <v>49</v>
      </c>
      <c r="C96" s="4"/>
      <c r="D96" s="4"/>
      <c r="E96" s="9">
        <f>_xll.BQL("UAL US Equity", "FA_GROWTH(FUEL_PRICE_PER_GALLON_LITRE, YOY)", "FPT=A", "FPO=5A", "ACT_EST_MAPPING=PRECISE", "FS=MRC", "CURRENCY=USD", "XLFILL=b")</f>
        <v>-7.6203358049049914</v>
      </c>
      <c r="F96" s="9">
        <f>_xll.BQL("UAL US Equity", "FA_GROWTH(FUEL_PRICE_PER_GALLON_LITRE, YOY)", "FPT=A", "FPO=4A", "ACT_EST_MAPPING=PRECISE", "FS=MRC", "CURRENCY=USD", "XLFILL=b")</f>
        <v>-1.093523107356315</v>
      </c>
      <c r="G96" s="9">
        <f>_xll.BQL("UAL US Equity", "FA_GROWTH(FUEL_PRICE_PER_GALLON_LITRE, YOY)", "FPT=A", "FPO=3A", "ACT_EST_MAPPING=PRECISE", "FS=MRC", "CURRENCY=USD", "XLFILL=b")</f>
        <v>-1.0977912175787345</v>
      </c>
      <c r="H96" s="9">
        <f>_xll.BQL("UAL US Equity", "FA_GROWTH(FUEL_PRICE_PER_GALLON_LITRE, YOY)", "FPT=A", "FPO=2A", "ACT_EST_MAPPING=PRECISE", "FS=MRC", "CURRENCY=USD", "XLFILL=b")</f>
        <v>-3.2734942665163351</v>
      </c>
      <c r="I96" s="9">
        <f>_xll.BQL("UAL US Equity", "FA_GROWTH(FUEL_PRICE_PER_GALLON_LITRE, YOY)", "FPT=A", "FPO=1A", "ACT_EST_MAPPING=PRECISE", "FS=MRC", "CURRENCY=USD", "XLFILL=b")</f>
        <v>-7.6427435263028354</v>
      </c>
      <c r="J96" s="9">
        <f>_xll.BQL("UAL US Equity", "FA_GROWTH(FUEL_PRICE_PER_GALLON_LITRE, YOY)", "FPT=A", "FPO=0A", "ACT_EST_MAPPING=PRECISE", "FS=MRC", "CURRENCY=USD", "XLFILL=b")</f>
        <v>-17.079889807162537</v>
      </c>
      <c r="K96" s="9">
        <f>_xll.BQL("UAL US Equity", "FA_GROWTH(FUEL_PRICE_PER_GALLON_LITRE, YOY)", "FPT=A", "FPO=-1A", "ACT_EST_MAPPING=PRECISE", "FS=MRC", "CURRENCY=USD", "XLFILL=b")</f>
        <v>72.037914691943129</v>
      </c>
      <c r="L96" s="9">
        <f>_xll.BQL("UAL US Equity", "FA_GROWTH(FUEL_PRICE_PER_GALLON_LITRE, YOY)", "FPT=A", "FPO=-2A", "ACT_EST_MAPPING=PRECISE", "FS=MRC", "CURRENCY=USD", "XLFILL=b")</f>
        <v>34.39490445859871</v>
      </c>
      <c r="M96" s="9">
        <f>_xll.BQL("UAL US Equity", "FA_GROWTH(FUEL_PRICE_PER_GALLON_LITRE, YOY)", "FPT=A", "FPO=-3A", "ACT_EST_MAPPING=PRECISE", "FS=MRC", "CURRENCY=USD", "XLFILL=b")</f>
        <v>-24.88038277511961</v>
      </c>
      <c r="N96" s="9">
        <f>_xll.BQL("UAL US Equity", "FA_GROWTH(FUEL_PRICE_PER_GALLON_LITRE, YOY)", "FPT=A", "FPO=-4A", "ACT_EST_MAPPING=PRECISE", "FS=MRC", "CURRENCY=USD", "XLFILL=b")</f>
        <v>-7.1111111111111178</v>
      </c>
    </row>
    <row r="97" spans="1:14" x14ac:dyDescent="0.2">
      <c r="A97" s="8" t="s">
        <v>76</v>
      </c>
      <c r="B97" s="4" t="s">
        <v>77</v>
      </c>
      <c r="C97" s="4"/>
      <c r="D97" s="4"/>
      <c r="E97" s="9" t="str">
        <f>_xll.BQL("UAL US Equity", "AVERAGE_PASSENGER_FARE", "FPT=A", "FPO=5A", "ACT_EST_MAPPING=PRECISE", "FS=MRC", "CURRENCY=USD", "XLFILL=b")</f>
        <v/>
      </c>
      <c r="F97" s="9" t="str">
        <f>_xll.BQL("UAL US Equity", "AVERAGE_PASSENGER_FARE", "FPT=A", "FPO=4A", "ACT_EST_MAPPING=PRECISE", "FS=MRC", "CURRENCY=USD", "XLFILL=b")</f>
        <v/>
      </c>
      <c r="G97" s="9" t="str">
        <f>_xll.BQL("UAL US Equity", "AVERAGE_PASSENGER_FARE", "FPT=A", "FPO=3A", "ACT_EST_MAPPING=PRECISE", "FS=MRC", "CURRENCY=USD", "XLFILL=b")</f>
        <v/>
      </c>
      <c r="H97" s="9" t="str">
        <f>_xll.BQL("UAL US Equity", "AVERAGE_PASSENGER_FARE", "FPT=A", "FPO=2A", "ACT_EST_MAPPING=PRECISE", "FS=MRC", "CURRENCY=USD", "XLFILL=b")</f>
        <v/>
      </c>
      <c r="I97" s="9" t="str">
        <f>_xll.BQL("UAL US Equity", "AVERAGE_PASSENGER_FARE", "FPT=A", "FPO=1A", "ACT_EST_MAPPING=PRECISE", "FS=MRC", "CURRENCY=USD", "XLFILL=b")</f>
        <v/>
      </c>
      <c r="J97" s="9">
        <f>_xll.BQL("UAL US Equity", "AVERAGE_PASSENGER_FARE", "FPT=A", "FPO=0A", "ACT_EST_MAPPING=PRECISE", "FS=MRC", "CURRENCY=USD", "XLFILL=b")</f>
        <v>297.38005299999998</v>
      </c>
      <c r="K97" s="9">
        <f>_xll.BQL("UAL US Equity", "AVERAGE_PASSENGER_FARE", "FPT=A", "FPO=-1A", "ACT_EST_MAPPING=PRECISE", "FS=MRC", "CURRENCY=USD", "XLFILL=b")</f>
        <v>277.42203699999999</v>
      </c>
      <c r="L97" s="9">
        <f>_xll.BQL("UAL US Equity", "AVERAGE_PASSENGER_FARE", "FPT=A", "FPO=-2A", "ACT_EST_MAPPING=PRECISE", "FS=MRC", "CURRENCY=USD", "XLFILL=b")</f>
        <v>194.048923</v>
      </c>
      <c r="M97" s="9">
        <f>_xll.BQL("UAL US Equity", "AVERAGE_PASSENGER_FARE", "FPT=A", "FPO=-3A", "ACT_EST_MAPPING=PRECISE", "FS=MRC", "CURRENCY=USD", "XLFILL=b")</f>
        <v>204.376656</v>
      </c>
      <c r="N97" s="9">
        <f>_xll.BQL("UAL US Equity", "AVERAGE_PASSENGER_FARE", "FPT=A", "FPO=-4A", "ACT_EST_MAPPING=PRECISE", "FS=MRC", "CURRENCY=USD", "XLFILL=b")</f>
        <v>243.93171799999999</v>
      </c>
    </row>
    <row r="98" spans="1:14" x14ac:dyDescent="0.2">
      <c r="A98" s="8" t="s">
        <v>12</v>
      </c>
      <c r="B98" s="4" t="s">
        <v>77</v>
      </c>
      <c r="C98" s="4"/>
      <c r="D98" s="4"/>
      <c r="E98" s="9" t="str">
        <f>_xll.BQL("UAL US Equity", "FA_GROWTH(AVERAGE_PASSENGER_FARE, YOY)", "FPT=A", "FPO=5A", "ACT_EST_MAPPING=PRECISE", "FS=MRC", "CURRENCY=USD", "XLFILL=b")</f>
        <v/>
      </c>
      <c r="F98" s="9" t="str">
        <f>_xll.BQL("UAL US Equity", "FA_GROWTH(AVERAGE_PASSENGER_FARE, YOY)", "FPT=A", "FPO=4A", "ACT_EST_MAPPING=PRECISE", "FS=MRC", "CURRENCY=USD", "XLFILL=b")</f>
        <v/>
      </c>
      <c r="G98" s="9" t="str">
        <f>_xll.BQL("UAL US Equity", "FA_GROWTH(AVERAGE_PASSENGER_FARE, YOY)", "FPT=A", "FPO=3A", "ACT_EST_MAPPING=PRECISE", "FS=MRC", "CURRENCY=USD", "XLFILL=b")</f>
        <v/>
      </c>
      <c r="H98" s="9" t="str">
        <f>_xll.BQL("UAL US Equity", "FA_GROWTH(AVERAGE_PASSENGER_FARE, YOY)", "FPT=A", "FPO=2A", "ACT_EST_MAPPING=PRECISE", "FS=MRC", "CURRENCY=USD", "XLFILL=b")</f>
        <v/>
      </c>
      <c r="I98" s="9" t="str">
        <f>_xll.BQL("UAL US Equity", "FA_GROWTH(AVERAGE_PASSENGER_FARE, YOY)", "FPT=A", "FPO=1A", "ACT_EST_MAPPING=PRECISE", "FS=MRC", "CURRENCY=USD", "XLFILL=b")</f>
        <v/>
      </c>
      <c r="J98" s="9">
        <f>_xll.BQL("UAL US Equity", "FA_GROWTH(AVERAGE_PASSENGER_FARE, YOY)", "FPT=A", "FPO=0A", "ACT_EST_MAPPING=PRECISE", "FS=MRC", "CURRENCY=USD", "XLFILL=b")</f>
        <v>7.1940990037500114</v>
      </c>
      <c r="K98" s="9">
        <f>_xll.BQL("UAL US Equity", "FA_GROWTH(AVERAGE_PASSENGER_FARE, YOY)", "FPT=A", "FPO=-1A", "ACT_EST_MAPPING=PRECISE", "FS=MRC", "CURRENCY=USD", "XLFILL=b")</f>
        <v>42.964997028094807</v>
      </c>
      <c r="L98" s="9">
        <f>_xll.BQL("UAL US Equity", "FA_GROWTH(AVERAGE_PASSENGER_FARE, YOY)", "FPT=A", "FPO=-2A", "ACT_EST_MAPPING=PRECISE", "FS=MRC", "CURRENCY=USD", "XLFILL=b")</f>
        <v>-5.0532840697814301</v>
      </c>
      <c r="M98" s="9">
        <f>_xll.BQL("UAL US Equity", "FA_GROWTH(AVERAGE_PASSENGER_FARE, YOY)", "FPT=A", "FPO=-3A", "ACT_EST_MAPPING=PRECISE", "FS=MRC", "CURRENCY=USD", "XLFILL=b")</f>
        <v>-16.215628834295341</v>
      </c>
      <c r="N98" s="9">
        <f>_xll.BQL("UAL US Equity", "FA_GROWTH(AVERAGE_PASSENGER_FARE, YOY)", "FPT=A", "FPO=-4A", "ACT_EST_MAPPING=PRECISE", "FS=MRC", "CURRENCY=USD", "XLFILL=b")</f>
        <v>2.4285493990690812</v>
      </c>
    </row>
    <row r="99" spans="1:14" x14ac:dyDescent="0.2">
      <c r="A99" s="8" t="s">
        <v>16</v>
      </c>
      <c r="B99" s="4"/>
      <c r="C99" s="4"/>
      <c r="D99" s="4"/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spans="1:14" x14ac:dyDescent="0.2">
      <c r="A100" s="8" t="s">
        <v>78</v>
      </c>
      <c r="B100" s="4"/>
      <c r="C100" s="4" t="s">
        <v>79</v>
      </c>
      <c r="D100" s="4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1:14" x14ac:dyDescent="0.2">
      <c r="A101" s="8" t="s">
        <v>80</v>
      </c>
      <c r="B101" s="4"/>
      <c r="C101" s="4" t="s">
        <v>81</v>
      </c>
      <c r="D101" s="4"/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2" spans="1:14" x14ac:dyDescent="0.2">
      <c r="A102" s="8" t="s">
        <v>82</v>
      </c>
      <c r="B102" s="4" t="s">
        <v>22</v>
      </c>
      <c r="C102" s="4"/>
      <c r="D102" s="4" t="s">
        <v>83</v>
      </c>
      <c r="E102" s="9" t="str">
        <f>_xll.BQL("SEG0000201773 Segment", "SALES_REV_TURN/1M", "FPT=A", "FPO=5A", "ACT_EST_MAPPING=PRECISE", "FS=MRC", "CURRENCY=USD", "XLFILL=b")</f>
        <v/>
      </c>
      <c r="F102" s="9" t="str">
        <f>_xll.BQL("SEG0000201773 Segment", "SALES_REV_TURN/1M", "FPT=A", "FPO=4A", "ACT_EST_MAPPING=PRECISE", "FS=MRC", "CURRENCY=USD", "XLFILL=b")</f>
        <v/>
      </c>
      <c r="G102" s="9" t="str">
        <f>_xll.BQL("SEG0000201773 Segment", "SALES_REV_TURN/1M", "FPT=A", "FPO=3A", "ACT_EST_MAPPING=PRECISE", "FS=MRC", "CURRENCY=USD", "XLFILL=b")</f>
        <v/>
      </c>
      <c r="H102" s="9" t="str">
        <f>_xll.BQL("SEG0000201773 Segment", "SALES_REV_TURN/1M", "FPT=A", "FPO=2A", "ACT_EST_MAPPING=PRECISE", "FS=MRC", "CURRENCY=USD", "XLFILL=b")</f>
        <v/>
      </c>
      <c r="I102" s="9" t="str">
        <f>_xll.BQL("SEG0000201773 Segment", "SALES_REV_TURN/1M", "FPT=A", "FPO=1A", "ACT_EST_MAPPING=PRECISE", "FS=MRC", "CURRENCY=USD", "XLFILL=b")</f>
        <v/>
      </c>
      <c r="J102" s="9">
        <f>_xll.BQL("SEG0000201773 Segment", "SALES_REV_TURN/1M", "FPT=A", "FPO=0A", "ACT_EST_MAPPING=PRECISE", "FS=MRC", "CURRENCY=USD", "XLFILL=b")</f>
        <v>49046</v>
      </c>
      <c r="K102" s="9">
        <f>_xll.BQL("SEG0000201773 Segment", "SALES_REV_TURN/1M", "FPT=A", "FPO=-1A", "ACT_EST_MAPPING=PRECISE", "FS=MRC", "CURRENCY=USD", "XLFILL=b")</f>
        <v>40032</v>
      </c>
      <c r="L102" s="9">
        <f>_xll.BQL("SEG0000201773 Segment", "SALES_REV_TURN/1M", "FPT=A", "FPO=-2A", "ACT_EST_MAPPING=PRECISE", "FS=MRC", "CURRENCY=USD", "XLFILL=b")</f>
        <v>20197</v>
      </c>
      <c r="M102" s="9">
        <f>_xll.BQL("SEG0000201773 Segment", "SALES_REV_TURN/1M", "FPT=A", "FPO=-3A", "ACT_EST_MAPPING=PRECISE", "FS=MRC", "CURRENCY=USD", "XLFILL=b")</f>
        <v>11805</v>
      </c>
      <c r="N102" s="9">
        <f>_xll.BQL("SEG0000201773 Segment", "SALES_REV_TURN/1M", "FPT=A", "FPO=-4A", "ACT_EST_MAPPING=PRECISE", "FS=MRC", "CURRENCY=USD", "XLFILL=b")</f>
        <v>39625</v>
      </c>
    </row>
    <row r="103" spans="1:14" x14ac:dyDescent="0.2">
      <c r="A103" s="8" t="s">
        <v>20</v>
      </c>
      <c r="B103" s="4" t="s">
        <v>22</v>
      </c>
      <c r="C103" s="4"/>
      <c r="D103" s="4" t="s">
        <v>83</v>
      </c>
      <c r="E103" s="9" t="str">
        <f>_xll.BQL("SEG0000201773 Segment", "FA_GROWTH(SALES_REV_TURN, YOY)", "FPT=A", "FPO=5A", "ACT_EST_MAPPING=PRECISE", "FS=MRC", "CURRENCY=USD", "XLFILL=b")</f>
        <v/>
      </c>
      <c r="F103" s="9" t="str">
        <f>_xll.BQL("SEG0000201773 Segment", "FA_GROWTH(SALES_REV_TURN, YOY)", "FPT=A", "FPO=4A", "ACT_EST_MAPPING=PRECISE", "FS=MRC", "CURRENCY=USD", "XLFILL=b")</f>
        <v/>
      </c>
      <c r="G103" s="9" t="str">
        <f>_xll.BQL("SEG0000201773 Segment", "FA_GROWTH(SALES_REV_TURN, YOY)", "FPT=A", "FPO=3A", "ACT_EST_MAPPING=PRECISE", "FS=MRC", "CURRENCY=USD", "XLFILL=b")</f>
        <v/>
      </c>
      <c r="H103" s="9" t="str">
        <f>_xll.BQL("SEG0000201773 Segment", "FA_GROWTH(SALES_REV_TURN, YOY)", "FPT=A", "FPO=2A", "ACT_EST_MAPPING=PRECISE", "FS=MRC", "CURRENCY=USD", "XLFILL=b")</f>
        <v/>
      </c>
      <c r="I103" s="9" t="str">
        <f>_xll.BQL("SEG0000201773 Segment", "FA_GROWTH(SALES_REV_TURN, YOY)", "FPT=A", "FPO=1A", "ACT_EST_MAPPING=PRECISE", "FS=MRC", "CURRENCY=USD", "XLFILL=b")</f>
        <v/>
      </c>
      <c r="J103" s="9">
        <f>_xll.BQL("SEG0000201773 Segment", "FA_GROWTH(SALES_REV_TURN, YOY)", "FPT=A", "FPO=0A", "ACT_EST_MAPPING=PRECISE", "FS=MRC", "CURRENCY=USD", "XLFILL=b")</f>
        <v>22.516986410871304</v>
      </c>
      <c r="K103" s="9">
        <f>_xll.BQL("SEG0000201773 Segment", "FA_GROWTH(SALES_REV_TURN, YOY)", "FPT=A", "FPO=-1A", "ACT_EST_MAPPING=PRECISE", "FS=MRC", "CURRENCY=USD", "XLFILL=b")</f>
        <v>98.207654602168645</v>
      </c>
      <c r="L103" s="9">
        <f>_xll.BQL("SEG0000201773 Segment", "FA_GROWTH(SALES_REV_TURN, YOY)", "FPT=A", "FPO=-2A", "ACT_EST_MAPPING=PRECISE", "FS=MRC", "CURRENCY=USD", "XLFILL=b")</f>
        <v>71.088521812791186</v>
      </c>
      <c r="M103" s="9">
        <f>_xll.BQL("SEG0000201773 Segment", "FA_GROWTH(SALES_REV_TURN, YOY)", "FPT=A", "FPO=-3A", "ACT_EST_MAPPING=PRECISE", "FS=MRC", "CURRENCY=USD", "XLFILL=b")</f>
        <v>-70.208201892744484</v>
      </c>
      <c r="N103" s="9">
        <f>_xll.BQL("SEG0000201773 Segment", "FA_GROWTH(SALES_REV_TURN, YOY)", "FPT=A", "FPO=-4A", "ACT_EST_MAPPING=PRECISE", "FS=MRC", "CURRENCY=USD", "XLFILL=b")</f>
        <v>5.0893756961756749</v>
      </c>
    </row>
    <row r="104" spans="1:14" x14ac:dyDescent="0.2">
      <c r="A104" s="8" t="s">
        <v>84</v>
      </c>
      <c r="B104" s="4" t="s">
        <v>22</v>
      </c>
      <c r="C104" s="4"/>
      <c r="D104" s="4" t="s">
        <v>85</v>
      </c>
      <c r="E104" s="9">
        <f>_xll.BQL("SEG0000201696 Segment", "SALES_REV_TURN/1M", "FPT=A", "FPO=5A", "ACT_EST_MAPPING=PRECISE", "FS=MRC", "CURRENCY=USD", "XLFILL=b")</f>
        <v>36490.100318284276</v>
      </c>
      <c r="F104" s="9">
        <f>_xll.BQL("SEG0000201696 Segment", "SALES_REV_TURN/1M", "FPT=A", "FPO=4A", "ACT_EST_MAPPING=PRECISE", "FS=MRC", "CURRENCY=USD", "XLFILL=b")</f>
        <v>30502.29226826517</v>
      </c>
      <c r="G104" s="9">
        <f>_xll.BQL("SEG0000201696 Segment", "SALES_REV_TURN/1M", "FPT=A", "FPO=3A", "ACT_EST_MAPPING=PRECISE", "FS=MRC", "CURRENCY=USD", "XLFILL=b")</f>
        <v>31166.546453849347</v>
      </c>
      <c r="H104" s="9">
        <f>_xll.BQL("SEG0000201696 Segment", "SALES_REV_TURN/1M", "FPT=A", "FPO=2A", "ACT_EST_MAPPING=PRECISE", "FS=MRC", "CURRENCY=USD", "XLFILL=b")</f>
        <v>29581.689151488736</v>
      </c>
      <c r="I104" s="9">
        <f>_xll.BQL("SEG0000201696 Segment", "SALES_REV_TURN/1M", "FPT=A", "FPO=1A", "ACT_EST_MAPPING=PRECISE", "FS=MRC", "CURRENCY=USD", "XLFILL=b")</f>
        <v>27920.838119502736</v>
      </c>
      <c r="J104" s="9" t="str">
        <f>_xll.BQL("SEG0000201696 Segment", "SALES_REV_TURN/1M", "FPT=A", "FPO=0A", "ACT_EST_MAPPING=PRECISE", "FS=MRC", "CURRENCY=USD", "XLFILL=b")</f>
        <v/>
      </c>
      <c r="K104" s="9">
        <f>_xll.BQL("SEG0000201696 Segment", "SALES_REV_TURN/1M", "FPT=A", "FPO=-1A", "ACT_EST_MAPPING=PRECISE", "FS=MRC", "CURRENCY=USD", "XLFILL=b")</f>
        <v>25920</v>
      </c>
      <c r="L104" s="9">
        <f>_xll.BQL("SEG0000201696 Segment", "SALES_REV_TURN/1M", "FPT=A", "FPO=-2A", "ACT_EST_MAPPING=PRECISE", "FS=MRC", "CURRENCY=USD", "XLFILL=b")</f>
        <v>14816</v>
      </c>
      <c r="M104" s="9">
        <f>_xll.BQL("SEG0000201696 Segment", "SALES_REV_TURN/1M", "FPT=A", "FPO=-3A", "ACT_EST_MAPPING=PRECISE", "FS=MRC", "CURRENCY=USD", "XLFILL=b")</f>
        <v>8089</v>
      </c>
      <c r="N104" s="9">
        <f>_xll.BQL("SEG0000201696 Segment", "SALES_REV_TURN/1M", "FPT=A", "FPO=-4A", "ACT_EST_MAPPING=PRECISE", "FS=MRC", "CURRENCY=USD", "XLFILL=b")</f>
        <v>24925</v>
      </c>
    </row>
    <row r="105" spans="1:14" x14ac:dyDescent="0.2">
      <c r="A105" s="8" t="s">
        <v>86</v>
      </c>
      <c r="B105" s="4" t="s">
        <v>22</v>
      </c>
      <c r="C105" s="4"/>
      <c r="D105" s="4" t="s">
        <v>85</v>
      </c>
      <c r="E105" s="9">
        <f>_xll.BQL("SEG0000201696 Segment", "FA_GROWTH(SALES_REV_TURN, YOY)", "FPT=A", "FPO=5A", "ACT_EST_MAPPING=PRECISE", "FS=MRC", "CURRENCY=USD", "XLFILL=b")</f>
        <v>19.630682170890058</v>
      </c>
      <c r="F105" s="9">
        <f>_xll.BQL("SEG0000201696 Segment", "FA_GROWTH(SALES_REV_TURN, YOY)", "FPT=A", "FPO=4A", "ACT_EST_MAPPING=PRECISE", "FS=MRC", "CURRENCY=USD", "XLFILL=b")</f>
        <v>-2.1313050727894614</v>
      </c>
      <c r="G105" s="9">
        <f>_xll.BQL("SEG0000201696 Segment", "FA_GROWTH(SALES_REV_TURN, YOY)", "FPT=A", "FPO=3A", "ACT_EST_MAPPING=PRECISE", "FS=MRC", "CURRENCY=USD", "XLFILL=b")</f>
        <v>5.3575618831112326</v>
      </c>
      <c r="H105" s="9">
        <f>_xll.BQL("SEG0000201696 Segment", "FA_GROWTH(SALES_REV_TURN, YOY)", "FPT=A", "FPO=2A", "ACT_EST_MAPPING=PRECISE", "FS=MRC", "CURRENCY=USD", "XLFILL=b")</f>
        <v>5.948428284557453</v>
      </c>
      <c r="I105" s="9" t="str">
        <f>_xll.BQL("SEG0000201696 Segment", "FA_GROWTH(SALES_REV_TURN, YOY)", "FPT=A", "FPO=1A", "ACT_EST_MAPPING=PRECISE", "FS=MRC", "CURRENCY=USD", "XLFILL=b")</f>
        <v/>
      </c>
      <c r="J105" s="9" t="str">
        <f>_xll.BQL("SEG0000201696 Segment", "FA_GROWTH(SALES_REV_TURN, YOY)", "FPT=A", "FPO=0A", "ACT_EST_MAPPING=PRECISE", "FS=MRC", "CURRENCY=USD", "XLFILL=b")</f>
        <v/>
      </c>
      <c r="K105" s="9">
        <f>_xll.BQL("SEG0000201696 Segment", "FA_GROWTH(SALES_REV_TURN, YOY)", "FPT=A", "FPO=-1A", "ACT_EST_MAPPING=PRECISE", "FS=MRC", "CURRENCY=USD", "XLFILL=b")</f>
        <v>74.946004319654421</v>
      </c>
      <c r="L105" s="9">
        <f>_xll.BQL("SEG0000201696 Segment", "FA_GROWTH(SALES_REV_TURN, YOY)", "FPT=A", "FPO=-2A", "ACT_EST_MAPPING=PRECISE", "FS=MRC", "CURRENCY=USD", "XLFILL=b")</f>
        <v>83.162319198912101</v>
      </c>
      <c r="M105" s="9">
        <f>_xll.BQL("SEG0000201696 Segment", "FA_GROWTH(SALES_REV_TURN, YOY)", "FPT=A", "FPO=-3A", "ACT_EST_MAPPING=PRECISE", "FS=MRC", "CURRENCY=USD", "XLFILL=b")</f>
        <v>-67.546639919759272</v>
      </c>
      <c r="N105" s="9">
        <f>_xll.BQL("SEG0000201696 Segment", "FA_GROWTH(SALES_REV_TURN, YOY)", "FPT=A", "FPO=-4A", "ACT_EST_MAPPING=PRECISE", "FS=MRC", "CURRENCY=USD", "XLFILL=b")</f>
        <v>5.6233579116874308</v>
      </c>
    </row>
    <row r="106" spans="1:14" x14ac:dyDescent="0.2">
      <c r="A106" s="8" t="s">
        <v>87</v>
      </c>
      <c r="B106" s="4" t="s">
        <v>22</v>
      </c>
      <c r="C106" s="4"/>
      <c r="D106" s="4" t="s">
        <v>88</v>
      </c>
      <c r="E106" s="9" t="str">
        <f>_xll.BQL("SEG0000338159 Segment", "SALES_REV_TURN/1M", "FPT=A", "FPO=5A", "ACT_EST_MAPPING=PRECISE", "FS=MRC", "CURRENCY=USD", "XLFILL=b")</f>
        <v/>
      </c>
      <c r="F106" s="9">
        <f>_xll.BQL("SEG0000338159 Segment", "SALES_REV_TURN/1M", "FPT=A", "FPO=4A", "ACT_EST_MAPPING=PRECISE", "FS=MRC", "CURRENCY=USD", "XLFILL=b")</f>
        <v>21680.710878448477</v>
      </c>
      <c r="G106" s="9">
        <f>_xll.BQL("SEG0000338159 Segment", "SALES_REV_TURN/1M", "FPT=A", "FPO=3A", "ACT_EST_MAPPING=PRECISE", "FS=MRC", "CURRENCY=USD", "XLFILL=b")</f>
        <v>21492.31699393332</v>
      </c>
      <c r="H106" s="9">
        <f>_xll.BQL("SEG0000338159 Segment", "SALES_REV_TURN/1M", "FPT=A", "FPO=2A", "ACT_EST_MAPPING=PRECISE", "FS=MRC", "CURRENCY=USD", "XLFILL=b")</f>
        <v>21078.019873882429</v>
      </c>
      <c r="I106" s="9">
        <f>_xll.BQL("SEG0000338159 Segment", "SALES_REV_TURN/1M", "FPT=A", "FPO=1A", "ACT_EST_MAPPING=PRECISE", "FS=MRC", "CURRENCY=USD", "XLFILL=b")</f>
        <v>19843.434830474391</v>
      </c>
      <c r="J106" s="9" t="str">
        <f>_xll.BQL("SEG0000338159 Segment", "SALES_REV_TURN/1M", "FPT=A", "FPO=0A", "ACT_EST_MAPPING=PRECISE", "FS=MRC", "CURRENCY=USD", "XLFILL=b")</f>
        <v/>
      </c>
      <c r="K106" s="9">
        <f>_xll.BQL("SEG0000338159 Segment", "SALES_REV_TURN/1M", "FPT=A", "FPO=-1A", "ACT_EST_MAPPING=PRECISE", "FS=MRC", "CURRENCY=USD", "XLFILL=b")</f>
        <v>14112</v>
      </c>
      <c r="L106" s="9">
        <f>_xll.BQL("SEG0000338159 Segment", "SALES_REV_TURN/1M", "FPT=A", "FPO=-2A", "ACT_EST_MAPPING=PRECISE", "FS=MRC", "CURRENCY=USD", "XLFILL=b")</f>
        <v>5381</v>
      </c>
      <c r="M106" s="9">
        <f>_xll.BQL("SEG0000338159 Segment", "SALES_REV_TURN/1M", "FPT=A", "FPO=-3A", "ACT_EST_MAPPING=PRECISE", "FS=MRC", "CURRENCY=USD", "XLFILL=b")</f>
        <v>3716</v>
      </c>
      <c r="N106" s="9">
        <f>_xll.BQL("SEG0000338159 Segment", "SALES_REV_TURN/1M", "FPT=A", "FPO=-4A", "ACT_EST_MAPPING=PRECISE", "FS=MRC", "CURRENCY=USD", "XLFILL=b")</f>
        <v>14700</v>
      </c>
    </row>
    <row r="107" spans="1:14" x14ac:dyDescent="0.2">
      <c r="A107" s="8" t="s">
        <v>86</v>
      </c>
      <c r="B107" s="4" t="s">
        <v>22</v>
      </c>
      <c r="C107" s="4"/>
      <c r="D107" s="4" t="s">
        <v>88</v>
      </c>
      <c r="E107" s="9" t="str">
        <f>_xll.BQL("SEG0000338159 Segment", "FA_GROWTH(SALES_REV_TURN, YOY)", "FPT=A", "FPO=5A", "ACT_EST_MAPPING=PRECISE", "FS=MRC", "CURRENCY=USD", "XLFILL=b")</f>
        <v/>
      </c>
      <c r="F107" s="9">
        <f>_xll.BQL("SEG0000338159 Segment", "FA_GROWTH(SALES_REV_TURN, YOY)", "FPT=A", "FPO=4A", "ACT_EST_MAPPING=PRECISE", "FS=MRC", "CURRENCY=USD", "XLFILL=b")</f>
        <v>0.87656386497713545</v>
      </c>
      <c r="G107" s="9">
        <f>_xll.BQL("SEG0000338159 Segment", "FA_GROWTH(SALES_REV_TURN, YOY)", "FPT=A", "FPO=3A", "ACT_EST_MAPPING=PRECISE", "FS=MRC", "CURRENCY=USD", "XLFILL=b")</f>
        <v>1.9655409878621453</v>
      </c>
      <c r="H107" s="9">
        <f>_xll.BQL("SEG0000338159 Segment", "FA_GROWTH(SALES_REV_TURN, YOY)", "FPT=A", "FPO=2A", "ACT_EST_MAPPING=PRECISE", "FS=MRC", "CURRENCY=USD", "XLFILL=b")</f>
        <v>6.2216297428106309</v>
      </c>
      <c r="I107" s="9" t="str">
        <f>_xll.BQL("SEG0000338159 Segment", "FA_GROWTH(SALES_REV_TURN, YOY)", "FPT=A", "FPO=1A", "ACT_EST_MAPPING=PRECISE", "FS=MRC", "CURRENCY=USD", "XLFILL=b")</f>
        <v/>
      </c>
      <c r="J107" s="9" t="str">
        <f>_xll.BQL("SEG0000338159 Segment", "FA_GROWTH(SALES_REV_TURN, YOY)", "FPT=A", "FPO=0A", "ACT_EST_MAPPING=PRECISE", "FS=MRC", "CURRENCY=USD", "XLFILL=b")</f>
        <v/>
      </c>
      <c r="K107" s="9">
        <f>_xll.BQL("SEG0000338159 Segment", "FA_GROWTH(SALES_REV_TURN, YOY)", "FPT=A", "FPO=-1A", "ACT_EST_MAPPING=PRECISE", "FS=MRC", "CURRENCY=USD", "XLFILL=b")</f>
        <v>162.2560862293254</v>
      </c>
      <c r="L107" s="9">
        <f>_xll.BQL("SEG0000338159 Segment", "FA_GROWTH(SALES_REV_TURN, YOY)", "FPT=A", "FPO=-2A", "ACT_EST_MAPPING=PRECISE", "FS=MRC", "CURRENCY=USD", "XLFILL=b")</f>
        <v>44.806243272335848</v>
      </c>
      <c r="M107" s="9">
        <f>_xll.BQL("SEG0000338159 Segment", "FA_GROWTH(SALES_REV_TURN, YOY)", "FPT=A", "FPO=-3A", "ACT_EST_MAPPING=PRECISE", "FS=MRC", "CURRENCY=USD", "XLFILL=b")</f>
        <v>-74.721088435374156</v>
      </c>
      <c r="N107" s="9">
        <f>_xll.BQL("SEG0000338159 Segment", "FA_GROWTH(SALES_REV_TURN, YOY)", "FPT=A", "FPO=-4A", "ACT_EST_MAPPING=PRECISE", "FS=MRC", "CURRENCY=USD", "XLFILL=b")</f>
        <v>4.2035868717657898</v>
      </c>
    </row>
    <row r="108" spans="1:14" x14ac:dyDescent="0.2">
      <c r="A108" s="8" t="s">
        <v>89</v>
      </c>
      <c r="B108" s="4" t="s">
        <v>22</v>
      </c>
      <c r="C108" s="4"/>
      <c r="D108" s="4" t="s">
        <v>90</v>
      </c>
      <c r="E108" s="9">
        <f>_xll.BQL("SEG0000338161 Segment", "SALES_REV_TURN/1M", "FPT=A", "FPO=5A", "ACT_EST_MAPPING=PRECISE", "FS=MRC", "CURRENCY=USD", "XLFILL=b")</f>
        <v>6857.4524330809627</v>
      </c>
      <c r="F108" s="9">
        <f>_xll.BQL("SEG0000338161 Segment", "SALES_REV_TURN/1M", "FPT=A", "FPO=4A", "ACT_EST_MAPPING=PRECISE", "FS=MRC", "CURRENCY=USD", "XLFILL=b")</f>
        <v>5753.0775685479448</v>
      </c>
      <c r="G108" s="9">
        <f>_xll.BQL("SEG0000338161 Segment", "SALES_REV_TURN/1M", "FPT=A", "FPO=3A", "ACT_EST_MAPPING=PRECISE", "FS=MRC", "CURRENCY=USD", "XLFILL=b")</f>
        <v>5659.8963817547747</v>
      </c>
      <c r="H108" s="9">
        <f>_xll.BQL("SEG0000338161 Segment", "SALES_REV_TURN/1M", "FPT=A", "FPO=2A", "ACT_EST_MAPPING=PRECISE", "FS=MRC", "CURRENCY=USD", "XLFILL=b")</f>
        <v>5436.0298948953541</v>
      </c>
      <c r="I108" s="9">
        <f>_xll.BQL("SEG0000338161 Segment", "SALES_REV_TURN/1M", "FPT=A", "FPO=1A", "ACT_EST_MAPPING=PRECISE", "FS=MRC", "CURRENCY=USD", "XLFILL=b")</f>
        <v>5144.4168593372715</v>
      </c>
      <c r="J108" s="9" t="str">
        <f>_xll.BQL("SEG0000338161 Segment", "SALES_REV_TURN/1M", "FPT=A", "FPO=0A", "ACT_EST_MAPPING=PRECISE", "FS=MRC", "CURRENCY=USD", "XLFILL=b")</f>
        <v/>
      </c>
      <c r="K108" s="9">
        <f>_xll.BQL("SEG0000338161 Segment", "SALES_REV_TURN/1M", "FPT=A", "FPO=-1A", "ACT_EST_MAPPING=PRECISE", "FS=MRC", "CURRENCY=USD", "XLFILL=b")</f>
        <v>2125</v>
      </c>
      <c r="L108" s="9">
        <f>_xll.BQL("SEG0000338161 Segment", "SALES_REV_TURN/1M", "FPT=A", "FPO=-2A", "ACT_EST_MAPPING=PRECISE", "FS=MRC", "CURRENCY=USD", "XLFILL=b")</f>
        <v>612</v>
      </c>
      <c r="M108" s="9">
        <f>_xll.BQL("SEG0000338161 Segment", "SALES_REV_TURN/1M", "FPT=A", "FPO=-3A", "ACT_EST_MAPPING=PRECISE", "FS=MRC", "CURRENCY=USD", "XLFILL=b")</f>
        <v>919</v>
      </c>
      <c r="N108" s="9">
        <f>_xll.BQL("SEG0000338161 Segment", "SALES_REV_TURN/1M", "FPT=A", "FPO=-4A", "ACT_EST_MAPPING=PRECISE", "FS=MRC", "CURRENCY=USD", "XLFILL=b")</f>
        <v>4401</v>
      </c>
    </row>
    <row r="109" spans="1:14" x14ac:dyDescent="0.2">
      <c r="A109" s="8" t="s">
        <v>91</v>
      </c>
      <c r="B109" s="4" t="s">
        <v>22</v>
      </c>
      <c r="C109" s="4"/>
      <c r="D109" s="4" t="s">
        <v>90</v>
      </c>
      <c r="E109" s="9">
        <f>_xll.BQL("SEG0000338161 Segment", "FA_GROWTH(SALES_REV_TURN, YOY)", "FPT=A", "FPO=5A", "ACT_EST_MAPPING=PRECISE", "FS=MRC", "CURRENCY=USD", "XLFILL=b")</f>
        <v>19.196244990170683</v>
      </c>
      <c r="F109" s="9">
        <f>_xll.BQL("SEG0000338161 Segment", "FA_GROWTH(SALES_REV_TURN, YOY)", "FPT=A", "FPO=4A", "ACT_EST_MAPPING=PRECISE", "FS=MRC", "CURRENCY=USD", "XLFILL=b")</f>
        <v>1.6463408604713783</v>
      </c>
      <c r="G109" s="9">
        <f>_xll.BQL("SEG0000338161 Segment", "FA_GROWTH(SALES_REV_TURN, YOY)", "FPT=A", "FPO=3A", "ACT_EST_MAPPING=PRECISE", "FS=MRC", "CURRENCY=USD", "XLFILL=b")</f>
        <v>4.1181982289987076</v>
      </c>
      <c r="H109" s="9">
        <f>_xll.BQL("SEG0000338161 Segment", "FA_GROWTH(SALES_REV_TURN, YOY)", "FPT=A", "FPO=2A", "ACT_EST_MAPPING=PRECISE", "FS=MRC", "CURRENCY=USD", "XLFILL=b")</f>
        <v>5.6685343262724937</v>
      </c>
      <c r="I109" s="9" t="str">
        <f>_xll.BQL("SEG0000338161 Segment", "FA_GROWTH(SALES_REV_TURN, YOY)", "FPT=A", "FPO=1A", "ACT_EST_MAPPING=PRECISE", "FS=MRC", "CURRENCY=USD", "XLFILL=b")</f>
        <v/>
      </c>
      <c r="J109" s="9" t="str">
        <f>_xll.BQL("SEG0000338161 Segment", "FA_GROWTH(SALES_REV_TURN, YOY)", "FPT=A", "FPO=0A", "ACT_EST_MAPPING=PRECISE", "FS=MRC", "CURRENCY=USD", "XLFILL=b")</f>
        <v/>
      </c>
      <c r="K109" s="9">
        <f>_xll.BQL("SEG0000338161 Segment", "FA_GROWTH(SALES_REV_TURN, YOY)", "FPT=A", "FPO=-1A", "ACT_EST_MAPPING=PRECISE", "FS=MRC", "CURRENCY=USD", "XLFILL=b")</f>
        <v>247.22222222222223</v>
      </c>
      <c r="L109" s="9">
        <f>_xll.BQL("SEG0000338161 Segment", "FA_GROWTH(SALES_REV_TURN, YOY)", "FPT=A", "FPO=-2A", "ACT_EST_MAPPING=PRECISE", "FS=MRC", "CURRENCY=USD", "XLFILL=b")</f>
        <v>-33.405875952121875</v>
      </c>
      <c r="M109" s="9">
        <f>_xll.BQL("SEG0000338161 Segment", "FA_GROWTH(SALES_REV_TURN, YOY)", "FPT=A", "FPO=-3A", "ACT_EST_MAPPING=PRECISE", "FS=MRC", "CURRENCY=USD", "XLFILL=b")</f>
        <v>-79.118382185866849</v>
      </c>
      <c r="N109" s="9">
        <f>_xll.BQL("SEG0000338161 Segment", "FA_GROWTH(SALES_REV_TURN, YOY)", "FPT=A", "FPO=-4A", "ACT_EST_MAPPING=PRECISE", "FS=MRC", "CURRENCY=USD", "XLFILL=b")</f>
        <v>-0.27192386131883073</v>
      </c>
    </row>
    <row r="110" spans="1:14" x14ac:dyDescent="0.2">
      <c r="A110" s="8" t="s">
        <v>92</v>
      </c>
      <c r="B110" s="4" t="s">
        <v>22</v>
      </c>
      <c r="C110" s="4"/>
      <c r="D110" s="4" t="s">
        <v>93</v>
      </c>
      <c r="E110" s="9">
        <f>_xll.BQL("SEG0000338160 Segment", "SALES_REV_TURN/1M", "FPT=A", "FPO=5A", "ACT_EST_MAPPING=PRECISE", "FS=MRC", "CURRENCY=USD", "XLFILL=b")</f>
        <v>6118.1333727381698</v>
      </c>
      <c r="F110" s="9">
        <f>_xll.BQL("SEG0000338160 Segment", "SALES_REV_TURN/1M", "FPT=A", "FPO=4A", "ACT_EST_MAPPING=PRECISE", "FS=MRC", "CURRENCY=USD", "XLFILL=b")</f>
        <v>5353.9817773592631</v>
      </c>
      <c r="G110" s="9">
        <f>_xll.BQL("SEG0000338160 Segment", "SALES_REV_TURN/1M", "FPT=A", "FPO=3A", "ACT_EST_MAPPING=PRECISE", "FS=MRC", "CURRENCY=USD", "XLFILL=b")</f>
        <v>5249.1314065163615</v>
      </c>
      <c r="H110" s="9">
        <f>_xll.BQL("SEG0000338160 Segment", "SALES_REV_TURN/1M", "FPT=A", "FPO=2A", "ACT_EST_MAPPING=PRECISE", "FS=MRC", "CURRENCY=USD", "XLFILL=b")</f>
        <v>5043.241964876468</v>
      </c>
      <c r="I110" s="9">
        <f>_xll.BQL("SEG0000338160 Segment", "SALES_REV_TURN/1M", "FPT=A", "FPO=1A", "ACT_EST_MAPPING=PRECISE", "FS=MRC", "CURRENCY=USD", "XLFILL=b")</f>
        <v>4672.4314108836788</v>
      </c>
      <c r="J110" s="9" t="str">
        <f>_xll.BQL("SEG0000338160 Segment", "SALES_REV_TURN/1M", "FPT=A", "FPO=0A", "ACT_EST_MAPPING=PRECISE", "FS=MRC", "CURRENCY=USD", "XLFILL=b")</f>
        <v/>
      </c>
      <c r="K110" s="9">
        <f>_xll.BQL("SEG0000338160 Segment", "SALES_REV_TURN/1M", "FPT=A", "FPO=-1A", "ACT_EST_MAPPING=PRECISE", "FS=MRC", "CURRENCY=USD", "XLFILL=b")</f>
        <v>4047</v>
      </c>
      <c r="L110" s="9">
        <f>_xll.BQL("SEG0000338160 Segment", "SALES_REV_TURN/1M", "FPT=A", "FPO=-2A", "ACT_EST_MAPPING=PRECISE", "FS=MRC", "CURRENCY=USD", "XLFILL=b")</f>
        <v>2463</v>
      </c>
      <c r="M110" s="9">
        <f>_xll.BQL("SEG0000338160 Segment", "SALES_REV_TURN/1M", "FPT=A", "FPO=-3A", "ACT_EST_MAPPING=PRECISE", "FS=MRC", "CURRENCY=USD", "XLFILL=b")</f>
        <v>1286</v>
      </c>
      <c r="N110" s="9">
        <f>_xll.BQL("SEG0000338160 Segment", "SALES_REV_TURN/1M", "FPT=A", "FPO=-4A", "ACT_EST_MAPPING=PRECISE", "FS=MRC", "CURRENCY=USD", "XLFILL=b")</f>
        <v>3530</v>
      </c>
    </row>
    <row r="111" spans="1:14" x14ac:dyDescent="0.2">
      <c r="A111" s="8" t="s">
        <v>91</v>
      </c>
      <c r="B111" s="4" t="s">
        <v>22</v>
      </c>
      <c r="C111" s="4"/>
      <c r="D111" s="4" t="s">
        <v>93</v>
      </c>
      <c r="E111" s="9">
        <f>_xll.BQL("SEG0000338160 Segment", "FA_GROWTH(SALES_REV_TURN, YOY)", "FPT=A", "FPO=5A", "ACT_EST_MAPPING=PRECISE", "FS=MRC", "CURRENCY=USD", "XLFILL=b")</f>
        <v>14.272584912603262</v>
      </c>
      <c r="F111" s="9">
        <f>_xll.BQL("SEG0000338160 Segment", "FA_GROWTH(SALES_REV_TURN, YOY)", "FPT=A", "FPO=4A", "ACT_EST_MAPPING=PRECISE", "FS=MRC", "CURRENCY=USD", "XLFILL=b")</f>
        <v>1.997480396713619</v>
      </c>
      <c r="G111" s="9">
        <f>_xll.BQL("SEG0000338160 Segment", "FA_GROWTH(SALES_REV_TURN, YOY)", "FPT=A", "FPO=3A", "ACT_EST_MAPPING=PRECISE", "FS=MRC", "CURRENCY=USD", "XLFILL=b")</f>
        <v>4.0824819247976878</v>
      </c>
      <c r="H111" s="9">
        <f>_xll.BQL("SEG0000338160 Segment", "FA_GROWTH(SALES_REV_TURN, YOY)", "FPT=A", "FPO=2A", "ACT_EST_MAPPING=PRECISE", "FS=MRC", "CURRENCY=USD", "XLFILL=b")</f>
        <v>7.9361369142636464</v>
      </c>
      <c r="I111" s="9" t="str">
        <f>_xll.BQL("SEG0000338160 Segment", "FA_GROWTH(SALES_REV_TURN, YOY)", "FPT=A", "FPO=1A", "ACT_EST_MAPPING=PRECISE", "FS=MRC", "CURRENCY=USD", "XLFILL=b")</f>
        <v/>
      </c>
      <c r="J111" s="9" t="str">
        <f>_xll.BQL("SEG0000338160 Segment", "FA_GROWTH(SALES_REV_TURN, YOY)", "FPT=A", "FPO=0A", "ACT_EST_MAPPING=PRECISE", "FS=MRC", "CURRENCY=USD", "XLFILL=b")</f>
        <v/>
      </c>
      <c r="K111" s="9">
        <f>_xll.BQL("SEG0000338160 Segment", "FA_GROWTH(SALES_REV_TURN, YOY)", "FPT=A", "FPO=-1A", "ACT_EST_MAPPING=PRECISE", "FS=MRC", "CURRENCY=USD", "XLFILL=b")</f>
        <v>64.311814859926912</v>
      </c>
      <c r="L111" s="9">
        <f>_xll.BQL("SEG0000338160 Segment", "FA_GROWTH(SALES_REV_TURN, YOY)", "FPT=A", "FPO=-2A", "ACT_EST_MAPPING=PRECISE", "FS=MRC", "CURRENCY=USD", "XLFILL=b")</f>
        <v>91.524105754276832</v>
      </c>
      <c r="M111" s="9">
        <f>_xll.BQL("SEG0000338160 Segment", "FA_GROWTH(SALES_REV_TURN, YOY)", "FPT=A", "FPO=-3A", "ACT_EST_MAPPING=PRECISE", "FS=MRC", "CURRENCY=USD", "XLFILL=b")</f>
        <v>-63.569405099150138</v>
      </c>
      <c r="N111" s="9">
        <f>_xll.BQL("SEG0000338160 Segment", "FA_GROWTH(SALES_REV_TURN, YOY)", "FPT=A", "FPO=-4A", "ACT_EST_MAPPING=PRECISE", "FS=MRC", "CURRENCY=USD", "XLFILL=b")</f>
        <v>9.6954630205096333</v>
      </c>
    </row>
    <row r="112" spans="1:14" x14ac:dyDescent="0.2">
      <c r="A112" s="8" t="s">
        <v>94</v>
      </c>
      <c r="B112" s="4" t="s">
        <v>22</v>
      </c>
      <c r="C112" s="4"/>
      <c r="D112" s="4" t="s">
        <v>95</v>
      </c>
      <c r="E112" s="9" t="str">
        <f>_xll.BQL("SEG0000966652 Segment", "SALES_REV_TURN/1M", "FPT=A", "FPO=5A", "ACT_EST_MAPPING=PRECISE", "FS=MRC", "CURRENCY=USD", "XLFILL=b")</f>
        <v/>
      </c>
      <c r="F112" s="9" t="str">
        <f>_xll.BQL("SEG0000966652 Segment", "SALES_REV_TURN/1M", "FPT=A", "FPO=4A", "ACT_EST_MAPPING=PRECISE", "FS=MRC", "CURRENCY=USD", "XLFILL=b")</f>
        <v/>
      </c>
      <c r="G112" s="9" t="str">
        <f>_xll.BQL("SEG0000966652 Segment", "SALES_REV_TURN/1M", "FPT=A", "FPO=3A", "ACT_EST_MAPPING=PRECISE", "FS=MRC", "CURRENCY=USD", "XLFILL=b")</f>
        <v/>
      </c>
      <c r="H112" s="9" t="str">
        <f>_xll.BQL("SEG0000966652 Segment", "SALES_REV_TURN/1M", "FPT=A", "FPO=2A", "ACT_EST_MAPPING=PRECISE", "FS=MRC", "CURRENCY=USD", "XLFILL=b")</f>
        <v/>
      </c>
      <c r="I112" s="9" t="str">
        <f>_xll.BQL("SEG0000966652 Segment", "SALES_REV_TURN/1M", "FPT=A", "FPO=1A", "ACT_EST_MAPPING=PRECISE", "FS=MRC", "CURRENCY=USD", "XLFILL=b")</f>
        <v/>
      </c>
      <c r="J112" s="9" t="str">
        <f>_xll.BQL("SEG0000966652 Segment", "SALES_REV_TURN/1M", "FPT=A", "FPO=0A", "ACT_EST_MAPPING=PRECISE", "FS=MRC", "CURRENCY=USD", "XLFILL=b")</f>
        <v/>
      </c>
      <c r="K112" s="9">
        <f>_xll.BQL("SEG0000966652 Segment", "SALES_REV_TURN/1M", "FPT=A", "FPO=-1A", "ACT_EST_MAPPING=PRECISE", "FS=MRC", "CURRENCY=USD", "XLFILL=b")</f>
        <v>6543</v>
      </c>
      <c r="L112" s="9" t="str">
        <f>_xll.BQL("SEG0000966652 Segment", "SALES_REV_TURN/1M", "FPT=A", "FPO=-2A", "ACT_EST_MAPPING=PRECISE", "FS=MRC", "CURRENCY=USD", "XLFILL=b")</f>
        <v/>
      </c>
      <c r="M112" s="9" t="str">
        <f>_xll.BQL("SEG0000966652 Segment", "SALES_REV_TURN/1M", "FPT=A", "FPO=-3A", "ACT_EST_MAPPING=PRECISE", "FS=MRC", "CURRENCY=USD", "XLFILL=b")</f>
        <v/>
      </c>
      <c r="N112" s="9" t="str">
        <f>_xll.BQL("SEG0000966652 Segment", "SALES_REV_TURN/1M", "FPT=A", "FPO=-4A", "ACT_EST_MAPPING=PRECISE", "FS=MRC", "CURRENCY=USD", "XLFILL=b")</f>
        <v/>
      </c>
    </row>
    <row r="113" spans="1:14" x14ac:dyDescent="0.2">
      <c r="A113" s="8" t="s">
        <v>91</v>
      </c>
      <c r="B113" s="4" t="s">
        <v>22</v>
      </c>
      <c r="C113" s="4"/>
      <c r="D113" s="4" t="s">
        <v>95</v>
      </c>
      <c r="E113" s="9" t="str">
        <f>_xll.BQL("SEG0000966652 Segment", "FA_GROWTH(SALES_REV_TURN, YOY)", "FPT=A", "FPO=5A", "ACT_EST_MAPPING=PRECISE", "FS=MRC", "CURRENCY=USD", "XLFILL=b")</f>
        <v/>
      </c>
      <c r="F113" s="9" t="str">
        <f>_xll.BQL("SEG0000966652 Segment", "FA_GROWTH(SALES_REV_TURN, YOY)", "FPT=A", "FPO=4A", "ACT_EST_MAPPING=PRECISE", "FS=MRC", "CURRENCY=USD", "XLFILL=b")</f>
        <v/>
      </c>
      <c r="G113" s="9" t="str">
        <f>_xll.BQL("SEG0000966652 Segment", "FA_GROWTH(SALES_REV_TURN, YOY)", "FPT=A", "FPO=3A", "ACT_EST_MAPPING=PRECISE", "FS=MRC", "CURRENCY=USD", "XLFILL=b")</f>
        <v/>
      </c>
      <c r="H113" s="9" t="str">
        <f>_xll.BQL("SEG0000966652 Segment", "FA_GROWTH(SALES_REV_TURN, YOY)", "FPT=A", "FPO=2A", "ACT_EST_MAPPING=PRECISE", "FS=MRC", "CURRENCY=USD", "XLFILL=b")</f>
        <v/>
      </c>
      <c r="I113" s="9" t="str">
        <f>_xll.BQL("SEG0000966652 Segment", "FA_GROWTH(SALES_REV_TURN, YOY)", "FPT=A", "FPO=1A", "ACT_EST_MAPPING=PRECISE", "FS=MRC", "CURRENCY=USD", "XLFILL=b")</f>
        <v/>
      </c>
      <c r="J113" s="9" t="str">
        <f>_xll.BQL("SEG0000966652 Segment", "FA_GROWTH(SALES_REV_TURN, YOY)", "FPT=A", "FPO=0A", "ACT_EST_MAPPING=PRECISE", "FS=MRC", "CURRENCY=USD", "XLFILL=b")</f>
        <v/>
      </c>
      <c r="K113" s="9" t="str">
        <f>_xll.BQL("SEG0000966652 Segment", "FA_GROWTH(SALES_REV_TURN, YOY)", "FPT=A", "FPO=-1A", "ACT_EST_MAPPING=PRECISE", "FS=MRC", "CURRENCY=USD", "XLFILL=b")</f>
        <v/>
      </c>
      <c r="L113" s="9" t="str">
        <f>_xll.BQL("SEG0000966652 Segment", "FA_GROWTH(SALES_REV_TURN, YOY)", "FPT=A", "FPO=-2A", "ACT_EST_MAPPING=PRECISE", "FS=MRC", "CURRENCY=USD", "XLFILL=b")</f>
        <v/>
      </c>
      <c r="M113" s="9" t="str">
        <f>_xll.BQL("SEG0000966652 Segment", "FA_GROWTH(SALES_REV_TURN, YOY)", "FPT=A", "FPO=-3A", "ACT_EST_MAPPING=PRECISE", "FS=MRC", "CURRENCY=USD", "XLFILL=b")</f>
        <v/>
      </c>
      <c r="N113" s="9" t="str">
        <f>_xll.BQL("SEG0000966652 Segment", "FA_GROWTH(SALES_REV_TURN, YOY)", "FPT=A", "FPO=-4A", "ACT_EST_MAPPING=PRECISE", "FS=MRC", "CURRENCY=USD", "XLFILL=b")</f>
        <v/>
      </c>
    </row>
    <row r="114" spans="1:14" x14ac:dyDescent="0.2">
      <c r="A114" s="8" t="s">
        <v>96</v>
      </c>
      <c r="B114" s="4" t="s">
        <v>22</v>
      </c>
      <c r="C114" s="4"/>
      <c r="D114" s="4" t="s">
        <v>97</v>
      </c>
      <c r="E114" s="9" t="str">
        <f>_xll.BQL("SEG0000966653 Segment", "SALES_REV_TURN/1M", "FPT=A", "FPO=5A", "ACT_EST_MAPPING=PRECISE", "FS=MRC", "CURRENCY=USD", "XLFILL=b")</f>
        <v/>
      </c>
      <c r="F114" s="9" t="str">
        <f>_xll.BQL("SEG0000966653 Segment", "SALES_REV_TURN/1M", "FPT=A", "FPO=4A", "ACT_EST_MAPPING=PRECISE", "FS=MRC", "CURRENCY=USD", "XLFILL=b")</f>
        <v/>
      </c>
      <c r="G114" s="9" t="str">
        <f>_xll.BQL("SEG0000966653 Segment", "SALES_REV_TURN/1M", "FPT=A", "FPO=3A", "ACT_EST_MAPPING=PRECISE", "FS=MRC", "CURRENCY=USD", "XLFILL=b")</f>
        <v/>
      </c>
      <c r="H114" s="9" t="str">
        <f>_xll.BQL("SEG0000966653 Segment", "SALES_REV_TURN/1M", "FPT=A", "FPO=2A", "ACT_EST_MAPPING=PRECISE", "FS=MRC", "CURRENCY=USD", "XLFILL=b")</f>
        <v/>
      </c>
      <c r="I114" s="9" t="str">
        <f>_xll.BQL("SEG0000966653 Segment", "SALES_REV_TURN/1M", "FPT=A", "FPO=1A", "ACT_EST_MAPPING=PRECISE", "FS=MRC", "CURRENCY=USD", "XLFILL=b")</f>
        <v/>
      </c>
      <c r="J114" s="9" t="str">
        <f>_xll.BQL("SEG0000966653 Segment", "SALES_REV_TURN/1M", "FPT=A", "FPO=0A", "ACT_EST_MAPPING=PRECISE", "FS=MRC", "CURRENCY=USD", "XLFILL=b")</f>
        <v/>
      </c>
      <c r="K114" s="9">
        <f>_xll.BQL("SEG0000966653 Segment", "SALES_REV_TURN/1M", "FPT=A", "FPO=-1A", "ACT_EST_MAPPING=PRECISE", "FS=MRC", "CURRENCY=USD", "XLFILL=b")</f>
        <v>1397</v>
      </c>
      <c r="L114" s="9" t="str">
        <f>_xll.BQL("SEG0000966653 Segment", "SALES_REV_TURN/1M", "FPT=A", "FPO=-2A", "ACT_EST_MAPPING=PRECISE", "FS=MRC", "CURRENCY=USD", "XLFILL=b")</f>
        <v/>
      </c>
      <c r="M114" s="9" t="str">
        <f>_xll.BQL("SEG0000966653 Segment", "SALES_REV_TURN/1M", "FPT=A", "FPO=-3A", "ACT_EST_MAPPING=PRECISE", "FS=MRC", "CURRENCY=USD", "XLFILL=b")</f>
        <v/>
      </c>
      <c r="N114" s="9" t="str">
        <f>_xll.BQL("SEG0000966653 Segment", "SALES_REV_TURN/1M", "FPT=A", "FPO=-4A", "ACT_EST_MAPPING=PRECISE", "FS=MRC", "CURRENCY=USD", "XLFILL=b")</f>
        <v/>
      </c>
    </row>
    <row r="115" spans="1:14" x14ac:dyDescent="0.2">
      <c r="A115" s="8" t="s">
        <v>91</v>
      </c>
      <c r="B115" s="4" t="s">
        <v>22</v>
      </c>
      <c r="C115" s="4"/>
      <c r="D115" s="4" t="s">
        <v>97</v>
      </c>
      <c r="E115" s="9" t="str">
        <f>_xll.BQL("SEG0000966653 Segment", "FA_GROWTH(SALES_REV_TURN, YOY)", "FPT=A", "FPO=5A", "ACT_EST_MAPPING=PRECISE", "FS=MRC", "CURRENCY=USD", "XLFILL=b")</f>
        <v/>
      </c>
      <c r="F115" s="9" t="str">
        <f>_xll.BQL("SEG0000966653 Segment", "FA_GROWTH(SALES_REV_TURN, YOY)", "FPT=A", "FPO=4A", "ACT_EST_MAPPING=PRECISE", "FS=MRC", "CURRENCY=USD", "XLFILL=b")</f>
        <v/>
      </c>
      <c r="G115" s="9" t="str">
        <f>_xll.BQL("SEG0000966653 Segment", "FA_GROWTH(SALES_REV_TURN, YOY)", "FPT=A", "FPO=3A", "ACT_EST_MAPPING=PRECISE", "FS=MRC", "CURRENCY=USD", "XLFILL=b")</f>
        <v/>
      </c>
      <c r="H115" s="9" t="str">
        <f>_xll.BQL("SEG0000966653 Segment", "FA_GROWTH(SALES_REV_TURN, YOY)", "FPT=A", "FPO=2A", "ACT_EST_MAPPING=PRECISE", "FS=MRC", "CURRENCY=USD", "XLFILL=b")</f>
        <v/>
      </c>
      <c r="I115" s="9" t="str">
        <f>_xll.BQL("SEG0000966653 Segment", "FA_GROWTH(SALES_REV_TURN, YOY)", "FPT=A", "FPO=1A", "ACT_EST_MAPPING=PRECISE", "FS=MRC", "CURRENCY=USD", "XLFILL=b")</f>
        <v/>
      </c>
      <c r="J115" s="9" t="str">
        <f>_xll.BQL("SEG0000966653 Segment", "FA_GROWTH(SALES_REV_TURN, YOY)", "FPT=A", "FPO=0A", "ACT_EST_MAPPING=PRECISE", "FS=MRC", "CURRENCY=USD", "XLFILL=b")</f>
        <v/>
      </c>
      <c r="K115" s="9" t="str">
        <f>_xll.BQL("SEG0000966653 Segment", "FA_GROWTH(SALES_REV_TURN, YOY)", "FPT=A", "FPO=-1A", "ACT_EST_MAPPING=PRECISE", "FS=MRC", "CURRENCY=USD", "XLFILL=b")</f>
        <v/>
      </c>
      <c r="L115" s="9" t="str">
        <f>_xll.BQL("SEG0000966653 Segment", "FA_GROWTH(SALES_REV_TURN, YOY)", "FPT=A", "FPO=-2A", "ACT_EST_MAPPING=PRECISE", "FS=MRC", "CURRENCY=USD", "XLFILL=b")</f>
        <v/>
      </c>
      <c r="M115" s="9" t="str">
        <f>_xll.BQL("SEG0000966653 Segment", "FA_GROWTH(SALES_REV_TURN, YOY)", "FPT=A", "FPO=-3A", "ACT_EST_MAPPING=PRECISE", "FS=MRC", "CURRENCY=USD", "XLFILL=b")</f>
        <v/>
      </c>
      <c r="N115" s="9" t="str">
        <f>_xll.BQL("SEG0000966653 Segment", "FA_GROWTH(SALES_REV_TURN, YOY)", "FPT=A", "FPO=-4A", "ACT_EST_MAPPING=PRECISE", "FS=MRC", "CURRENCY=USD", "XLFILL=b")</f>
        <v/>
      </c>
    </row>
    <row r="116" spans="1:14" x14ac:dyDescent="0.2">
      <c r="A116" s="8" t="s">
        <v>98</v>
      </c>
      <c r="B116" s="4"/>
      <c r="C116" s="4" t="s">
        <v>99</v>
      </c>
      <c r="D116" s="4"/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17" spans="1:14" x14ac:dyDescent="0.2">
      <c r="A117" s="8" t="s">
        <v>82</v>
      </c>
      <c r="B117" s="4" t="s">
        <v>22</v>
      </c>
      <c r="C117" s="4" t="s">
        <v>15</v>
      </c>
      <c r="D117" s="4" t="s">
        <v>23</v>
      </c>
      <c r="E117" s="9">
        <f>_xll.BQL("SEG0000201729 Segment", "SALES_REV_TURN/1M", "FPT=A", "FPO=5A", "ACT_EST_MAPPING=PRECISE", "FS=MRC", "CURRENCY=USD", "XLFILL=b")</f>
        <v>1829.3909483523446</v>
      </c>
      <c r="F117" s="9">
        <f>_xll.BQL("SEG0000201729 Segment", "SALES_REV_TURN/1M", "FPT=A", "FPO=4A", "ACT_EST_MAPPING=PRECISE", "FS=MRC", "CURRENCY=USD", "XLFILL=b")</f>
        <v>1733.0730867523064</v>
      </c>
      <c r="G117" s="9">
        <f>_xll.BQL("SEG0000201729 Segment", "SALES_REV_TURN/1M", "FPT=A", "FPO=3A", "ACT_EST_MAPPING=PRECISE", "FS=MRC", "CURRENCY=USD", "XLFILL=b")</f>
        <v>1727.4593215492137</v>
      </c>
      <c r="H117" s="9">
        <f>_xll.BQL("SEG0000201729 Segment", "SALES_REV_TURN/1M", "FPT=A", "FPO=2A", "ACT_EST_MAPPING=PRECISE", "FS=MRC", "CURRENCY=USD", "XLFILL=b")</f>
        <v>1679.6460733955796</v>
      </c>
      <c r="I117" s="9">
        <f>_xll.BQL("SEG0000201729 Segment", "SALES_REV_TURN/1M", "FPT=A", "FPO=1A", "ACT_EST_MAPPING=PRECISE", "FS=MRC", "CURRENCY=USD", "XLFILL=b")</f>
        <v>1594.1965814208634</v>
      </c>
      <c r="J117" s="9">
        <f>_xll.BQL("SEG0000201729 Segment", "SALES_REV_TURN/1M", "FPT=A", "FPO=0A", "ACT_EST_MAPPING=PRECISE", "FS=MRC", "CURRENCY=USD", "XLFILL=b")</f>
        <v>1495</v>
      </c>
      <c r="K117" s="9">
        <f>_xll.BQL("SEG0000201729 Segment", "SALES_REV_TURN/1M", "FPT=A", "FPO=-1A", "ACT_EST_MAPPING=PRECISE", "FS=MRC", "CURRENCY=USD", "XLFILL=b")</f>
        <v>2171</v>
      </c>
      <c r="L117" s="9">
        <f>_xll.BQL("SEG0000201729 Segment", "SALES_REV_TURN/1M", "FPT=A", "FPO=-2A", "ACT_EST_MAPPING=PRECISE", "FS=MRC", "CURRENCY=USD", "XLFILL=b")</f>
        <v>2349</v>
      </c>
      <c r="M117" s="9">
        <f>_xll.BQL("SEG0000201729 Segment", "SALES_REV_TURN/1M", "FPT=A", "FPO=-3A", "ACT_EST_MAPPING=PRECISE", "FS=MRC", "CURRENCY=USD", "XLFILL=b")</f>
        <v>1648</v>
      </c>
      <c r="N117" s="9">
        <f>_xll.BQL("SEG0000201729 Segment", "SALES_REV_TURN/1M", "FPT=A", "FPO=-4A", "ACT_EST_MAPPING=PRECISE", "FS=MRC", "CURRENCY=USD", "XLFILL=b")</f>
        <v>1179</v>
      </c>
    </row>
    <row r="118" spans="1:14" x14ac:dyDescent="0.2">
      <c r="A118" s="8" t="s">
        <v>20</v>
      </c>
      <c r="B118" s="4" t="s">
        <v>22</v>
      </c>
      <c r="C118" s="4" t="s">
        <v>15</v>
      </c>
      <c r="D118" s="4" t="s">
        <v>23</v>
      </c>
      <c r="E118" s="9">
        <f>_xll.BQL("SEG0000201729 Segment", "FA_GROWTH(SALES_REV_TURN, YOY)", "FPT=A", "FPO=5A", "ACT_EST_MAPPING=PRECISE", "FS=MRC", "CURRENCY=USD", "XLFILL=b")</f>
        <v>5.5576341434355188</v>
      </c>
      <c r="F118" s="9">
        <f>_xll.BQL("SEG0000201729 Segment", "FA_GROWTH(SALES_REV_TURN, YOY)", "FPT=A", "FPO=4A", "ACT_EST_MAPPING=PRECISE", "FS=MRC", "CURRENCY=USD", "XLFILL=b")</f>
        <v>0.32497235292685778</v>
      </c>
      <c r="G118" s="9">
        <f>_xll.BQL("SEG0000201729 Segment", "FA_GROWTH(SALES_REV_TURN, YOY)", "FPT=A", "FPO=3A", "ACT_EST_MAPPING=PRECISE", "FS=MRC", "CURRENCY=USD", "XLFILL=b")</f>
        <v>2.8466263762921558</v>
      </c>
      <c r="H118" s="9">
        <f>_xll.BQL("SEG0000201729 Segment", "FA_GROWTH(SALES_REV_TURN, YOY)", "FPT=A", "FPO=2A", "ACT_EST_MAPPING=PRECISE", "FS=MRC", "CURRENCY=USD", "XLFILL=b")</f>
        <v>5.3600348269820914</v>
      </c>
      <c r="I118" s="9">
        <f>_xll.BQL("SEG0000201729 Segment", "FA_GROWTH(SALES_REV_TURN, YOY)", "FPT=A", "FPO=1A", "ACT_EST_MAPPING=PRECISE", "FS=MRC", "CURRENCY=USD", "XLFILL=b")</f>
        <v>6.6352228375159452</v>
      </c>
      <c r="J118" s="9">
        <f>_xll.BQL("SEG0000201729 Segment", "FA_GROWTH(SALES_REV_TURN, YOY)", "FPT=A", "FPO=0A", "ACT_EST_MAPPING=PRECISE", "FS=MRC", "CURRENCY=USD", "XLFILL=b")</f>
        <v>-31.137724550898202</v>
      </c>
      <c r="K118" s="9">
        <f>_xll.BQL("SEG0000201729 Segment", "FA_GROWTH(SALES_REV_TURN, YOY)", "FPT=A", "FPO=-1A", "ACT_EST_MAPPING=PRECISE", "FS=MRC", "CURRENCY=USD", "XLFILL=b")</f>
        <v>-7.5776926351638991</v>
      </c>
      <c r="L118" s="9">
        <f>_xll.BQL("SEG0000201729 Segment", "FA_GROWTH(SALES_REV_TURN, YOY)", "FPT=A", "FPO=-2A", "ACT_EST_MAPPING=PRECISE", "FS=MRC", "CURRENCY=USD", "XLFILL=b")</f>
        <v>42.536407766990294</v>
      </c>
      <c r="M118" s="9">
        <f>_xll.BQL("SEG0000201729 Segment", "FA_GROWTH(SALES_REV_TURN, YOY)", "FPT=A", "FPO=-3A", "ACT_EST_MAPPING=PRECISE", "FS=MRC", "CURRENCY=USD", "XLFILL=b")</f>
        <v>39.779474130619171</v>
      </c>
      <c r="N118" s="9">
        <f>_xll.BQL("SEG0000201729 Segment", "FA_GROWTH(SALES_REV_TURN, YOY)", "FPT=A", "FPO=-4A", "ACT_EST_MAPPING=PRECISE", "FS=MRC", "CURRENCY=USD", "XLFILL=b")</f>
        <v>-4.6887631366208566</v>
      </c>
    </row>
    <row r="119" spans="1:14" x14ac:dyDescent="0.2">
      <c r="A119" s="8" t="s">
        <v>100</v>
      </c>
      <c r="B119" s="4"/>
      <c r="C119" s="4" t="s">
        <v>101</v>
      </c>
      <c r="D119" s="4"/>
      <c r="E119" s="9"/>
      <c r="F119" s="9"/>
      <c r="G119" s="9"/>
      <c r="H119" s="9"/>
      <c r="I119" s="9"/>
      <c r="J119" s="9"/>
      <c r="K119" s="9"/>
      <c r="L119" s="9"/>
      <c r="M119" s="9"/>
      <c r="N119" s="9"/>
    </row>
    <row r="120" spans="1:14" x14ac:dyDescent="0.2">
      <c r="A120" s="8" t="s">
        <v>82</v>
      </c>
      <c r="B120" s="4" t="s">
        <v>22</v>
      </c>
      <c r="C120" s="4" t="s">
        <v>15</v>
      </c>
      <c r="D120" s="4" t="s">
        <v>25</v>
      </c>
      <c r="E120" s="9">
        <f>_xll.BQL("SEG0000201702 Segment", "SALES_REV_TURN/1M", "FPT=A", "FPO=5A", "ACT_EST_MAPPING=PRECISE", "FS=MRC", "CURRENCY=USD", "XLFILL=b")</f>
        <v>3951.2978603206716</v>
      </c>
      <c r="F120" s="9">
        <f>_xll.BQL("SEG0000201702 Segment", "SALES_REV_TURN/1M", "FPT=A", "FPO=4A", "ACT_EST_MAPPING=PRECISE", "FS=MRC", "CURRENCY=USD", "XLFILL=b")</f>
        <v>3797.027732423458</v>
      </c>
      <c r="G120" s="9">
        <f>_xll.BQL("SEG0000201702 Segment", "SALES_REV_TURN/1M", "FPT=A", "FPO=3A", "ACT_EST_MAPPING=PRECISE", "FS=MRC", "CURRENCY=USD", "XLFILL=b")</f>
        <v>3854.0489004939286</v>
      </c>
      <c r="H120" s="9">
        <f>_xll.BQL("SEG0000201702 Segment", "SALES_REV_TURN/1M", "FPT=A", "FPO=2A", "ACT_EST_MAPPING=PRECISE", "FS=MRC", "CURRENCY=USD", "XLFILL=b")</f>
        <v>3724.6442710573401</v>
      </c>
      <c r="I120" s="9">
        <f>_xll.BQL("SEG0000201702 Segment", "SALES_REV_TURN/1M", "FPT=A", "FPO=1A", "ACT_EST_MAPPING=PRECISE", "FS=MRC", "CURRENCY=USD", "XLFILL=b")</f>
        <v>3453.3950838354708</v>
      </c>
      <c r="J120" s="9">
        <f>_xll.BQL("SEG0000201702 Segment", "SALES_REV_TURN/1M", "FPT=A", "FPO=0A", "ACT_EST_MAPPING=PRECISE", "FS=MRC", "CURRENCY=USD", "XLFILL=b")</f>
        <v>3176</v>
      </c>
      <c r="K120" s="9">
        <f>_xll.BQL("SEG0000201702 Segment", "SALES_REV_TURN/1M", "FPT=A", "FPO=-1A", "ACT_EST_MAPPING=PRECISE", "FS=MRC", "CURRENCY=USD", "XLFILL=b")</f>
        <v>2752</v>
      </c>
      <c r="L120" s="9">
        <f>_xll.BQL("SEG0000201702 Segment", "SALES_REV_TURN/1M", "FPT=A", "FPO=-2A", "ACT_EST_MAPPING=PRECISE", "FS=MRC", "CURRENCY=USD", "XLFILL=b")</f>
        <v>2088</v>
      </c>
      <c r="M120" s="9">
        <f>_xll.BQL("SEG0000201702 Segment", "SALES_REV_TURN/1M", "FPT=A", "FPO=-3A", "ACT_EST_MAPPING=PRECISE", "FS=MRC", "CURRENCY=USD", "XLFILL=b")</f>
        <v>1902</v>
      </c>
      <c r="N120" s="9">
        <f>_xll.BQL("SEG0000201702 Segment", "SALES_REV_TURN/1M", "FPT=A", "FPO=-4A", "ACT_EST_MAPPING=PRECISE", "FS=MRC", "CURRENCY=USD", "XLFILL=b")</f>
        <v>2455</v>
      </c>
    </row>
    <row r="121" spans="1:14" x14ac:dyDescent="0.2">
      <c r="A121" s="8" t="s">
        <v>20</v>
      </c>
      <c r="B121" s="4" t="s">
        <v>22</v>
      </c>
      <c r="C121" s="4" t="s">
        <v>15</v>
      </c>
      <c r="D121" s="4" t="s">
        <v>25</v>
      </c>
      <c r="E121" s="9">
        <f>_xll.BQL("SEG0000201702 Segment", "FA_GROWTH(SALES_REV_TURN, YOY)", "FPT=A", "FPO=5A", "ACT_EST_MAPPING=PRECISE", "FS=MRC", "CURRENCY=USD", "XLFILL=b")</f>
        <v>4.0629181235595118</v>
      </c>
      <c r="F121" s="9">
        <f>_xll.BQL("SEG0000201702 Segment", "FA_GROWTH(SALES_REV_TURN, YOY)", "FPT=A", "FPO=4A", "ACT_EST_MAPPING=PRECISE", "FS=MRC", "CURRENCY=USD", "XLFILL=b")</f>
        <v>-1.4795133518716537</v>
      </c>
      <c r="G121" s="9">
        <f>_xll.BQL("SEG0000201702 Segment", "FA_GROWTH(SALES_REV_TURN, YOY)", "FPT=A", "FPO=3A", "ACT_EST_MAPPING=PRECISE", "FS=MRC", "CURRENCY=USD", "XLFILL=b")</f>
        <v>3.4742815694410814</v>
      </c>
      <c r="H121" s="9">
        <f>_xll.BQL("SEG0000201702 Segment", "FA_GROWTH(SALES_REV_TURN, YOY)", "FPT=A", "FPO=2A", "ACT_EST_MAPPING=PRECISE", "FS=MRC", "CURRENCY=USD", "XLFILL=b")</f>
        <v>7.8545657428981421</v>
      </c>
      <c r="I121" s="9">
        <f>_xll.BQL("SEG0000201702 Segment", "FA_GROWTH(SALES_REV_TURN, YOY)", "FPT=A", "FPO=1A", "ACT_EST_MAPPING=PRECISE", "FS=MRC", "CURRENCY=USD", "XLFILL=b")</f>
        <v>8.7341021358775404</v>
      </c>
      <c r="J121" s="9">
        <f>_xll.BQL("SEG0000201702 Segment", "FA_GROWTH(SALES_REV_TURN, YOY)", "FPT=A", "FPO=0A", "ACT_EST_MAPPING=PRECISE", "FS=MRC", "CURRENCY=USD", "XLFILL=b")</f>
        <v>15.406976744186046</v>
      </c>
      <c r="K121" s="9">
        <f>_xll.BQL("SEG0000201702 Segment", "FA_GROWTH(SALES_REV_TURN, YOY)", "FPT=A", "FPO=-1A", "ACT_EST_MAPPING=PRECISE", "FS=MRC", "CURRENCY=USD", "XLFILL=b")</f>
        <v>31.800766283524904</v>
      </c>
      <c r="L121" s="9">
        <f>_xll.BQL("SEG0000201702 Segment", "FA_GROWTH(SALES_REV_TURN, YOY)", "FPT=A", "FPO=-2A", "ACT_EST_MAPPING=PRECISE", "FS=MRC", "CURRENCY=USD", "XLFILL=b")</f>
        <v>9.7791798107255516</v>
      </c>
      <c r="M121" s="9">
        <f>_xll.BQL("SEG0000201702 Segment", "FA_GROWTH(SALES_REV_TURN, YOY)", "FPT=A", "FPO=-3A", "ACT_EST_MAPPING=PRECISE", "FS=MRC", "CURRENCY=USD", "XLFILL=b")</f>
        <v>-22.525458248472503</v>
      </c>
      <c r="N121" s="9">
        <f>_xll.BQL("SEG0000201702 Segment", "FA_GROWTH(SALES_REV_TURN, YOY)", "FPT=A", "FPO=-4A", "ACT_EST_MAPPING=PRECISE", "FS=MRC", "CURRENCY=USD", "XLFILL=b")</f>
        <v>4.0254237288135597</v>
      </c>
    </row>
    <row r="122" spans="1:14" x14ac:dyDescent="0.2">
      <c r="A122" s="8" t="s">
        <v>16</v>
      </c>
      <c r="B122" s="4"/>
      <c r="C122" s="4"/>
      <c r="D122" s="4"/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spans="1:14" x14ac:dyDescent="0.2">
      <c r="A123" s="8" t="s">
        <v>102</v>
      </c>
      <c r="B123" s="4"/>
      <c r="C123" s="4" t="s">
        <v>103</v>
      </c>
      <c r="D123" s="4"/>
      <c r="E123" s="9"/>
      <c r="F123" s="9"/>
      <c r="G123" s="9"/>
      <c r="H123" s="9"/>
      <c r="I123" s="9"/>
      <c r="J123" s="9"/>
      <c r="K123" s="9"/>
      <c r="L123" s="9"/>
      <c r="M123" s="9"/>
      <c r="N123" s="9"/>
    </row>
    <row r="124" spans="1:14" x14ac:dyDescent="0.2">
      <c r="A124" s="8" t="s">
        <v>104</v>
      </c>
      <c r="B124" s="4"/>
      <c r="C124" s="4" t="s">
        <v>105</v>
      </c>
      <c r="D124" s="4"/>
      <c r="E124" s="9"/>
      <c r="F124" s="9"/>
      <c r="G124" s="9"/>
      <c r="H124" s="9"/>
      <c r="I124" s="9"/>
      <c r="J124" s="9"/>
      <c r="K124" s="9"/>
      <c r="L124" s="9"/>
      <c r="M124" s="9"/>
      <c r="N124" s="9"/>
    </row>
    <row r="125" spans="1:14" x14ac:dyDescent="0.2">
      <c r="A125" s="8" t="s">
        <v>106</v>
      </c>
      <c r="B125" s="4" t="s">
        <v>27</v>
      </c>
      <c r="C125" s="4" t="s">
        <v>107</v>
      </c>
      <c r="D125" s="4" t="s">
        <v>108</v>
      </c>
      <c r="E125" s="9">
        <f>_xll.BQL("SEG0000201705 Segment", "REV_PASS_MILES_KM/1M", "FPT=A", "FPO=5A", "ACT_EST_MAPPING=PRECISE", "FS=MRC", "CURRENCY=USD", "XLFILL=b")</f>
        <v>161686.64274242692</v>
      </c>
      <c r="F125" s="9">
        <f>_xll.BQL("SEG0000201705 Segment", "REV_PASS_MILES_KM/1M", "FPT=A", "FPO=4A", "ACT_EST_MAPPING=PRECISE", "FS=MRC", "CURRENCY=USD", "XLFILL=b")</f>
        <v>160920.52316870404</v>
      </c>
      <c r="G125" s="9">
        <f>_xll.BQL("SEG0000201705 Segment", "REV_PASS_MILES_KM/1M", "FPT=A", "FPO=3A", "ACT_EST_MAPPING=PRECISE", "FS=MRC", "CURRENCY=USD", "XLFILL=b")</f>
        <v>155633.66432952002</v>
      </c>
      <c r="H125" s="9">
        <f>_xll.BQL("SEG0000201705 Segment", "REV_PASS_MILES_KM/1M", "FPT=A", "FPO=2A", "ACT_EST_MAPPING=PRECISE", "FS=MRC", "CURRENCY=USD", "XLFILL=b")</f>
        <v>149145.51222</v>
      </c>
      <c r="I125" s="9">
        <f>_xll.BQL("SEG0000201705 Segment", "REV_PASS_MILES_KM/1M", "FPT=A", "FPO=1A", "ACT_EST_MAPPING=PRECISE", "FS=MRC", "CURRENCY=USD", "XLFILL=b")</f>
        <v>142935.0085</v>
      </c>
      <c r="J125" s="9">
        <f>_xll.BQL("SEG0000201705 Segment", "REV_PASS_MILES_KM/1M", "FPT=A", "FPO=0A", "ACT_EST_MAPPING=PRECISE", "FS=MRC", "CURRENCY=USD", "XLFILL=b")</f>
        <v>137329</v>
      </c>
      <c r="K125" s="9">
        <f>_xll.BQL("SEG0000201705 Segment", "REV_PASS_MILES_KM/1M", "FPT=A", "FPO=-1A", "ACT_EST_MAPPING=PRECISE", "FS=MRC", "CURRENCY=USD", "XLFILL=b")</f>
        <v>124240</v>
      </c>
      <c r="L125" s="9">
        <f>_xll.BQL("SEG0000201705 Segment", "REV_PASS_MILES_KM/1M", "FPT=A", "FPO=-2A", "ACT_EST_MAPPING=PRECISE", "FS=MRC", "CURRENCY=USD", "XLFILL=b")</f>
        <v>90189</v>
      </c>
      <c r="M125" s="9">
        <f>_xll.BQL("SEG0000201705 Segment", "REV_PASS_MILES_KM/1M", "FPT=A", "FPO=-3A", "ACT_EST_MAPPING=PRECISE", "FS=MRC", "CURRENCY=USD", "XLFILL=b")</f>
        <v>48251</v>
      </c>
      <c r="N125" s="9">
        <f>_xll.BQL("SEG0000201705 Segment", "REV_PASS_MILES_KM/1M", "FPT=A", "FPO=-4A", "ACT_EST_MAPPING=PRECISE", "FS=MRC", "CURRENCY=USD", "XLFILL=b")</f>
        <v>137648</v>
      </c>
    </row>
    <row r="126" spans="1:14" x14ac:dyDescent="0.2">
      <c r="A126" s="8" t="s">
        <v>20</v>
      </c>
      <c r="B126" s="4" t="s">
        <v>27</v>
      </c>
      <c r="C126" s="4" t="s">
        <v>107</v>
      </c>
      <c r="D126" s="4" t="s">
        <v>108</v>
      </c>
      <c r="E126" s="9">
        <f>_xll.BQL("SEG0000201705 Segment", "FA_GROWTH(REV_PASS_MILES_KM, YOY)", "FPT=A", "FPO=5A", "ACT_EST_MAPPING=PRECISE", "FS=MRC", "CURRENCY=USD", "XLFILL=b")</f>
        <v>0.47608568418566105</v>
      </c>
      <c r="F126" s="9">
        <f>_xll.BQL("SEG0000201705 Segment", "FA_GROWTH(REV_PASS_MILES_KM, YOY)", "FPT=A", "FPO=4A", "ACT_EST_MAPPING=PRECISE", "FS=MRC", "CURRENCY=USD", "XLFILL=b")</f>
        <v>3.3969892451997157</v>
      </c>
      <c r="G126" s="9">
        <f>_xll.BQL("SEG0000201705 Segment", "FA_GROWTH(REV_PASS_MILES_KM, YOY)", "FPT=A", "FPO=3A", "ACT_EST_MAPPING=PRECISE", "FS=MRC", "CURRENCY=USD", "XLFILL=b")</f>
        <v>4.3502161164256448</v>
      </c>
      <c r="H126" s="9">
        <f>_xll.BQL("SEG0000201705 Segment", "FA_GROWTH(REV_PASS_MILES_KM, YOY)", "FPT=A", "FPO=2A", "ACT_EST_MAPPING=PRECISE", "FS=MRC", "CURRENCY=USD", "XLFILL=b")</f>
        <v>4.3449843290141201</v>
      </c>
      <c r="I126" s="9">
        <f>_xll.BQL("SEG0000201705 Segment", "FA_GROWTH(REV_PASS_MILES_KM, YOY)", "FPT=A", "FPO=1A", "ACT_EST_MAPPING=PRECISE", "FS=MRC", "CURRENCY=USD", "XLFILL=b")</f>
        <v>4.0821738307276689</v>
      </c>
      <c r="J126" s="9">
        <f>_xll.BQL("SEG0000201705 Segment", "FA_GROWTH(REV_PASS_MILES_KM, YOY)", "FPT=A", "FPO=0A", "ACT_EST_MAPPING=PRECISE", "FS=MRC", "CURRENCY=USD", "XLFILL=b")</f>
        <v>10.535254346426271</v>
      </c>
      <c r="K126" s="9">
        <f>_xll.BQL("SEG0000201705 Segment", "FA_GROWTH(REV_PASS_MILES_KM, YOY)", "FPT=A", "FPO=-1A", "ACT_EST_MAPPING=PRECISE", "FS=MRC", "CURRENCY=USD", "XLFILL=b")</f>
        <v>37.755158611360585</v>
      </c>
      <c r="L126" s="9">
        <f>_xll.BQL("SEG0000201705 Segment", "FA_GROWTH(REV_PASS_MILES_KM, YOY)", "FPT=A", "FPO=-2A", "ACT_EST_MAPPING=PRECISE", "FS=MRC", "CURRENCY=USD", "XLFILL=b")</f>
        <v>86.91633334024165</v>
      </c>
      <c r="M126" s="9">
        <f>_xll.BQL("SEG0000201705 Segment", "FA_GROWTH(REV_PASS_MILES_KM, YOY)", "FPT=A", "FPO=-3A", "ACT_EST_MAPPING=PRECISE", "FS=MRC", "CURRENCY=USD", "XLFILL=b")</f>
        <v>-64.946094385679416</v>
      </c>
      <c r="N126" s="9">
        <f>_xll.BQL("SEG0000201705 Segment", "FA_GROWTH(REV_PASS_MILES_KM, YOY)", "FPT=A", "FPO=-4A", "ACT_EST_MAPPING=PRECISE", "FS=MRC", "CURRENCY=USD", "XLFILL=b")</f>
        <v>3.5298490293245544</v>
      </c>
    </row>
    <row r="127" spans="1:14" x14ac:dyDescent="0.2">
      <c r="A127" s="8" t="s">
        <v>109</v>
      </c>
      <c r="B127" s="4" t="s">
        <v>30</v>
      </c>
      <c r="C127" s="4" t="s">
        <v>110</v>
      </c>
      <c r="D127" s="4" t="s">
        <v>108</v>
      </c>
      <c r="E127" s="9">
        <f>_xll.BQL("SEG0000201705 Segment", "AVAIL_SEAT_MILES_KM/1M", "FPT=A", "FPO=5A", "ACT_EST_MAPPING=PRECISE", "FS=MRC", "CURRENCY=USD", "XLFILL=b")</f>
        <v>188773.62583322881</v>
      </c>
      <c r="F127" s="9">
        <f>_xll.BQL("SEG0000201705 Segment", "AVAIL_SEAT_MILES_KM/1M", "FPT=A", "FPO=4A", "ACT_EST_MAPPING=PRECISE", "FS=MRC", "CURRENCY=USD", "XLFILL=b")</f>
        <v>188722.62226272002</v>
      </c>
      <c r="G127" s="9">
        <f>_xll.BQL("SEG0000201705 Segment", "AVAIL_SEAT_MILES_KM/1M", "FPT=A", "FPO=3A", "ACT_EST_MAPPING=PRECISE", "FS=MRC", "CURRENCY=USD", "XLFILL=b")</f>
        <v>182884.02929066672</v>
      </c>
      <c r="H127" s="9">
        <f>_xll.BQL("SEG0000201705 Segment", "AVAIL_SEAT_MILES_KM/1M", "FPT=A", "FPO=2A", "ACT_EST_MAPPING=PRECISE", "FS=MRC", "CURRENCY=USD", "XLFILL=b")</f>
        <v>174729.12226666664</v>
      </c>
      <c r="I127" s="9">
        <f>_xll.BQL("SEG0000201705 Segment", "AVAIL_SEAT_MILES_KM/1M", "FPT=A", "FPO=1A", "ACT_EST_MAPPING=PRECISE", "FS=MRC", "CURRENCY=USD", "XLFILL=b")</f>
        <v>167606.97866666666</v>
      </c>
      <c r="J127" s="9">
        <f>_xll.BQL("SEG0000201705 Segment", "AVAIL_SEAT_MILES_KM/1M", "FPT=A", "FPO=0A", "ACT_EST_MAPPING=PRECISE", "FS=MRC", "CURRENCY=USD", "XLFILL=b")</f>
        <v>161324</v>
      </c>
      <c r="K127" s="9">
        <f>_xll.BQL("SEG0000201705 Segment", "AVAIL_SEAT_MILES_KM/1M", "FPT=A", "FPO=-1A", "ACT_EST_MAPPING=PRECISE", "FS=MRC", "CURRENCY=USD", "XLFILL=b")</f>
        <v>145314</v>
      </c>
      <c r="L127" s="9">
        <f>_xll.BQL("SEG0000201705 Segment", "AVAIL_SEAT_MILES_KM/1M", "FPT=A", "FPO=-2A", "ACT_EST_MAPPING=PRECISE", "FS=MRC", "CURRENCY=USD", "XLFILL=b")</f>
        <v>112901</v>
      </c>
      <c r="M127" s="9">
        <f>_xll.BQL("SEG0000201705 Segment", "AVAIL_SEAT_MILES_KM/1M", "FPT=A", "FPO=-3A", "ACT_EST_MAPPING=PRECISE", "FS=MRC", "CURRENCY=USD", "XLFILL=b")</f>
        <v>76302</v>
      </c>
      <c r="N127" s="9">
        <f>_xll.BQL("SEG0000201705 Segment", "AVAIL_SEAT_MILES_KM/1M", "FPT=A", "FPO=-4A", "ACT_EST_MAPPING=PRECISE", "FS=MRC", "CURRENCY=USD", "XLFILL=b")</f>
        <v>161492</v>
      </c>
    </row>
    <row r="128" spans="1:14" x14ac:dyDescent="0.2">
      <c r="A128" s="8" t="s">
        <v>20</v>
      </c>
      <c r="B128" s="4" t="s">
        <v>30</v>
      </c>
      <c r="C128" s="4" t="s">
        <v>110</v>
      </c>
      <c r="D128" s="4" t="s">
        <v>108</v>
      </c>
      <c r="E128" s="9">
        <f>_xll.BQL("SEG0000201705 Segment", "FA_GROWTH(AVAIL_SEAT_MILES_KM, YOY)", "FPT=A", "FPO=5A", "ACT_EST_MAPPING=PRECISE", "FS=MRC", "CURRENCY=USD", "XLFILL=b")</f>
        <v>2.7025679220261781E-2</v>
      </c>
      <c r="F128" s="9">
        <f>_xll.BQL("SEG0000201705 Segment", "FA_GROWTH(AVAIL_SEAT_MILES_KM, YOY)", "FPT=A", "FPO=4A", "ACT_EST_MAPPING=PRECISE", "FS=MRC", "CURRENCY=USD", "XLFILL=b")</f>
        <v>3.1925111201338128</v>
      </c>
      <c r="G128" s="9">
        <f>_xll.BQL("SEG0000201705 Segment", "FA_GROWTH(AVAIL_SEAT_MILES_KM, YOY)", "FPT=A", "FPO=3A", "ACT_EST_MAPPING=PRECISE", "FS=MRC", "CURRENCY=USD", "XLFILL=b")</f>
        <v>4.6671710578127161</v>
      </c>
      <c r="H128" s="9">
        <f>_xll.BQL("SEG0000201705 Segment", "FA_GROWTH(AVAIL_SEAT_MILES_KM, YOY)", "FPT=A", "FPO=2A", "ACT_EST_MAPPING=PRECISE", "FS=MRC", "CURRENCY=USD", "XLFILL=b")</f>
        <v>4.2493120851276567</v>
      </c>
      <c r="I128" s="9">
        <f>_xll.BQL("SEG0000201705 Segment", "FA_GROWTH(AVAIL_SEAT_MILES_KM, YOY)", "FPT=A", "FPO=1A", "ACT_EST_MAPPING=PRECISE", "FS=MRC", "CURRENCY=USD", "XLFILL=b")</f>
        <v>3.8946335738431084</v>
      </c>
      <c r="J128" s="9">
        <f>_xll.BQL("SEG0000201705 Segment", "FA_GROWTH(AVAIL_SEAT_MILES_KM, YOY)", "FPT=A", "FPO=0A", "ACT_EST_MAPPING=PRECISE", "FS=MRC", "CURRENCY=USD", "XLFILL=b")</f>
        <v>11.017520679356428</v>
      </c>
      <c r="K128" s="9">
        <f>_xll.BQL("SEG0000201705 Segment", "FA_GROWTH(AVAIL_SEAT_MILES_KM, YOY)", "FPT=A", "FPO=-1A", "ACT_EST_MAPPING=PRECISE", "FS=MRC", "CURRENCY=USD", "XLFILL=b")</f>
        <v>28.70922312468446</v>
      </c>
      <c r="L128" s="9">
        <f>_xll.BQL("SEG0000201705 Segment", "FA_GROWTH(AVAIL_SEAT_MILES_KM, YOY)", "FPT=A", "FPO=-2A", "ACT_EST_MAPPING=PRECISE", "FS=MRC", "CURRENCY=USD", "XLFILL=b")</f>
        <v>47.96597730072606</v>
      </c>
      <c r="M128" s="9">
        <f>_xll.BQL("SEG0000201705 Segment", "FA_GROWTH(AVAIL_SEAT_MILES_KM, YOY)", "FPT=A", "FPO=-3A", "ACT_EST_MAPPING=PRECISE", "FS=MRC", "CURRENCY=USD", "XLFILL=b")</f>
        <v>-52.751839100388871</v>
      </c>
      <c r="N128" s="9">
        <f>_xll.BQL("SEG0000201705 Segment", "FA_GROWTH(AVAIL_SEAT_MILES_KM, YOY)", "FPT=A", "FPO=-4A", "ACT_EST_MAPPING=PRECISE", "FS=MRC", "CURRENCY=USD", "XLFILL=b")</f>
        <v>3.7617642434950618</v>
      </c>
    </row>
    <row r="129" spans="1:14" x14ac:dyDescent="0.2">
      <c r="A129" s="8" t="s">
        <v>111</v>
      </c>
      <c r="B129" s="4" t="s">
        <v>33</v>
      </c>
      <c r="C129" s="4" t="s">
        <v>34</v>
      </c>
      <c r="D129" s="4" t="s">
        <v>108</v>
      </c>
      <c r="E129" s="9">
        <f>_xll.BQL("SEG0000201705 Segment", "LOAD_FACTOR", "FPT=A", "FPO=5A", "ACT_EST_MAPPING=PRECISE", "FS=MRC", "CURRENCY=USD", "XLFILL=b")</f>
        <v>85.651076536119618</v>
      </c>
      <c r="F129" s="9">
        <f>_xll.BQL("SEG0000201705 Segment", "LOAD_FACTOR", "FPT=A", "FPO=4A", "ACT_EST_MAPPING=PRECISE", "FS=MRC", "CURRENCY=USD", "XLFILL=b")</f>
        <v>85.275538268059819</v>
      </c>
      <c r="G129" s="9">
        <f>_xll.BQL("SEG0000201705 Segment", "LOAD_FACTOR", "FPT=A", "FPO=3A", "ACT_EST_MAPPING=PRECISE", "FS=MRC", "CURRENCY=USD", "XLFILL=b")</f>
        <v>84.955538268059811</v>
      </c>
      <c r="H129" s="9">
        <f>_xll.BQL("SEG0000201705 Segment", "LOAD_FACTOR", "FPT=A", "FPO=2A", "ACT_EST_MAPPING=PRECISE", "FS=MRC", "CURRENCY=USD", "XLFILL=b")</f>
        <v>85.07553826805983</v>
      </c>
      <c r="I129" s="9">
        <f>_xll.BQL("SEG0000201705 Segment", "LOAD_FACTOR", "FPT=A", "FPO=1A", "ACT_EST_MAPPING=PRECISE", "FS=MRC", "CURRENCY=USD", "XLFILL=b")</f>
        <v>85.079660263570915</v>
      </c>
      <c r="J129" s="9">
        <f>_xll.BQL("SEG0000201705 Segment", "LOAD_FACTOR", "FPT=A", "FPO=0A", "ACT_EST_MAPPING=PRECISE", "FS=MRC", "CURRENCY=USD", "XLFILL=b")</f>
        <v>85.1</v>
      </c>
      <c r="K129" s="9">
        <f>_xll.BQL("SEG0000201705 Segment", "LOAD_FACTOR", "FPT=A", "FPO=-1A", "ACT_EST_MAPPING=PRECISE", "FS=MRC", "CURRENCY=USD", "XLFILL=b")</f>
        <v>85.5</v>
      </c>
      <c r="L129" s="9">
        <f>_xll.BQL("SEG0000201705 Segment", "LOAD_FACTOR", "FPT=A", "FPO=-2A", "ACT_EST_MAPPING=PRECISE", "FS=MRC", "CURRENCY=USD", "XLFILL=b")</f>
        <v>79.900000000000006</v>
      </c>
      <c r="M129" s="9">
        <f>_xll.BQL("SEG0000201705 Segment", "LOAD_FACTOR", "FPT=A", "FPO=-3A", "ACT_EST_MAPPING=PRECISE", "FS=MRC", "CURRENCY=USD", "XLFILL=b")</f>
        <v>63.2</v>
      </c>
      <c r="N129" s="9">
        <f>_xll.BQL("SEG0000201705 Segment", "LOAD_FACTOR", "FPT=A", "FPO=-4A", "ACT_EST_MAPPING=PRECISE", "FS=MRC", "CURRENCY=USD", "XLFILL=b")</f>
        <v>85.2</v>
      </c>
    </row>
    <row r="130" spans="1:14" x14ac:dyDescent="0.2">
      <c r="A130" s="8" t="s">
        <v>20</v>
      </c>
      <c r="B130" s="4" t="s">
        <v>33</v>
      </c>
      <c r="C130" s="4" t="s">
        <v>34</v>
      </c>
      <c r="D130" s="4" t="s">
        <v>108</v>
      </c>
      <c r="E130" s="9">
        <f>_xll.BQL("SEG0000201705 Segment", "FA_GROWTH(LOAD_FACTOR, YOY)", "FPT=A", "FPO=5A", "ACT_EST_MAPPING=PRECISE", "FS=MRC", "CURRENCY=USD", "XLFILL=b")</f>
        <v>0.44038217252796613</v>
      </c>
      <c r="F130" s="9">
        <f>_xll.BQL("SEG0000201705 Segment", "FA_GROWTH(LOAD_FACTOR, YOY)", "FPT=A", "FPO=4A", "ACT_EST_MAPPING=PRECISE", "FS=MRC", "CURRENCY=USD", "XLFILL=b")</f>
        <v>0.37666761522987813</v>
      </c>
      <c r="G130" s="9">
        <f>_xll.BQL("SEG0000201705 Segment", "FA_GROWTH(LOAD_FACTOR, YOY)", "FPT=A", "FPO=3A", "ACT_EST_MAPPING=PRECISE", "FS=MRC", "CURRENCY=USD", "XLFILL=b")</f>
        <v>-0.14105112050177968</v>
      </c>
      <c r="H130" s="9">
        <f>_xll.BQL("SEG0000201705 Segment", "FA_GROWTH(LOAD_FACTOR, YOY)", "FPT=A", "FPO=2A", "ACT_EST_MAPPING=PRECISE", "FS=MRC", "CURRENCY=USD", "XLFILL=b")</f>
        <v>-4.8448659742117706E-3</v>
      </c>
      <c r="I130" s="9">
        <f>_xll.BQL("SEG0000201705 Segment", "FA_GROWTH(LOAD_FACTOR, YOY)", "FPT=A", "FPO=1A", "ACT_EST_MAPPING=PRECISE", "FS=MRC", "CURRENCY=USD", "XLFILL=b")</f>
        <v>-2.3900982877884114E-2</v>
      </c>
      <c r="J130" s="9">
        <f>_xll.BQL("SEG0000201705 Segment", "FA_GROWTH(LOAD_FACTOR, YOY)", "FPT=A", "FPO=0A", "ACT_EST_MAPPING=PRECISE", "FS=MRC", "CURRENCY=USD", "XLFILL=b")</f>
        <v>-0.46783625730994816</v>
      </c>
      <c r="K130" s="9">
        <f>_xll.BQL("SEG0000201705 Segment", "FA_GROWTH(LOAD_FACTOR, YOY)", "FPT=A", "FPO=-1A", "ACT_EST_MAPPING=PRECISE", "FS=MRC", "CURRENCY=USD", "XLFILL=b")</f>
        <v>7.0087609511889788</v>
      </c>
      <c r="L130" s="9">
        <f>_xll.BQL("SEG0000201705 Segment", "FA_GROWTH(LOAD_FACTOR, YOY)", "FPT=A", "FPO=-2A", "ACT_EST_MAPPING=PRECISE", "FS=MRC", "CURRENCY=USD", "XLFILL=b")</f>
        <v>26.424050632911396</v>
      </c>
      <c r="M130" s="9">
        <f>_xll.BQL("SEG0000201705 Segment", "FA_GROWTH(LOAD_FACTOR, YOY)", "FPT=A", "FPO=-3A", "ACT_EST_MAPPING=PRECISE", "FS=MRC", "CURRENCY=USD", "XLFILL=b")</f>
        <v>-25.821596244131456</v>
      </c>
      <c r="N130" s="9">
        <f>_xll.BQL("SEG0000201705 Segment", "FA_GROWTH(LOAD_FACTOR, YOY)", "FPT=A", "FPO=-4A", "ACT_EST_MAPPING=PRECISE", "FS=MRC", "CURRENCY=USD", "XLFILL=b")</f>
        <v>-0.23419203747072931</v>
      </c>
    </row>
    <row r="131" spans="1:14" x14ac:dyDescent="0.2">
      <c r="A131" s="8" t="s">
        <v>112</v>
      </c>
      <c r="B131" s="4"/>
      <c r="C131" s="4"/>
      <c r="D131" s="4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spans="1:14" x14ac:dyDescent="0.2">
      <c r="A132" s="8" t="s">
        <v>106</v>
      </c>
      <c r="B132" s="4" t="s">
        <v>27</v>
      </c>
      <c r="C132" s="4"/>
      <c r="D132" s="4" t="s">
        <v>113</v>
      </c>
      <c r="E132" s="9" t="str">
        <f>_xll.BQL("SEG0000201693 Segment", "REV_PASS_MILES_KM/1M", "FPT=A", "FPO=5A", "ACT_EST_MAPPING=PRECISE", "FS=MRC", "CURRENCY=USD", "XLFILL=b")</f>
        <v/>
      </c>
      <c r="F132" s="9">
        <f>_xll.BQL("SEG0000201693 Segment", "REV_PASS_MILES_KM/1M", "FPT=A", "FPO=4A", "ACT_EST_MAPPING=PRECISE", "FS=MRC", "CURRENCY=USD", "XLFILL=b")</f>
        <v>140669.91985359747</v>
      </c>
      <c r="G132" s="9">
        <f>_xll.BQL("SEG0000201693 Segment", "REV_PASS_MILES_KM/1M", "FPT=A", "FPO=3A", "ACT_EST_MAPPING=PRECISE", "FS=MRC", "CURRENCY=USD", "XLFILL=b")</f>
        <v>127055.45612610443</v>
      </c>
      <c r="H132" s="9">
        <f>_xll.BQL("SEG0000201693 Segment", "REV_PASS_MILES_KM/1M", "FPT=A", "FPO=2A", "ACT_EST_MAPPING=PRECISE", "FS=MRC", "CURRENCY=USD", "XLFILL=b")</f>
        <v>128983.40587475935</v>
      </c>
      <c r="I132" s="9">
        <f>_xll.BQL("SEG0000201693 Segment", "REV_PASS_MILES_KM/1M", "FPT=A", "FPO=1A", "ACT_EST_MAPPING=PRECISE", "FS=MRC", "CURRENCY=USD", "XLFILL=b")</f>
        <v>121706.58765612</v>
      </c>
      <c r="J132" s="9">
        <f>_xll.BQL("SEG0000201693 Segment", "REV_PASS_MILES_KM/1M", "FPT=A", "FPO=0A", "ACT_EST_MAPPING=PRECISE", "FS=MRC", "CURRENCY=USD", "XLFILL=b")</f>
        <v>107106</v>
      </c>
      <c r="K132" s="9">
        <f>_xll.BQL("SEG0000201693 Segment", "REV_PASS_MILES_KM/1M", "FPT=A", "FPO=-1A", "ACT_EST_MAPPING=PRECISE", "FS=MRC", "CURRENCY=USD", "XLFILL=b")</f>
        <v>82551</v>
      </c>
      <c r="L132" s="9">
        <f>_xll.BQL("SEG0000201693 Segment", "REV_PASS_MILES_KM/1M", "FPT=A", "FPO=-2A", "ACT_EST_MAPPING=PRECISE", "FS=MRC", "CURRENCY=USD", "XLFILL=b")</f>
        <v>38790</v>
      </c>
      <c r="M132" s="9">
        <f>_xll.BQL("SEG0000201693 Segment", "REV_PASS_MILES_KM/1M", "FPT=A", "FPO=-3A", "ACT_EST_MAPPING=PRECISE", "FS=MRC", "CURRENCY=USD", "XLFILL=b")</f>
        <v>25632</v>
      </c>
      <c r="N132" s="9">
        <f>_xll.BQL("SEG0000201693 Segment", "REV_PASS_MILES_KM/1M", "FPT=A", "FPO=-4A", "ACT_EST_MAPPING=PRECISE", "FS=MRC", "CURRENCY=USD", "XLFILL=b")</f>
        <v>101712</v>
      </c>
    </row>
    <row r="133" spans="1:14" x14ac:dyDescent="0.2">
      <c r="A133" s="8" t="s">
        <v>20</v>
      </c>
      <c r="B133" s="4" t="s">
        <v>27</v>
      </c>
      <c r="C133" s="4"/>
      <c r="D133" s="4" t="s">
        <v>113</v>
      </c>
      <c r="E133" s="9" t="str">
        <f>_xll.BQL("SEG0000201693 Segment", "FA_GROWTH(REV_PASS_MILES_KM, YOY)", "FPT=A", "FPO=5A", "ACT_EST_MAPPING=PRECISE", "FS=MRC", "CURRENCY=USD", "XLFILL=b")</f>
        <v/>
      </c>
      <c r="F133" s="9">
        <f>_xll.BQL("SEG0000201693 Segment", "FA_GROWTH(REV_PASS_MILES_KM, YOY)", "FPT=A", "FPO=4A", "ACT_EST_MAPPING=PRECISE", "FS=MRC", "CURRENCY=USD", "XLFILL=b")</f>
        <v>10.715371179322267</v>
      </c>
      <c r="G133" s="9">
        <f>_xll.BQL("SEG0000201693 Segment", "FA_GROWTH(REV_PASS_MILES_KM, YOY)", "FPT=A", "FPO=3A", "ACT_EST_MAPPING=PRECISE", "FS=MRC", "CURRENCY=USD", "XLFILL=b")</f>
        <v>-1.4947269655190591</v>
      </c>
      <c r="H133" s="9">
        <f>_xll.BQL("SEG0000201693 Segment", "FA_GROWTH(REV_PASS_MILES_KM, YOY)", "FPT=A", "FPO=2A", "ACT_EST_MAPPING=PRECISE", "FS=MRC", "CURRENCY=USD", "XLFILL=b")</f>
        <v>5.9789846702463558</v>
      </c>
      <c r="I133" s="9">
        <f>_xll.BQL("SEG0000201693 Segment", "FA_GROWTH(REV_PASS_MILES_KM, YOY)", "FPT=A", "FPO=1A", "ACT_EST_MAPPING=PRECISE", "FS=MRC", "CURRENCY=USD", "XLFILL=b")</f>
        <v>13.631904520867174</v>
      </c>
      <c r="J133" s="9">
        <f>_xll.BQL("SEG0000201693 Segment", "FA_GROWTH(REV_PASS_MILES_KM, YOY)", "FPT=A", "FPO=0A", "ACT_EST_MAPPING=PRECISE", "FS=MRC", "CURRENCY=USD", "XLFILL=b")</f>
        <v>29.745248391903186</v>
      </c>
      <c r="K133" s="9">
        <f>_xll.BQL("SEG0000201693 Segment", "FA_GROWTH(REV_PASS_MILES_KM, YOY)", "FPT=A", "FPO=-1A", "ACT_EST_MAPPING=PRECISE", "FS=MRC", "CURRENCY=USD", "XLFILL=b")</f>
        <v>112.81515854601702</v>
      </c>
      <c r="L133" s="9">
        <f>_xll.BQL("SEG0000201693 Segment", "FA_GROWTH(REV_PASS_MILES_KM, YOY)", "FPT=A", "FPO=-2A", "ACT_EST_MAPPING=PRECISE", "FS=MRC", "CURRENCY=USD", "XLFILL=b")</f>
        <v>51.334269662921351</v>
      </c>
      <c r="M133" s="9">
        <f>_xll.BQL("SEG0000201693 Segment", "FA_GROWTH(REV_PASS_MILES_KM, YOY)", "FPT=A", "FPO=-3A", "ACT_EST_MAPPING=PRECISE", "FS=MRC", "CURRENCY=USD", "XLFILL=b")</f>
        <v>-74.799433695139214</v>
      </c>
      <c r="N133" s="9">
        <f>_xll.BQL("SEG0000201693 Segment", "FA_GROWTH(REV_PASS_MILES_KM, YOY)", "FPT=A", "FPO=-4A", "ACT_EST_MAPPING=PRECISE", "FS=MRC", "CURRENCY=USD", "XLFILL=b")</f>
        <v>4.642091577632617</v>
      </c>
    </row>
    <row r="134" spans="1:14" x14ac:dyDescent="0.2">
      <c r="A134" s="8" t="s">
        <v>109</v>
      </c>
      <c r="B134" s="4" t="s">
        <v>30</v>
      </c>
      <c r="C134" s="4"/>
      <c r="D134" s="4" t="s">
        <v>113</v>
      </c>
      <c r="E134" s="9" t="str">
        <f>_xll.BQL("SEG0000201693 Segment", "AVAIL_SEAT_MILES_KM/1M", "FPT=A", "FPO=5A", "ACT_EST_MAPPING=PRECISE", "FS=MRC", "CURRENCY=USD", "XLFILL=b")</f>
        <v/>
      </c>
      <c r="F134" s="9">
        <f>_xll.BQL("SEG0000201693 Segment", "AVAIL_SEAT_MILES_KM/1M", "FPT=A", "FPO=4A", "ACT_EST_MAPPING=PRECISE", "FS=MRC", "CURRENCY=USD", "XLFILL=b")</f>
        <v>164435.6559724292</v>
      </c>
      <c r="G134" s="9">
        <f>_xll.BQL("SEG0000201693 Segment", "AVAIL_SEAT_MILES_KM/1M", "FPT=A", "FPO=3A", "ACT_EST_MAPPING=PRECISE", "FS=MRC", "CURRENCY=USD", "XLFILL=b")</f>
        <v>156639.33346652653</v>
      </c>
      <c r="H134" s="9">
        <f>_xll.BQL("SEG0000201693 Segment", "AVAIL_SEAT_MILES_KM/1M", "FPT=A", "FPO=2A", "ACT_EST_MAPPING=PRECISE", "FS=MRC", "CURRENCY=USD", "XLFILL=b")</f>
        <v>151259.25204471161</v>
      </c>
      <c r="I134" s="9">
        <f>_xll.BQL("SEG0000201693 Segment", "AVAIL_SEAT_MILES_KM/1M", "FPT=A", "FPO=1A", "ACT_EST_MAPPING=PRECISE", "FS=MRC", "CURRENCY=USD", "XLFILL=b")</f>
        <v>142998.53679500002</v>
      </c>
      <c r="J134" s="9">
        <f>_xll.BQL("SEG0000201693 Segment", "AVAIL_SEAT_MILES_KM/1M", "FPT=A", "FPO=0A", "ACT_EST_MAPPING=PRECISE", "FS=MRC", "CURRENCY=USD", "XLFILL=b")</f>
        <v>130013</v>
      </c>
      <c r="K134" s="9">
        <f>_xll.BQL("SEG0000201693 Segment", "AVAIL_SEAT_MILES_KM/1M", "FPT=A", "FPO=-1A", "ACT_EST_MAPPING=PRECISE", "FS=MRC", "CURRENCY=USD", "XLFILL=b")</f>
        <v>102544</v>
      </c>
      <c r="L134" s="9">
        <f>_xll.BQL("SEG0000201693 Segment", "AVAIL_SEAT_MILES_KM/1M", "FPT=A", "FPO=-2A", "ACT_EST_MAPPING=PRECISE", "FS=MRC", "CURRENCY=USD", "XLFILL=b")</f>
        <v>65783</v>
      </c>
      <c r="M134" s="9">
        <f>_xll.BQL("SEG0000201693 Segment", "AVAIL_SEAT_MILES_KM/1M", "FPT=A", "FPO=-3A", "ACT_EST_MAPPING=PRECISE", "FS=MRC", "CURRENCY=USD", "XLFILL=b")</f>
        <v>46502</v>
      </c>
      <c r="N134" s="9">
        <f>_xll.BQL("SEG0000201693 Segment", "AVAIL_SEAT_MILES_KM/1M", "FPT=A", "FPO=-4A", "ACT_EST_MAPPING=PRECISE", "FS=MRC", "CURRENCY=USD", "XLFILL=b")</f>
        <v>123507</v>
      </c>
    </row>
    <row r="135" spans="1:14" x14ac:dyDescent="0.2">
      <c r="A135" s="8" t="s">
        <v>20</v>
      </c>
      <c r="B135" s="4" t="s">
        <v>30</v>
      </c>
      <c r="C135" s="4"/>
      <c r="D135" s="4" t="s">
        <v>113</v>
      </c>
      <c r="E135" s="9" t="str">
        <f>_xll.BQL("SEG0000201693 Segment", "FA_GROWTH(AVAIL_SEAT_MILES_KM, YOY)", "FPT=A", "FPO=5A", "ACT_EST_MAPPING=PRECISE", "FS=MRC", "CURRENCY=USD", "XLFILL=b")</f>
        <v/>
      </c>
      <c r="F135" s="9">
        <f>_xll.BQL("SEG0000201693 Segment", "FA_GROWTH(AVAIL_SEAT_MILES_KM, YOY)", "FPT=A", "FPO=4A", "ACT_EST_MAPPING=PRECISE", "FS=MRC", "CURRENCY=USD", "XLFILL=b")</f>
        <v>4.9772444336714035</v>
      </c>
      <c r="G135" s="9">
        <f>_xll.BQL("SEG0000201693 Segment", "FA_GROWTH(AVAIL_SEAT_MILES_KM, YOY)", "FPT=A", "FPO=3A", "ACT_EST_MAPPING=PRECISE", "FS=MRC", "CURRENCY=USD", "XLFILL=b")</f>
        <v>3.5568610508695238</v>
      </c>
      <c r="H135" s="9">
        <f>_xll.BQL("SEG0000201693 Segment", "FA_GROWTH(AVAIL_SEAT_MILES_KM, YOY)", "FPT=A", "FPO=2A", "ACT_EST_MAPPING=PRECISE", "FS=MRC", "CURRENCY=USD", "XLFILL=b")</f>
        <v>5.7767830600630425</v>
      </c>
      <c r="I135" s="9">
        <f>_xll.BQL("SEG0000201693 Segment", "FA_GROWTH(AVAIL_SEAT_MILES_KM, YOY)", "FPT=A", "FPO=1A", "ACT_EST_MAPPING=PRECISE", "FS=MRC", "CURRENCY=USD", "XLFILL=b")</f>
        <v>9.9878756701253177</v>
      </c>
      <c r="J135" s="9">
        <f>_xll.BQL("SEG0000201693 Segment", "FA_GROWTH(AVAIL_SEAT_MILES_KM, YOY)", "FPT=A", "FPO=0A", "ACT_EST_MAPPING=PRECISE", "FS=MRC", "CURRENCY=USD", "XLFILL=b")</f>
        <v>26.787525354969574</v>
      </c>
      <c r="K135" s="9">
        <f>_xll.BQL("SEG0000201693 Segment", "FA_GROWTH(AVAIL_SEAT_MILES_KM, YOY)", "FPT=A", "FPO=-1A", "ACT_EST_MAPPING=PRECISE", "FS=MRC", "CURRENCY=USD", "XLFILL=b")</f>
        <v>55.88221881033094</v>
      </c>
      <c r="L135" s="9">
        <f>_xll.BQL("SEG0000201693 Segment", "FA_GROWTH(AVAIL_SEAT_MILES_KM, YOY)", "FPT=A", "FPO=-2A", "ACT_EST_MAPPING=PRECISE", "FS=MRC", "CURRENCY=USD", "XLFILL=b")</f>
        <v>41.46273278568664</v>
      </c>
      <c r="M135" s="9">
        <f>_xll.BQL("SEG0000201693 Segment", "FA_GROWTH(AVAIL_SEAT_MILES_KM, YOY)", "FPT=A", "FPO=-3A", "ACT_EST_MAPPING=PRECISE", "FS=MRC", "CURRENCY=USD", "XLFILL=b")</f>
        <v>-62.348692786643674</v>
      </c>
      <c r="N135" s="9">
        <f>_xll.BQL("SEG0000201693 Segment", "FA_GROWTH(AVAIL_SEAT_MILES_KM, YOY)", "FPT=A", "FPO=-4A", "ACT_EST_MAPPING=PRECISE", "FS=MRC", "CURRENCY=USD", "XLFILL=b")</f>
        <v>3.2456545969862924</v>
      </c>
    </row>
    <row r="136" spans="1:14" x14ac:dyDescent="0.2">
      <c r="A136" s="8" t="s">
        <v>111</v>
      </c>
      <c r="B136" s="4" t="s">
        <v>33</v>
      </c>
      <c r="C136" s="4"/>
      <c r="D136" s="4" t="s">
        <v>113</v>
      </c>
      <c r="E136" s="9" t="str">
        <f>_xll.BQL("SEG0000201693 Segment", "LOAD_FACTOR", "FPT=A", "FPO=5A", "ACT_EST_MAPPING=PRECISE", "FS=MRC", "CURRENCY=USD", "XLFILL=b")</f>
        <v/>
      </c>
      <c r="F136" s="9">
        <f>_xll.BQL("SEG0000201693 Segment", "LOAD_FACTOR", "FPT=A", "FPO=4A", "ACT_EST_MAPPING=PRECISE", "FS=MRC", "CURRENCY=USD", "XLFILL=b")</f>
        <v>85.547090758213344</v>
      </c>
      <c r="G136" s="9">
        <f>_xll.BQL("SEG0000201693 Segment", "LOAD_FACTOR", "FPT=A", "FPO=3A", "ACT_EST_MAPPING=PRECISE", "FS=MRC", "CURRENCY=USD", "XLFILL=b")</f>
        <v>81.889887333630369</v>
      </c>
      <c r="H136" s="9">
        <f>_xll.BQL("SEG0000201693 Segment", "LOAD_FACTOR", "FPT=A", "FPO=2A", "ACT_EST_MAPPING=PRECISE", "FS=MRC", "CURRENCY=USD", "XLFILL=b")</f>
        <v>85.717168686771075</v>
      </c>
      <c r="I136" s="9">
        <f>_xll.BQL("SEG0000201693 Segment", "LOAD_FACTOR", "FPT=A", "FPO=1A", "ACT_EST_MAPPING=PRECISE", "FS=MRC", "CURRENCY=USD", "XLFILL=b")</f>
        <v>82.345132091811706</v>
      </c>
      <c r="J136" s="9">
        <f>_xll.BQL("SEG0000201693 Segment", "LOAD_FACTOR", "FPT=A", "FPO=0A", "ACT_EST_MAPPING=PRECISE", "FS=MRC", "CURRENCY=USD", "XLFILL=b")</f>
        <v>82.4</v>
      </c>
      <c r="K136" s="9">
        <f>_xll.BQL("SEG0000201693 Segment", "LOAD_FACTOR", "FPT=A", "FPO=-1A", "ACT_EST_MAPPING=PRECISE", "FS=MRC", "CURRENCY=USD", "XLFILL=b")</f>
        <v>80.5</v>
      </c>
      <c r="L136" s="9">
        <f>_xll.BQL("SEG0000201693 Segment", "LOAD_FACTOR", "FPT=A", "FPO=-2A", "ACT_EST_MAPPING=PRECISE", "FS=MRC", "CURRENCY=USD", "XLFILL=b")</f>
        <v>59</v>
      </c>
      <c r="M136" s="9">
        <f>_xll.BQL("SEG0000201693 Segment", "LOAD_FACTOR", "FPT=A", "FPO=-3A", "ACT_EST_MAPPING=PRECISE", "FS=MRC", "CURRENCY=USD", "XLFILL=b")</f>
        <v>55.1</v>
      </c>
      <c r="N136" s="9">
        <f>_xll.BQL("SEG0000201693 Segment", "LOAD_FACTOR", "FPT=A", "FPO=-4A", "ACT_EST_MAPPING=PRECISE", "FS=MRC", "CURRENCY=USD", "XLFILL=b")</f>
        <v>82.4</v>
      </c>
    </row>
    <row r="137" spans="1:14" x14ac:dyDescent="0.2">
      <c r="A137" s="8" t="s">
        <v>20</v>
      </c>
      <c r="B137" s="4" t="s">
        <v>33</v>
      </c>
      <c r="C137" s="4"/>
      <c r="D137" s="4" t="s">
        <v>113</v>
      </c>
      <c r="E137" s="9" t="str">
        <f>_xll.BQL("SEG0000201693 Segment", "FA_GROWTH(LOAD_FACTOR, YOY)", "FPT=A", "FPO=5A", "ACT_EST_MAPPING=PRECISE", "FS=MRC", "CURRENCY=USD", "XLFILL=b")</f>
        <v/>
      </c>
      <c r="F137" s="9">
        <f>_xll.BQL("SEG0000201693 Segment", "FA_GROWTH(LOAD_FACTOR, YOY)", "FPT=A", "FPO=4A", "ACT_EST_MAPPING=PRECISE", "FS=MRC", "CURRENCY=USD", "XLFILL=b")</f>
        <v>4.4660012898577301</v>
      </c>
      <c r="G137" s="9">
        <f>_xll.BQL("SEG0000201693 Segment", "FA_GROWTH(LOAD_FACTOR, YOY)", "FPT=A", "FPO=3A", "ACT_EST_MAPPING=PRECISE", "FS=MRC", "CURRENCY=USD", "XLFILL=b")</f>
        <v>-4.4650113994390228</v>
      </c>
      <c r="H137" s="9">
        <f>_xll.BQL("SEG0000201693 Segment", "FA_GROWTH(LOAD_FACTOR, YOY)", "FPT=A", "FPO=2A", "ACT_EST_MAPPING=PRECISE", "FS=MRC", "CURRENCY=USD", "XLFILL=b")</f>
        <v>4.0950041724381174</v>
      </c>
      <c r="I137" s="9">
        <f>_xll.BQL("SEG0000201693 Segment", "FA_GROWTH(LOAD_FACTOR, YOY)", "FPT=A", "FPO=1A", "ACT_EST_MAPPING=PRECISE", "FS=MRC", "CURRENCY=USD", "XLFILL=b")</f>
        <v>-6.6587267218810017E-2</v>
      </c>
      <c r="J137" s="9">
        <f>_xll.BQL("SEG0000201693 Segment", "FA_GROWTH(LOAD_FACTOR, YOY)", "FPT=A", "FPO=0A", "ACT_EST_MAPPING=PRECISE", "FS=MRC", "CURRENCY=USD", "XLFILL=b")</f>
        <v>2.3602484472049761</v>
      </c>
      <c r="K137" s="9">
        <f>_xll.BQL("SEG0000201693 Segment", "FA_GROWTH(LOAD_FACTOR, YOY)", "FPT=A", "FPO=-1A", "ACT_EST_MAPPING=PRECISE", "FS=MRC", "CURRENCY=USD", "XLFILL=b")</f>
        <v>36.440677966101696</v>
      </c>
      <c r="L137" s="9">
        <f>_xll.BQL("SEG0000201693 Segment", "FA_GROWTH(LOAD_FACTOR, YOY)", "FPT=A", "FPO=-2A", "ACT_EST_MAPPING=PRECISE", "FS=MRC", "CURRENCY=USD", "XLFILL=b")</f>
        <v>7.0780399274047161</v>
      </c>
      <c r="M137" s="9">
        <f>_xll.BQL("SEG0000201693 Segment", "FA_GROWTH(LOAD_FACTOR, YOY)", "FPT=A", "FPO=-3A", "ACT_EST_MAPPING=PRECISE", "FS=MRC", "CURRENCY=USD", "XLFILL=b")</f>
        <v>-33.131067961165051</v>
      </c>
      <c r="N137" s="9">
        <f>_xll.BQL("SEG0000201693 Segment", "FA_GROWTH(LOAD_FACTOR, YOY)", "FPT=A", "FPO=-4A", "ACT_EST_MAPPING=PRECISE", "FS=MRC", "CURRENCY=USD", "XLFILL=b")</f>
        <v>1.3530135301353119</v>
      </c>
    </row>
    <row r="138" spans="1:14" x14ac:dyDescent="0.2">
      <c r="A138" s="8" t="s">
        <v>114</v>
      </c>
      <c r="B138" s="4"/>
      <c r="C138" s="4"/>
      <c r="D138" s="4"/>
      <c r="E138" s="9"/>
      <c r="F138" s="9"/>
      <c r="G138" s="9"/>
      <c r="H138" s="9"/>
      <c r="I138" s="9"/>
      <c r="J138" s="9"/>
      <c r="K138" s="9"/>
      <c r="L138" s="9"/>
      <c r="M138" s="9"/>
      <c r="N138" s="9"/>
    </row>
    <row r="139" spans="1:14" x14ac:dyDescent="0.2">
      <c r="A139" s="8" t="s">
        <v>115</v>
      </c>
      <c r="B139" s="4" t="s">
        <v>27</v>
      </c>
      <c r="C139" s="4" t="s">
        <v>107</v>
      </c>
      <c r="D139" s="4" t="s">
        <v>116</v>
      </c>
      <c r="E139" s="9" t="str">
        <f>_xll.BQL("SEG0000663295 Segment", "REV_PASS_MILES_KM/1M", "FPT=A", "FPO=5A", "ACT_EST_MAPPING=PRECISE", "FS=MRC", "CURRENCY=USD", "XLFILL=b")</f>
        <v/>
      </c>
      <c r="F139" s="9" t="str">
        <f>_xll.BQL("SEG0000663295 Segment", "REV_PASS_MILES_KM/1M", "FPT=A", "FPO=4A", "ACT_EST_MAPPING=PRECISE", "FS=MRC", "CURRENCY=USD", "XLFILL=b")</f>
        <v/>
      </c>
      <c r="G139" s="9" t="str">
        <f>_xll.BQL("SEG0000663295 Segment", "REV_PASS_MILES_KM/1M", "FPT=A", "FPO=3A", "ACT_EST_MAPPING=PRECISE", "FS=MRC", "CURRENCY=USD", "XLFILL=b")</f>
        <v/>
      </c>
      <c r="H139" s="9" t="str">
        <f>_xll.BQL("SEG0000663295 Segment", "REV_PASS_MILES_KM/1M", "FPT=A", "FPO=2A", "ACT_EST_MAPPING=PRECISE", "FS=MRC", "CURRENCY=USD", "XLFILL=b")</f>
        <v/>
      </c>
      <c r="I139" s="9" t="str">
        <f>_xll.BQL("SEG0000663295 Segment", "REV_PASS_MILES_KM/1M", "FPT=A", "FPO=1A", "ACT_EST_MAPPING=PRECISE", "FS=MRC", "CURRENCY=USD", "XLFILL=b")</f>
        <v/>
      </c>
      <c r="J139" s="9">
        <f>_xll.BQL("SEG0000663295 Segment", "REV_PASS_MILES_KM/1M", "FPT=A", "FPO=0A", "ACT_EST_MAPPING=PRECISE", "FS=MRC", "CURRENCY=USD", "XLFILL=b")</f>
        <v>45642</v>
      </c>
      <c r="K139" s="9">
        <f>_xll.BQL("SEG0000663295 Segment", "REV_PASS_MILES_KM/1M", "FPT=A", "FPO=-1A", "ACT_EST_MAPPING=PRECISE", "FS=MRC", "CURRENCY=USD", "XLFILL=b")</f>
        <v>37641</v>
      </c>
      <c r="L139" s="9" t="str">
        <f>_xll.BQL("SEG0000663295 Segment", "REV_PASS_MILES_KM/1M", "FPT=A", "FPO=-2A", "ACT_EST_MAPPING=PRECISE", "FS=MRC", "CURRENCY=USD", "XLFILL=b")</f>
        <v/>
      </c>
      <c r="M139" s="9" t="str">
        <f>_xll.BQL("SEG0000663295 Segment", "REV_PASS_MILES_KM/1M", "FPT=A", "FPO=-3A", "ACT_EST_MAPPING=PRECISE", "FS=MRC", "CURRENCY=USD", "XLFILL=b")</f>
        <v/>
      </c>
      <c r="N139" s="9" t="str">
        <f>_xll.BQL("SEG0000663295 Segment", "REV_PASS_MILES_KM/1M", "FPT=A", "FPO=-4A", "ACT_EST_MAPPING=PRECISE", "FS=MRC", "CURRENCY=USD", "XLFILL=b")</f>
        <v/>
      </c>
    </row>
    <row r="140" spans="1:14" x14ac:dyDescent="0.2">
      <c r="A140" s="8" t="s">
        <v>86</v>
      </c>
      <c r="B140" s="4" t="s">
        <v>27</v>
      </c>
      <c r="C140" s="4" t="s">
        <v>107</v>
      </c>
      <c r="D140" s="4" t="s">
        <v>116</v>
      </c>
      <c r="E140" s="9" t="str">
        <f>_xll.BQL("SEG0000663295 Segment", "FA_GROWTH(REV_PASS_MILES_KM, YOY)", "FPT=A", "FPO=5A", "ACT_EST_MAPPING=PRECISE", "FS=MRC", "CURRENCY=USD", "XLFILL=b")</f>
        <v/>
      </c>
      <c r="F140" s="9" t="str">
        <f>_xll.BQL("SEG0000663295 Segment", "FA_GROWTH(REV_PASS_MILES_KM, YOY)", "FPT=A", "FPO=4A", "ACT_EST_MAPPING=PRECISE", "FS=MRC", "CURRENCY=USD", "XLFILL=b")</f>
        <v/>
      </c>
      <c r="G140" s="9" t="str">
        <f>_xll.BQL("SEG0000663295 Segment", "FA_GROWTH(REV_PASS_MILES_KM, YOY)", "FPT=A", "FPO=3A", "ACT_EST_MAPPING=PRECISE", "FS=MRC", "CURRENCY=USD", "XLFILL=b")</f>
        <v/>
      </c>
      <c r="H140" s="9" t="str">
        <f>_xll.BQL("SEG0000663295 Segment", "FA_GROWTH(REV_PASS_MILES_KM, YOY)", "FPT=A", "FPO=2A", "ACT_EST_MAPPING=PRECISE", "FS=MRC", "CURRENCY=USD", "XLFILL=b")</f>
        <v/>
      </c>
      <c r="I140" s="9" t="str">
        <f>_xll.BQL("SEG0000663295 Segment", "FA_GROWTH(REV_PASS_MILES_KM, YOY)", "FPT=A", "FPO=1A", "ACT_EST_MAPPING=PRECISE", "FS=MRC", "CURRENCY=USD", "XLFILL=b")</f>
        <v/>
      </c>
      <c r="J140" s="9">
        <f>_xll.BQL("SEG0000663295 Segment", "FA_GROWTH(REV_PASS_MILES_KM, YOY)", "FPT=A", "FPO=0A", "ACT_EST_MAPPING=PRECISE", "FS=MRC", "CURRENCY=USD", "XLFILL=b")</f>
        <v>21.256077149916315</v>
      </c>
      <c r="K140" s="9" t="str">
        <f>_xll.BQL("SEG0000663295 Segment", "FA_GROWTH(REV_PASS_MILES_KM, YOY)", "FPT=A", "FPO=-1A", "ACT_EST_MAPPING=PRECISE", "FS=MRC", "CURRENCY=USD", "XLFILL=b")</f>
        <v/>
      </c>
      <c r="L140" s="9" t="str">
        <f>_xll.BQL("SEG0000663295 Segment", "FA_GROWTH(REV_PASS_MILES_KM, YOY)", "FPT=A", "FPO=-2A", "ACT_EST_MAPPING=PRECISE", "FS=MRC", "CURRENCY=USD", "XLFILL=b")</f>
        <v/>
      </c>
      <c r="M140" s="9" t="str">
        <f>_xll.BQL("SEG0000663295 Segment", "FA_GROWTH(REV_PASS_MILES_KM, YOY)", "FPT=A", "FPO=-3A", "ACT_EST_MAPPING=PRECISE", "FS=MRC", "CURRENCY=USD", "XLFILL=b")</f>
        <v/>
      </c>
      <c r="N140" s="9" t="str">
        <f>_xll.BQL("SEG0000663295 Segment", "FA_GROWTH(REV_PASS_MILES_KM, YOY)", "FPT=A", "FPO=-4A", "ACT_EST_MAPPING=PRECISE", "FS=MRC", "CURRENCY=USD", "XLFILL=b")</f>
        <v/>
      </c>
    </row>
    <row r="141" spans="1:14" x14ac:dyDescent="0.2">
      <c r="A141" s="8" t="s">
        <v>117</v>
      </c>
      <c r="B141" s="4" t="s">
        <v>30</v>
      </c>
      <c r="C141" s="4" t="s">
        <v>110</v>
      </c>
      <c r="D141" s="4" t="s">
        <v>116</v>
      </c>
      <c r="E141" s="9" t="str">
        <f>_xll.BQL("SEG0000663295 Segment", "AVAIL_SEAT_MILES_KM/1M", "FPT=A", "FPO=5A", "ACT_EST_MAPPING=PRECISE", "FS=MRC", "CURRENCY=USD", "XLFILL=b")</f>
        <v/>
      </c>
      <c r="F141" s="9" t="str">
        <f>_xll.BQL("SEG0000663295 Segment", "AVAIL_SEAT_MILES_KM/1M", "FPT=A", "FPO=4A", "ACT_EST_MAPPING=PRECISE", "FS=MRC", "CURRENCY=USD", "XLFILL=b")</f>
        <v/>
      </c>
      <c r="G141" s="9" t="str">
        <f>_xll.BQL("SEG0000663295 Segment", "AVAIL_SEAT_MILES_KM/1M", "FPT=A", "FPO=3A", "ACT_EST_MAPPING=PRECISE", "FS=MRC", "CURRENCY=USD", "XLFILL=b")</f>
        <v/>
      </c>
      <c r="H141" s="9" t="str">
        <f>_xll.BQL("SEG0000663295 Segment", "AVAIL_SEAT_MILES_KM/1M", "FPT=A", "FPO=2A", "ACT_EST_MAPPING=PRECISE", "FS=MRC", "CURRENCY=USD", "XLFILL=b")</f>
        <v/>
      </c>
      <c r="I141" s="9" t="str">
        <f>_xll.BQL("SEG0000663295 Segment", "AVAIL_SEAT_MILES_KM/1M", "FPT=A", "FPO=1A", "ACT_EST_MAPPING=PRECISE", "FS=MRC", "CURRENCY=USD", "XLFILL=b")</f>
        <v/>
      </c>
      <c r="J141" s="9">
        <f>_xll.BQL("SEG0000663295 Segment", "AVAIL_SEAT_MILES_KM/1M", "FPT=A", "FPO=0A", "ACT_EST_MAPPING=PRECISE", "FS=MRC", "CURRENCY=USD", "XLFILL=b")</f>
        <v>55744</v>
      </c>
      <c r="K141" s="9">
        <f>_xll.BQL("SEG0000663295 Segment", "AVAIL_SEAT_MILES_KM/1M", "FPT=A", "FPO=-1A", "ACT_EST_MAPPING=PRECISE", "FS=MRC", "CURRENCY=USD", "XLFILL=b")</f>
        <v>45870</v>
      </c>
      <c r="L141" s="9" t="str">
        <f>_xll.BQL("SEG0000663295 Segment", "AVAIL_SEAT_MILES_KM/1M", "FPT=A", "FPO=-2A", "ACT_EST_MAPPING=PRECISE", "FS=MRC", "CURRENCY=USD", "XLFILL=b")</f>
        <v/>
      </c>
      <c r="M141" s="9" t="str">
        <f>_xll.BQL("SEG0000663295 Segment", "AVAIL_SEAT_MILES_KM/1M", "FPT=A", "FPO=-3A", "ACT_EST_MAPPING=PRECISE", "FS=MRC", "CURRENCY=USD", "XLFILL=b")</f>
        <v/>
      </c>
      <c r="N141" s="9" t="str">
        <f>_xll.BQL("SEG0000663295 Segment", "AVAIL_SEAT_MILES_KM/1M", "FPT=A", "FPO=-4A", "ACT_EST_MAPPING=PRECISE", "FS=MRC", "CURRENCY=USD", "XLFILL=b")</f>
        <v/>
      </c>
    </row>
    <row r="142" spans="1:14" x14ac:dyDescent="0.2">
      <c r="A142" s="8" t="s">
        <v>86</v>
      </c>
      <c r="B142" s="4" t="s">
        <v>30</v>
      </c>
      <c r="C142" s="4" t="s">
        <v>110</v>
      </c>
      <c r="D142" s="4" t="s">
        <v>116</v>
      </c>
      <c r="E142" s="9" t="str">
        <f>_xll.BQL("SEG0000663295 Segment", "FA_GROWTH(AVAIL_SEAT_MILES_KM, YOY)", "FPT=A", "FPO=5A", "ACT_EST_MAPPING=PRECISE", "FS=MRC", "CURRENCY=USD", "XLFILL=b")</f>
        <v/>
      </c>
      <c r="F142" s="9" t="str">
        <f>_xll.BQL("SEG0000663295 Segment", "FA_GROWTH(AVAIL_SEAT_MILES_KM, YOY)", "FPT=A", "FPO=4A", "ACT_EST_MAPPING=PRECISE", "FS=MRC", "CURRENCY=USD", "XLFILL=b")</f>
        <v/>
      </c>
      <c r="G142" s="9" t="str">
        <f>_xll.BQL("SEG0000663295 Segment", "FA_GROWTH(AVAIL_SEAT_MILES_KM, YOY)", "FPT=A", "FPO=3A", "ACT_EST_MAPPING=PRECISE", "FS=MRC", "CURRENCY=USD", "XLFILL=b")</f>
        <v/>
      </c>
      <c r="H142" s="9" t="str">
        <f>_xll.BQL("SEG0000663295 Segment", "FA_GROWTH(AVAIL_SEAT_MILES_KM, YOY)", "FPT=A", "FPO=2A", "ACT_EST_MAPPING=PRECISE", "FS=MRC", "CURRENCY=USD", "XLFILL=b")</f>
        <v/>
      </c>
      <c r="I142" s="9" t="str">
        <f>_xll.BQL("SEG0000663295 Segment", "FA_GROWTH(AVAIL_SEAT_MILES_KM, YOY)", "FPT=A", "FPO=1A", "ACT_EST_MAPPING=PRECISE", "FS=MRC", "CURRENCY=USD", "XLFILL=b")</f>
        <v/>
      </c>
      <c r="J142" s="9">
        <f>_xll.BQL("SEG0000663295 Segment", "FA_GROWTH(AVAIL_SEAT_MILES_KM, YOY)", "FPT=A", "FPO=0A", "ACT_EST_MAPPING=PRECISE", "FS=MRC", "CURRENCY=USD", "XLFILL=b")</f>
        <v>21.526051885764115</v>
      </c>
      <c r="K142" s="9" t="str">
        <f>_xll.BQL("SEG0000663295 Segment", "FA_GROWTH(AVAIL_SEAT_MILES_KM, YOY)", "FPT=A", "FPO=-1A", "ACT_EST_MAPPING=PRECISE", "FS=MRC", "CURRENCY=USD", "XLFILL=b")</f>
        <v/>
      </c>
      <c r="L142" s="9" t="str">
        <f>_xll.BQL("SEG0000663295 Segment", "FA_GROWTH(AVAIL_SEAT_MILES_KM, YOY)", "FPT=A", "FPO=-2A", "ACT_EST_MAPPING=PRECISE", "FS=MRC", "CURRENCY=USD", "XLFILL=b")</f>
        <v/>
      </c>
      <c r="M142" s="9" t="str">
        <f>_xll.BQL("SEG0000663295 Segment", "FA_GROWTH(AVAIL_SEAT_MILES_KM, YOY)", "FPT=A", "FPO=-3A", "ACT_EST_MAPPING=PRECISE", "FS=MRC", "CURRENCY=USD", "XLFILL=b")</f>
        <v/>
      </c>
      <c r="N142" s="9" t="str">
        <f>_xll.BQL("SEG0000663295 Segment", "FA_GROWTH(AVAIL_SEAT_MILES_KM, YOY)", "FPT=A", "FPO=-4A", "ACT_EST_MAPPING=PRECISE", "FS=MRC", "CURRENCY=USD", "XLFILL=b")</f>
        <v/>
      </c>
    </row>
    <row r="143" spans="1:14" x14ac:dyDescent="0.2">
      <c r="A143" s="8" t="s">
        <v>118</v>
      </c>
      <c r="B143" s="4" t="s">
        <v>33</v>
      </c>
      <c r="C143" s="4" t="s">
        <v>34</v>
      </c>
      <c r="D143" s="4" t="s">
        <v>116</v>
      </c>
      <c r="E143" s="9" t="str">
        <f>_xll.BQL("SEG0000663295 Segment", "LOAD_FACTOR", "FPT=A", "FPO=5A", "ACT_EST_MAPPING=PRECISE", "FS=MRC", "CURRENCY=USD", "XLFILL=b")</f>
        <v/>
      </c>
      <c r="F143" s="9" t="str">
        <f>_xll.BQL("SEG0000663295 Segment", "LOAD_FACTOR", "FPT=A", "FPO=4A", "ACT_EST_MAPPING=PRECISE", "FS=MRC", "CURRENCY=USD", "XLFILL=b")</f>
        <v/>
      </c>
      <c r="G143" s="9" t="str">
        <f>_xll.BQL("SEG0000663295 Segment", "LOAD_FACTOR", "FPT=A", "FPO=3A", "ACT_EST_MAPPING=PRECISE", "FS=MRC", "CURRENCY=USD", "XLFILL=b")</f>
        <v/>
      </c>
      <c r="H143" s="9" t="str">
        <f>_xll.BQL("SEG0000663295 Segment", "LOAD_FACTOR", "FPT=A", "FPO=2A", "ACT_EST_MAPPING=PRECISE", "FS=MRC", "CURRENCY=USD", "XLFILL=b")</f>
        <v/>
      </c>
      <c r="I143" s="9" t="str">
        <f>_xll.BQL("SEG0000663295 Segment", "LOAD_FACTOR", "FPT=A", "FPO=1A", "ACT_EST_MAPPING=PRECISE", "FS=MRC", "CURRENCY=USD", "XLFILL=b")</f>
        <v/>
      </c>
      <c r="J143" s="9" t="str">
        <f>_xll.BQL("SEG0000663295 Segment", "LOAD_FACTOR", "FPT=A", "FPO=0A", "ACT_EST_MAPPING=PRECISE", "FS=MRC", "CURRENCY=USD", "XLFILL=b")</f>
        <v/>
      </c>
      <c r="K143" s="9" t="str">
        <f>_xll.BQL("SEG0000663295 Segment", "LOAD_FACTOR", "FPT=A", "FPO=-1A", "ACT_EST_MAPPING=PRECISE", "FS=MRC", "CURRENCY=USD", "XLFILL=b")</f>
        <v/>
      </c>
      <c r="L143" s="9" t="str">
        <f>_xll.BQL("SEG0000663295 Segment", "LOAD_FACTOR", "FPT=A", "FPO=-2A", "ACT_EST_MAPPING=PRECISE", "FS=MRC", "CURRENCY=USD", "XLFILL=b")</f>
        <v/>
      </c>
      <c r="M143" s="9" t="str">
        <f>_xll.BQL("SEG0000663295 Segment", "LOAD_FACTOR", "FPT=A", "FPO=-3A", "ACT_EST_MAPPING=PRECISE", "FS=MRC", "CURRENCY=USD", "XLFILL=b")</f>
        <v/>
      </c>
      <c r="N143" s="9" t="str">
        <f>_xll.BQL("SEG0000663295 Segment", "LOAD_FACTOR", "FPT=A", "FPO=-4A", "ACT_EST_MAPPING=PRECISE", "FS=MRC", "CURRENCY=USD", "XLFILL=b")</f>
        <v/>
      </c>
    </row>
    <row r="144" spans="1:14" x14ac:dyDescent="0.2">
      <c r="A144" s="8" t="s">
        <v>86</v>
      </c>
      <c r="B144" s="4" t="s">
        <v>33</v>
      </c>
      <c r="C144" s="4" t="s">
        <v>34</v>
      </c>
      <c r="D144" s="4" t="s">
        <v>116</v>
      </c>
      <c r="E144" s="9" t="str">
        <f>_xll.BQL("SEG0000663295 Segment", "FA_GROWTH(LOAD_FACTOR, YOY)", "FPT=A", "FPO=5A", "ACT_EST_MAPPING=PRECISE", "FS=MRC", "CURRENCY=USD", "XLFILL=b")</f>
        <v/>
      </c>
      <c r="F144" s="9" t="str">
        <f>_xll.BQL("SEG0000663295 Segment", "FA_GROWTH(LOAD_FACTOR, YOY)", "FPT=A", "FPO=4A", "ACT_EST_MAPPING=PRECISE", "FS=MRC", "CURRENCY=USD", "XLFILL=b")</f>
        <v/>
      </c>
      <c r="G144" s="9" t="str">
        <f>_xll.BQL("SEG0000663295 Segment", "FA_GROWTH(LOAD_FACTOR, YOY)", "FPT=A", "FPO=3A", "ACT_EST_MAPPING=PRECISE", "FS=MRC", "CURRENCY=USD", "XLFILL=b")</f>
        <v/>
      </c>
      <c r="H144" s="9" t="str">
        <f>_xll.BQL("SEG0000663295 Segment", "FA_GROWTH(LOAD_FACTOR, YOY)", "FPT=A", "FPO=2A", "ACT_EST_MAPPING=PRECISE", "FS=MRC", "CURRENCY=USD", "XLFILL=b")</f>
        <v/>
      </c>
      <c r="I144" s="9" t="str">
        <f>_xll.BQL("SEG0000663295 Segment", "FA_GROWTH(LOAD_FACTOR, YOY)", "FPT=A", "FPO=1A", "ACT_EST_MAPPING=PRECISE", "FS=MRC", "CURRENCY=USD", "XLFILL=b")</f>
        <v/>
      </c>
      <c r="J144" s="9" t="str">
        <f>_xll.BQL("SEG0000663295 Segment", "FA_GROWTH(LOAD_FACTOR, YOY)", "FPT=A", "FPO=0A", "ACT_EST_MAPPING=PRECISE", "FS=MRC", "CURRENCY=USD", "XLFILL=b")</f>
        <v/>
      </c>
      <c r="K144" s="9" t="str">
        <f>_xll.BQL("SEG0000663295 Segment", "FA_GROWTH(LOAD_FACTOR, YOY)", "FPT=A", "FPO=-1A", "ACT_EST_MAPPING=PRECISE", "FS=MRC", "CURRENCY=USD", "XLFILL=b")</f>
        <v/>
      </c>
      <c r="L144" s="9" t="str">
        <f>_xll.BQL("SEG0000663295 Segment", "FA_GROWTH(LOAD_FACTOR, YOY)", "FPT=A", "FPO=-2A", "ACT_EST_MAPPING=PRECISE", "FS=MRC", "CURRENCY=USD", "XLFILL=b")</f>
        <v/>
      </c>
      <c r="M144" s="9" t="str">
        <f>_xll.BQL("SEG0000663295 Segment", "FA_GROWTH(LOAD_FACTOR, YOY)", "FPT=A", "FPO=-3A", "ACT_EST_MAPPING=PRECISE", "FS=MRC", "CURRENCY=USD", "XLFILL=b")</f>
        <v/>
      </c>
      <c r="N144" s="9" t="str">
        <f>_xll.BQL("SEG0000663295 Segment", "FA_GROWTH(LOAD_FACTOR, YOY)", "FPT=A", "FPO=-4A", "ACT_EST_MAPPING=PRECISE", "FS=MRC", "CURRENCY=USD", "XLFILL=b")</f>
        <v/>
      </c>
    </row>
    <row r="145" spans="1:14" x14ac:dyDescent="0.2">
      <c r="A145" s="8" t="s">
        <v>119</v>
      </c>
      <c r="B145" s="4"/>
      <c r="C145" s="4"/>
      <c r="D145" s="4"/>
      <c r="E145" s="9"/>
      <c r="F145" s="9"/>
      <c r="G145" s="9"/>
      <c r="H145" s="9"/>
      <c r="I145" s="9"/>
      <c r="J145" s="9"/>
      <c r="K145" s="9"/>
      <c r="L145" s="9"/>
      <c r="M145" s="9"/>
      <c r="N145" s="9"/>
    </row>
    <row r="146" spans="1:14" x14ac:dyDescent="0.2">
      <c r="A146" s="8" t="s">
        <v>115</v>
      </c>
      <c r="B146" s="4" t="s">
        <v>27</v>
      </c>
      <c r="C146" s="4"/>
      <c r="D146" s="4" t="s">
        <v>120</v>
      </c>
      <c r="E146" s="9" t="str">
        <f>_xll.BQL("SEG0000663296 Segment", "REV_PASS_MILES_KM/1M", "FPT=A", "FPO=5A", "ACT_EST_MAPPING=PRECISE", "FS=MRC", "CURRENCY=USD", "XLFILL=b")</f>
        <v/>
      </c>
      <c r="F146" s="9" t="str">
        <f>_xll.BQL("SEG0000663296 Segment", "REV_PASS_MILES_KM/1M", "FPT=A", "FPO=4A", "ACT_EST_MAPPING=PRECISE", "FS=MRC", "CURRENCY=USD", "XLFILL=b")</f>
        <v/>
      </c>
      <c r="G146" s="9" t="str">
        <f>_xll.BQL("SEG0000663296 Segment", "REV_PASS_MILES_KM/1M", "FPT=A", "FPO=3A", "ACT_EST_MAPPING=PRECISE", "FS=MRC", "CURRENCY=USD", "XLFILL=b")</f>
        <v/>
      </c>
      <c r="H146" s="9" t="str">
        <f>_xll.BQL("SEG0000663296 Segment", "REV_PASS_MILES_KM/1M", "FPT=A", "FPO=2A", "ACT_EST_MAPPING=PRECISE", "FS=MRC", "CURRENCY=USD", "XLFILL=b")</f>
        <v/>
      </c>
      <c r="I146" s="9" t="str">
        <f>_xll.BQL("SEG0000663296 Segment", "REV_PASS_MILES_KM/1M", "FPT=A", "FPO=1A", "ACT_EST_MAPPING=PRECISE", "FS=MRC", "CURRENCY=USD", "XLFILL=b")</f>
        <v/>
      </c>
      <c r="J146" s="9">
        <f>_xll.BQL("SEG0000663296 Segment", "REV_PASS_MILES_KM/1M", "FPT=A", "FPO=0A", "ACT_EST_MAPPING=PRECISE", "FS=MRC", "CURRENCY=USD", "XLFILL=b")</f>
        <v>9397</v>
      </c>
      <c r="K146" s="9">
        <f>_xll.BQL("SEG0000663296 Segment", "REV_PASS_MILES_KM/1M", "FPT=A", "FPO=-1A", "ACT_EST_MAPPING=PRECISE", "FS=MRC", "CURRENCY=USD", "XLFILL=b")</f>
        <v>9510</v>
      </c>
      <c r="L146" s="9" t="str">
        <f>_xll.BQL("SEG0000663296 Segment", "REV_PASS_MILES_KM/1M", "FPT=A", "FPO=-2A", "ACT_EST_MAPPING=PRECISE", "FS=MRC", "CURRENCY=USD", "XLFILL=b")</f>
        <v/>
      </c>
      <c r="M146" s="9" t="str">
        <f>_xll.BQL("SEG0000663296 Segment", "REV_PASS_MILES_KM/1M", "FPT=A", "FPO=-3A", "ACT_EST_MAPPING=PRECISE", "FS=MRC", "CURRENCY=USD", "XLFILL=b")</f>
        <v/>
      </c>
      <c r="N146" s="9" t="str">
        <f>_xll.BQL("SEG0000663296 Segment", "REV_PASS_MILES_KM/1M", "FPT=A", "FPO=-4A", "ACT_EST_MAPPING=PRECISE", "FS=MRC", "CURRENCY=USD", "XLFILL=b")</f>
        <v/>
      </c>
    </row>
    <row r="147" spans="1:14" x14ac:dyDescent="0.2">
      <c r="A147" s="8" t="s">
        <v>86</v>
      </c>
      <c r="B147" s="4" t="s">
        <v>27</v>
      </c>
      <c r="C147" s="4"/>
      <c r="D147" s="4" t="s">
        <v>120</v>
      </c>
      <c r="E147" s="9" t="str">
        <f>_xll.BQL("SEG0000663296 Segment", "FA_GROWTH(REV_PASS_MILES_KM, YOY)", "FPT=A", "FPO=5A", "ACT_EST_MAPPING=PRECISE", "FS=MRC", "CURRENCY=USD", "XLFILL=b")</f>
        <v/>
      </c>
      <c r="F147" s="9" t="str">
        <f>_xll.BQL("SEG0000663296 Segment", "FA_GROWTH(REV_PASS_MILES_KM, YOY)", "FPT=A", "FPO=4A", "ACT_EST_MAPPING=PRECISE", "FS=MRC", "CURRENCY=USD", "XLFILL=b")</f>
        <v/>
      </c>
      <c r="G147" s="9" t="str">
        <f>_xll.BQL("SEG0000663296 Segment", "FA_GROWTH(REV_PASS_MILES_KM, YOY)", "FPT=A", "FPO=3A", "ACT_EST_MAPPING=PRECISE", "FS=MRC", "CURRENCY=USD", "XLFILL=b")</f>
        <v/>
      </c>
      <c r="H147" s="9" t="str">
        <f>_xll.BQL("SEG0000663296 Segment", "FA_GROWTH(REV_PASS_MILES_KM, YOY)", "FPT=A", "FPO=2A", "ACT_EST_MAPPING=PRECISE", "FS=MRC", "CURRENCY=USD", "XLFILL=b")</f>
        <v/>
      </c>
      <c r="I147" s="9" t="str">
        <f>_xll.BQL("SEG0000663296 Segment", "FA_GROWTH(REV_PASS_MILES_KM, YOY)", "FPT=A", "FPO=1A", "ACT_EST_MAPPING=PRECISE", "FS=MRC", "CURRENCY=USD", "XLFILL=b")</f>
        <v/>
      </c>
      <c r="J147" s="9">
        <f>_xll.BQL("SEG0000663296 Segment", "FA_GROWTH(REV_PASS_MILES_KM, YOY)", "FPT=A", "FPO=0A", "ACT_EST_MAPPING=PRECISE", "FS=MRC", "CURRENCY=USD", "XLFILL=b")</f>
        <v>-1.188222923238696</v>
      </c>
      <c r="K147" s="9" t="str">
        <f>_xll.BQL("SEG0000663296 Segment", "FA_GROWTH(REV_PASS_MILES_KM, YOY)", "FPT=A", "FPO=-1A", "ACT_EST_MAPPING=PRECISE", "FS=MRC", "CURRENCY=USD", "XLFILL=b")</f>
        <v/>
      </c>
      <c r="L147" s="9" t="str">
        <f>_xll.BQL("SEG0000663296 Segment", "FA_GROWTH(REV_PASS_MILES_KM, YOY)", "FPT=A", "FPO=-2A", "ACT_EST_MAPPING=PRECISE", "FS=MRC", "CURRENCY=USD", "XLFILL=b")</f>
        <v/>
      </c>
      <c r="M147" s="9" t="str">
        <f>_xll.BQL("SEG0000663296 Segment", "FA_GROWTH(REV_PASS_MILES_KM, YOY)", "FPT=A", "FPO=-3A", "ACT_EST_MAPPING=PRECISE", "FS=MRC", "CURRENCY=USD", "XLFILL=b")</f>
        <v/>
      </c>
      <c r="N147" s="9" t="str">
        <f>_xll.BQL("SEG0000663296 Segment", "FA_GROWTH(REV_PASS_MILES_KM, YOY)", "FPT=A", "FPO=-4A", "ACT_EST_MAPPING=PRECISE", "FS=MRC", "CURRENCY=USD", "XLFILL=b")</f>
        <v/>
      </c>
    </row>
    <row r="148" spans="1:14" x14ac:dyDescent="0.2">
      <c r="A148" s="8" t="s">
        <v>117</v>
      </c>
      <c r="B148" s="4" t="s">
        <v>30</v>
      </c>
      <c r="C148" s="4"/>
      <c r="D148" s="4" t="s">
        <v>120</v>
      </c>
      <c r="E148" s="9" t="str">
        <f>_xll.BQL("SEG0000663296 Segment", "AVAIL_SEAT_MILES_KM/1M", "FPT=A", "FPO=5A", "ACT_EST_MAPPING=PRECISE", "FS=MRC", "CURRENCY=USD", "XLFILL=b")</f>
        <v/>
      </c>
      <c r="F148" s="9" t="str">
        <f>_xll.BQL("SEG0000663296 Segment", "AVAIL_SEAT_MILES_KM/1M", "FPT=A", "FPO=4A", "ACT_EST_MAPPING=PRECISE", "FS=MRC", "CURRENCY=USD", "XLFILL=b")</f>
        <v/>
      </c>
      <c r="G148" s="9" t="str">
        <f>_xll.BQL("SEG0000663296 Segment", "AVAIL_SEAT_MILES_KM/1M", "FPT=A", "FPO=3A", "ACT_EST_MAPPING=PRECISE", "FS=MRC", "CURRENCY=USD", "XLFILL=b")</f>
        <v/>
      </c>
      <c r="H148" s="9" t="str">
        <f>_xll.BQL("SEG0000663296 Segment", "AVAIL_SEAT_MILES_KM/1M", "FPT=A", "FPO=2A", "ACT_EST_MAPPING=PRECISE", "FS=MRC", "CURRENCY=USD", "XLFILL=b")</f>
        <v/>
      </c>
      <c r="I148" s="9" t="str">
        <f>_xll.BQL("SEG0000663296 Segment", "AVAIL_SEAT_MILES_KM/1M", "FPT=A", "FPO=1A", "ACT_EST_MAPPING=PRECISE", "FS=MRC", "CURRENCY=USD", "XLFILL=b")</f>
        <v/>
      </c>
      <c r="J148" s="9">
        <f>_xll.BQL("SEG0000663296 Segment", "AVAIL_SEAT_MILES_KM/1M", "FPT=A", "FPO=0A", "ACT_EST_MAPPING=PRECISE", "FS=MRC", "CURRENCY=USD", "XLFILL=b")</f>
        <v>10897</v>
      </c>
      <c r="K148" s="9">
        <f>_xll.BQL("SEG0000663296 Segment", "AVAIL_SEAT_MILES_KM/1M", "FPT=A", "FPO=-1A", "ACT_EST_MAPPING=PRECISE", "FS=MRC", "CURRENCY=USD", "XLFILL=b")</f>
        <v>11144</v>
      </c>
      <c r="L148" s="9" t="str">
        <f>_xll.BQL("SEG0000663296 Segment", "AVAIL_SEAT_MILES_KM/1M", "FPT=A", "FPO=-2A", "ACT_EST_MAPPING=PRECISE", "FS=MRC", "CURRENCY=USD", "XLFILL=b")</f>
        <v/>
      </c>
      <c r="M148" s="9" t="str">
        <f>_xll.BQL("SEG0000663296 Segment", "AVAIL_SEAT_MILES_KM/1M", "FPT=A", "FPO=-3A", "ACT_EST_MAPPING=PRECISE", "FS=MRC", "CURRENCY=USD", "XLFILL=b")</f>
        <v/>
      </c>
      <c r="N148" s="9" t="str">
        <f>_xll.BQL("SEG0000663296 Segment", "AVAIL_SEAT_MILES_KM/1M", "FPT=A", "FPO=-4A", "ACT_EST_MAPPING=PRECISE", "FS=MRC", "CURRENCY=USD", "XLFILL=b")</f>
        <v/>
      </c>
    </row>
    <row r="149" spans="1:14" x14ac:dyDescent="0.2">
      <c r="A149" s="8" t="s">
        <v>86</v>
      </c>
      <c r="B149" s="4" t="s">
        <v>30</v>
      </c>
      <c r="C149" s="4"/>
      <c r="D149" s="4" t="s">
        <v>120</v>
      </c>
      <c r="E149" s="9" t="str">
        <f>_xll.BQL("SEG0000663296 Segment", "FA_GROWTH(AVAIL_SEAT_MILES_KM, YOY)", "FPT=A", "FPO=5A", "ACT_EST_MAPPING=PRECISE", "FS=MRC", "CURRENCY=USD", "XLFILL=b")</f>
        <v/>
      </c>
      <c r="F149" s="9" t="str">
        <f>_xll.BQL("SEG0000663296 Segment", "FA_GROWTH(AVAIL_SEAT_MILES_KM, YOY)", "FPT=A", "FPO=4A", "ACT_EST_MAPPING=PRECISE", "FS=MRC", "CURRENCY=USD", "XLFILL=b")</f>
        <v/>
      </c>
      <c r="G149" s="9" t="str">
        <f>_xll.BQL("SEG0000663296 Segment", "FA_GROWTH(AVAIL_SEAT_MILES_KM, YOY)", "FPT=A", "FPO=3A", "ACT_EST_MAPPING=PRECISE", "FS=MRC", "CURRENCY=USD", "XLFILL=b")</f>
        <v/>
      </c>
      <c r="H149" s="9" t="str">
        <f>_xll.BQL("SEG0000663296 Segment", "FA_GROWTH(AVAIL_SEAT_MILES_KM, YOY)", "FPT=A", "FPO=2A", "ACT_EST_MAPPING=PRECISE", "FS=MRC", "CURRENCY=USD", "XLFILL=b")</f>
        <v/>
      </c>
      <c r="I149" s="9" t="str">
        <f>_xll.BQL("SEG0000663296 Segment", "FA_GROWTH(AVAIL_SEAT_MILES_KM, YOY)", "FPT=A", "FPO=1A", "ACT_EST_MAPPING=PRECISE", "FS=MRC", "CURRENCY=USD", "XLFILL=b")</f>
        <v/>
      </c>
      <c r="J149" s="9">
        <f>_xll.BQL("SEG0000663296 Segment", "FA_GROWTH(AVAIL_SEAT_MILES_KM, YOY)", "FPT=A", "FPO=0A", "ACT_EST_MAPPING=PRECISE", "FS=MRC", "CURRENCY=USD", "XLFILL=b")</f>
        <v>-2.2164393395549173</v>
      </c>
      <c r="K149" s="9" t="str">
        <f>_xll.BQL("SEG0000663296 Segment", "FA_GROWTH(AVAIL_SEAT_MILES_KM, YOY)", "FPT=A", "FPO=-1A", "ACT_EST_MAPPING=PRECISE", "FS=MRC", "CURRENCY=USD", "XLFILL=b")</f>
        <v/>
      </c>
      <c r="L149" s="9" t="str">
        <f>_xll.BQL("SEG0000663296 Segment", "FA_GROWTH(AVAIL_SEAT_MILES_KM, YOY)", "FPT=A", "FPO=-2A", "ACT_EST_MAPPING=PRECISE", "FS=MRC", "CURRENCY=USD", "XLFILL=b")</f>
        <v/>
      </c>
      <c r="M149" s="9" t="str">
        <f>_xll.BQL("SEG0000663296 Segment", "FA_GROWTH(AVAIL_SEAT_MILES_KM, YOY)", "FPT=A", "FPO=-3A", "ACT_EST_MAPPING=PRECISE", "FS=MRC", "CURRENCY=USD", "XLFILL=b")</f>
        <v/>
      </c>
      <c r="N149" s="9" t="str">
        <f>_xll.BQL("SEG0000663296 Segment", "FA_GROWTH(AVAIL_SEAT_MILES_KM, YOY)", "FPT=A", "FPO=-4A", "ACT_EST_MAPPING=PRECISE", "FS=MRC", "CURRENCY=USD", "XLFILL=b")</f>
        <v/>
      </c>
    </row>
    <row r="150" spans="1:14" x14ac:dyDescent="0.2">
      <c r="A150" s="8" t="s">
        <v>118</v>
      </c>
      <c r="B150" s="4" t="s">
        <v>33</v>
      </c>
      <c r="C150" s="4"/>
      <c r="D150" s="4" t="s">
        <v>120</v>
      </c>
      <c r="E150" s="9" t="str">
        <f>_xll.BQL("SEG0000663296 Segment", "LOAD_FACTOR", "FPT=A", "FPO=5A", "ACT_EST_MAPPING=PRECISE", "FS=MRC", "CURRENCY=USD", "XLFILL=b")</f>
        <v/>
      </c>
      <c r="F150" s="9" t="str">
        <f>_xll.BQL("SEG0000663296 Segment", "LOAD_FACTOR", "FPT=A", "FPO=4A", "ACT_EST_MAPPING=PRECISE", "FS=MRC", "CURRENCY=USD", "XLFILL=b")</f>
        <v/>
      </c>
      <c r="G150" s="9" t="str">
        <f>_xll.BQL("SEG0000663296 Segment", "LOAD_FACTOR", "FPT=A", "FPO=3A", "ACT_EST_MAPPING=PRECISE", "FS=MRC", "CURRENCY=USD", "XLFILL=b")</f>
        <v/>
      </c>
      <c r="H150" s="9" t="str">
        <f>_xll.BQL("SEG0000663296 Segment", "LOAD_FACTOR", "FPT=A", "FPO=2A", "ACT_EST_MAPPING=PRECISE", "FS=MRC", "CURRENCY=USD", "XLFILL=b")</f>
        <v/>
      </c>
      <c r="I150" s="9" t="str">
        <f>_xll.BQL("SEG0000663296 Segment", "LOAD_FACTOR", "FPT=A", "FPO=1A", "ACT_EST_MAPPING=PRECISE", "FS=MRC", "CURRENCY=USD", "XLFILL=b")</f>
        <v/>
      </c>
      <c r="J150" s="9" t="str">
        <f>_xll.BQL("SEG0000663296 Segment", "LOAD_FACTOR", "FPT=A", "FPO=0A", "ACT_EST_MAPPING=PRECISE", "FS=MRC", "CURRENCY=USD", "XLFILL=b")</f>
        <v/>
      </c>
      <c r="K150" s="9" t="str">
        <f>_xll.BQL("SEG0000663296 Segment", "LOAD_FACTOR", "FPT=A", "FPO=-1A", "ACT_EST_MAPPING=PRECISE", "FS=MRC", "CURRENCY=USD", "XLFILL=b")</f>
        <v/>
      </c>
      <c r="L150" s="9" t="str">
        <f>_xll.BQL("SEG0000663296 Segment", "LOAD_FACTOR", "FPT=A", "FPO=-2A", "ACT_EST_MAPPING=PRECISE", "FS=MRC", "CURRENCY=USD", "XLFILL=b")</f>
        <v/>
      </c>
      <c r="M150" s="9" t="str">
        <f>_xll.BQL("SEG0000663296 Segment", "LOAD_FACTOR", "FPT=A", "FPO=-3A", "ACT_EST_MAPPING=PRECISE", "FS=MRC", "CURRENCY=USD", "XLFILL=b")</f>
        <v/>
      </c>
      <c r="N150" s="9" t="str">
        <f>_xll.BQL("SEG0000663296 Segment", "LOAD_FACTOR", "FPT=A", "FPO=-4A", "ACT_EST_MAPPING=PRECISE", "FS=MRC", "CURRENCY=USD", "XLFILL=b")</f>
        <v/>
      </c>
    </row>
    <row r="151" spans="1:14" x14ac:dyDescent="0.2">
      <c r="A151" s="8" t="s">
        <v>86</v>
      </c>
      <c r="B151" s="4" t="s">
        <v>33</v>
      </c>
      <c r="C151" s="4"/>
      <c r="D151" s="4" t="s">
        <v>120</v>
      </c>
      <c r="E151" s="9" t="str">
        <f>_xll.BQL("SEG0000663296 Segment", "FA_GROWTH(LOAD_FACTOR, YOY)", "FPT=A", "FPO=5A", "ACT_EST_MAPPING=PRECISE", "FS=MRC", "CURRENCY=USD", "XLFILL=b")</f>
        <v/>
      </c>
      <c r="F151" s="9" t="str">
        <f>_xll.BQL("SEG0000663296 Segment", "FA_GROWTH(LOAD_FACTOR, YOY)", "FPT=A", "FPO=4A", "ACT_EST_MAPPING=PRECISE", "FS=MRC", "CURRENCY=USD", "XLFILL=b")</f>
        <v/>
      </c>
      <c r="G151" s="9" t="str">
        <f>_xll.BQL("SEG0000663296 Segment", "FA_GROWTH(LOAD_FACTOR, YOY)", "FPT=A", "FPO=3A", "ACT_EST_MAPPING=PRECISE", "FS=MRC", "CURRENCY=USD", "XLFILL=b")</f>
        <v/>
      </c>
      <c r="H151" s="9" t="str">
        <f>_xll.BQL("SEG0000663296 Segment", "FA_GROWTH(LOAD_FACTOR, YOY)", "FPT=A", "FPO=2A", "ACT_EST_MAPPING=PRECISE", "FS=MRC", "CURRENCY=USD", "XLFILL=b")</f>
        <v/>
      </c>
      <c r="I151" s="9" t="str">
        <f>_xll.BQL("SEG0000663296 Segment", "FA_GROWTH(LOAD_FACTOR, YOY)", "FPT=A", "FPO=1A", "ACT_EST_MAPPING=PRECISE", "FS=MRC", "CURRENCY=USD", "XLFILL=b")</f>
        <v/>
      </c>
      <c r="J151" s="9" t="str">
        <f>_xll.BQL("SEG0000663296 Segment", "FA_GROWTH(LOAD_FACTOR, YOY)", "FPT=A", "FPO=0A", "ACT_EST_MAPPING=PRECISE", "FS=MRC", "CURRENCY=USD", "XLFILL=b")</f>
        <v/>
      </c>
      <c r="K151" s="9" t="str">
        <f>_xll.BQL("SEG0000663296 Segment", "FA_GROWTH(LOAD_FACTOR, YOY)", "FPT=A", "FPO=-1A", "ACT_EST_MAPPING=PRECISE", "FS=MRC", "CURRENCY=USD", "XLFILL=b")</f>
        <v/>
      </c>
      <c r="L151" s="9" t="str">
        <f>_xll.BQL("SEG0000663296 Segment", "FA_GROWTH(LOAD_FACTOR, YOY)", "FPT=A", "FPO=-2A", "ACT_EST_MAPPING=PRECISE", "FS=MRC", "CURRENCY=USD", "XLFILL=b")</f>
        <v/>
      </c>
      <c r="M151" s="9" t="str">
        <f>_xll.BQL("SEG0000663296 Segment", "FA_GROWTH(LOAD_FACTOR, YOY)", "FPT=A", "FPO=-3A", "ACT_EST_MAPPING=PRECISE", "FS=MRC", "CURRENCY=USD", "XLFILL=b")</f>
        <v/>
      </c>
      <c r="N151" s="9" t="str">
        <f>_xll.BQL("SEG0000663296 Segment", "FA_GROWTH(LOAD_FACTOR, YOY)", "FPT=A", "FPO=-4A", "ACT_EST_MAPPING=PRECISE", "FS=MRC", "CURRENCY=USD", "XLFILL=b")</f>
        <v/>
      </c>
    </row>
    <row r="152" spans="1:14" x14ac:dyDescent="0.2">
      <c r="A152" s="8" t="s">
        <v>121</v>
      </c>
      <c r="B152" s="4"/>
      <c r="C152" s="4" t="s">
        <v>122</v>
      </c>
      <c r="D152" s="4"/>
      <c r="E152" s="9"/>
      <c r="F152" s="9"/>
      <c r="G152" s="9"/>
      <c r="H152" s="9"/>
      <c r="I152" s="9"/>
      <c r="J152" s="9"/>
      <c r="K152" s="9"/>
      <c r="L152" s="9"/>
      <c r="M152" s="9"/>
      <c r="N152" s="9"/>
    </row>
    <row r="153" spans="1:14" x14ac:dyDescent="0.2">
      <c r="A153" s="8" t="s">
        <v>115</v>
      </c>
      <c r="B153" s="4" t="s">
        <v>27</v>
      </c>
      <c r="C153" s="4" t="s">
        <v>107</v>
      </c>
      <c r="D153" s="4" t="s">
        <v>123</v>
      </c>
      <c r="E153" s="9">
        <f>_xll.BQL("SEG0000201716 Segment", "REV_PASS_MILES_KM/1M", "FPT=A", "FPO=5A", "ACT_EST_MAPPING=PRECISE", "FS=MRC", "CURRENCY=USD", "XLFILL=b")</f>
        <v>33060.712624344007</v>
      </c>
      <c r="F153" s="9">
        <f>_xll.BQL("SEG0000201716 Segment", "REV_PASS_MILES_KM/1M", "FPT=A", "FPO=4A", "ACT_EST_MAPPING=PRECISE", "FS=MRC", "CURRENCY=USD", "XLFILL=b")</f>
        <v>31242.58896974189</v>
      </c>
      <c r="G153" s="9">
        <f>_xll.BQL("SEG0000201716 Segment", "REV_PASS_MILES_KM/1M", "FPT=A", "FPO=3A", "ACT_EST_MAPPING=PRECISE", "FS=MRC", "CURRENCY=USD", "XLFILL=b")</f>
        <v>29633.778209415999</v>
      </c>
      <c r="H153" s="9">
        <f>_xll.BQL("SEG0000201716 Segment", "REV_PASS_MILES_KM/1M", "FPT=A", "FPO=2A", "ACT_EST_MAPPING=PRECISE", "FS=MRC", "CURRENCY=USD", "XLFILL=b")</f>
        <v>28925.440916</v>
      </c>
      <c r="I153" s="9">
        <f>_xll.BQL("SEG0000201716 Segment", "REV_PASS_MILES_KM/1M", "FPT=A", "FPO=1A", "ACT_EST_MAPPING=PRECISE", "FS=MRC", "CURRENCY=USD", "XLFILL=b")</f>
        <v>27540.9879</v>
      </c>
      <c r="J153" s="9">
        <f>_xll.BQL("SEG0000201716 Segment", "REV_PASS_MILES_KM/1M", "FPT=A", "FPO=0A", "ACT_EST_MAPPING=PRECISE", "FS=MRC", "CURRENCY=USD", "XLFILL=b")</f>
        <v>25544</v>
      </c>
      <c r="K153" s="9">
        <f>_xll.BQL("SEG0000201716 Segment", "REV_PASS_MILES_KM/1M", "FPT=A", "FPO=-1A", "ACT_EST_MAPPING=PRECISE", "FS=MRC", "CURRENCY=USD", "XLFILL=b")</f>
        <v>23511</v>
      </c>
      <c r="L153" s="9">
        <f>_xll.BQL("SEG0000201716 Segment", "REV_PASS_MILES_KM/1M", "FPT=A", "FPO=-2A", "ACT_EST_MAPPING=PRECISE", "FS=MRC", "CURRENCY=USD", "XLFILL=b")</f>
        <v>17841</v>
      </c>
      <c r="M153" s="9">
        <f>_xll.BQL("SEG0000201716 Segment", "REV_PASS_MILES_KM/1M", "FPT=A", "FPO=-3A", "ACT_EST_MAPPING=PRECISE", "FS=MRC", "CURRENCY=USD", "XLFILL=b")</f>
        <v>8594</v>
      </c>
      <c r="N153" s="9">
        <f>_xll.BQL("SEG0000201716 Segment", "REV_PASS_MILES_KM/1M", "FPT=A", "FPO=-4A", "ACT_EST_MAPPING=PRECISE", "FS=MRC", "CURRENCY=USD", "XLFILL=b")</f>
        <v>23069</v>
      </c>
    </row>
    <row r="154" spans="1:14" x14ac:dyDescent="0.2">
      <c r="A154" s="8" t="s">
        <v>86</v>
      </c>
      <c r="B154" s="4" t="s">
        <v>27</v>
      </c>
      <c r="C154" s="4" t="s">
        <v>107</v>
      </c>
      <c r="D154" s="4" t="s">
        <v>123</v>
      </c>
      <c r="E154" s="9">
        <f>_xll.BQL("SEG0000201716 Segment", "FA_GROWTH(REV_PASS_MILES_KM, YOY)", "FPT=A", "FPO=5A", "ACT_EST_MAPPING=PRECISE", "FS=MRC", "CURRENCY=USD", "XLFILL=b")</f>
        <v>5.8193757769656944</v>
      </c>
      <c r="F154" s="9">
        <f>_xll.BQL("SEG0000201716 Segment", "FA_GROWTH(REV_PASS_MILES_KM, YOY)", "FPT=A", "FPO=4A", "ACT_EST_MAPPING=PRECISE", "FS=MRC", "CURRENCY=USD", "XLFILL=b")</f>
        <v>5.428976180346444</v>
      </c>
      <c r="G154" s="9">
        <f>_xll.BQL("SEG0000201716 Segment", "FA_GROWTH(REV_PASS_MILES_KM, YOY)", "FPT=A", "FPO=3A", "ACT_EST_MAPPING=PRECISE", "FS=MRC", "CURRENCY=USD", "XLFILL=b")</f>
        <v>2.448838361610544</v>
      </c>
      <c r="H154" s="9">
        <f>_xll.BQL("SEG0000201716 Segment", "FA_GROWTH(REV_PASS_MILES_KM, YOY)", "FPT=A", "FPO=2A", "ACT_EST_MAPPING=PRECISE", "FS=MRC", "CURRENCY=USD", "XLFILL=b")</f>
        <v>5.0268821911068775</v>
      </c>
      <c r="I154" s="9">
        <f>_xll.BQL("SEG0000201716 Segment", "FA_GROWTH(REV_PASS_MILES_KM, YOY)", "FPT=A", "FPO=1A", "ACT_EST_MAPPING=PRECISE", "FS=MRC", "CURRENCY=USD", "XLFILL=b")</f>
        <v>7.8178354995302222</v>
      </c>
      <c r="J154" s="9">
        <f>_xll.BQL("SEG0000201716 Segment", "FA_GROWTH(REV_PASS_MILES_KM, YOY)", "FPT=A", "FPO=0A", "ACT_EST_MAPPING=PRECISE", "FS=MRC", "CURRENCY=USD", "XLFILL=b")</f>
        <v>8.6470162902471177</v>
      </c>
      <c r="K154" s="9">
        <f>_xll.BQL("SEG0000201716 Segment", "FA_GROWTH(REV_PASS_MILES_KM, YOY)", "FPT=A", "FPO=-1A", "ACT_EST_MAPPING=PRECISE", "FS=MRC", "CURRENCY=USD", "XLFILL=b")</f>
        <v>31.780729779720868</v>
      </c>
      <c r="L154" s="9">
        <f>_xll.BQL("SEG0000201716 Segment", "FA_GROWTH(REV_PASS_MILES_KM, YOY)", "FPT=A", "FPO=-2A", "ACT_EST_MAPPING=PRECISE", "FS=MRC", "CURRENCY=USD", "XLFILL=b")</f>
        <v>107.59832441238073</v>
      </c>
      <c r="M154" s="9">
        <f>_xll.BQL("SEG0000201716 Segment", "FA_GROWTH(REV_PASS_MILES_KM, YOY)", "FPT=A", "FPO=-3A", "ACT_EST_MAPPING=PRECISE", "FS=MRC", "CURRENCY=USD", "XLFILL=b")</f>
        <v>-62.746542979756384</v>
      </c>
      <c r="N154" s="9">
        <f>_xll.BQL("SEG0000201716 Segment", "FA_GROWTH(REV_PASS_MILES_KM, YOY)", "FPT=A", "FPO=-4A", "ACT_EST_MAPPING=PRECISE", "FS=MRC", "CURRENCY=USD", "XLFILL=b")</f>
        <v>4.031468560954238</v>
      </c>
    </row>
    <row r="155" spans="1:14" x14ac:dyDescent="0.2">
      <c r="A155" s="8" t="s">
        <v>117</v>
      </c>
      <c r="B155" s="4" t="s">
        <v>30</v>
      </c>
      <c r="C155" s="4" t="s">
        <v>110</v>
      </c>
      <c r="D155" s="4" t="s">
        <v>123</v>
      </c>
      <c r="E155" s="9">
        <f>_xll.BQL("SEG0000201716 Segment", "AVAIL_SEAT_MILES_KM/1M", "FPT=A", "FPO=5A", "ACT_EST_MAPPING=PRECISE", "FS=MRC", "CURRENCY=USD", "XLFILL=b")</f>
        <v>38780.480626920005</v>
      </c>
      <c r="F155" s="9">
        <f>_xll.BQL("SEG0000201716 Segment", "AVAIL_SEAT_MILES_KM/1M", "FPT=A", "FPO=4A", "ACT_EST_MAPPING=PRECISE", "FS=MRC", "CURRENCY=USD", "XLFILL=b")</f>
        <v>36658.346202744004</v>
      </c>
      <c r="G155" s="9">
        <f>_xll.BQL("SEG0000201716 Segment", "AVAIL_SEAT_MILES_KM/1M", "FPT=A", "FPO=3A", "ACT_EST_MAPPING=PRECISE", "FS=MRC", "CURRENCY=USD", "XLFILL=b")</f>
        <v>35878.954663733341</v>
      </c>
      <c r="H155" s="9">
        <f>_xll.BQL("SEG0000201716 Segment", "AVAIL_SEAT_MILES_KM/1M", "FPT=A", "FPO=2A", "ACT_EST_MAPPING=PRECISE", "FS=MRC", "CURRENCY=USD", "XLFILL=b")</f>
        <v>34326.130340000003</v>
      </c>
      <c r="I155" s="9">
        <f>_xll.BQL("SEG0000201716 Segment", "AVAIL_SEAT_MILES_KM/1M", "FPT=A", "FPO=1A", "ACT_EST_MAPPING=PRECISE", "FS=MRC", "CURRENCY=USD", "XLFILL=b")</f>
        <v>32686.333333333332</v>
      </c>
      <c r="J155" s="9">
        <f>_xll.BQL("SEG0000201716 Segment", "AVAIL_SEAT_MILES_KM/1M", "FPT=A", "FPO=0A", "ACT_EST_MAPPING=PRECISE", "FS=MRC", "CURRENCY=USD", "XLFILL=b")</f>
        <v>29578</v>
      </c>
      <c r="K155" s="9">
        <f>_xll.BQL("SEG0000201716 Segment", "AVAIL_SEAT_MILES_KM/1M", "FPT=A", "FPO=-1A", "ACT_EST_MAPPING=PRECISE", "FS=MRC", "CURRENCY=USD", "XLFILL=b")</f>
        <v>28115</v>
      </c>
      <c r="L155" s="9">
        <f>_xll.BQL("SEG0000201716 Segment", "AVAIL_SEAT_MILES_KM/1M", "FPT=A", "FPO=-2A", "ACT_EST_MAPPING=PRECISE", "FS=MRC", "CURRENCY=USD", "XLFILL=b")</f>
        <v>25776</v>
      </c>
      <c r="M155" s="9">
        <f>_xll.BQL("SEG0000201716 Segment", "AVAIL_SEAT_MILES_KM/1M", "FPT=A", "FPO=-3A", "ACT_EST_MAPPING=PRECISE", "FS=MRC", "CURRENCY=USD", "XLFILL=b")</f>
        <v>13136</v>
      </c>
      <c r="N155" s="9">
        <f>_xll.BQL("SEG0000201716 Segment", "AVAIL_SEAT_MILES_KM/1M", "FPT=A", "FPO=-4A", "ACT_EST_MAPPING=PRECISE", "FS=MRC", "CURRENCY=USD", "XLFILL=b")</f>
        <v>27267</v>
      </c>
    </row>
    <row r="156" spans="1:14" x14ac:dyDescent="0.2">
      <c r="A156" s="8" t="s">
        <v>86</v>
      </c>
      <c r="B156" s="4" t="s">
        <v>30</v>
      </c>
      <c r="C156" s="4" t="s">
        <v>110</v>
      </c>
      <c r="D156" s="4" t="s">
        <v>123</v>
      </c>
      <c r="E156" s="9">
        <f>_xll.BQL("SEG0000201716 Segment", "FA_GROWTH(AVAIL_SEAT_MILES_KM, YOY)", "FPT=A", "FPO=5A", "ACT_EST_MAPPING=PRECISE", "FS=MRC", "CURRENCY=USD", "XLFILL=b")</f>
        <v>5.7889529779637288</v>
      </c>
      <c r="F156" s="9">
        <f>_xll.BQL("SEG0000201716 Segment", "FA_GROWTH(AVAIL_SEAT_MILES_KM, YOY)", "FPT=A", "FPO=4A", "ACT_EST_MAPPING=PRECISE", "FS=MRC", "CURRENCY=USD", "XLFILL=b")</f>
        <v>2.1722805090486084</v>
      </c>
      <c r="G156" s="9">
        <f>_xll.BQL("SEG0000201716 Segment", "FA_GROWTH(AVAIL_SEAT_MILES_KM, YOY)", "FPT=A", "FPO=3A", "ACT_EST_MAPPING=PRECISE", "FS=MRC", "CURRENCY=USD", "XLFILL=b")</f>
        <v>4.5237383542876142</v>
      </c>
      <c r="H156" s="9">
        <f>_xll.BQL("SEG0000201716 Segment", "FA_GROWTH(AVAIL_SEAT_MILES_KM, YOY)", "FPT=A", "FPO=2A", "ACT_EST_MAPPING=PRECISE", "FS=MRC", "CURRENCY=USD", "XLFILL=b")</f>
        <v>5.0167664569289965</v>
      </c>
      <c r="I156" s="9">
        <f>_xll.BQL("SEG0000201716 Segment", "FA_GROWTH(AVAIL_SEAT_MILES_KM, YOY)", "FPT=A", "FPO=1A", "ACT_EST_MAPPING=PRECISE", "FS=MRC", "CURRENCY=USD", "XLFILL=b")</f>
        <v>10.50893682241305</v>
      </c>
      <c r="J156" s="9">
        <f>_xll.BQL("SEG0000201716 Segment", "FA_GROWTH(AVAIL_SEAT_MILES_KM, YOY)", "FPT=A", "FPO=0A", "ACT_EST_MAPPING=PRECISE", "FS=MRC", "CURRENCY=USD", "XLFILL=b")</f>
        <v>5.2036279566067938</v>
      </c>
      <c r="K156" s="9">
        <f>_xll.BQL("SEG0000201716 Segment", "FA_GROWTH(AVAIL_SEAT_MILES_KM, YOY)", "FPT=A", "FPO=-1A", "ACT_EST_MAPPING=PRECISE", "FS=MRC", "CURRENCY=USD", "XLFILL=b")</f>
        <v>9.074332712600869</v>
      </c>
      <c r="L156" s="9">
        <f>_xll.BQL("SEG0000201716 Segment", "FA_GROWTH(AVAIL_SEAT_MILES_KM, YOY)", "FPT=A", "FPO=-2A", "ACT_EST_MAPPING=PRECISE", "FS=MRC", "CURRENCY=USD", "XLFILL=b")</f>
        <v>96.224116930572478</v>
      </c>
      <c r="M156" s="9">
        <f>_xll.BQL("SEG0000201716 Segment", "FA_GROWTH(AVAIL_SEAT_MILES_KM, YOY)", "FPT=A", "FPO=-3A", "ACT_EST_MAPPING=PRECISE", "FS=MRC", "CURRENCY=USD", "XLFILL=b")</f>
        <v>-51.824549822129313</v>
      </c>
      <c r="N156" s="9">
        <f>_xll.BQL("SEG0000201716 Segment", "FA_GROWTH(AVAIL_SEAT_MILES_KM, YOY)", "FPT=A", "FPO=-4A", "ACT_EST_MAPPING=PRECISE", "FS=MRC", "CURRENCY=USD", "XLFILL=b")</f>
        <v>2.9072981756230964</v>
      </c>
    </row>
    <row r="157" spans="1:14" x14ac:dyDescent="0.2">
      <c r="A157" s="8" t="s">
        <v>118</v>
      </c>
      <c r="B157" s="4" t="s">
        <v>33</v>
      </c>
      <c r="C157" s="4" t="s">
        <v>34</v>
      </c>
      <c r="D157" s="4" t="s">
        <v>123</v>
      </c>
      <c r="E157" s="9">
        <f>_xll.BQL("SEG0000201716 Segment", "LOAD_FACTOR", "FPT=A", "FPO=5A", "ACT_EST_MAPPING=PRECISE", "FS=MRC", "CURRENCY=USD", "XLFILL=b")</f>
        <v>85.667293964285108</v>
      </c>
      <c r="F157" s="9">
        <f>_xll.BQL("SEG0000201716 Segment", "LOAD_FACTOR", "FPT=A", "FPO=4A", "ACT_EST_MAPPING=PRECISE", "FS=MRC", "CURRENCY=USD", "XLFILL=b")</f>
        <v>85.511529309523397</v>
      </c>
      <c r="G157" s="9">
        <f>_xll.BQL("SEG0000201716 Segment", "LOAD_FACTOR", "FPT=A", "FPO=3A", "ACT_EST_MAPPING=PRECISE", "FS=MRC", "CURRENCY=USD", "XLFILL=b")</f>
        <v>83.856862267595261</v>
      </c>
      <c r="H157" s="9">
        <f>_xll.BQL("SEG0000201716 Segment", "LOAD_FACTOR", "FPT=A", "FPO=2A", "ACT_EST_MAPPING=PRECISE", "FS=MRC", "CURRENCY=USD", "XLFILL=b")</f>
        <v>85.058697123035572</v>
      </c>
      <c r="I157" s="9">
        <f>_xll.BQL("SEG0000201716 Segment", "LOAD_FACTOR", "FPT=A", "FPO=1A", "ACT_EST_MAPPING=PRECISE", "FS=MRC", "CURRENCY=USD", "XLFILL=b")</f>
        <v>84.216742616055981</v>
      </c>
      <c r="J157" s="9" t="str">
        <f>_xll.BQL("SEG0000201716 Segment", "LOAD_FACTOR", "FPT=A", "FPO=0A", "ACT_EST_MAPPING=PRECISE", "FS=MRC", "CURRENCY=USD", "XLFILL=b")</f>
        <v/>
      </c>
      <c r="K157" s="9" t="str">
        <f>_xll.BQL("SEG0000201716 Segment", "LOAD_FACTOR", "FPT=A", "FPO=-1A", "ACT_EST_MAPPING=PRECISE", "FS=MRC", "CURRENCY=USD", "XLFILL=b")</f>
        <v/>
      </c>
      <c r="L157" s="9">
        <f>_xll.BQL("SEG0000201716 Segment", "LOAD_FACTOR", "FPT=A", "FPO=-2A", "ACT_EST_MAPPING=PRECISE", "FS=MRC", "CURRENCY=USD", "XLFILL=b")</f>
        <v>69.22</v>
      </c>
      <c r="M157" s="9">
        <f>_xll.BQL("SEG0000201716 Segment", "LOAD_FACTOR", "FPT=A", "FPO=-3A", "ACT_EST_MAPPING=PRECISE", "FS=MRC", "CURRENCY=USD", "XLFILL=b")</f>
        <v>65.400000000000006</v>
      </c>
      <c r="N157" s="9">
        <f>_xll.BQL("SEG0000201716 Segment", "LOAD_FACTOR", "FPT=A", "FPO=-4A", "ACT_EST_MAPPING=PRECISE", "FS=MRC", "CURRENCY=USD", "XLFILL=b")</f>
        <v>84.6</v>
      </c>
    </row>
    <row r="158" spans="1:14" x14ac:dyDescent="0.2">
      <c r="A158" s="8" t="s">
        <v>86</v>
      </c>
      <c r="B158" s="4" t="s">
        <v>33</v>
      </c>
      <c r="C158" s="4" t="s">
        <v>34</v>
      </c>
      <c r="D158" s="4" t="s">
        <v>123</v>
      </c>
      <c r="E158" s="9">
        <f>_xll.BQL("SEG0000201716 Segment", "FA_GROWTH(LOAD_FACTOR, YOY)", "FPT=A", "FPO=5A", "ACT_EST_MAPPING=PRECISE", "FS=MRC", "CURRENCY=USD", "XLFILL=b")</f>
        <v>0.18215631976115718</v>
      </c>
      <c r="F158" s="9">
        <f>_xll.BQL("SEG0000201716 Segment", "FA_GROWTH(LOAD_FACTOR, YOY)", "FPT=A", "FPO=4A", "ACT_EST_MAPPING=PRECISE", "FS=MRC", "CURRENCY=USD", "XLFILL=b")</f>
        <v>1.9732040970575966</v>
      </c>
      <c r="G158" s="9">
        <f>_xll.BQL("SEG0000201716 Segment", "FA_GROWTH(LOAD_FACTOR, YOY)", "FPT=A", "FPO=3A", "ACT_EST_MAPPING=PRECISE", "FS=MRC", "CURRENCY=USD", "XLFILL=b")</f>
        <v>-1.4129476421463196</v>
      </c>
      <c r="H158" s="9">
        <f>_xll.BQL("SEG0000201716 Segment", "FA_GROWTH(LOAD_FACTOR, YOY)", "FPT=A", "FPO=2A", "ACT_EST_MAPPING=PRECISE", "FS=MRC", "CURRENCY=USD", "XLFILL=b")</f>
        <v>0.99974717713561978</v>
      </c>
      <c r="I158" s="9" t="str">
        <f>_xll.BQL("SEG0000201716 Segment", "FA_GROWTH(LOAD_FACTOR, YOY)", "FPT=A", "FPO=1A", "ACT_EST_MAPPING=PRECISE", "FS=MRC", "CURRENCY=USD", "XLFILL=b")</f>
        <v/>
      </c>
      <c r="J158" s="9" t="str">
        <f>_xll.BQL("SEG0000201716 Segment", "FA_GROWTH(LOAD_FACTOR, YOY)", "FPT=A", "FPO=0A", "ACT_EST_MAPPING=PRECISE", "FS=MRC", "CURRENCY=USD", "XLFILL=b")</f>
        <v/>
      </c>
      <c r="K158" s="9" t="str">
        <f>_xll.BQL("SEG0000201716 Segment", "FA_GROWTH(LOAD_FACTOR, YOY)", "FPT=A", "FPO=-1A", "ACT_EST_MAPPING=PRECISE", "FS=MRC", "CURRENCY=USD", "XLFILL=b")</f>
        <v/>
      </c>
      <c r="L158" s="9">
        <f>_xll.BQL("SEG0000201716 Segment", "FA_GROWTH(LOAD_FACTOR, YOY)", "FPT=A", "FPO=-2A", "ACT_EST_MAPPING=PRECISE", "FS=MRC", "CURRENCY=USD", "XLFILL=b")</f>
        <v>5.8409785932721601</v>
      </c>
      <c r="M158" s="9">
        <f>_xll.BQL("SEG0000201716 Segment", "FA_GROWTH(LOAD_FACTOR, YOY)", "FPT=A", "FPO=-3A", "ACT_EST_MAPPING=PRECISE", "FS=MRC", "CURRENCY=USD", "XLFILL=b")</f>
        <v>-22.695035460992894</v>
      </c>
      <c r="N158" s="9">
        <f>_xll.BQL("SEG0000201716 Segment", "FA_GROWTH(LOAD_FACTOR, YOY)", "FPT=A", "FPO=-4A", "ACT_EST_MAPPING=PRECISE", "FS=MRC", "CURRENCY=USD", "XLFILL=b")</f>
        <v>1.0752688172042908</v>
      </c>
    </row>
    <row r="159" spans="1:14" x14ac:dyDescent="0.2">
      <c r="A159" s="8" t="s">
        <v>124</v>
      </c>
      <c r="B159" s="4"/>
      <c r="C159" s="4" t="s">
        <v>125</v>
      </c>
      <c r="D159" s="4"/>
      <c r="E159" s="9"/>
      <c r="F159" s="9"/>
      <c r="G159" s="9"/>
      <c r="H159" s="9"/>
      <c r="I159" s="9"/>
      <c r="J159" s="9"/>
      <c r="K159" s="9"/>
      <c r="L159" s="9"/>
      <c r="M159" s="9"/>
      <c r="N159" s="9"/>
    </row>
    <row r="160" spans="1:14" x14ac:dyDescent="0.2">
      <c r="A160" s="8" t="s">
        <v>115</v>
      </c>
      <c r="B160" s="4" t="s">
        <v>27</v>
      </c>
      <c r="C160" s="4" t="s">
        <v>107</v>
      </c>
      <c r="D160" s="4" t="s">
        <v>126</v>
      </c>
      <c r="E160" s="9">
        <f>_xll.BQL("SEG0000201741 Segment", "REV_PASS_MILES_KM/1M", "FPT=A", "FPO=5A", "ACT_EST_MAPPING=PRECISE", "FS=MRC", "CURRENCY=USD", "XLFILL=b")</f>
        <v>40047.260368176001</v>
      </c>
      <c r="F160" s="9">
        <f>_xll.BQL("SEG0000201741 Segment", "REV_PASS_MILES_KM/1M", "FPT=A", "FPO=4A", "ACT_EST_MAPPING=PRECISE", "FS=MRC", "CURRENCY=USD", "XLFILL=b")</f>
        <v>37586.015066312248</v>
      </c>
      <c r="G160" s="9">
        <f>_xll.BQL("SEG0000201741 Segment", "REV_PASS_MILES_KM/1M", "FPT=A", "FPO=3A", "ACT_EST_MAPPING=PRECISE", "FS=MRC", "CURRENCY=USD", "XLFILL=b")</f>
        <v>35445.100384500001</v>
      </c>
      <c r="H160" s="9">
        <f>_xll.BQL("SEG0000201741 Segment", "REV_PASS_MILES_KM/1M", "FPT=A", "FPO=2A", "ACT_EST_MAPPING=PRECISE", "FS=MRC", "CURRENCY=USD", "XLFILL=b")</f>
        <v>34655.680871249999</v>
      </c>
      <c r="I160" s="9">
        <f>_xll.BQL("SEG0000201741 Segment", "REV_PASS_MILES_KM/1M", "FPT=A", "FPO=1A", "ACT_EST_MAPPING=PRECISE", "FS=MRC", "CURRENCY=USD", "XLFILL=b")</f>
        <v>32767.806750000003</v>
      </c>
      <c r="J160" s="9">
        <f>_xll.BQL("SEG0000201741 Segment", "REV_PASS_MILES_KM/1M", "FPT=A", "FPO=0A", "ACT_EST_MAPPING=PRECISE", "FS=MRC", "CURRENCY=USD", "XLFILL=b")</f>
        <v>26523</v>
      </c>
      <c r="K160" s="9">
        <f>_xll.BQL("SEG0000201741 Segment", "REV_PASS_MILES_KM/1M", "FPT=A", "FPO=-1A", "ACT_EST_MAPPING=PRECISE", "FS=MRC", "CURRENCY=USD", "XLFILL=b")</f>
        <v>11889</v>
      </c>
      <c r="L160" s="9">
        <f>_xll.BQL("SEG0000201741 Segment", "REV_PASS_MILES_KM/1M", "FPT=A", "FPO=-2A", "ACT_EST_MAPPING=PRECISE", "FS=MRC", "CURRENCY=USD", "XLFILL=b")</f>
        <v>2907</v>
      </c>
      <c r="M160" s="9">
        <f>_xll.BQL("SEG0000201741 Segment", "REV_PASS_MILES_KM/1M", "FPT=A", "FPO=-3A", "ACT_EST_MAPPING=PRECISE", "FS=MRC", "CURRENCY=USD", "XLFILL=b")</f>
        <v>6504</v>
      </c>
      <c r="N160" s="9">
        <f>_xll.BQL("SEG0000201741 Segment", "REV_PASS_MILES_KM/1M", "FPT=A", "FPO=-4A", "ACT_EST_MAPPING=PRECISE", "FS=MRC", "CURRENCY=USD", "XLFILL=b")</f>
        <v>35241</v>
      </c>
    </row>
    <row r="161" spans="1:14" x14ac:dyDescent="0.2">
      <c r="A161" s="8" t="s">
        <v>86</v>
      </c>
      <c r="B161" s="4" t="s">
        <v>27</v>
      </c>
      <c r="C161" s="4" t="s">
        <v>107</v>
      </c>
      <c r="D161" s="4" t="s">
        <v>126</v>
      </c>
      <c r="E161" s="9">
        <f>_xll.BQL("SEG0000201741 Segment", "FA_GROWTH(REV_PASS_MILES_KM, YOY)", "FPT=A", "FPO=5A", "ACT_EST_MAPPING=PRECISE", "FS=MRC", "CURRENCY=USD", "XLFILL=b")</f>
        <v>6.5483007377116964</v>
      </c>
      <c r="F161" s="9">
        <f>_xll.BQL("SEG0000201741 Segment", "FA_GROWTH(REV_PASS_MILES_KM, YOY)", "FPT=A", "FPO=4A", "ACT_EST_MAPPING=PRECISE", "FS=MRC", "CURRENCY=USD", "XLFILL=b")</f>
        <v>6.04008638313368</v>
      </c>
      <c r="G161" s="9">
        <f>_xll.BQL("SEG0000201741 Segment", "FA_GROWTH(REV_PASS_MILES_KM, YOY)", "FPT=A", "FPO=3A", "ACT_EST_MAPPING=PRECISE", "FS=MRC", "CURRENCY=USD", "XLFILL=b")</f>
        <v>2.277893532615296</v>
      </c>
      <c r="H161" s="9">
        <f>_xll.BQL("SEG0000201741 Segment", "FA_GROWTH(REV_PASS_MILES_KM, YOY)", "FPT=A", "FPO=2A", "ACT_EST_MAPPING=PRECISE", "FS=MRC", "CURRENCY=USD", "XLFILL=b")</f>
        <v>5.7613685763390192</v>
      </c>
      <c r="I161" s="9">
        <f>_xll.BQL("SEG0000201741 Segment", "FA_GROWTH(REV_PASS_MILES_KM, YOY)", "FPT=A", "FPO=1A", "ACT_EST_MAPPING=PRECISE", "FS=MRC", "CURRENCY=USD", "XLFILL=b")</f>
        <v>23.544873317498034</v>
      </c>
      <c r="J161" s="9">
        <f>_xll.BQL("SEG0000201741 Segment", "FA_GROWTH(REV_PASS_MILES_KM, YOY)", "FPT=A", "FPO=0A", "ACT_EST_MAPPING=PRECISE", "FS=MRC", "CURRENCY=USD", "XLFILL=b")</f>
        <v>123.0885692657078</v>
      </c>
      <c r="K161" s="9">
        <f>_xll.BQL("SEG0000201741 Segment", "FA_GROWTH(REV_PASS_MILES_KM, YOY)", "FPT=A", "FPO=-1A", "ACT_EST_MAPPING=PRECISE", "FS=MRC", "CURRENCY=USD", "XLFILL=b")</f>
        <v>308.97832817337462</v>
      </c>
      <c r="L161" s="9">
        <f>_xll.BQL("SEG0000201741 Segment", "FA_GROWTH(REV_PASS_MILES_KM, YOY)", "FPT=A", "FPO=-2A", "ACT_EST_MAPPING=PRECISE", "FS=MRC", "CURRENCY=USD", "XLFILL=b")</f>
        <v>-55.304428044280442</v>
      </c>
      <c r="M161" s="9">
        <f>_xll.BQL("SEG0000201741 Segment", "FA_GROWTH(REV_PASS_MILES_KM, YOY)", "FPT=A", "FPO=-3A", "ACT_EST_MAPPING=PRECISE", "FS=MRC", "CURRENCY=USD", "XLFILL=b")</f>
        <v>-81.544224057206094</v>
      </c>
      <c r="N161" s="9">
        <f>_xll.BQL("SEG0000201741 Segment", "FA_GROWTH(REV_PASS_MILES_KM, YOY)", "FPT=A", "FPO=-4A", "ACT_EST_MAPPING=PRECISE", "FS=MRC", "CURRENCY=USD", "XLFILL=b")</f>
        <v>2.402654350258921</v>
      </c>
    </row>
    <row r="162" spans="1:14" x14ac:dyDescent="0.2">
      <c r="A162" s="8" t="s">
        <v>117</v>
      </c>
      <c r="B162" s="4" t="s">
        <v>30</v>
      </c>
      <c r="C162" s="4" t="s">
        <v>110</v>
      </c>
      <c r="D162" s="4" t="s">
        <v>126</v>
      </c>
      <c r="E162" s="9">
        <f>_xll.BQL("SEG0000201741 Segment", "AVAIL_SEAT_MILES_KM/1M", "FPT=A", "FPO=5A", "ACT_EST_MAPPING=PRECISE", "FS=MRC", "CURRENCY=USD", "XLFILL=b")</f>
        <v>53083.875211056009</v>
      </c>
      <c r="F162" s="9">
        <f>_xll.BQL("SEG0000201741 Segment", "AVAIL_SEAT_MILES_KM/1M", "FPT=A", "FPO=4A", "ACT_EST_MAPPING=PRECISE", "FS=MRC", "CURRENCY=USD", "XLFILL=b")</f>
        <v>47120.220831149993</v>
      </c>
      <c r="G162" s="9">
        <f>_xll.BQL("SEG0000201741 Segment", "AVAIL_SEAT_MILES_KM/1M", "FPT=A", "FPO=3A", "ACT_EST_MAPPING=PRECISE", "FS=MRC", "CURRENCY=USD", "XLFILL=b")</f>
        <v>46298.400553333333</v>
      </c>
      <c r="H162" s="9">
        <f>_xll.BQL("SEG0000201741 Segment", "AVAIL_SEAT_MILES_KM/1M", "FPT=A", "FPO=2A", "ACT_EST_MAPPING=PRECISE", "FS=MRC", "CURRENCY=USD", "XLFILL=b")</f>
        <v>44460.505666666664</v>
      </c>
      <c r="I162" s="9">
        <f>_xll.BQL("SEG0000201741 Segment", "AVAIL_SEAT_MILES_KM/1M", "FPT=A", "FPO=1A", "ACT_EST_MAPPING=PRECISE", "FS=MRC", "CURRENCY=USD", "XLFILL=b")</f>
        <v>42280.7</v>
      </c>
      <c r="J162" s="9">
        <f>_xll.BQL("SEG0000201741 Segment", "AVAIL_SEAT_MILES_KM/1M", "FPT=A", "FPO=0A", "ACT_EST_MAPPING=PRECISE", "FS=MRC", "CURRENCY=USD", "XLFILL=b")</f>
        <v>33790</v>
      </c>
      <c r="K162" s="9">
        <f>_xll.BQL("SEG0000201741 Segment", "AVAIL_SEAT_MILES_KM/1M", "FPT=A", "FPO=-1A", "ACT_EST_MAPPING=PRECISE", "FS=MRC", "CURRENCY=USD", "XLFILL=b")</f>
        <v>17415</v>
      </c>
      <c r="L162" s="9">
        <f>_xll.BQL("SEG0000201741 Segment", "AVAIL_SEAT_MILES_KM/1M", "FPT=A", "FPO=-2A", "ACT_EST_MAPPING=PRECISE", "FS=MRC", "CURRENCY=USD", "XLFILL=b")</f>
        <v>10041</v>
      </c>
      <c r="M162" s="9">
        <f>_xll.BQL("SEG0000201741 Segment", "AVAIL_SEAT_MILES_KM/1M", "FPT=A", "FPO=-3A", "ACT_EST_MAPPING=PRECISE", "FS=MRC", "CURRENCY=USD", "XLFILL=b")</f>
        <v>12295</v>
      </c>
      <c r="N162" s="9">
        <f>_xll.BQL("SEG0000201741 Segment", "AVAIL_SEAT_MILES_KM/1M", "FPT=A", "FPO=-4A", "ACT_EST_MAPPING=PRECISE", "FS=MRC", "CURRENCY=USD", "XLFILL=b")</f>
        <v>43632</v>
      </c>
    </row>
    <row r="163" spans="1:14" x14ac:dyDescent="0.2">
      <c r="A163" s="8" t="s">
        <v>86</v>
      </c>
      <c r="B163" s="4" t="s">
        <v>30</v>
      </c>
      <c r="C163" s="4" t="s">
        <v>110</v>
      </c>
      <c r="D163" s="4" t="s">
        <v>126</v>
      </c>
      <c r="E163" s="9">
        <f>_xll.BQL("SEG0000201741 Segment", "FA_GROWTH(AVAIL_SEAT_MILES_KM, YOY)", "FPT=A", "FPO=5A", "ACT_EST_MAPPING=PRECISE", "FS=MRC", "CURRENCY=USD", "XLFILL=b")</f>
        <v>12.656253036835496</v>
      </c>
      <c r="F163" s="9">
        <f>_xll.BQL("SEG0000201741 Segment", "FA_GROWTH(AVAIL_SEAT_MILES_KM, YOY)", "FPT=A", "FPO=4A", "ACT_EST_MAPPING=PRECISE", "FS=MRC", "CURRENCY=USD", "XLFILL=b")</f>
        <v>1.7750511205456527</v>
      </c>
      <c r="G163" s="9">
        <f>_xll.BQL("SEG0000201741 Segment", "FA_GROWTH(AVAIL_SEAT_MILES_KM, YOY)", "FPT=A", "FPO=3A", "ACT_EST_MAPPING=PRECISE", "FS=MRC", "CURRENCY=USD", "XLFILL=b")</f>
        <v>4.1337696436606093</v>
      </c>
      <c r="H163" s="9">
        <f>_xll.BQL("SEG0000201741 Segment", "FA_GROWTH(AVAIL_SEAT_MILES_KM, YOY)", "FPT=A", "FPO=2A", "ACT_EST_MAPPING=PRECISE", "FS=MRC", "CURRENCY=USD", "XLFILL=b")</f>
        <v>5.1555571848778854</v>
      </c>
      <c r="I163" s="9">
        <f>_xll.BQL("SEG0000201741 Segment", "FA_GROWTH(AVAIL_SEAT_MILES_KM, YOY)", "FPT=A", "FPO=1A", "ACT_EST_MAPPING=PRECISE", "FS=MRC", "CURRENCY=USD", "XLFILL=b")</f>
        <v>25.127848475880437</v>
      </c>
      <c r="J163" s="9">
        <f>_xll.BQL("SEG0000201741 Segment", "FA_GROWTH(AVAIL_SEAT_MILES_KM, YOY)", "FPT=A", "FPO=0A", "ACT_EST_MAPPING=PRECISE", "FS=MRC", "CURRENCY=USD", "XLFILL=b")</f>
        <v>94.028136663795578</v>
      </c>
      <c r="K163" s="9">
        <f>_xll.BQL("SEG0000201741 Segment", "FA_GROWTH(AVAIL_SEAT_MILES_KM, YOY)", "FPT=A", "FPO=-1A", "ACT_EST_MAPPING=PRECISE", "FS=MRC", "CURRENCY=USD", "XLFILL=b")</f>
        <v>73.438900507917538</v>
      </c>
      <c r="L163" s="9">
        <f>_xll.BQL("SEG0000201741 Segment", "FA_GROWTH(AVAIL_SEAT_MILES_KM, YOY)", "FPT=A", "FPO=-2A", "ACT_EST_MAPPING=PRECISE", "FS=MRC", "CURRENCY=USD", "XLFILL=b")</f>
        <v>-18.332655551037007</v>
      </c>
      <c r="M163" s="9">
        <f>_xll.BQL("SEG0000201741 Segment", "FA_GROWTH(AVAIL_SEAT_MILES_KM, YOY)", "FPT=A", "FPO=-3A", "ACT_EST_MAPPING=PRECISE", "FS=MRC", "CURRENCY=USD", "XLFILL=b")</f>
        <v>-71.82114044737807</v>
      </c>
      <c r="N163" s="9">
        <f>_xll.BQL("SEG0000201741 Segment", "FA_GROWTH(AVAIL_SEAT_MILES_KM, YOY)", "FPT=A", "FPO=-4A", "ACT_EST_MAPPING=PRECISE", "FS=MRC", "CURRENCY=USD", "XLFILL=b")</f>
        <v>0.51961165683767541</v>
      </c>
    </row>
    <row r="164" spans="1:14" x14ac:dyDescent="0.2">
      <c r="A164" s="8" t="s">
        <v>118</v>
      </c>
      <c r="B164" s="4" t="s">
        <v>33</v>
      </c>
      <c r="C164" s="4" t="s">
        <v>34</v>
      </c>
      <c r="D164" s="4" t="s">
        <v>126</v>
      </c>
      <c r="E164" s="9">
        <f>_xll.BQL("SEG0000201741 Segment", "LOAD_FACTOR", "FPT=A", "FPO=5A", "ACT_EST_MAPPING=PRECISE", "FS=MRC", "CURRENCY=USD", "XLFILL=b")</f>
        <v>75.441478620300856</v>
      </c>
      <c r="F164" s="9">
        <f>_xll.BQL("SEG0000201741 Segment", "LOAD_FACTOR", "FPT=A", "FPO=4A", "ACT_EST_MAPPING=PRECISE", "FS=MRC", "CURRENCY=USD", "XLFILL=b")</f>
        <v>80.270739310150418</v>
      </c>
      <c r="G164" s="9">
        <f>_xll.BQL("SEG0000201741 Segment", "LOAD_FACTOR", "FPT=A", "FPO=3A", "ACT_EST_MAPPING=PRECISE", "FS=MRC", "CURRENCY=USD", "XLFILL=b")</f>
        <v>78.220739310150435</v>
      </c>
      <c r="H164" s="9">
        <f>_xll.BQL("SEG0000201741 Segment", "LOAD_FACTOR", "FPT=A", "FPO=2A", "ACT_EST_MAPPING=PRECISE", "FS=MRC", "CURRENCY=USD", "XLFILL=b")</f>
        <v>79.795739310150424</v>
      </c>
      <c r="I164" s="9">
        <f>_xll.BQL("SEG0000201741 Segment", "LOAD_FACTOR", "FPT=A", "FPO=1A", "ACT_EST_MAPPING=PRECISE", "FS=MRC", "CURRENCY=USD", "XLFILL=b")</f>
        <v>79.795739310150424</v>
      </c>
      <c r="J164" s="9" t="str">
        <f>_xll.BQL("SEG0000201741 Segment", "LOAD_FACTOR", "FPT=A", "FPO=0A", "ACT_EST_MAPPING=PRECISE", "FS=MRC", "CURRENCY=USD", "XLFILL=b")</f>
        <v/>
      </c>
      <c r="K164" s="9" t="str">
        <f>_xll.BQL("SEG0000201741 Segment", "LOAD_FACTOR", "FPT=A", "FPO=-1A", "ACT_EST_MAPPING=PRECISE", "FS=MRC", "CURRENCY=USD", "XLFILL=b")</f>
        <v/>
      </c>
      <c r="L164" s="9">
        <f>_xll.BQL("SEG0000201741 Segment", "LOAD_FACTOR", "FPT=A", "FPO=-2A", "ACT_EST_MAPPING=PRECISE", "FS=MRC", "CURRENCY=USD", "XLFILL=b")</f>
        <v>28.91</v>
      </c>
      <c r="M164" s="9">
        <f>_xll.BQL("SEG0000201741 Segment", "LOAD_FACTOR", "FPT=A", "FPO=-3A", "ACT_EST_MAPPING=PRECISE", "FS=MRC", "CURRENCY=USD", "XLFILL=b")</f>
        <v>52.9</v>
      </c>
      <c r="N164" s="9">
        <f>_xll.BQL("SEG0000201741 Segment", "LOAD_FACTOR", "FPT=A", "FPO=-4A", "ACT_EST_MAPPING=PRECISE", "FS=MRC", "CURRENCY=USD", "XLFILL=b")</f>
        <v>80.8</v>
      </c>
    </row>
    <row r="165" spans="1:14" x14ac:dyDescent="0.2">
      <c r="A165" s="8" t="s">
        <v>86</v>
      </c>
      <c r="B165" s="4" t="s">
        <v>33</v>
      </c>
      <c r="C165" s="4" t="s">
        <v>34</v>
      </c>
      <c r="D165" s="4" t="s">
        <v>126</v>
      </c>
      <c r="E165" s="9">
        <f>_xll.BQL("SEG0000201741 Segment", "FA_GROWTH(LOAD_FACTOR, YOY)", "FPT=A", "FPO=5A", "ACT_EST_MAPPING=PRECISE", "FS=MRC", "CURRENCY=USD", "XLFILL=b")</f>
        <v>-6.0162155367602193</v>
      </c>
      <c r="F165" s="9">
        <f>_xll.BQL("SEG0000201741 Segment", "FA_GROWTH(LOAD_FACTOR, YOY)", "FPT=A", "FPO=4A", "ACT_EST_MAPPING=PRECISE", "FS=MRC", "CURRENCY=USD", "XLFILL=b")</f>
        <v>2.6207883204371112</v>
      </c>
      <c r="G165" s="9">
        <f>_xll.BQL("SEG0000201741 Segment", "FA_GROWTH(LOAD_FACTOR, YOY)", "FPT=A", "FPO=3A", "ACT_EST_MAPPING=PRECISE", "FS=MRC", "CURRENCY=USD", "XLFILL=b")</f>
        <v>-1.9737895953044207</v>
      </c>
      <c r="H165" s="9">
        <f>_xll.BQL("SEG0000201741 Segment", "FA_GROWTH(LOAD_FACTOR, YOY)", "FPT=A", "FPO=2A", "ACT_EST_MAPPING=PRECISE", "FS=MRC", "CURRENCY=USD", "XLFILL=b")</f>
        <v>0</v>
      </c>
      <c r="I165" s="9" t="str">
        <f>_xll.BQL("SEG0000201741 Segment", "FA_GROWTH(LOAD_FACTOR, YOY)", "FPT=A", "FPO=1A", "ACT_EST_MAPPING=PRECISE", "FS=MRC", "CURRENCY=USD", "XLFILL=b")</f>
        <v/>
      </c>
      <c r="J165" s="9" t="str">
        <f>_xll.BQL("SEG0000201741 Segment", "FA_GROWTH(LOAD_FACTOR, YOY)", "FPT=A", "FPO=0A", "ACT_EST_MAPPING=PRECISE", "FS=MRC", "CURRENCY=USD", "XLFILL=b")</f>
        <v/>
      </c>
      <c r="K165" s="9" t="str">
        <f>_xll.BQL("SEG0000201741 Segment", "FA_GROWTH(LOAD_FACTOR, YOY)", "FPT=A", "FPO=-1A", "ACT_EST_MAPPING=PRECISE", "FS=MRC", "CURRENCY=USD", "XLFILL=b")</f>
        <v/>
      </c>
      <c r="L165" s="9">
        <f>_xll.BQL("SEG0000201741 Segment", "FA_GROWTH(LOAD_FACTOR, YOY)", "FPT=A", "FPO=-2A", "ACT_EST_MAPPING=PRECISE", "FS=MRC", "CURRENCY=USD", "XLFILL=b")</f>
        <v>-45.349716446124766</v>
      </c>
      <c r="M165" s="9">
        <f>_xll.BQL("SEG0000201741 Segment", "FA_GROWTH(LOAD_FACTOR, YOY)", "FPT=A", "FPO=-3A", "ACT_EST_MAPPING=PRECISE", "FS=MRC", "CURRENCY=USD", "XLFILL=b")</f>
        <v>-34.529702970297031</v>
      </c>
      <c r="N165" s="9">
        <f>_xll.BQL("SEG0000201741 Segment", "FA_GROWTH(LOAD_FACTOR, YOY)", "FPT=A", "FPO=-4A", "ACT_EST_MAPPING=PRECISE", "FS=MRC", "CURRENCY=USD", "XLFILL=b")</f>
        <v>1.8915510718789408</v>
      </c>
    </row>
    <row r="166" spans="1:14" x14ac:dyDescent="0.2">
      <c r="A166" s="8" t="s">
        <v>16</v>
      </c>
      <c r="B166" s="4"/>
      <c r="C166" s="4"/>
      <c r="D166" s="4"/>
      <c r="E166" s="9"/>
      <c r="F166" s="9"/>
      <c r="G166" s="9"/>
      <c r="H166" s="9"/>
      <c r="I166" s="9"/>
      <c r="J166" s="9"/>
      <c r="K166" s="9"/>
      <c r="L166" s="9"/>
      <c r="M166" s="9"/>
      <c r="N166" s="9"/>
    </row>
    <row r="167" spans="1:14" x14ac:dyDescent="0.2">
      <c r="A167" s="8" t="s">
        <v>127</v>
      </c>
      <c r="B167" s="4"/>
      <c r="C167" s="4" t="s">
        <v>128</v>
      </c>
      <c r="D167" s="4"/>
      <c r="E167" s="9"/>
      <c r="F167" s="9"/>
      <c r="G167" s="9"/>
      <c r="H167" s="9"/>
      <c r="I167" s="9"/>
      <c r="J167" s="9"/>
      <c r="K167" s="9"/>
      <c r="L167" s="9"/>
      <c r="M167" s="9"/>
      <c r="N167" s="9"/>
    </row>
    <row r="168" spans="1:14" x14ac:dyDescent="0.2">
      <c r="A168" s="8" t="s">
        <v>129</v>
      </c>
      <c r="B168" s="4" t="s">
        <v>14</v>
      </c>
      <c r="C168" s="4" t="s">
        <v>130</v>
      </c>
      <c r="D168" s="4"/>
      <c r="E168" s="9">
        <f>_xll.BQL("UAL US Equity", "IS_COMP_SALES/1M", "FPT=A", "FPO=5A", "ACT_EST_MAPPING=PRECISE", "FS=MRC", "CURRENCY=USD", "XLFILL=b")</f>
        <v>68319</v>
      </c>
      <c r="F168" s="9">
        <f>_xll.BQL("UAL US Equity", "IS_COMP_SALES/1M", "FPT=A", "FPO=4A", "ACT_EST_MAPPING=PRECISE", "FS=MRC", "CURRENCY=USD", "XLFILL=b")</f>
        <v>66429</v>
      </c>
      <c r="G168" s="9">
        <f>_xll.BQL("UAL US Equity", "IS_COMP_SALES/1M", "FPT=A", "FPO=3A", "ACT_EST_MAPPING=PRECISE", "FS=MRC", "CURRENCY=USD", "XLFILL=b")</f>
        <v>63560.583333333336</v>
      </c>
      <c r="H168" s="9">
        <f>_xll.BQL("UAL US Equity", "IS_COMP_SALES/1M", "FPT=A", "FPO=2A", "ACT_EST_MAPPING=PRECISE", "FS=MRC", "CURRENCY=USD", "XLFILL=b")</f>
        <v>60146.235294117643</v>
      </c>
      <c r="I168" s="9">
        <f>_xll.BQL("UAL US Equity", "IS_COMP_SALES/1M", "FPT=A", "FPO=1A", "ACT_EST_MAPPING=PRECISE", "FS=MRC", "CURRENCY=USD", "XLFILL=b")</f>
        <v>56468.777777777781</v>
      </c>
      <c r="J168" s="9">
        <f>_xll.BQL("UAL US Equity", "IS_COMP_SALES/1M", "FPT=A", "FPO=0A", "ACT_EST_MAPPING=PRECISE", "FS=MRC", "CURRENCY=USD", "XLFILL=b")</f>
        <v>53717</v>
      </c>
      <c r="K168" s="9">
        <f>_xll.BQL("UAL US Equity", "IS_COMP_SALES/1M", "FPT=A", "FPO=-1A", "ACT_EST_MAPPING=PRECISE", "FS=MRC", "CURRENCY=USD", "XLFILL=b")</f>
        <v>44955</v>
      </c>
      <c r="L168" s="9">
        <f>_xll.BQL("UAL US Equity", "IS_COMP_SALES/1M", "FPT=A", "FPO=-2A", "ACT_EST_MAPPING=PRECISE", "FS=MRC", "CURRENCY=USD", "XLFILL=b")</f>
        <v>24634</v>
      </c>
      <c r="M168" s="9">
        <f>_xll.BQL("UAL US Equity", "IS_COMP_SALES/1M", "FPT=A", "FPO=-3A", "ACT_EST_MAPPING=PRECISE", "FS=MRC", "CURRENCY=USD", "XLFILL=b")</f>
        <v>15355</v>
      </c>
      <c r="N168" s="9">
        <f>_xll.BQL("UAL US Equity", "IS_COMP_SALES/1M", "FPT=A", "FPO=-4A", "ACT_EST_MAPPING=PRECISE", "FS=MRC", "CURRENCY=USD", "XLFILL=b")</f>
        <v>43259</v>
      </c>
    </row>
    <row r="169" spans="1:14" x14ac:dyDescent="0.2">
      <c r="A169" s="8" t="s">
        <v>12</v>
      </c>
      <c r="B169" s="4" t="s">
        <v>14</v>
      </c>
      <c r="C169" s="4" t="s">
        <v>130</v>
      </c>
      <c r="D169" s="4"/>
      <c r="E169" s="9">
        <f>_xll.BQL("UAL US Equity", "FA_GROWTH(IS_COMP_SALES, YOY)", "FPT=A", "FPO=5A", "ACT_EST_MAPPING=PRECISE", "FS=MRC", "CURRENCY=USD", "XLFILL=b")</f>
        <v>2.8451429345617125</v>
      </c>
      <c r="F169" s="9">
        <f>_xll.BQL("UAL US Equity", "FA_GROWTH(IS_COMP_SALES, YOY)", "FPT=A", "FPO=4A", "ACT_EST_MAPPING=PRECISE", "FS=MRC", "CURRENCY=USD", "XLFILL=b")</f>
        <v>4.5128859998400426</v>
      </c>
      <c r="G169" s="9">
        <f>_xll.BQL("UAL US Equity", "FA_GROWTH(IS_COMP_SALES, YOY)", "FPT=A", "FPO=3A", "ACT_EST_MAPPING=PRECISE", "FS=MRC", "CURRENCY=USD", "XLFILL=b")</f>
        <v>5.6767443922622656</v>
      </c>
      <c r="H169" s="9">
        <f>_xll.BQL("UAL US Equity", "FA_GROWTH(IS_COMP_SALES, YOY)", "FPT=A", "FPO=2A", "ACT_EST_MAPPING=PRECISE", "FS=MRC", "CURRENCY=USD", "XLFILL=b")</f>
        <v>6.5123731397407028</v>
      </c>
      <c r="I169" s="9">
        <f>_xll.BQL("UAL US Equity", "FA_GROWTH(IS_COMP_SALES, YOY)", "FPT=A", "FPO=1A", "ACT_EST_MAPPING=PRECISE", "FS=MRC", "CURRENCY=USD", "XLFILL=b")</f>
        <v>5.1227316822938329</v>
      </c>
      <c r="J169" s="9">
        <f>_xll.BQL("UAL US Equity", "FA_GROWTH(IS_COMP_SALES, YOY)", "FPT=A", "FPO=0A", "ACT_EST_MAPPING=PRECISE", "FS=MRC", "CURRENCY=USD", "XLFILL=b")</f>
        <v>19.490601712823935</v>
      </c>
      <c r="K169" s="9">
        <f>_xll.BQL("UAL US Equity", "FA_GROWTH(IS_COMP_SALES, YOY)", "FPT=A", "FPO=-1A", "ACT_EST_MAPPING=PRECISE", "FS=MRC", "CURRENCY=USD", "XLFILL=b")</f>
        <v>82.491678168385164</v>
      </c>
      <c r="L169" s="9">
        <f>_xll.BQL("UAL US Equity", "FA_GROWTH(IS_COMP_SALES, YOY)", "FPT=A", "FPO=-2A", "ACT_EST_MAPPING=PRECISE", "FS=MRC", "CURRENCY=USD", "XLFILL=b")</f>
        <v>60.429827417779222</v>
      </c>
      <c r="M169" s="9">
        <f>_xll.BQL("UAL US Equity", "FA_GROWTH(IS_COMP_SALES, YOY)", "FPT=A", "FPO=-3A", "ACT_EST_MAPPING=PRECISE", "FS=MRC", "CURRENCY=USD", "XLFILL=b")</f>
        <v>-64.504496174206523</v>
      </c>
      <c r="N169" s="9">
        <f>_xll.BQL("UAL US Equity", "FA_GROWTH(IS_COMP_SALES, YOY)", "FPT=A", "FPO=-4A", "ACT_EST_MAPPING=PRECISE", "FS=MRC", "CURRENCY=USD", "XLFILL=b")</f>
        <v>4.7357334818294072</v>
      </c>
    </row>
    <row r="170" spans="1:14" x14ac:dyDescent="0.2">
      <c r="A170" s="8" t="s">
        <v>16</v>
      </c>
      <c r="B170" s="4"/>
      <c r="C170" s="4"/>
      <c r="D170" s="4"/>
      <c r="E170" s="9"/>
      <c r="F170" s="9"/>
      <c r="G170" s="9"/>
      <c r="H170" s="9"/>
      <c r="I170" s="9"/>
      <c r="J170" s="9"/>
      <c r="K170" s="9"/>
      <c r="L170" s="9"/>
      <c r="M170" s="9"/>
      <c r="N170" s="9"/>
    </row>
    <row r="171" spans="1:14" x14ac:dyDescent="0.2">
      <c r="A171" s="8" t="s">
        <v>131</v>
      </c>
      <c r="B171" s="4" t="s">
        <v>132</v>
      </c>
      <c r="C171" s="4" t="s">
        <v>133</v>
      </c>
      <c r="D171" s="4"/>
      <c r="E171" s="9">
        <f>_xll.BQL("UAL US Equity", "IS_OPERATING_EXPN/1M", "FPT=A", "FPO=5A", "ACT_EST_MAPPING=PRECISE", "FS=MRC", "CURRENCY=USD", "XLFILL=b")</f>
        <v>57632.445408214444</v>
      </c>
      <c r="F171" s="9">
        <f>_xll.BQL("UAL US Equity", "IS_OPERATING_EXPN/1M", "FPT=A", "FPO=4A", "ACT_EST_MAPPING=PRECISE", "FS=MRC", "CURRENCY=USD", "XLFILL=b")</f>
        <v>57354.378970497652</v>
      </c>
      <c r="G171" s="9">
        <f>_xll.BQL("UAL US Equity", "IS_OPERATING_EXPN/1M", "FPT=A", "FPO=3A", "ACT_EST_MAPPING=PRECISE", "FS=MRC", "CURRENCY=USD", "XLFILL=b")</f>
        <v>56056.662148540796</v>
      </c>
      <c r="H171" s="9">
        <f>_xll.BQL("UAL US Equity", "IS_OPERATING_EXPN/1M", "FPT=A", "FPO=2A", "ACT_EST_MAPPING=PRECISE", "FS=MRC", "CURRENCY=USD", "XLFILL=b")</f>
        <v>53741.254565786337</v>
      </c>
      <c r="I171" s="9">
        <f>_xll.BQL("UAL US Equity", "IS_OPERATING_EXPN/1M", "FPT=A", "FPO=1A", "ACT_EST_MAPPING=PRECISE", "FS=MRC", "CURRENCY=USD", "XLFILL=b")</f>
        <v>51558.524361805714</v>
      </c>
      <c r="J171" s="9">
        <f>_xll.BQL("UAL US Equity", "IS_OPERATING_EXPN/1M", "FPT=A", "FPO=0A", "ACT_EST_MAPPING=PRECISE", "FS=MRC", "CURRENCY=USD", "XLFILL=b")</f>
        <v>49506</v>
      </c>
      <c r="K171" s="9">
        <f>_xll.BQL("UAL US Equity", "IS_OPERATING_EXPN/1M", "FPT=A", "FPO=-1A", "ACT_EST_MAPPING=PRECISE", "FS=MRC", "CURRENCY=USD", "XLFILL=b")</f>
        <v>42618</v>
      </c>
      <c r="L171" s="9">
        <f>_xll.BQL("UAL US Equity", "IS_OPERATING_EXPN/1M", "FPT=A", "FPO=-2A", "ACT_EST_MAPPING=PRECISE", "FS=MRC", "CURRENCY=USD", "XLFILL=b")</f>
        <v>25656</v>
      </c>
      <c r="M171" s="9">
        <f>_xll.BQL("UAL US Equity", "IS_OPERATING_EXPN/1M", "FPT=A", "FPO=-3A", "ACT_EST_MAPPING=PRECISE", "FS=MRC", "CURRENCY=USD", "XLFILL=b")</f>
        <v>21714</v>
      </c>
      <c r="N171" s="9">
        <f>_xll.BQL("UAL US Equity", "IS_OPERATING_EXPN/1M", "FPT=A", "FPO=-4A", "ACT_EST_MAPPING=PRECISE", "FS=MRC", "CURRENCY=USD", "XLFILL=b")</f>
        <v>38958</v>
      </c>
    </row>
    <row r="172" spans="1:14" x14ac:dyDescent="0.2">
      <c r="A172" s="8" t="s">
        <v>12</v>
      </c>
      <c r="B172" s="4" t="s">
        <v>132</v>
      </c>
      <c r="C172" s="4" t="s">
        <v>133</v>
      </c>
      <c r="D172" s="4"/>
      <c r="E172" s="9">
        <f>_xll.BQL("UAL US Equity", "FA_GROWTH(IS_OPERATING_EXPN, YOY)", "FPT=A", "FPO=5A", "ACT_EST_MAPPING=PRECISE", "FS=MRC", "CURRENCY=USD", "XLFILL=b")</f>
        <v>0.48482163473486595</v>
      </c>
      <c r="F172" s="9">
        <f>_xll.BQL("UAL US Equity", "FA_GROWTH(IS_OPERATING_EXPN, YOY)", "FPT=A", "FPO=4A", "ACT_EST_MAPPING=PRECISE", "FS=MRC", "CURRENCY=USD", "XLFILL=b")</f>
        <v>2.3150090858391157</v>
      </c>
      <c r="G172" s="9">
        <f>_xll.BQL("UAL US Equity", "FA_GROWTH(IS_OPERATING_EXPN, YOY)", "FPT=A", "FPO=3A", "ACT_EST_MAPPING=PRECISE", "FS=MRC", "CURRENCY=USD", "XLFILL=b")</f>
        <v>4.3084360450128552</v>
      </c>
      <c r="H172" s="9">
        <f>_xll.BQL("UAL US Equity", "FA_GROWTH(IS_OPERATING_EXPN, YOY)", "FPT=A", "FPO=2A", "ACT_EST_MAPPING=PRECISE", "FS=MRC", "CURRENCY=USD", "XLFILL=b")</f>
        <v>4.2335001457054426</v>
      </c>
      <c r="I172" s="9">
        <f>_xll.BQL("UAL US Equity", "FA_GROWTH(IS_OPERATING_EXPN, YOY)", "FPT=A", "FPO=1A", "ACT_EST_MAPPING=PRECISE", "FS=MRC", "CURRENCY=USD", "XLFILL=b")</f>
        <v>4.1460113154076623</v>
      </c>
      <c r="J172" s="9">
        <f>_xll.BQL("UAL US Equity", "FA_GROWTH(IS_OPERATING_EXPN, YOY)", "FPT=A", "FPO=0A", "ACT_EST_MAPPING=PRECISE", "FS=MRC", "CURRENCY=USD", "XLFILL=b")</f>
        <v>16.162184992256794</v>
      </c>
      <c r="K172" s="9">
        <f>_xll.BQL("UAL US Equity", "FA_GROWTH(IS_OPERATING_EXPN, YOY)", "FPT=A", "FPO=-1A", "ACT_EST_MAPPING=PRECISE", "FS=MRC", "CURRENCY=USD", "XLFILL=b")</f>
        <v>66.113189897100099</v>
      </c>
      <c r="L172" s="9">
        <f>_xll.BQL("UAL US Equity", "FA_GROWTH(IS_OPERATING_EXPN, YOY)", "FPT=A", "FPO=-2A", "ACT_EST_MAPPING=PRECISE", "FS=MRC", "CURRENCY=USD", "XLFILL=b")</f>
        <v>18.154186239292621</v>
      </c>
      <c r="M172" s="9">
        <f>_xll.BQL("UAL US Equity", "FA_GROWTH(IS_OPERATING_EXPN, YOY)", "FPT=A", "FPO=-3A", "ACT_EST_MAPPING=PRECISE", "FS=MRC", "CURRENCY=USD", "XLFILL=b")</f>
        <v>-44.263052518096409</v>
      </c>
      <c r="N172" s="9">
        <f>_xll.BQL("UAL US Equity", "FA_GROWTH(IS_OPERATING_EXPN, YOY)", "FPT=A", "FPO=-4A", "ACT_EST_MAPPING=PRECISE", "FS=MRC", "CURRENCY=USD", "XLFILL=b")</f>
        <v>2.3217944003782107</v>
      </c>
    </row>
    <row r="173" spans="1:14" x14ac:dyDescent="0.2">
      <c r="A173" s="8" t="s">
        <v>134</v>
      </c>
      <c r="B173" s="4" t="s">
        <v>135</v>
      </c>
      <c r="C173" s="4" t="s">
        <v>136</v>
      </c>
      <c r="D173" s="4"/>
      <c r="E173" s="9">
        <f>_xll.BQL("UAL US Equity", "IS_PERSONNEL_EXP/1M", "FPT=A", "FPO=5A", "ACT_EST_MAPPING=PRECISE", "FS=MRC", "CURRENCY=USD", "XLFILL=b")</f>
        <v>19353.49701647033</v>
      </c>
      <c r="F173" s="9">
        <f>_xll.BQL("UAL US Equity", "IS_PERSONNEL_EXP/1M", "FPT=A", "FPO=4A", "ACT_EST_MAPPING=PRECISE", "FS=MRC", "CURRENCY=USD", "XLFILL=b")</f>
        <v>18774.42890636811</v>
      </c>
      <c r="G173" s="9">
        <f>_xll.BQL("UAL US Equity", "IS_PERSONNEL_EXP/1M", "FPT=A", "FPO=3A", "ACT_EST_MAPPING=PRECISE", "FS=MRC", "CURRENCY=USD", "XLFILL=b")</f>
        <v>18524.296633797683</v>
      </c>
      <c r="H173" s="9">
        <f>_xll.BQL("UAL US Equity", "IS_PERSONNEL_EXP/1M", "FPT=A", "FPO=2A", "ACT_EST_MAPPING=PRECISE", "FS=MRC", "CURRENCY=USD", "XLFILL=b")</f>
        <v>17592.736490571242</v>
      </c>
      <c r="I173" s="9">
        <f>_xll.BQL("UAL US Equity", "IS_PERSONNEL_EXP/1M", "FPT=A", "FPO=1A", "ACT_EST_MAPPING=PRECISE", "FS=MRC", "CURRENCY=USD", "XLFILL=b")</f>
        <v>16234.40888362779</v>
      </c>
      <c r="J173" s="9">
        <f>_xll.BQL("UAL US Equity", "IS_PERSONNEL_EXP/1M", "FPT=A", "FPO=0A", "ACT_EST_MAPPING=PRECISE", "FS=MRC", "CURRENCY=USD", "XLFILL=b")</f>
        <v>14787</v>
      </c>
      <c r="K173" s="9">
        <f>_xll.BQL("UAL US Equity", "IS_PERSONNEL_EXP/1M", "FPT=A", "FPO=-1A", "ACT_EST_MAPPING=PRECISE", "FS=MRC", "CURRENCY=USD", "XLFILL=b")</f>
        <v>11466</v>
      </c>
      <c r="L173" s="9">
        <f>_xll.BQL("UAL US Equity", "IS_PERSONNEL_EXP/1M", "FPT=A", "FPO=-2A", "ACT_EST_MAPPING=PRECISE", "FS=MRC", "CURRENCY=USD", "XLFILL=b")</f>
        <v>9566</v>
      </c>
      <c r="M173" s="9">
        <f>_xll.BQL("UAL US Equity", "IS_PERSONNEL_EXP/1M", "FPT=A", "FPO=-3A", "ACT_EST_MAPPING=PRECISE", "FS=MRC", "CURRENCY=USD", "XLFILL=b")</f>
        <v>9522</v>
      </c>
      <c r="N173" s="9">
        <f>_xll.BQL("UAL US Equity", "IS_PERSONNEL_EXP/1M", "FPT=A", "FPO=-4A", "ACT_EST_MAPPING=PRECISE", "FS=MRC", "CURRENCY=USD", "XLFILL=b")</f>
        <v>12071</v>
      </c>
    </row>
    <row r="174" spans="1:14" x14ac:dyDescent="0.2">
      <c r="A174" s="8" t="s">
        <v>20</v>
      </c>
      <c r="B174" s="4" t="s">
        <v>135</v>
      </c>
      <c r="C174" s="4" t="s">
        <v>136</v>
      </c>
      <c r="D174" s="4"/>
      <c r="E174" s="9">
        <f>_xll.BQL("UAL US Equity", "FA_GROWTH(IS_PERSONNEL_EXP, YOY)", "FPT=A", "FPO=5A", "ACT_EST_MAPPING=PRECISE", "FS=MRC", "CURRENCY=USD", "XLFILL=b")</f>
        <v>3.0843447382082774</v>
      </c>
      <c r="F174" s="9">
        <f>_xll.BQL("UAL US Equity", "FA_GROWTH(IS_PERSONNEL_EXP, YOY)", "FPT=A", "FPO=4A", "ACT_EST_MAPPING=PRECISE", "FS=MRC", "CURRENCY=USD", "XLFILL=b")</f>
        <v>1.3502929558688841</v>
      </c>
      <c r="G174" s="9">
        <f>_xll.BQL("UAL US Equity", "FA_GROWTH(IS_PERSONNEL_EXP, YOY)", "FPT=A", "FPO=3A", "ACT_EST_MAPPING=PRECISE", "FS=MRC", "CURRENCY=USD", "XLFILL=b")</f>
        <v>5.2951406606113061</v>
      </c>
      <c r="H174" s="9">
        <f>_xll.BQL("UAL US Equity", "FA_GROWTH(IS_PERSONNEL_EXP, YOY)", "FPT=A", "FPO=2A", "ACT_EST_MAPPING=PRECISE", "FS=MRC", "CURRENCY=USD", "XLFILL=b")</f>
        <v>8.3669668337189051</v>
      </c>
      <c r="I174" s="9">
        <f>_xll.BQL("UAL US Equity", "FA_GROWTH(IS_PERSONNEL_EXP, YOY)", "FPT=A", "FPO=1A", "ACT_EST_MAPPING=PRECISE", "FS=MRC", "CURRENCY=USD", "XLFILL=b")</f>
        <v>9.7883876623235988</v>
      </c>
      <c r="J174" s="9">
        <f>_xll.BQL("UAL US Equity", "FA_GROWTH(IS_PERSONNEL_EXP, YOY)", "FPT=A", "FPO=0A", "ACT_EST_MAPPING=PRECISE", "FS=MRC", "CURRENCY=USD", "XLFILL=b")</f>
        <v>28.963893249607537</v>
      </c>
      <c r="K174" s="9">
        <f>_xll.BQL("UAL US Equity", "FA_GROWTH(IS_PERSONNEL_EXP, YOY)", "FPT=A", "FPO=-1A", "ACT_EST_MAPPING=PRECISE", "FS=MRC", "CURRENCY=USD", "XLFILL=b")</f>
        <v>19.862011289985364</v>
      </c>
      <c r="L174" s="9">
        <f>_xll.BQL("UAL US Equity", "FA_GROWTH(IS_PERSONNEL_EXP, YOY)", "FPT=A", "FPO=-2A", "ACT_EST_MAPPING=PRECISE", "FS=MRC", "CURRENCY=USD", "XLFILL=b")</f>
        <v>0.46208779668136946</v>
      </c>
      <c r="M174" s="9">
        <f>_xll.BQL("UAL US Equity", "FA_GROWTH(IS_PERSONNEL_EXP, YOY)", "FPT=A", "FPO=-3A", "ACT_EST_MAPPING=PRECISE", "FS=MRC", "CURRENCY=USD", "XLFILL=b")</f>
        <v>-21.116726037610803</v>
      </c>
      <c r="N174" s="9">
        <f>_xll.BQL("UAL US Equity", "FA_GROWTH(IS_PERSONNEL_EXP, YOY)", "FPT=A", "FPO=-4A", "ACT_EST_MAPPING=PRECISE", "FS=MRC", "CURRENCY=USD", "XLFILL=b")</f>
        <v>5.3499738174201434</v>
      </c>
    </row>
    <row r="175" spans="1:14" x14ac:dyDescent="0.2">
      <c r="A175" s="8" t="s">
        <v>137</v>
      </c>
      <c r="B175" s="4" t="s">
        <v>138</v>
      </c>
      <c r="C175" s="4"/>
      <c r="D175" s="4"/>
      <c r="E175" s="9">
        <f>_xll.BQL("UAL US Equity", "PERSONNEL_EXPN_PCT_SALES", "FPT=A", "FPO=5A", "ACT_EST_MAPPING=PRECISE", "FS=MRC", "CURRENCY=USD", "XLFILL=b")</f>
        <v>29.772196356812259</v>
      </c>
      <c r="F175" s="9">
        <f>_xll.BQL("UAL US Equity", "PERSONNEL_EXPN_PCT_SALES", "FPT=A", "FPO=4A", "ACT_EST_MAPPING=PRECISE", "FS=MRC", "CURRENCY=USD", "XLFILL=b")</f>
        <v>29.398803543864584</v>
      </c>
      <c r="G175" s="9">
        <f>_xll.BQL("UAL US Equity", "PERSONNEL_EXPN_PCT_SALES", "FPT=A", "FPO=3A", "ACT_EST_MAPPING=PRECISE", "FS=MRC", "CURRENCY=USD", "XLFILL=b")</f>
        <v>29.28072084143815</v>
      </c>
      <c r="H175" s="9">
        <f>_xll.BQL("UAL US Equity", "PERSONNEL_EXPN_PCT_SALES", "FPT=A", "FPO=2A", "ACT_EST_MAPPING=PRECISE", "FS=MRC", "CURRENCY=USD", "XLFILL=b")</f>
        <v>29.504726753300975</v>
      </c>
      <c r="I175" s="9">
        <f>_xll.BQL("UAL US Equity", "PERSONNEL_EXPN_PCT_SALES", "FPT=A", "FPO=1A", "ACT_EST_MAPPING=PRECISE", "FS=MRC", "CURRENCY=USD", "XLFILL=b")</f>
        <v>28.912902261615908</v>
      </c>
      <c r="J175" s="9">
        <f>_xll.BQL("UAL US Equity", "PERSONNEL_EXPN_PCT_SALES", "FPT=A", "FPO=0A", "ACT_EST_MAPPING=PRECISE", "FS=MRC", "CURRENCY=USD", "XLFILL=b")</f>
        <v>27.527598339445614</v>
      </c>
      <c r="K175" s="9">
        <f>_xll.BQL("UAL US Equity", "PERSONNEL_EXPN_PCT_SALES", "FPT=A", "FPO=-1A", "ACT_EST_MAPPING=PRECISE", "FS=MRC", "CURRENCY=USD", "XLFILL=b")</f>
        <v>25.505505505505504</v>
      </c>
      <c r="L175" s="9">
        <f>_xll.BQL("UAL US Equity", "PERSONNEL_EXPN_PCT_SALES", "FPT=A", "FPO=-2A", "ACT_EST_MAPPING=PRECISE", "FS=MRC", "CURRENCY=USD", "XLFILL=b")</f>
        <v>38.832507915888606</v>
      </c>
      <c r="M175" s="9">
        <f>_xll.BQL("UAL US Equity", "PERSONNEL_EXPN_PCT_SALES", "FPT=A", "FPO=-3A", "ACT_EST_MAPPING=PRECISE", "FS=MRC", "CURRENCY=USD", "XLFILL=b")</f>
        <v>62.012373819602743</v>
      </c>
      <c r="N175" s="9">
        <f>_xll.BQL("UAL US Equity", "PERSONNEL_EXPN_PCT_SALES", "FPT=A", "FPO=-4A", "ACT_EST_MAPPING=PRECISE", "FS=MRC", "CURRENCY=USD", "XLFILL=b")</f>
        <v>27.904019972722438</v>
      </c>
    </row>
    <row r="176" spans="1:14" x14ac:dyDescent="0.2">
      <c r="A176" s="8" t="s">
        <v>86</v>
      </c>
      <c r="B176" s="4" t="s">
        <v>138</v>
      </c>
      <c r="C176" s="4"/>
      <c r="D176" s="4"/>
      <c r="E176" s="9">
        <f>_xll.BQL("UAL US Equity", "FA_GROWTH(PERSONNEL_EXPN_PCT_SALES, YOY)", "FPT=A", "FPO=5A", "ACT_EST_MAPPING=PRECISE", "FS=MRC", "CURRENCY=USD", "XLFILL=b")</f>
        <v>1.2700952689811082</v>
      </c>
      <c r="F176" s="9">
        <f>_xll.BQL("UAL US Equity", "FA_GROWTH(PERSONNEL_EXPN_PCT_SALES, YOY)", "FPT=A", "FPO=4A", "ACT_EST_MAPPING=PRECISE", "FS=MRC", "CURRENCY=USD", "XLFILL=b")</f>
        <v>0.4032779898619287</v>
      </c>
      <c r="G176" s="9">
        <f>_xll.BQL("UAL US Equity", "FA_GROWTH(PERSONNEL_EXPN_PCT_SALES, YOY)", "FPT=A", "FPO=3A", "ACT_EST_MAPPING=PRECISE", "FS=MRC", "CURRENCY=USD", "XLFILL=b")</f>
        <v>-0.75922042503838327</v>
      </c>
      <c r="H176" s="9">
        <f>_xll.BQL("UAL US Equity", "FA_GROWTH(PERSONNEL_EXPN_PCT_SALES, YOY)", "FPT=A", "FPO=2A", "ACT_EST_MAPPING=PRECISE", "FS=MRC", "CURRENCY=USD", "XLFILL=b")</f>
        <v>2.0469217732968965</v>
      </c>
      <c r="I176" s="9">
        <f>_xll.BQL("UAL US Equity", "FA_GROWTH(PERSONNEL_EXPN_PCT_SALES, YOY)", "FPT=A", "FPO=1A", "ACT_EST_MAPPING=PRECISE", "FS=MRC", "CURRENCY=USD", "XLFILL=b")</f>
        <v>5.0324183936715832</v>
      </c>
      <c r="J176" s="9">
        <f>_xll.BQL("UAL US Equity", "FA_GROWTH(PERSONNEL_EXPN_PCT_SALES, YOY)", "FPT=A", "FPO=0A", "ACT_EST_MAPPING=PRECISE", "FS=MRC", "CURRENCY=USD", "XLFILL=b")</f>
        <v>7.9280641330697428</v>
      </c>
      <c r="K176" s="9">
        <f>_xll.BQL("UAL US Equity", "FA_GROWTH(PERSONNEL_EXPN_PCT_SALES, YOY)", "FPT=A", "FPO=-1A", "ACT_EST_MAPPING=PRECISE", "FS=MRC", "CURRENCY=USD", "XLFILL=b")</f>
        <v>-34.319190610221341</v>
      </c>
      <c r="L176" s="9">
        <f>_xll.BQL("UAL US Equity", "FA_GROWTH(PERSONNEL_EXPN_PCT_SALES, YOY)", "FPT=A", "FPO=-2A", "ACT_EST_MAPPING=PRECISE", "FS=MRC", "CURRENCY=USD", "XLFILL=b")</f>
        <v>-37.379420389784769</v>
      </c>
      <c r="M176" s="9">
        <f>_xll.BQL("UAL US Equity", "FA_GROWTH(PERSONNEL_EXPN_PCT_SALES, YOY)", "FPT=A", "FPO=-3A", "ACT_EST_MAPPING=PRECISE", "FS=MRC", "CURRENCY=USD", "XLFILL=b")</f>
        <v>122.23455215493291</v>
      </c>
      <c r="N176" s="9">
        <f>_xll.BQL("UAL US Equity", "FA_GROWTH(PERSONNEL_EXPN_PCT_SALES, YOY)", "FPT=A", "FPO=-4A", "ACT_EST_MAPPING=PRECISE", "FS=MRC", "CURRENCY=USD", "XLFILL=b")</f>
        <v>0.58646682958238172</v>
      </c>
    </row>
    <row r="177" spans="1:14" x14ac:dyDescent="0.2">
      <c r="A177" s="8" t="s">
        <v>139</v>
      </c>
      <c r="B177" s="4" t="s">
        <v>140</v>
      </c>
      <c r="C177" s="4" t="s">
        <v>141</v>
      </c>
      <c r="D177" s="4"/>
      <c r="E177" s="9">
        <f>_xll.BQL("UAL US Equity", "FUEL_EXPENSES/1M", "FPT=A", "FPO=5A", "ACT_EST_MAPPING=PRECISE", "FS=MRC", "CURRENCY=USD", "XLFILL=b")</f>
        <v>12017.3582175142</v>
      </c>
      <c r="F177" s="9">
        <f>_xll.BQL("UAL US Equity", "FUEL_EXPENSES/1M", "FPT=A", "FPO=4A", "ACT_EST_MAPPING=PRECISE", "FS=MRC", "CURRENCY=USD", "XLFILL=b")</f>
        <v>12884.757207923974</v>
      </c>
      <c r="G177" s="9">
        <f>_xll.BQL("UAL US Equity", "FUEL_EXPENSES/1M", "FPT=A", "FPO=3A", "ACT_EST_MAPPING=PRECISE", "FS=MRC", "CURRENCY=USD", "XLFILL=b")</f>
        <v>12664.364283676865</v>
      </c>
      <c r="H177" s="9">
        <f>_xll.BQL("UAL US Equity", "FUEL_EXPENSES/1M", "FPT=A", "FPO=2A", "ACT_EST_MAPPING=PRECISE", "FS=MRC", "CURRENCY=USD", "XLFILL=b")</f>
        <v>12331.520982319707</v>
      </c>
      <c r="I177" s="9">
        <f>_xll.BQL("UAL US Equity", "FUEL_EXPENSES/1M", "FPT=A", "FPO=1A", "ACT_EST_MAPPING=PRECISE", "FS=MRC", "CURRENCY=USD", "XLFILL=b")</f>
        <v>12250.170122130225</v>
      </c>
      <c r="J177" s="9">
        <f>_xll.BQL("UAL US Equity", "FUEL_EXPENSES/1M", "FPT=A", "FPO=0A", "ACT_EST_MAPPING=PRECISE", "FS=MRC", "CURRENCY=USD", "XLFILL=b")</f>
        <v>12651</v>
      </c>
      <c r="K177" s="9">
        <f>_xll.BQL("UAL US Equity", "FUEL_EXPENSES/1M", "FPT=A", "FPO=-1A", "ACT_EST_MAPPING=PRECISE", "FS=MRC", "CURRENCY=USD", "XLFILL=b")</f>
        <v>13113</v>
      </c>
      <c r="L177" s="9">
        <f>_xll.BQL("UAL US Equity", "FUEL_EXPENSES/1M", "FPT=A", "FPO=-2A", "ACT_EST_MAPPING=PRECISE", "FS=MRC", "CURRENCY=USD", "XLFILL=b")</f>
        <v>5755</v>
      </c>
      <c r="M177" s="9">
        <f>_xll.BQL("UAL US Equity", "FUEL_EXPENSES/1M", "FPT=A", "FPO=-3A", "ACT_EST_MAPPING=PRECISE", "FS=MRC", "CURRENCY=USD", "XLFILL=b")</f>
        <v>3153</v>
      </c>
      <c r="N177" s="9">
        <f>_xll.BQL("UAL US Equity", "FUEL_EXPENSES/1M", "FPT=A", "FPO=-4A", "ACT_EST_MAPPING=PRECISE", "FS=MRC", "CURRENCY=USD", "XLFILL=b")</f>
        <v>8953</v>
      </c>
    </row>
    <row r="178" spans="1:14" x14ac:dyDescent="0.2">
      <c r="A178" s="8" t="s">
        <v>20</v>
      </c>
      <c r="B178" s="4" t="s">
        <v>140</v>
      </c>
      <c r="C178" s="4" t="s">
        <v>141</v>
      </c>
      <c r="D178" s="4"/>
      <c r="E178" s="9">
        <f>_xll.BQL("UAL US Equity", "FA_GROWTH(FUEL_EXPENSES, YOY)", "FPT=A", "FPO=5A", "ACT_EST_MAPPING=PRECISE", "FS=MRC", "CURRENCY=USD", "XLFILL=b")</f>
        <v>-6.7319777657613491</v>
      </c>
      <c r="F178" s="9">
        <f>_xll.BQL("UAL US Equity", "FA_GROWTH(FUEL_EXPENSES, YOY)", "FPT=A", "FPO=4A", "ACT_EST_MAPPING=PRECISE", "FS=MRC", "CURRENCY=USD", "XLFILL=b")</f>
        <v>1.7402604608521521</v>
      </c>
      <c r="G178" s="9">
        <f>_xll.BQL("UAL US Equity", "FA_GROWTH(FUEL_EXPENSES, YOY)", "FPT=A", "FPO=3A", "ACT_EST_MAPPING=PRECISE", "FS=MRC", "CURRENCY=USD", "XLFILL=b")</f>
        <v>2.6991260999707185</v>
      </c>
      <c r="H178" s="9">
        <f>_xll.BQL("UAL US Equity", "FA_GROWTH(FUEL_EXPENSES, YOY)", "FPT=A", "FPO=2A", "ACT_EST_MAPPING=PRECISE", "FS=MRC", "CURRENCY=USD", "XLFILL=b")</f>
        <v>0.66407943219107934</v>
      </c>
      <c r="I178" s="9">
        <f>_xll.BQL("UAL US Equity", "FA_GROWTH(FUEL_EXPENSES, YOY)", "FPT=A", "FPO=1A", "ACT_EST_MAPPING=PRECISE", "FS=MRC", "CURRENCY=USD", "XLFILL=b")</f>
        <v>-3.1683651716842602</v>
      </c>
      <c r="J178" s="9">
        <f>_xll.BQL("UAL US Equity", "FA_GROWTH(FUEL_EXPENSES, YOY)", "FPT=A", "FPO=0A", "ACT_EST_MAPPING=PRECISE", "FS=MRC", "CURRENCY=USD", "XLFILL=b")</f>
        <v>-3.5232212308396247</v>
      </c>
      <c r="K178" s="9">
        <f>_xll.BQL("UAL US Equity", "FA_GROWTH(FUEL_EXPENSES, YOY)", "FPT=A", "FPO=-1A", "ACT_EST_MAPPING=PRECISE", "FS=MRC", "CURRENCY=USD", "XLFILL=b")</f>
        <v>127.85403996524761</v>
      </c>
      <c r="L178" s="9">
        <f>_xll.BQL("UAL US Equity", "FA_GROWTH(FUEL_EXPENSES, YOY)", "FPT=A", "FPO=-2A", "ACT_EST_MAPPING=PRECISE", "FS=MRC", "CURRENCY=USD", "XLFILL=b")</f>
        <v>82.524579765302889</v>
      </c>
      <c r="M178" s="9">
        <f>_xll.BQL("UAL US Equity", "FA_GROWTH(FUEL_EXPENSES, YOY)", "FPT=A", "FPO=-3A", "ACT_EST_MAPPING=PRECISE", "FS=MRC", "CURRENCY=USD", "XLFILL=b")</f>
        <v>-64.782754384005358</v>
      </c>
      <c r="N178" s="9">
        <f>_xll.BQL("UAL US Equity", "FA_GROWTH(FUEL_EXPENSES, YOY)", "FPT=A", "FPO=-4A", "ACT_EST_MAPPING=PRECISE", "FS=MRC", "CURRENCY=USD", "XLFILL=b")</f>
        <v>-3.8035886966799182</v>
      </c>
    </row>
    <row r="179" spans="1:14" x14ac:dyDescent="0.2">
      <c r="A179" s="8" t="s">
        <v>137</v>
      </c>
      <c r="B179" s="4" t="s">
        <v>142</v>
      </c>
      <c r="C179" s="4"/>
      <c r="D179" s="4"/>
      <c r="E179" s="9">
        <f>_xll.BQL("UAL US Equity", "AIRLINE_FUEL_PCT_SALES", "FPT=A", "FPO=5A", "ACT_EST_MAPPING=PRECISE", "FS=MRC", "CURRENCY=USD", "XLFILL=b")</f>
        <v>16.079842690635278</v>
      </c>
      <c r="F179" s="9">
        <f>_xll.BQL("UAL US Equity", "AIRLINE_FUEL_PCT_SALES", "FPT=A", "FPO=4A", "ACT_EST_MAPPING=PRECISE", "FS=MRC", "CURRENCY=USD", "XLFILL=b")</f>
        <v>17.35336671220999</v>
      </c>
      <c r="G179" s="9">
        <f>_xll.BQL("UAL US Equity", "AIRLINE_FUEL_PCT_SALES", "FPT=A", "FPO=3A", "ACT_EST_MAPPING=PRECISE", "FS=MRC", "CURRENCY=USD", "XLFILL=b")</f>
        <v>19.346029016931567</v>
      </c>
      <c r="H179" s="9">
        <f>_xll.BQL("UAL US Equity", "AIRLINE_FUEL_PCT_SALES", "FPT=A", "FPO=2A", "ACT_EST_MAPPING=PRECISE", "FS=MRC", "CURRENCY=USD", "XLFILL=b")</f>
        <v>20.355602132509684</v>
      </c>
      <c r="I179" s="9">
        <f>_xll.BQL("UAL US Equity", "AIRLINE_FUEL_PCT_SALES", "FPT=A", "FPO=1A", "ACT_EST_MAPPING=PRECISE", "FS=MRC", "CURRENCY=USD", "XLFILL=b")</f>
        <v>22.39033424727802</v>
      </c>
      <c r="J179" s="9">
        <f>_xll.BQL("UAL US Equity", "AIRLINE_FUEL_PCT_SALES", "FPT=A", "FPO=0A", "ACT_EST_MAPPING=PRECISE", "FS=MRC", "CURRENCY=USD", "XLFILL=b")</f>
        <v>23.551203529608877</v>
      </c>
      <c r="K179" s="9">
        <f>_xll.BQL("UAL US Equity", "AIRLINE_FUEL_PCT_SALES", "FPT=A", "FPO=-1A", "ACT_EST_MAPPING=PRECISE", "FS=MRC", "CURRENCY=USD", "XLFILL=b")</f>
        <v>29.169169169169169</v>
      </c>
      <c r="L179" s="9">
        <f>_xll.BQL("UAL US Equity", "AIRLINE_FUEL_PCT_SALES", "FPT=A", "FPO=-2A", "ACT_EST_MAPPING=PRECISE", "FS=MRC", "CURRENCY=USD", "XLFILL=b")</f>
        <v>23.362019972395874</v>
      </c>
      <c r="M179" s="9">
        <f>_xll.BQL("UAL US Equity", "AIRLINE_FUEL_PCT_SALES", "FPT=A", "FPO=-3A", "ACT_EST_MAPPING=PRECISE", "FS=MRC", "CURRENCY=USD", "XLFILL=b")</f>
        <v>20.534028003907522</v>
      </c>
      <c r="N179" s="9">
        <f>_xll.BQL("UAL US Equity", "AIRLINE_FUEL_PCT_SALES", "FPT=A", "FPO=-4A", "ACT_EST_MAPPING=PRECISE", "FS=MRC", "CURRENCY=USD", "XLFILL=b")</f>
        <v>20.696271296146467</v>
      </c>
    </row>
    <row r="180" spans="1:14" x14ac:dyDescent="0.2">
      <c r="A180" s="8" t="s">
        <v>86</v>
      </c>
      <c r="B180" s="4" t="s">
        <v>142</v>
      </c>
      <c r="C180" s="4"/>
      <c r="D180" s="4"/>
      <c r="E180" s="9">
        <f>_xll.BQL("UAL US Equity", "FA_GROWTH(AIRLINE_FUEL_PCT_SALES, YOY)", "FPT=A", "FPO=5A", "ACT_EST_MAPPING=PRECISE", "FS=MRC", "CURRENCY=USD", "XLFILL=b")</f>
        <v>-7.3387720244432373</v>
      </c>
      <c r="F180" s="9">
        <f>_xll.BQL("UAL US Equity", "FA_GROWTH(AIRLINE_FUEL_PCT_SALES, YOY)", "FPT=A", "FPO=4A", "ACT_EST_MAPPING=PRECISE", "FS=MRC", "CURRENCY=USD", "XLFILL=b")</f>
        <v>-10.300110182702646</v>
      </c>
      <c r="G180" s="9">
        <f>_xll.BQL("UAL US Equity", "FA_GROWTH(AIRLINE_FUEL_PCT_SALES, YOY)", "FPT=A", "FPO=3A", "ACT_EST_MAPPING=PRECISE", "FS=MRC", "CURRENCY=USD", "XLFILL=b")</f>
        <v>-4.9596819047948495</v>
      </c>
      <c r="H180" s="9">
        <f>_xll.BQL("UAL US Equity", "FA_GROWTH(AIRLINE_FUEL_PCT_SALES, YOY)", "FPT=A", "FPO=2A", "ACT_EST_MAPPING=PRECISE", "FS=MRC", "CURRENCY=USD", "XLFILL=b")</f>
        <v>-9.0875468507831521</v>
      </c>
      <c r="I180" s="9">
        <f>_xll.BQL("UAL US Equity", "FA_GROWTH(AIRLINE_FUEL_PCT_SALES, YOY)", "FPT=A", "FPO=1A", "ACT_EST_MAPPING=PRECISE", "FS=MRC", "CURRENCY=USD", "XLFILL=b")</f>
        <v>-4.9291293367296385</v>
      </c>
      <c r="J180" s="9">
        <f>_xll.BQL("UAL US Equity", "FA_GROWTH(AIRLINE_FUEL_PCT_SALES, YOY)", "FPT=A", "FPO=0A", "ACT_EST_MAPPING=PRECISE", "FS=MRC", "CURRENCY=USD", "XLFILL=b")</f>
        <v>-19.259943973646987</v>
      </c>
      <c r="K180" s="9">
        <f>_xll.BQL("UAL US Equity", "FA_GROWTH(AIRLINE_FUEL_PCT_SALES, YOY)", "FPT=A", "FPO=-1A", "ACT_EST_MAPPING=PRECISE", "FS=MRC", "CURRENCY=USD", "XLFILL=b")</f>
        <v>24.857222122209102</v>
      </c>
      <c r="L180" s="9">
        <f>_xll.BQL("UAL US Equity", "FA_GROWTH(AIRLINE_FUEL_PCT_SALES, YOY)", "FPT=A", "FPO=-2A", "ACT_EST_MAPPING=PRECISE", "FS=MRC", "CURRENCY=USD", "XLFILL=b")</f>
        <v>13.772222225226336</v>
      </c>
      <c r="M180" s="9">
        <f>_xll.BQL("UAL US Equity", "FA_GROWTH(AIRLINE_FUEL_PCT_SALES, YOY)", "FPT=A", "FPO=-3A", "ACT_EST_MAPPING=PRECISE", "FS=MRC", "CURRENCY=USD", "XLFILL=b")</f>
        <v>-0.78392522941633991</v>
      </c>
      <c r="N180" s="9">
        <f>_xll.BQL("UAL US Equity", "FA_GROWTH(AIRLINE_FUEL_PCT_SALES, YOY)", "FPT=A", "FPO=-4A", "ACT_EST_MAPPING=PRECISE", "FS=MRC", "CURRENCY=USD", "XLFILL=b")</f>
        <v>-8.153207978431551</v>
      </c>
    </row>
    <row r="181" spans="1:14" x14ac:dyDescent="0.2">
      <c r="A181" s="8" t="s">
        <v>143</v>
      </c>
      <c r="B181" s="4" t="s">
        <v>144</v>
      </c>
      <c r="C181" s="4" t="s">
        <v>145</v>
      </c>
      <c r="D181" s="4"/>
      <c r="E181" s="9">
        <f>_xll.BQL("UAL US Equity", "OTHER_RENTALS_LANDING_FEES/1M", "FPT=A", "FPO=5A", "ACT_EST_MAPPING=PRECISE", "FS=MRC", "CURRENCY=USD", "XLFILL=b")</f>
        <v>3815.0933101394025</v>
      </c>
      <c r="F181" s="9">
        <f>_xll.BQL("UAL US Equity", "OTHER_RENTALS_LANDING_FEES/1M", "FPT=A", "FPO=4A", "ACT_EST_MAPPING=PRECISE", "FS=MRC", "CURRENCY=USD", "XLFILL=b")</f>
        <v>3607.6529294794063</v>
      </c>
      <c r="G181" s="9">
        <f>_xll.BQL("UAL US Equity", "OTHER_RENTALS_LANDING_FEES/1M", "FPT=A", "FPO=3A", "ACT_EST_MAPPING=PRECISE", "FS=MRC", "CURRENCY=USD", "XLFILL=b")</f>
        <v>3582.6443772115849</v>
      </c>
      <c r="H181" s="9">
        <f>_xll.BQL("UAL US Equity", "OTHER_RENTALS_LANDING_FEES/1M", "FPT=A", "FPO=2A", "ACT_EST_MAPPING=PRECISE", "FS=MRC", "CURRENCY=USD", "XLFILL=b")</f>
        <v>3473.9145495108178</v>
      </c>
      <c r="I181" s="9">
        <f>_xll.BQL("UAL US Equity", "OTHER_RENTALS_LANDING_FEES/1M", "FPT=A", "FPO=1A", "ACT_EST_MAPPING=PRECISE", "FS=MRC", "CURRENCY=USD", "XLFILL=b")</f>
        <v>3337.195107306145</v>
      </c>
      <c r="J181" s="9">
        <f>_xll.BQL("UAL US Equity", "OTHER_RENTALS_LANDING_FEES/1M", "FPT=A", "FPO=0A", "ACT_EST_MAPPING=PRECISE", "FS=MRC", "CURRENCY=USD", "XLFILL=b")</f>
        <v>3076</v>
      </c>
      <c r="K181" s="9">
        <f>_xll.BQL("UAL US Equity", "OTHER_RENTALS_LANDING_FEES/1M", "FPT=A", "FPO=-1A", "ACT_EST_MAPPING=PRECISE", "FS=MRC", "CURRENCY=USD", "XLFILL=b")</f>
        <v>2576</v>
      </c>
      <c r="L181" s="9">
        <f>_xll.BQL("UAL US Equity", "OTHER_RENTALS_LANDING_FEES/1M", "FPT=A", "FPO=-2A", "ACT_EST_MAPPING=PRECISE", "FS=MRC", "CURRENCY=USD", "XLFILL=b")</f>
        <v>2416</v>
      </c>
      <c r="M181" s="9">
        <f>_xll.BQL("UAL US Equity", "OTHER_RENTALS_LANDING_FEES/1M", "FPT=A", "FPO=-3A", "ACT_EST_MAPPING=PRECISE", "FS=MRC", "CURRENCY=USD", "XLFILL=b")</f>
        <v>2127</v>
      </c>
      <c r="N181" s="9">
        <f>_xll.BQL("UAL US Equity", "OTHER_RENTALS_LANDING_FEES/1M", "FPT=A", "FPO=-4A", "ACT_EST_MAPPING=PRECISE", "FS=MRC", "CURRENCY=USD", "XLFILL=b")</f>
        <v>2543</v>
      </c>
    </row>
    <row r="182" spans="1:14" x14ac:dyDescent="0.2">
      <c r="A182" s="8" t="s">
        <v>20</v>
      </c>
      <c r="B182" s="4" t="s">
        <v>144</v>
      </c>
      <c r="C182" s="4" t="s">
        <v>145</v>
      </c>
      <c r="D182" s="4"/>
      <c r="E182" s="9">
        <f>_xll.BQL("UAL US Equity", "FA_GROWTH(OTHER_RENTALS_LANDING_FEES, YOY)", "FPT=A", "FPO=5A", "ACT_EST_MAPPING=PRECISE", "FS=MRC", "CURRENCY=USD", "XLFILL=b")</f>
        <v>5.7500093472109643</v>
      </c>
      <c r="F182" s="9">
        <f>_xll.BQL("UAL US Equity", "FA_GROWTH(OTHER_RENTALS_LANDING_FEES, YOY)", "FPT=A", "FPO=4A", "ACT_EST_MAPPING=PRECISE", "FS=MRC", "CURRENCY=USD", "XLFILL=b")</f>
        <v>0.69804729788128639</v>
      </c>
      <c r="G182" s="9">
        <f>_xll.BQL("UAL US Equity", "FA_GROWTH(OTHER_RENTALS_LANDING_FEES, YOY)", "FPT=A", "FPO=3A", "ACT_EST_MAPPING=PRECISE", "FS=MRC", "CURRENCY=USD", "XLFILL=b")</f>
        <v>3.1298935581497798</v>
      </c>
      <c r="H182" s="9">
        <f>_xll.BQL("UAL US Equity", "FA_GROWTH(OTHER_RENTALS_LANDING_FEES, YOY)", "FPT=A", "FPO=2A", "ACT_EST_MAPPING=PRECISE", "FS=MRC", "CURRENCY=USD", "XLFILL=b")</f>
        <v>4.0968369486504388</v>
      </c>
      <c r="I182" s="9">
        <f>_xll.BQL("UAL US Equity", "FA_GROWTH(OTHER_RENTALS_LANDING_FEES, YOY)", "FPT=A", "FPO=1A", "ACT_EST_MAPPING=PRECISE", "FS=MRC", "CURRENCY=USD", "XLFILL=b")</f>
        <v>8.4913884039709089</v>
      </c>
      <c r="J182" s="9">
        <f>_xll.BQL("UAL US Equity", "FA_GROWTH(OTHER_RENTALS_LANDING_FEES, YOY)", "FPT=A", "FPO=0A", "ACT_EST_MAPPING=PRECISE", "FS=MRC", "CURRENCY=USD", "XLFILL=b")</f>
        <v>19.409937888198758</v>
      </c>
      <c r="K182" s="9">
        <f>_xll.BQL("UAL US Equity", "FA_GROWTH(OTHER_RENTALS_LANDING_FEES, YOY)", "FPT=A", "FPO=-1A", "ACT_EST_MAPPING=PRECISE", "FS=MRC", "CURRENCY=USD", "XLFILL=b")</f>
        <v>6.6225165562913908</v>
      </c>
      <c r="L182" s="9">
        <f>_xll.BQL("UAL US Equity", "FA_GROWTH(OTHER_RENTALS_LANDING_FEES, YOY)", "FPT=A", "FPO=-2A", "ACT_EST_MAPPING=PRECISE", "FS=MRC", "CURRENCY=USD", "XLFILL=b")</f>
        <v>13.587212035731076</v>
      </c>
      <c r="M182" s="9">
        <f>_xll.BQL("UAL US Equity", "FA_GROWTH(OTHER_RENTALS_LANDING_FEES, YOY)", "FPT=A", "FPO=-3A", "ACT_EST_MAPPING=PRECISE", "FS=MRC", "CURRENCY=USD", "XLFILL=b")</f>
        <v>-16.358631537554071</v>
      </c>
      <c r="N182" s="9">
        <f>_xll.BQL("UAL US Equity", "FA_GROWTH(OTHER_RENTALS_LANDING_FEES, YOY)", "FPT=A", "FPO=-4A", "ACT_EST_MAPPING=PRECISE", "FS=MRC", "CURRENCY=USD", "XLFILL=b")</f>
        <v>3.8383013474887711</v>
      </c>
    </row>
    <row r="183" spans="1:14" x14ac:dyDescent="0.2">
      <c r="A183" s="8" t="s">
        <v>137</v>
      </c>
      <c r="B183" s="4" t="s">
        <v>146</v>
      </c>
      <c r="C183" s="4"/>
      <c r="D183" s="4"/>
      <c r="E183" s="9">
        <f>_xll.BQL("UAL US Equity", "AIRLINE_LANDING_FEES_PCT_SALES", "FPT=A", "FPO=5A", "ACT_EST_MAPPING=PRECISE", "FS=MRC", "CURRENCY=USD", "XLFILL=b")</f>
        <v>5.8384347404763606</v>
      </c>
      <c r="F183" s="9">
        <f>_xll.BQL("UAL US Equity", "AIRLINE_LANDING_FEES_PCT_SALES", "FPT=A", "FPO=4A", "ACT_EST_MAPPING=PRECISE", "FS=MRC", "CURRENCY=USD", "XLFILL=b")</f>
        <v>5.838979250756875</v>
      </c>
      <c r="G183" s="9">
        <f>_xll.BQL("UAL US Equity", "AIRLINE_LANDING_FEES_PCT_SALES", "FPT=A", "FPO=3A", "ACT_EST_MAPPING=PRECISE", "FS=MRC", "CURRENCY=USD", "XLFILL=b")</f>
        <v>5.8263465087619091</v>
      </c>
      <c r="H183" s="9">
        <f>_xll.BQL("UAL US Equity", "AIRLINE_LANDING_FEES_PCT_SALES", "FPT=A", "FPO=2A", "ACT_EST_MAPPING=PRECISE", "FS=MRC", "CURRENCY=USD", "XLFILL=b")</f>
        <v>5.9030865983932239</v>
      </c>
      <c r="I183" s="9">
        <f>_xll.BQL("UAL US Equity", "AIRLINE_LANDING_FEES_PCT_SALES", "FPT=A", "FPO=1A", "ACT_EST_MAPPING=PRECISE", "FS=MRC", "CURRENCY=USD", "XLFILL=b")</f>
        <v>5.9480333618157086</v>
      </c>
      <c r="J183" s="9">
        <f>_xll.BQL("UAL US Equity", "AIRLINE_LANDING_FEES_PCT_SALES", "FPT=A", "FPO=0A", "ACT_EST_MAPPING=PRECISE", "FS=MRC", "CURRENCY=USD", "XLFILL=b")</f>
        <v>5.7263063834540269</v>
      </c>
      <c r="K183" s="9">
        <f>_xll.BQL("UAL US Equity", "AIRLINE_LANDING_FEES_PCT_SALES", "FPT=A", "FPO=-1A", "ACT_EST_MAPPING=PRECISE", "FS=MRC", "CURRENCY=USD", "XLFILL=b")</f>
        <v>5.7301746190635079</v>
      </c>
      <c r="L183" s="9">
        <f>_xll.BQL("UAL US Equity", "AIRLINE_LANDING_FEES_PCT_SALES", "FPT=A", "FPO=-2A", "ACT_EST_MAPPING=PRECISE", "FS=MRC", "CURRENCY=USD", "XLFILL=b")</f>
        <v>9.8075830153446457</v>
      </c>
      <c r="M183" s="9">
        <f>_xll.BQL("UAL US Equity", "AIRLINE_LANDING_FEES_PCT_SALES", "FPT=A", "FPO=-3A", "ACT_EST_MAPPING=PRECISE", "FS=MRC", "CURRENCY=USD", "XLFILL=b")</f>
        <v>13.852165418430479</v>
      </c>
      <c r="N183" s="9">
        <f>_xll.BQL("UAL US Equity", "AIRLINE_LANDING_FEES_PCT_SALES", "FPT=A", "FPO=-4A", "ACT_EST_MAPPING=PRECISE", "FS=MRC", "CURRENCY=USD", "XLFILL=b")</f>
        <v>5.8785455049816218</v>
      </c>
    </row>
    <row r="184" spans="1:14" x14ac:dyDescent="0.2">
      <c r="A184" s="8" t="s">
        <v>86</v>
      </c>
      <c r="B184" s="4" t="s">
        <v>146</v>
      </c>
      <c r="C184" s="4"/>
      <c r="D184" s="4"/>
      <c r="E184" s="9">
        <f>_xll.BQL("UAL US Equity", "FA_GROWTH(AIRLINE_LANDING_FEES_PCT_SALES, YOY)", "FPT=A", "FPO=5A", "ACT_EST_MAPPING=PRECISE", "FS=MRC", "CURRENCY=USD", "XLFILL=b")</f>
        <v>-9.3254361272786784E-3</v>
      </c>
      <c r="F184" s="9">
        <f>_xll.BQL("UAL US Equity", "FA_GROWTH(AIRLINE_LANDING_FEES_PCT_SALES, YOY)", "FPT=A", "FPO=4A", "ACT_EST_MAPPING=PRECISE", "FS=MRC", "CURRENCY=USD", "XLFILL=b")</f>
        <v>0.21682098680482242</v>
      </c>
      <c r="G184" s="9">
        <f>_xll.BQL("UAL US Equity", "FA_GROWTH(AIRLINE_LANDING_FEES_PCT_SALES, YOY)", "FPT=A", "FPO=3A", "ACT_EST_MAPPING=PRECISE", "FS=MRC", "CURRENCY=USD", "XLFILL=b")</f>
        <v>-1.299999387645828</v>
      </c>
      <c r="H184" s="9">
        <f>_xll.BQL("UAL US Equity", "FA_GROWTH(AIRLINE_LANDING_FEES_PCT_SALES, YOY)", "FPT=A", "FPO=2A", "ACT_EST_MAPPING=PRECISE", "FS=MRC", "CURRENCY=USD", "XLFILL=b")</f>
        <v>-0.75565755415945035</v>
      </c>
      <c r="I184" s="9">
        <f>_xll.BQL("UAL US Equity", "FA_GROWTH(AIRLINE_LANDING_FEES_PCT_SALES, YOY)", "FPT=A", "FPO=1A", "ACT_EST_MAPPING=PRECISE", "FS=MRC", "CURRENCY=USD", "XLFILL=b")</f>
        <v>3.8720767544390315</v>
      </c>
      <c r="J184" s="9">
        <f>_xll.BQL("UAL US Equity", "FA_GROWTH(AIRLINE_LANDING_FEES_PCT_SALES, YOY)", "FPT=A", "FPO=0A", "ACT_EST_MAPPING=PRECISE", "FS=MRC", "CURRENCY=USD", "XLFILL=b")</f>
        <v>-6.7506417633625471E-2</v>
      </c>
      <c r="K184" s="9">
        <f>_xll.BQL("UAL US Equity", "FA_GROWTH(AIRLINE_LANDING_FEES_PCT_SALES, YOY)", "FPT=A", "FPO=-1A", "ACT_EST_MAPPING=PRECISE", "FS=MRC", "CURRENCY=USD", "XLFILL=b")</f>
        <v>-41.574039086916208</v>
      </c>
      <c r="L184" s="9">
        <f>_xll.BQL("UAL US Equity", "FA_GROWTH(AIRLINE_LANDING_FEES_PCT_SALES, YOY)", "FPT=A", "FPO=-2A", "ACT_EST_MAPPING=PRECISE", "FS=MRC", "CURRENCY=USD", "XLFILL=b")</f>
        <v>-29.198195956456495</v>
      </c>
      <c r="M184" s="9">
        <f>_xll.BQL("UAL US Equity", "FA_GROWTH(AIRLINE_LANDING_FEES_PCT_SALES, YOY)", "FPT=A", "FPO=-3A", "ACT_EST_MAPPING=PRECISE", "FS=MRC", "CURRENCY=USD", "XLFILL=b")</f>
        <v>135.63933300663945</v>
      </c>
      <c r="N184" s="9">
        <f>_xll.BQL("UAL US Equity", "FA_GROWTH(AIRLINE_LANDING_FEES_PCT_SALES, YOY)", "FPT=A", "FPO=-4A", "ACT_EST_MAPPING=PRECISE", "FS=MRC", "CURRENCY=USD", "XLFILL=b")</f>
        <v>-0.85685382104699181</v>
      </c>
    </row>
    <row r="185" spans="1:14" x14ac:dyDescent="0.2">
      <c r="A185" s="8" t="s">
        <v>147</v>
      </c>
      <c r="B185" s="4" t="s">
        <v>148</v>
      </c>
      <c r="C185" s="4" t="s">
        <v>149</v>
      </c>
      <c r="D185" s="4"/>
      <c r="E185" s="9">
        <f>_xll.BQL("UAL US Equity", "IS_D_AND_A_GAAP/1M", "FPT=A", "FPO=5A", "ACT_EST_MAPPING=PRECISE", "FS=MRC", "CURRENCY=USD", "XLFILL=b")</f>
        <v>3826.055319945272</v>
      </c>
      <c r="F185" s="9">
        <f>_xll.BQL("UAL US Equity", "IS_D_AND_A_GAAP/1M", "FPT=A", "FPO=4A", "ACT_EST_MAPPING=PRECISE", "FS=MRC", "CURRENCY=USD", "XLFILL=b")</f>
        <v>3557.6733898679731</v>
      </c>
      <c r="G185" s="9">
        <f>_xll.BQL("UAL US Equity", "IS_D_AND_A_GAAP/1M", "FPT=A", "FPO=3A", "ACT_EST_MAPPING=PRECISE", "FS=MRC", "CURRENCY=USD", "XLFILL=b")</f>
        <v>3227.7030906780765</v>
      </c>
      <c r="H185" s="9">
        <f>_xll.BQL("UAL US Equity", "IS_D_AND_A_GAAP/1M", "FPT=A", "FPO=2A", "ACT_EST_MAPPING=PRECISE", "FS=MRC", "CURRENCY=USD", "XLFILL=b")</f>
        <v>3025.8969881133612</v>
      </c>
      <c r="I185" s="9">
        <f>_xll.BQL("UAL US Equity", "IS_D_AND_A_GAAP/1M", "FPT=A", "FPO=1A", "ACT_EST_MAPPING=PRECISE", "FS=MRC", "CURRENCY=USD", "XLFILL=b")</f>
        <v>2868.3746904880263</v>
      </c>
      <c r="J185" s="9">
        <f>_xll.BQL("UAL US Equity", "IS_D_AND_A_GAAP/1M", "FPT=A", "FPO=0A", "ACT_EST_MAPPING=PRECISE", "FS=MRC", "CURRENCY=USD", "XLFILL=b")</f>
        <v>2671</v>
      </c>
      <c r="K185" s="9">
        <f>_xll.BQL("UAL US Equity", "IS_D_AND_A_GAAP/1M", "FPT=A", "FPO=-1A", "ACT_EST_MAPPING=PRECISE", "FS=MRC", "CURRENCY=USD", "XLFILL=b")</f>
        <v>2456</v>
      </c>
      <c r="L185" s="9">
        <f>_xll.BQL("UAL US Equity", "IS_D_AND_A_GAAP/1M", "FPT=A", "FPO=-2A", "ACT_EST_MAPPING=PRECISE", "FS=MRC", "CURRENCY=USD", "XLFILL=b")</f>
        <v>2485</v>
      </c>
      <c r="M185" s="9">
        <f>_xll.BQL("UAL US Equity", "IS_D_AND_A_GAAP/1M", "FPT=A", "FPO=-3A", "ACT_EST_MAPPING=PRECISE", "FS=MRC", "CURRENCY=USD", "XLFILL=b")</f>
        <v>2488</v>
      </c>
      <c r="N185" s="9">
        <f>_xll.BQL("UAL US Equity", "IS_D_AND_A_GAAP/1M", "FPT=A", "FPO=-4A", "ACT_EST_MAPPING=PRECISE", "FS=MRC", "CURRENCY=USD", "XLFILL=b")</f>
        <v>2288</v>
      </c>
    </row>
    <row r="186" spans="1:14" x14ac:dyDescent="0.2">
      <c r="A186" s="8" t="s">
        <v>20</v>
      </c>
      <c r="B186" s="4" t="s">
        <v>148</v>
      </c>
      <c r="C186" s="4" t="s">
        <v>149</v>
      </c>
      <c r="D186" s="4"/>
      <c r="E186" s="9">
        <f>_xll.BQL("UAL US Equity", "FA_GROWTH(IS_D_AND_A_GAAP, YOY)", "FPT=A", "FPO=5A", "ACT_EST_MAPPING=PRECISE", "FS=MRC", "CURRENCY=USD", "XLFILL=b")</f>
        <v>7.5437484183239887</v>
      </c>
      <c r="F186" s="9">
        <f>_xll.BQL("UAL US Equity", "FA_GROWTH(IS_D_AND_A_GAAP, YOY)", "FPT=A", "FPO=4A", "ACT_EST_MAPPING=PRECISE", "FS=MRC", "CURRENCY=USD", "XLFILL=b")</f>
        <v>10.223068538828239</v>
      </c>
      <c r="G186" s="9">
        <f>_xll.BQL("UAL US Equity", "FA_GROWTH(IS_D_AND_A_GAAP, YOY)", "FPT=A", "FPO=3A", "ACT_EST_MAPPING=PRECISE", "FS=MRC", "CURRENCY=USD", "XLFILL=b")</f>
        <v>6.6692985041285375</v>
      </c>
      <c r="H186" s="9">
        <f>_xll.BQL("UAL US Equity", "FA_GROWTH(IS_D_AND_A_GAAP, YOY)", "FPT=A", "FPO=2A", "ACT_EST_MAPPING=PRECISE", "FS=MRC", "CURRENCY=USD", "XLFILL=b")</f>
        <v>5.4916917984147435</v>
      </c>
      <c r="I186" s="9">
        <f>_xll.BQL("UAL US Equity", "FA_GROWTH(IS_D_AND_A_GAAP, YOY)", "FPT=A", "FPO=1A", "ACT_EST_MAPPING=PRECISE", "FS=MRC", "CURRENCY=USD", "XLFILL=b")</f>
        <v>7.389542886111049</v>
      </c>
      <c r="J186" s="9">
        <f>_xll.BQL("UAL US Equity", "FA_GROWTH(IS_D_AND_A_GAAP, YOY)", "FPT=A", "FPO=0A", "ACT_EST_MAPPING=PRECISE", "FS=MRC", "CURRENCY=USD", "XLFILL=b")</f>
        <v>8.7540716612377842</v>
      </c>
      <c r="K186" s="9">
        <f>_xll.BQL("UAL US Equity", "FA_GROWTH(IS_D_AND_A_GAAP, YOY)", "FPT=A", "FPO=-1A", "ACT_EST_MAPPING=PRECISE", "FS=MRC", "CURRENCY=USD", "XLFILL=b")</f>
        <v>-1.1670020120724347</v>
      </c>
      <c r="L186" s="9">
        <f>_xll.BQL("UAL US Equity", "FA_GROWTH(IS_D_AND_A_GAAP, YOY)", "FPT=A", "FPO=-2A", "ACT_EST_MAPPING=PRECISE", "FS=MRC", "CURRENCY=USD", "XLFILL=b")</f>
        <v>-0.12057877813504823</v>
      </c>
      <c r="M186" s="9">
        <f>_xll.BQL("UAL US Equity", "FA_GROWTH(IS_D_AND_A_GAAP, YOY)", "FPT=A", "FPO=-3A", "ACT_EST_MAPPING=PRECISE", "FS=MRC", "CURRENCY=USD", "XLFILL=b")</f>
        <v>8.7412587412587417</v>
      </c>
      <c r="N186" s="9">
        <f>_xll.BQL("UAL US Equity", "FA_GROWTH(IS_D_AND_A_GAAP, YOY)", "FPT=A", "FPO=-4A", "ACT_EST_MAPPING=PRECISE", "FS=MRC", "CURRENCY=USD", "XLFILL=b")</f>
        <v>5.681293302540416</v>
      </c>
    </row>
    <row r="187" spans="1:14" x14ac:dyDescent="0.2">
      <c r="A187" s="8" t="s">
        <v>137</v>
      </c>
      <c r="B187" s="4" t="s">
        <v>150</v>
      </c>
      <c r="C187" s="4"/>
      <c r="D187" s="4"/>
      <c r="E187" s="9">
        <f>_xll.BQL("UAL US Equity", "D_AND_A_TO_SALES", "FPT=A", "FPO=5A", "ACT_EST_MAPPING=PRECISE", "FS=MRC", "CURRENCY=USD", "XLFILL=b")</f>
        <v>6.2768513779235224</v>
      </c>
      <c r="F187" s="9">
        <f>_xll.BQL("UAL US Equity", "D_AND_A_TO_SALES", "FPT=A", "FPO=4A", "ACT_EST_MAPPING=PRECISE", "FS=MRC", "CURRENCY=USD", "XLFILL=b")</f>
        <v>6.1359576080704539</v>
      </c>
      <c r="G187" s="9">
        <f>_xll.BQL("UAL US Equity", "D_AND_A_TO_SALES", "FPT=A", "FPO=3A", "ACT_EST_MAPPING=PRECISE", "FS=MRC", "CURRENCY=USD", "XLFILL=b")</f>
        <v>5.5992741224182092</v>
      </c>
      <c r="H187" s="9">
        <f>_xll.BQL("UAL US Equity", "D_AND_A_TO_SALES", "FPT=A", "FPO=2A", "ACT_EST_MAPPING=PRECISE", "FS=MRC", "CURRENCY=USD", "XLFILL=b")</f>
        <v>5.3879838999870486</v>
      </c>
      <c r="I187" s="9">
        <f>_xll.BQL("UAL US Equity", "D_AND_A_TO_SALES", "FPT=A", "FPO=1A", "ACT_EST_MAPPING=PRECISE", "FS=MRC", "CURRENCY=USD", "XLFILL=b")</f>
        <v>5.2034606428873182</v>
      </c>
      <c r="J187" s="9">
        <f>_xll.BQL("UAL US Equity", "D_AND_A_TO_SALES", "FPT=A", "FPO=0A", "ACT_EST_MAPPING=PRECISE", "FS=MRC", "CURRENCY=USD", "XLFILL=b")</f>
        <v>4.9723551203529608</v>
      </c>
      <c r="K187" s="9">
        <f>_xll.BQL("UAL US Equity", "D_AND_A_TO_SALES", "FPT=A", "FPO=-1A", "ACT_EST_MAPPING=PRECISE", "FS=MRC", "CURRENCY=USD", "XLFILL=b")</f>
        <v>5.463241018796575</v>
      </c>
      <c r="L187" s="9">
        <f>_xll.BQL("UAL US Equity", "D_AND_A_TO_SALES", "FPT=A", "FPO=-2A", "ACT_EST_MAPPING=PRECISE", "FS=MRC", "CURRENCY=USD", "XLFILL=b")</f>
        <v>10.087683689210035</v>
      </c>
      <c r="M187" s="9">
        <f>_xll.BQL("UAL US Equity", "D_AND_A_TO_SALES", "FPT=A", "FPO=-3A", "ACT_EST_MAPPING=PRECISE", "FS=MRC", "CURRENCY=USD", "XLFILL=b")</f>
        <v>16.203191142950178</v>
      </c>
      <c r="N187" s="9">
        <f>_xll.BQL("UAL US Equity", "D_AND_A_TO_SALES", "FPT=A", "FPO=-4A", "ACT_EST_MAPPING=PRECISE", "FS=MRC", "CURRENCY=USD", "XLFILL=b")</f>
        <v>5.2890727941006492</v>
      </c>
    </row>
    <row r="188" spans="1:14" x14ac:dyDescent="0.2">
      <c r="A188" s="8" t="s">
        <v>86</v>
      </c>
      <c r="B188" s="4" t="s">
        <v>150</v>
      </c>
      <c r="C188" s="4"/>
      <c r="D188" s="4"/>
      <c r="E188" s="9">
        <f>_xll.BQL("UAL US Equity", "FA_GROWTH(D_AND_A_TO_SALES, YOY)", "FPT=A", "FPO=5A", "ACT_EST_MAPPING=PRECISE", "FS=MRC", "CURRENCY=USD", "XLFILL=b")</f>
        <v>2.2961985537148255</v>
      </c>
      <c r="F188" s="9">
        <f>_xll.BQL("UAL US Equity", "FA_GROWTH(D_AND_A_TO_SALES, YOY)", "FPT=A", "FPO=4A", "ACT_EST_MAPPING=PRECISE", "FS=MRC", "CURRENCY=USD", "XLFILL=b")</f>
        <v>9.5848760735518752</v>
      </c>
      <c r="G188" s="9">
        <f>_xll.BQL("UAL US Equity", "FA_GROWTH(D_AND_A_TO_SALES, YOY)", "FPT=A", "FPO=3A", "ACT_EST_MAPPING=PRECISE", "FS=MRC", "CURRENCY=USD", "XLFILL=b")</f>
        <v>3.9215080511222102</v>
      </c>
      <c r="H188" s="9">
        <f>_xll.BQL("UAL US Equity", "FA_GROWTH(D_AND_A_TO_SALES, YOY)", "FPT=A", "FPO=2A", "ACT_EST_MAPPING=PRECISE", "FS=MRC", "CURRENCY=USD", "XLFILL=b")</f>
        <v>3.5461641734901512</v>
      </c>
      <c r="I188" s="9">
        <f>_xll.BQL("UAL US Equity", "FA_GROWTH(D_AND_A_TO_SALES, YOY)", "FPT=A", "FPO=1A", "ACT_EST_MAPPING=PRECISE", "FS=MRC", "CURRENCY=USD", "XLFILL=b")</f>
        <v>4.647808069628633</v>
      </c>
      <c r="J188" s="9">
        <f>_xll.BQL("UAL US Equity", "FA_GROWTH(D_AND_A_TO_SALES, YOY)", "FPT=A", "FPO=0A", "ACT_EST_MAPPING=PRECISE", "FS=MRC", "CURRENCY=USD", "XLFILL=b")</f>
        <v>-8.9852506370247056</v>
      </c>
      <c r="K188" s="9">
        <f>_xll.BQL("UAL US Equity", "FA_GROWTH(D_AND_A_TO_SALES, YOY)", "FPT=A", "FPO=-1A", "ACT_EST_MAPPING=PRECISE", "FS=MRC", "CURRENCY=USD", "XLFILL=b")</f>
        <v>-45.842463075639905</v>
      </c>
      <c r="L188" s="9">
        <f>_xll.BQL("UAL US Equity", "FA_GROWTH(D_AND_A_TO_SALES, YOY)", "FPT=A", "FPO=-2A", "ACT_EST_MAPPING=PRECISE", "FS=MRC", "CURRENCY=USD", "XLFILL=b")</f>
        <v>-37.742611315184853</v>
      </c>
      <c r="M188" s="9">
        <f>_xll.BQL("UAL US Equity", "FA_GROWTH(D_AND_A_TO_SALES, YOY)", "FPT=A", "FPO=-3A", "ACT_EST_MAPPING=PRECISE", "FS=MRC", "CURRENCY=USD", "XLFILL=b")</f>
        <v>206.35220526786793</v>
      </c>
      <c r="N188" s="9">
        <f>_xll.BQL("UAL US Equity", "FA_GROWTH(D_AND_A_TO_SALES, YOY)", "FPT=A", "FPO=-4A", "ACT_EST_MAPPING=PRECISE", "FS=MRC", "CURRENCY=USD", "XLFILL=b")</f>
        <v>0.90280536477556672</v>
      </c>
    </row>
    <row r="189" spans="1:14" x14ac:dyDescent="0.2">
      <c r="A189" s="8" t="s">
        <v>151</v>
      </c>
      <c r="B189" s="4" t="s">
        <v>152</v>
      </c>
      <c r="C189" s="4" t="s">
        <v>153</v>
      </c>
      <c r="D189" s="4"/>
      <c r="E189" s="9">
        <f>_xll.BQL("UAL US Equity", "IS_REGIONAL_CAPACITY_PURCH_EXPN/1M", "FPT=A", "FPO=5A", "ACT_EST_MAPPING=PRECISE", "FS=MRC", "CURRENCY=USD", "XLFILL=b")</f>
        <v>2927.7418176348788</v>
      </c>
      <c r="F189" s="9">
        <f>_xll.BQL("UAL US Equity", "IS_REGIONAL_CAPACITY_PURCH_EXPN/1M", "FPT=A", "FPO=4A", "ACT_EST_MAPPING=PRECISE", "FS=MRC", "CURRENCY=USD", "XLFILL=b")</f>
        <v>2855.2156545082889</v>
      </c>
      <c r="G189" s="9">
        <f>_xll.BQL("UAL US Equity", "IS_REGIONAL_CAPACITY_PURCH_EXPN/1M", "FPT=A", "FPO=3A", "ACT_EST_MAPPING=PRECISE", "FS=MRC", "CURRENCY=USD", "XLFILL=b")</f>
        <v>2575.5601433794782</v>
      </c>
      <c r="H189" s="9">
        <f>_xll.BQL("UAL US Equity", "IS_REGIONAL_CAPACITY_PURCH_EXPN/1M", "FPT=A", "FPO=2A", "ACT_EST_MAPPING=PRECISE", "FS=MRC", "CURRENCY=USD", "XLFILL=b")</f>
        <v>2523.6434734118884</v>
      </c>
      <c r="I189" s="9">
        <f>_xll.BQL("UAL US Equity", "IS_REGIONAL_CAPACITY_PURCH_EXPN/1M", "FPT=A", "FPO=1A", "ACT_EST_MAPPING=PRECISE", "FS=MRC", "CURRENCY=USD", "XLFILL=b")</f>
        <v>2443.5887114495085</v>
      </c>
      <c r="J189" s="9">
        <f>_xll.BQL("UAL US Equity", "IS_REGIONAL_CAPACITY_PURCH_EXPN/1M", "FPT=A", "FPO=0A", "ACT_EST_MAPPING=PRECISE", "FS=MRC", "CURRENCY=USD", "XLFILL=b")</f>
        <v>2400</v>
      </c>
      <c r="K189" s="9">
        <f>_xll.BQL("UAL US Equity", "IS_REGIONAL_CAPACITY_PURCH_EXPN/1M", "FPT=A", "FPO=-1A", "ACT_EST_MAPPING=PRECISE", "FS=MRC", "CURRENCY=USD", "XLFILL=b")</f>
        <v>2299</v>
      </c>
      <c r="L189" s="9">
        <f>_xll.BQL("UAL US Equity", "IS_REGIONAL_CAPACITY_PURCH_EXPN/1M", "FPT=A", "FPO=-2A", "ACT_EST_MAPPING=PRECISE", "FS=MRC", "CURRENCY=USD", "XLFILL=b")</f>
        <v>2147</v>
      </c>
      <c r="M189" s="9">
        <f>_xll.BQL("UAL US Equity", "IS_REGIONAL_CAPACITY_PURCH_EXPN/1M", "FPT=A", "FPO=-3A", "ACT_EST_MAPPING=PRECISE", "FS=MRC", "CURRENCY=USD", "XLFILL=b")</f>
        <v>2039</v>
      </c>
      <c r="N189" s="9">
        <f>_xll.BQL("UAL US Equity", "IS_REGIONAL_CAPACITY_PURCH_EXPN/1M", "FPT=A", "FPO=-4A", "ACT_EST_MAPPING=PRECISE", "FS=MRC", "CURRENCY=USD", "XLFILL=b")</f>
        <v>2849</v>
      </c>
    </row>
    <row r="190" spans="1:14" x14ac:dyDescent="0.2">
      <c r="A190" s="8" t="s">
        <v>20</v>
      </c>
      <c r="B190" s="4" t="s">
        <v>152</v>
      </c>
      <c r="C190" s="4" t="s">
        <v>153</v>
      </c>
      <c r="D190" s="4"/>
      <c r="E190" s="9">
        <f>_xll.BQL("UAL US Equity", "FA_GROWTH(IS_REGIONAL_CAPACITY_PURCH_EXPN, YOY)", "FPT=A", "FPO=5A", "ACT_EST_MAPPING=PRECISE", "FS=MRC", "CURRENCY=USD", "XLFILL=b")</f>
        <v>2.5401290796396907</v>
      </c>
      <c r="F190" s="9">
        <f>_xll.BQL("UAL US Equity", "FA_GROWTH(IS_REGIONAL_CAPACITY_PURCH_EXPN, YOY)", "FPT=A", "FPO=4A", "ACT_EST_MAPPING=PRECISE", "FS=MRC", "CURRENCY=USD", "XLFILL=b")</f>
        <v>10.858046233075559</v>
      </c>
      <c r="G190" s="9">
        <f>_xll.BQL("UAL US Equity", "FA_GROWTH(IS_REGIONAL_CAPACITY_PURCH_EXPN, YOY)", "FPT=A", "FPO=3A", "ACT_EST_MAPPING=PRECISE", "FS=MRC", "CURRENCY=USD", "XLFILL=b")</f>
        <v>2.0572109537089101</v>
      </c>
      <c r="H190" s="9">
        <f>_xll.BQL("UAL US Equity", "FA_GROWTH(IS_REGIONAL_CAPACITY_PURCH_EXPN, YOY)", "FPT=A", "FPO=2A", "ACT_EST_MAPPING=PRECISE", "FS=MRC", "CURRENCY=USD", "XLFILL=b")</f>
        <v>3.2761144126784072</v>
      </c>
      <c r="I190" s="9">
        <f>_xll.BQL("UAL US Equity", "FA_GROWTH(IS_REGIONAL_CAPACITY_PURCH_EXPN, YOY)", "FPT=A", "FPO=1A", "ACT_EST_MAPPING=PRECISE", "FS=MRC", "CURRENCY=USD", "XLFILL=b")</f>
        <v>1.8161963103961944</v>
      </c>
      <c r="J190" s="9">
        <f>_xll.BQL("UAL US Equity", "FA_GROWTH(IS_REGIONAL_CAPACITY_PURCH_EXPN, YOY)", "FPT=A", "FPO=0A", "ACT_EST_MAPPING=PRECISE", "FS=MRC", "CURRENCY=USD", "XLFILL=b")</f>
        <v>4.393214441061331</v>
      </c>
      <c r="K190" s="9">
        <f>_xll.BQL("UAL US Equity", "FA_GROWTH(IS_REGIONAL_CAPACITY_PURCH_EXPN, YOY)", "FPT=A", "FPO=-1A", "ACT_EST_MAPPING=PRECISE", "FS=MRC", "CURRENCY=USD", "XLFILL=b")</f>
        <v>7.0796460176991154</v>
      </c>
      <c r="L190" s="9">
        <f>_xll.BQL("UAL US Equity", "FA_GROWTH(IS_REGIONAL_CAPACITY_PURCH_EXPN, YOY)", "FPT=A", "FPO=-2A", "ACT_EST_MAPPING=PRECISE", "FS=MRC", "CURRENCY=USD", "XLFILL=b")</f>
        <v>5.2967140755272188</v>
      </c>
      <c r="M190" s="9">
        <f>_xll.BQL("UAL US Equity", "FA_GROWTH(IS_REGIONAL_CAPACITY_PURCH_EXPN, YOY)", "FPT=A", "FPO=-3A", "ACT_EST_MAPPING=PRECISE", "FS=MRC", "CURRENCY=USD", "XLFILL=b")</f>
        <v>-28.43102843102843</v>
      </c>
      <c r="N190" s="9">
        <f>_xll.BQL("UAL US Equity", "FA_GROWTH(IS_REGIONAL_CAPACITY_PURCH_EXPN, YOY)", "FPT=A", "FPO=-4A", "ACT_EST_MAPPING=PRECISE", "FS=MRC", "CURRENCY=USD", "XLFILL=b")</f>
        <v>7.5500188750471873</v>
      </c>
    </row>
    <row r="191" spans="1:14" x14ac:dyDescent="0.2">
      <c r="A191" s="8" t="s">
        <v>154</v>
      </c>
      <c r="B191" s="4" t="s">
        <v>155</v>
      </c>
      <c r="C191" s="4" t="s">
        <v>156</v>
      </c>
      <c r="D191" s="4"/>
      <c r="E191" s="9">
        <f>_xll.BQL("UAL US Equity", "MAINTENANCE_MATERIALS_REPAIRS/1M", "FPT=A", "FPO=5A", "ACT_EST_MAPPING=PRECISE", "FS=MRC", "CURRENCY=USD", "XLFILL=b")</f>
        <v>3520.9382121695899</v>
      </c>
      <c r="F191" s="9">
        <f>_xll.BQL("UAL US Equity", "MAINTENANCE_MATERIALS_REPAIRS/1M", "FPT=A", "FPO=4A", "ACT_EST_MAPPING=PRECISE", "FS=MRC", "CURRENCY=USD", "XLFILL=b")</f>
        <v>3327.1103713444709</v>
      </c>
      <c r="G191" s="9">
        <f>_xll.BQL("UAL US Equity", "MAINTENANCE_MATERIALS_REPAIRS/1M", "FPT=A", "FPO=3A", "ACT_EST_MAPPING=PRECISE", "FS=MRC", "CURRENCY=USD", "XLFILL=b")</f>
        <v>3105.1659526490621</v>
      </c>
      <c r="H191" s="9">
        <f>_xll.BQL("UAL US Equity", "MAINTENANCE_MATERIALS_REPAIRS/1M", "FPT=A", "FPO=2A", "ACT_EST_MAPPING=PRECISE", "FS=MRC", "CURRENCY=USD", "XLFILL=b")</f>
        <v>3047.7680432214106</v>
      </c>
      <c r="I191" s="9">
        <f>_xll.BQL("UAL US Equity", "MAINTENANCE_MATERIALS_REPAIRS/1M", "FPT=A", "FPO=1A", "ACT_EST_MAPPING=PRECISE", "FS=MRC", "CURRENCY=USD", "XLFILL=b")</f>
        <v>2964.8533649737474</v>
      </c>
      <c r="J191" s="9">
        <f>_xll.BQL("UAL US Equity", "MAINTENANCE_MATERIALS_REPAIRS/1M", "FPT=A", "FPO=0A", "ACT_EST_MAPPING=PRECISE", "FS=MRC", "CURRENCY=USD", "XLFILL=b")</f>
        <v>2736</v>
      </c>
      <c r="K191" s="9">
        <f>_xll.BQL("UAL US Equity", "MAINTENANCE_MATERIALS_REPAIRS/1M", "FPT=A", "FPO=-1A", "ACT_EST_MAPPING=PRECISE", "FS=MRC", "CURRENCY=USD", "XLFILL=b")</f>
        <v>2153</v>
      </c>
      <c r="L191" s="9">
        <f>_xll.BQL("UAL US Equity", "MAINTENANCE_MATERIALS_REPAIRS/1M", "FPT=A", "FPO=-2A", "ACT_EST_MAPPING=PRECISE", "FS=MRC", "CURRENCY=USD", "XLFILL=b")</f>
        <v>1316</v>
      </c>
      <c r="M191" s="9">
        <f>_xll.BQL("UAL US Equity", "MAINTENANCE_MATERIALS_REPAIRS/1M", "FPT=A", "FPO=-3A", "ACT_EST_MAPPING=PRECISE", "FS=MRC", "CURRENCY=USD", "XLFILL=b")</f>
        <v>858</v>
      </c>
      <c r="N191" s="9">
        <f>_xll.BQL("UAL US Equity", "MAINTENANCE_MATERIALS_REPAIRS/1M", "FPT=A", "FPO=-4A", "ACT_EST_MAPPING=PRECISE", "FS=MRC", "CURRENCY=USD", "XLFILL=b")</f>
        <v>1794</v>
      </c>
    </row>
    <row r="192" spans="1:14" x14ac:dyDescent="0.2">
      <c r="A192" s="8" t="s">
        <v>20</v>
      </c>
      <c r="B192" s="4" t="s">
        <v>155</v>
      </c>
      <c r="C192" s="4" t="s">
        <v>156</v>
      </c>
      <c r="D192" s="4"/>
      <c r="E192" s="9">
        <f>_xll.BQL("UAL US Equity", "FA_GROWTH(MAINTENANCE_MATERIALS_REPAIRS, YOY)", "FPT=A", "FPO=5A", "ACT_EST_MAPPING=PRECISE", "FS=MRC", "CURRENCY=USD", "XLFILL=b")</f>
        <v>5.8257111785201774</v>
      </c>
      <c r="F192" s="9">
        <f>_xll.BQL("UAL US Equity", "FA_GROWTH(MAINTENANCE_MATERIALS_REPAIRS, YOY)", "FPT=A", "FPO=4A", "ACT_EST_MAPPING=PRECISE", "FS=MRC", "CURRENCY=USD", "XLFILL=b")</f>
        <v>7.1475863795963885</v>
      </c>
      <c r="G192" s="9">
        <f>_xll.BQL("UAL US Equity", "FA_GROWTH(MAINTENANCE_MATERIALS_REPAIRS, YOY)", "FPT=A", "FPO=3A", "ACT_EST_MAPPING=PRECISE", "FS=MRC", "CURRENCY=USD", "XLFILL=b")</f>
        <v>1.8832768312310055</v>
      </c>
      <c r="H192" s="9">
        <f>_xll.BQL("UAL US Equity", "FA_GROWTH(MAINTENANCE_MATERIALS_REPAIRS, YOY)", "FPT=A", "FPO=2A", "ACT_EST_MAPPING=PRECISE", "FS=MRC", "CURRENCY=USD", "XLFILL=b")</f>
        <v>2.796586139038201</v>
      </c>
      <c r="I192" s="9">
        <f>_xll.BQL("UAL US Equity", "FA_GROWTH(MAINTENANCE_MATERIALS_REPAIRS, YOY)", "FPT=A", "FPO=1A", "ACT_EST_MAPPING=PRECISE", "FS=MRC", "CURRENCY=USD", "XLFILL=b")</f>
        <v>8.3645235736018737</v>
      </c>
      <c r="J192" s="9">
        <f>_xll.BQL("UAL US Equity", "FA_GROWTH(MAINTENANCE_MATERIALS_REPAIRS, YOY)", "FPT=A", "FPO=0A", "ACT_EST_MAPPING=PRECISE", "FS=MRC", "CURRENCY=USD", "XLFILL=b")</f>
        <v>27.078495123084068</v>
      </c>
      <c r="K192" s="9">
        <f>_xll.BQL("UAL US Equity", "FA_GROWTH(MAINTENANCE_MATERIALS_REPAIRS, YOY)", "FPT=A", "FPO=-1A", "ACT_EST_MAPPING=PRECISE", "FS=MRC", "CURRENCY=USD", "XLFILL=b")</f>
        <v>63.601823708206688</v>
      </c>
      <c r="L192" s="9">
        <f>_xll.BQL("UAL US Equity", "FA_GROWTH(MAINTENANCE_MATERIALS_REPAIRS, YOY)", "FPT=A", "FPO=-2A", "ACT_EST_MAPPING=PRECISE", "FS=MRC", "CURRENCY=USD", "XLFILL=b")</f>
        <v>53.379953379953378</v>
      </c>
      <c r="M192" s="9">
        <f>_xll.BQL("UAL US Equity", "FA_GROWTH(MAINTENANCE_MATERIALS_REPAIRS, YOY)", "FPT=A", "FPO=-3A", "ACT_EST_MAPPING=PRECISE", "FS=MRC", "CURRENCY=USD", "XLFILL=b")</f>
        <v>-52.173913043478258</v>
      </c>
      <c r="N192" s="9">
        <f>_xll.BQL("UAL US Equity", "FA_GROWTH(MAINTENANCE_MATERIALS_REPAIRS, YOY)", "FPT=A", "FPO=-4A", "ACT_EST_MAPPING=PRECISE", "FS=MRC", "CURRENCY=USD", "XLFILL=b")</f>
        <v>1.5280135823429541</v>
      </c>
    </row>
    <row r="193" spans="1:14" x14ac:dyDescent="0.2">
      <c r="A193" s="8" t="s">
        <v>137</v>
      </c>
      <c r="B193" s="4" t="s">
        <v>157</v>
      </c>
      <c r="C193" s="4"/>
      <c r="D193" s="4"/>
      <c r="E193" s="9">
        <f>_xll.BQL("UAL US Equity", "AIRLINE_MAINTENANCE_PCT_SALES", "FPT=A", "FPO=5A", "ACT_EST_MAPPING=PRECISE", "FS=MRC", "CURRENCY=USD", "XLFILL=b")</f>
        <v>5.2770431063539132</v>
      </c>
      <c r="F193" s="9">
        <f>_xll.BQL("UAL US Equity", "AIRLINE_MAINTENANCE_PCT_SALES", "FPT=A", "FPO=4A", "ACT_EST_MAPPING=PRECISE", "FS=MRC", "CURRENCY=USD", "XLFILL=b")</f>
        <v>5.2649511229013264</v>
      </c>
      <c r="G193" s="9">
        <f>_xll.BQL("UAL US Equity", "AIRLINE_MAINTENANCE_PCT_SALES", "FPT=A", "FPO=3A", "ACT_EST_MAPPING=PRECISE", "FS=MRC", "CURRENCY=USD", "XLFILL=b")</f>
        <v>5.2178301776439433</v>
      </c>
      <c r="H193" s="9">
        <f>_xll.BQL("UAL US Equity", "AIRLINE_MAINTENANCE_PCT_SALES", "FPT=A", "FPO=2A", "ACT_EST_MAPPING=PRECISE", "FS=MRC", "CURRENCY=USD", "XLFILL=b")</f>
        <v>5.2983407127529416</v>
      </c>
      <c r="I193" s="9">
        <f>_xll.BQL("UAL US Equity", "AIRLINE_MAINTENANCE_PCT_SALES", "FPT=A", "FPO=1A", "ACT_EST_MAPPING=PRECISE", "FS=MRC", "CURRENCY=USD", "XLFILL=b")</f>
        <v>5.2377341928674852</v>
      </c>
      <c r="J193" s="9">
        <f>_xll.BQL("UAL US Equity", "AIRLINE_MAINTENANCE_PCT_SALES", "FPT=A", "FPO=0A", "ACT_EST_MAPPING=PRECISE", "FS=MRC", "CURRENCY=USD", "XLFILL=b")</f>
        <v>5.0933596440605395</v>
      </c>
      <c r="K193" s="9">
        <f>_xll.BQL("UAL US Equity", "AIRLINE_MAINTENANCE_PCT_SALES", "FPT=A", "FPO=-1A", "ACT_EST_MAPPING=PRECISE", "FS=MRC", "CURRENCY=USD", "XLFILL=b")</f>
        <v>4.7892336781225664</v>
      </c>
      <c r="L193" s="9">
        <f>_xll.BQL("UAL US Equity", "AIRLINE_MAINTENANCE_PCT_SALES", "FPT=A", "FPO=-2A", "ACT_EST_MAPPING=PRECISE", "FS=MRC", "CURRENCY=USD", "XLFILL=b")</f>
        <v>5.342209953722497</v>
      </c>
      <c r="M193" s="9">
        <f>_xll.BQL("UAL US Equity", "AIRLINE_MAINTENANCE_PCT_SALES", "FPT=A", "FPO=-3A", "ACT_EST_MAPPING=PRECISE", "FS=MRC", "CURRENCY=USD", "XLFILL=b")</f>
        <v>5.5877564311299244</v>
      </c>
      <c r="N193" s="9">
        <f>_xll.BQL("UAL US Equity", "AIRLINE_MAINTENANCE_PCT_SALES", "FPT=A", "FPO=-4A", "ACT_EST_MAPPING=PRECISE", "FS=MRC", "CURRENCY=USD", "XLFILL=b")</f>
        <v>4.1471138953743729</v>
      </c>
    </row>
    <row r="194" spans="1:14" x14ac:dyDescent="0.2">
      <c r="A194" s="8" t="s">
        <v>86</v>
      </c>
      <c r="B194" s="4" t="s">
        <v>157</v>
      </c>
      <c r="C194" s="4"/>
      <c r="D194" s="4"/>
      <c r="E194" s="9">
        <f>_xll.BQL("UAL US Equity", "FA_GROWTH(AIRLINE_MAINTENANCE_PCT_SALES, YOY)", "FPT=A", "FPO=5A", "ACT_EST_MAPPING=PRECISE", "FS=MRC", "CURRENCY=USD", "XLFILL=b")</f>
        <v>0.22966943415655708</v>
      </c>
      <c r="F194" s="9">
        <f>_xll.BQL("UAL US Equity", "FA_GROWTH(AIRLINE_MAINTENANCE_PCT_SALES, YOY)", "FPT=A", "FPO=4A", "ACT_EST_MAPPING=PRECISE", "FS=MRC", "CURRENCY=USD", "XLFILL=b")</f>
        <v>0.9030754864210635</v>
      </c>
      <c r="G194" s="9">
        <f>_xll.BQL("UAL US Equity", "FA_GROWTH(AIRLINE_MAINTENANCE_PCT_SALES, YOY)", "FPT=A", "FPO=3A", "ACT_EST_MAPPING=PRECISE", "FS=MRC", "CURRENCY=USD", "XLFILL=b")</f>
        <v>-1.5195424279758367</v>
      </c>
      <c r="H194" s="9">
        <f>_xll.BQL("UAL US Equity", "FA_GROWTH(AIRLINE_MAINTENANCE_PCT_SALES, YOY)", "FPT=A", "FPO=2A", "ACT_EST_MAPPING=PRECISE", "FS=MRC", "CURRENCY=USD", "XLFILL=b")</f>
        <v>1.1571133175865946</v>
      </c>
      <c r="I194" s="9">
        <f>_xll.BQL("UAL US Equity", "FA_GROWTH(AIRLINE_MAINTENANCE_PCT_SALES, YOY)", "FPT=A", "FPO=1A", "ACT_EST_MAPPING=PRECISE", "FS=MRC", "CURRENCY=USD", "XLFILL=b")</f>
        <v>2.8345641952714549</v>
      </c>
      <c r="J194" s="9">
        <f>_xll.BQL("UAL US Equity", "FA_GROWTH(AIRLINE_MAINTENANCE_PCT_SALES, YOY)", "FPT=A", "FPO=0A", "ACT_EST_MAPPING=PRECISE", "FS=MRC", "CURRENCY=USD", "XLFILL=b")</f>
        <v>6.3502010212455104</v>
      </c>
      <c r="K194" s="9">
        <f>_xll.BQL("UAL US Equity", "FA_GROWTH(AIRLINE_MAINTENANCE_PCT_SALES, YOY)", "FPT=A", "FPO=-1A", "ACT_EST_MAPPING=PRECISE", "FS=MRC", "CURRENCY=USD", "XLFILL=b")</f>
        <v>-10.351077183228488</v>
      </c>
      <c r="L194" s="9">
        <f>_xll.BQL("UAL US Equity", "FA_GROWTH(AIRLINE_MAINTENANCE_PCT_SALES, YOY)", "FPT=A", "FPO=-2A", "ACT_EST_MAPPING=PRECISE", "FS=MRC", "CURRENCY=USD", "XLFILL=b")</f>
        <v>-4.394366154535021</v>
      </c>
      <c r="M194" s="9">
        <f>_xll.BQL("UAL US Equity", "FA_GROWTH(AIRLINE_MAINTENANCE_PCT_SALES, YOY)", "FPT=A", "FPO=-3A", "ACT_EST_MAPPING=PRECISE", "FS=MRC", "CURRENCY=USD", "XLFILL=b")</f>
        <v>34.738436708054294</v>
      </c>
      <c r="N194" s="9">
        <f>_xll.BQL("UAL US Equity", "FA_GROWTH(AIRLINE_MAINTENANCE_PCT_SALES, YOY)", "FPT=A", "FPO=-4A", "ACT_EST_MAPPING=PRECISE", "FS=MRC", "CURRENCY=USD", "XLFILL=b")</f>
        <v>-3.0626795582072863</v>
      </c>
    </row>
    <row r="195" spans="1:14" x14ac:dyDescent="0.2">
      <c r="A195" s="8" t="s">
        <v>158</v>
      </c>
      <c r="B195" s="4" t="s">
        <v>159</v>
      </c>
      <c r="C195" s="4" t="s">
        <v>160</v>
      </c>
      <c r="D195" s="4"/>
      <c r="E195" s="9">
        <f>_xll.BQL("UAL US Equity", "CB_IS_S_AND_M_EXPENSE/1M", "FPT=A", "FPO=5A", "ACT_EST_MAPPING=PRECISE", "FS=MRC", "CURRENCY=USD", "XLFILL=b")</f>
        <v>2672.8852041957707</v>
      </c>
      <c r="F195" s="9">
        <f>_xll.BQL("UAL US Equity", "CB_IS_S_AND_M_EXPENSE/1M", "FPT=A", "FPO=4A", "ACT_EST_MAPPING=PRECISE", "FS=MRC", "CURRENCY=USD", "XLFILL=b")</f>
        <v>2479.2679759478156</v>
      </c>
      <c r="G195" s="9">
        <f>_xll.BQL("UAL US Equity", "CB_IS_S_AND_M_EXPENSE/1M", "FPT=A", "FPO=3A", "ACT_EST_MAPPING=PRECISE", "FS=MRC", "CURRENCY=USD", "XLFILL=b")</f>
        <v>2380.5219030796775</v>
      </c>
      <c r="H195" s="9">
        <f>_xll.BQL("UAL US Equity", "CB_IS_S_AND_M_EXPENSE/1M", "FPT=A", "FPO=2A", "ACT_EST_MAPPING=PRECISE", "FS=MRC", "CURRENCY=USD", "XLFILL=b")</f>
        <v>2306.5112691763607</v>
      </c>
      <c r="I195" s="9">
        <f>_xll.BQL("UAL US Equity", "CB_IS_S_AND_M_EXPENSE/1M", "FPT=A", "FPO=1A", "ACT_EST_MAPPING=PRECISE", "FS=MRC", "CURRENCY=USD", "XLFILL=b")</f>
        <v>2263.783868896975</v>
      </c>
      <c r="J195" s="9">
        <f>_xll.BQL("UAL US Equity", "CB_IS_S_AND_M_EXPENSE/1M", "FPT=A", "FPO=0A", "ACT_EST_MAPPING=PRECISE", "FS=MRC", "CURRENCY=USD", "XLFILL=b")</f>
        <v>1977</v>
      </c>
      <c r="K195" s="9">
        <f>_xll.BQL("UAL US Equity", "CB_IS_S_AND_M_EXPENSE/1M", "FPT=A", "FPO=-1A", "ACT_EST_MAPPING=PRECISE", "FS=MRC", "CURRENCY=USD", "XLFILL=b")</f>
        <v>1535</v>
      </c>
      <c r="L195" s="9">
        <f>_xll.BQL("UAL US Equity", "CB_IS_S_AND_M_EXPENSE/1M", "FPT=A", "FPO=-2A", "ACT_EST_MAPPING=PRECISE", "FS=MRC", "CURRENCY=USD", "XLFILL=b")</f>
        <v>677</v>
      </c>
      <c r="M195" s="9">
        <f>_xll.BQL("UAL US Equity", "CB_IS_S_AND_M_EXPENSE/1M", "FPT=A", "FPO=-3A", "ACT_EST_MAPPING=PRECISE", "FS=MRC", "CURRENCY=USD", "XLFILL=b")</f>
        <v>459</v>
      </c>
      <c r="N195" s="9">
        <f>_xll.BQL("UAL US Equity", "CB_IS_S_AND_M_EXPENSE/1M", "FPT=A", "FPO=-4A", "ACT_EST_MAPPING=PRECISE", "FS=MRC", "CURRENCY=USD", "XLFILL=b")</f>
        <v>1651</v>
      </c>
    </row>
    <row r="196" spans="1:14" x14ac:dyDescent="0.2">
      <c r="A196" s="8" t="s">
        <v>20</v>
      </c>
      <c r="B196" s="4" t="s">
        <v>159</v>
      </c>
      <c r="C196" s="4" t="s">
        <v>160</v>
      </c>
      <c r="D196" s="4"/>
      <c r="E196" s="9">
        <f>_xll.BQL("UAL US Equity", "FA_GROWTH(CB_IS_S_AND_M_EXPENSE, YOY)", "FPT=A", "FPO=5A", "ACT_EST_MAPPING=PRECISE", "FS=MRC", "CURRENCY=USD", "XLFILL=b")</f>
        <v>7.809451423819409</v>
      </c>
      <c r="F196" s="9">
        <f>_xll.BQL("UAL US Equity", "FA_GROWTH(CB_IS_S_AND_M_EXPENSE, YOY)", "FPT=A", "FPO=4A", "ACT_EST_MAPPING=PRECISE", "FS=MRC", "CURRENCY=USD", "XLFILL=b")</f>
        <v>4.1480850371672782</v>
      </c>
      <c r="G196" s="9">
        <f>_xll.BQL("UAL US Equity", "FA_GROWTH(CB_IS_S_AND_M_EXPENSE, YOY)", "FPT=A", "FPO=3A", "ACT_EST_MAPPING=PRECISE", "FS=MRC", "CURRENCY=USD", "XLFILL=b")</f>
        <v>3.2087696640539574</v>
      </c>
      <c r="H196" s="9">
        <f>_xll.BQL("UAL US Equity", "FA_GROWTH(CB_IS_S_AND_M_EXPENSE, YOY)", "FPT=A", "FPO=2A", "ACT_EST_MAPPING=PRECISE", "FS=MRC", "CURRENCY=USD", "XLFILL=b")</f>
        <v>1.8874328449121967</v>
      </c>
      <c r="I196" s="9">
        <f>_xll.BQL("UAL US Equity", "FA_GROWTH(CB_IS_S_AND_M_EXPENSE, YOY)", "FPT=A", "FPO=1A", "ACT_EST_MAPPING=PRECISE", "FS=MRC", "CURRENCY=USD", "XLFILL=b")</f>
        <v>14.50601258962949</v>
      </c>
      <c r="J196" s="9">
        <f>_xll.BQL("UAL US Equity", "FA_GROWTH(CB_IS_S_AND_M_EXPENSE, YOY)", "FPT=A", "FPO=0A", "ACT_EST_MAPPING=PRECISE", "FS=MRC", "CURRENCY=USD", "XLFILL=b")</f>
        <v>28.794788273615634</v>
      </c>
      <c r="K196" s="9">
        <f>_xll.BQL("UAL US Equity", "FA_GROWTH(CB_IS_S_AND_M_EXPENSE, YOY)", "FPT=A", "FPO=-1A", "ACT_EST_MAPPING=PRECISE", "FS=MRC", "CURRENCY=USD", "XLFILL=b")</f>
        <v>126.73559822747416</v>
      </c>
      <c r="L196" s="9">
        <f>_xll.BQL("UAL US Equity", "FA_GROWTH(CB_IS_S_AND_M_EXPENSE, YOY)", "FPT=A", "FPO=-2A", "ACT_EST_MAPPING=PRECISE", "FS=MRC", "CURRENCY=USD", "XLFILL=b")</f>
        <v>47.494553376906318</v>
      </c>
      <c r="M196" s="9">
        <f>_xll.BQL("UAL US Equity", "FA_GROWTH(CB_IS_S_AND_M_EXPENSE, YOY)", "FPT=A", "FPO=-3A", "ACT_EST_MAPPING=PRECISE", "FS=MRC", "CURRENCY=USD", "XLFILL=b")</f>
        <v>-72.198667474258031</v>
      </c>
      <c r="N196" s="9">
        <f>_xll.BQL("UAL US Equity", "FA_GROWTH(CB_IS_S_AND_M_EXPENSE, YOY)", "FPT=A", "FPO=-4A", "ACT_EST_MAPPING=PRECISE", "FS=MRC", "CURRENCY=USD", "XLFILL=b")</f>
        <v>5.9691912708600769</v>
      </c>
    </row>
    <row r="197" spans="1:14" x14ac:dyDescent="0.2">
      <c r="A197" s="8" t="s">
        <v>161</v>
      </c>
      <c r="B197" s="4" t="s">
        <v>162</v>
      </c>
      <c r="C197" s="4" t="s">
        <v>163</v>
      </c>
      <c r="D197" s="4"/>
      <c r="E197" s="9">
        <f>_xll.BQL("UAL US Equity", "AIRCRAFT_RENTALS/1M", "FPT=A", "FPO=5A", "ACT_EST_MAPPING=PRECISE", "FS=MRC", "CURRENCY=USD", "XLFILL=b")</f>
        <v>186.79063603434673</v>
      </c>
      <c r="F197" s="9">
        <f>_xll.BQL("UAL US Equity", "AIRCRAFT_RENTALS/1M", "FPT=A", "FPO=4A", "ACT_EST_MAPPING=PRECISE", "FS=MRC", "CURRENCY=USD", "XLFILL=b")</f>
        <v>221.03858655506588</v>
      </c>
      <c r="G197" s="9">
        <f>_xll.BQL("UAL US Equity", "AIRCRAFT_RENTALS/1M", "FPT=A", "FPO=3A", "ACT_EST_MAPPING=PRECISE", "FS=MRC", "CURRENCY=USD", "XLFILL=b")</f>
        <v>203.91255775559597</v>
      </c>
      <c r="H197" s="9">
        <f>_xll.BQL("UAL US Equity", "AIRCRAFT_RENTALS/1M", "FPT=A", "FPO=2A", "ACT_EST_MAPPING=PRECISE", "FS=MRC", "CURRENCY=USD", "XLFILL=b")</f>
        <v>208.6924188884314</v>
      </c>
      <c r="I197" s="9">
        <f>_xll.BQL("UAL US Equity", "AIRCRAFT_RENTALS/1M", "FPT=A", "FPO=1A", "ACT_EST_MAPPING=PRECISE", "FS=MRC", "CURRENCY=USD", "XLFILL=b")</f>
        <v>174.59294616501543</v>
      </c>
      <c r="J197" s="9">
        <f>_xll.BQL("UAL US Equity", "AIRCRAFT_RENTALS/1M", "FPT=A", "FPO=0A", "ACT_EST_MAPPING=PRECISE", "FS=MRC", "CURRENCY=USD", "XLFILL=b")</f>
        <v>197</v>
      </c>
      <c r="K197" s="9">
        <f>_xll.BQL("UAL US Equity", "AIRCRAFT_RENTALS/1M", "FPT=A", "FPO=-1A", "ACT_EST_MAPPING=PRECISE", "FS=MRC", "CURRENCY=USD", "XLFILL=b")</f>
        <v>252</v>
      </c>
      <c r="L197" s="9">
        <f>_xll.BQL("UAL US Equity", "AIRCRAFT_RENTALS/1M", "FPT=A", "FPO=-2A", "ACT_EST_MAPPING=PRECISE", "FS=MRC", "CURRENCY=USD", "XLFILL=b")</f>
        <v>228</v>
      </c>
      <c r="M197" s="9">
        <f>_xll.BQL("UAL US Equity", "AIRCRAFT_RENTALS/1M", "FPT=A", "FPO=-3A", "ACT_EST_MAPPING=PRECISE", "FS=MRC", "CURRENCY=USD", "XLFILL=b")</f>
        <v>198</v>
      </c>
      <c r="N197" s="9">
        <f>_xll.BQL("UAL US Equity", "AIRCRAFT_RENTALS/1M", "FPT=A", "FPO=-4A", "ACT_EST_MAPPING=PRECISE", "FS=MRC", "CURRENCY=USD", "XLFILL=b")</f>
        <v>288</v>
      </c>
    </row>
    <row r="198" spans="1:14" x14ac:dyDescent="0.2">
      <c r="A198" s="8" t="s">
        <v>20</v>
      </c>
      <c r="B198" s="4" t="s">
        <v>162</v>
      </c>
      <c r="C198" s="4" t="s">
        <v>163</v>
      </c>
      <c r="D198" s="4"/>
      <c r="E198" s="9">
        <f>_xll.BQL("UAL US Equity", "FA_GROWTH(AIRCRAFT_RENTALS, YOY)", "FPT=A", "FPO=5A", "ACT_EST_MAPPING=PRECISE", "FS=MRC", "CURRENCY=USD", "XLFILL=b")</f>
        <v>-15.494104922801421</v>
      </c>
      <c r="F198" s="9">
        <f>_xll.BQL("UAL US Equity", "FA_GROWTH(AIRCRAFT_RENTALS, YOY)", "FPT=A", "FPO=4A", "ACT_EST_MAPPING=PRECISE", "FS=MRC", "CURRENCY=USD", "XLFILL=b")</f>
        <v>8.398712167593267</v>
      </c>
      <c r="G198" s="9">
        <f>_xll.BQL("UAL US Equity", "FA_GROWTH(AIRCRAFT_RENTALS, YOY)", "FPT=A", "FPO=3A", "ACT_EST_MAPPING=PRECISE", "FS=MRC", "CURRENCY=USD", "XLFILL=b")</f>
        <v>-2.2903856106966538</v>
      </c>
      <c r="H198" s="9">
        <f>_xll.BQL("UAL US Equity", "FA_GROWTH(AIRCRAFT_RENTALS, YOY)", "FPT=A", "FPO=2A", "ACT_EST_MAPPING=PRECISE", "FS=MRC", "CURRENCY=USD", "XLFILL=b")</f>
        <v>19.530842151656614</v>
      </c>
      <c r="I198" s="9">
        <f>_xll.BQL("UAL US Equity", "FA_GROWTH(AIRCRAFT_RENTALS, YOY)", "FPT=A", "FPO=1A", "ACT_EST_MAPPING=PRECISE", "FS=MRC", "CURRENCY=USD", "XLFILL=b")</f>
        <v>-11.374139002530239</v>
      </c>
      <c r="J198" s="9">
        <f>_xll.BQL("UAL US Equity", "FA_GROWTH(AIRCRAFT_RENTALS, YOY)", "FPT=A", "FPO=0A", "ACT_EST_MAPPING=PRECISE", "FS=MRC", "CURRENCY=USD", "XLFILL=b")</f>
        <v>-21.825396825396826</v>
      </c>
      <c r="K198" s="9">
        <f>_xll.BQL("UAL US Equity", "FA_GROWTH(AIRCRAFT_RENTALS, YOY)", "FPT=A", "FPO=-1A", "ACT_EST_MAPPING=PRECISE", "FS=MRC", "CURRENCY=USD", "XLFILL=b")</f>
        <v>10.526315789473685</v>
      </c>
      <c r="L198" s="9">
        <f>_xll.BQL("UAL US Equity", "FA_GROWTH(AIRCRAFT_RENTALS, YOY)", "FPT=A", "FPO=-2A", "ACT_EST_MAPPING=PRECISE", "FS=MRC", "CURRENCY=USD", "XLFILL=b")</f>
        <v>15.151515151515152</v>
      </c>
      <c r="M198" s="9">
        <f>_xll.BQL("UAL US Equity", "FA_GROWTH(AIRCRAFT_RENTALS, YOY)", "FPT=A", "FPO=-3A", "ACT_EST_MAPPING=PRECISE", "FS=MRC", "CURRENCY=USD", "XLFILL=b")</f>
        <v>-31.25</v>
      </c>
      <c r="N198" s="9">
        <f>_xll.BQL("UAL US Equity", "FA_GROWTH(AIRCRAFT_RENTALS, YOY)", "FPT=A", "FPO=-4A", "ACT_EST_MAPPING=PRECISE", "FS=MRC", "CURRENCY=USD", "XLFILL=b")</f>
        <v>-33.48729792147806</v>
      </c>
    </row>
    <row r="199" spans="1:14" x14ac:dyDescent="0.2">
      <c r="A199" s="8" t="s">
        <v>137</v>
      </c>
      <c r="B199" s="4" t="s">
        <v>164</v>
      </c>
      <c r="C199" s="4"/>
      <c r="D199" s="4"/>
      <c r="E199" s="9">
        <f>_xll.BQL("UAL US Equity", "AIRCRAFT_RENTALS_PCT_SALES", "FPT=A", "FPO=5A", "ACT_EST_MAPPING=PRECISE", "FS=MRC", "CURRENCY=USD", "XLFILL=b")</f>
        <v>0.32761765708237173</v>
      </c>
      <c r="F199" s="9">
        <f>_xll.BQL("UAL US Equity", "AIRCRAFT_RENTALS_PCT_SALES", "FPT=A", "FPO=4A", "ACT_EST_MAPPING=PRECISE", "FS=MRC", "CURRENCY=USD", "XLFILL=b")</f>
        <v>0.3269169573742986</v>
      </c>
      <c r="G199" s="9">
        <f>_xll.BQL("UAL US Equity", "AIRCRAFT_RENTALS_PCT_SALES", "FPT=A", "FPO=3A", "ACT_EST_MAPPING=PRECISE", "FS=MRC", "CURRENCY=USD", "XLFILL=b")</f>
        <v>0.33102193896771964</v>
      </c>
      <c r="H199" s="9">
        <f>_xll.BQL("UAL US Equity", "AIRCRAFT_RENTALS_PCT_SALES", "FPT=A", "FPO=2A", "ACT_EST_MAPPING=PRECISE", "FS=MRC", "CURRENCY=USD", "XLFILL=b")</f>
        <v>0.3120504964297891</v>
      </c>
      <c r="I199" s="9">
        <f>_xll.BQL("UAL US Equity", "AIRCRAFT_RENTALS_PCT_SALES", "FPT=A", "FPO=1A", "ACT_EST_MAPPING=PRECISE", "FS=MRC", "CURRENCY=USD", "XLFILL=b")</f>
        <v>0.31019695900023481</v>
      </c>
      <c r="J199" s="9">
        <f>_xll.BQL("UAL US Equity", "AIRCRAFT_RENTALS_PCT_SALES", "FPT=A", "FPO=0A", "ACT_EST_MAPPING=PRECISE", "FS=MRC", "CURRENCY=USD", "XLFILL=b")</f>
        <v>0.36673678723681519</v>
      </c>
      <c r="K199" s="9">
        <f>_xll.BQL("UAL US Equity", "AIRCRAFT_RENTALS_PCT_SALES", "FPT=A", "FPO=-1A", "ACT_EST_MAPPING=PRECISE", "FS=MRC", "CURRENCY=USD", "XLFILL=b")</f>
        <v>0.56056056056056047</v>
      </c>
      <c r="L199" s="9">
        <f>_xll.BQL("UAL US Equity", "AIRCRAFT_RENTALS_PCT_SALES", "FPT=A", "FPO=-2A", "ACT_EST_MAPPING=PRECISE", "FS=MRC", "CURRENCY=USD", "XLFILL=b")</f>
        <v>0.92555005277259084</v>
      </c>
      <c r="M199" s="9">
        <f>_xll.BQL("UAL US Equity", "AIRCRAFT_RENTALS_PCT_SALES", "FPT=A", "FPO=-3A", "ACT_EST_MAPPING=PRECISE", "FS=MRC", "CURRENCY=USD", "XLFILL=b")</f>
        <v>1.2894822533376751</v>
      </c>
      <c r="N199" s="9">
        <f>_xll.BQL("UAL US Equity", "AIRCRAFT_RENTALS_PCT_SALES", "FPT=A", "FPO=-4A", "ACT_EST_MAPPING=PRECISE", "FS=MRC", "CURRENCY=USD", "XLFILL=b")</f>
        <v>0.66575741464203975</v>
      </c>
    </row>
    <row r="200" spans="1:14" x14ac:dyDescent="0.2">
      <c r="A200" s="8" t="s">
        <v>86</v>
      </c>
      <c r="B200" s="4" t="s">
        <v>164</v>
      </c>
      <c r="C200" s="4"/>
      <c r="D200" s="4"/>
      <c r="E200" s="9">
        <f>_xll.BQL("UAL US Equity", "FA_GROWTH(AIRCRAFT_RENTALS_PCT_SALES, YOY)", "FPT=A", "FPO=5A", "ACT_EST_MAPPING=PRECISE", "FS=MRC", "CURRENCY=USD", "XLFILL=b")</f>
        <v>0.21433568747884543</v>
      </c>
      <c r="F200" s="9">
        <f>_xll.BQL("UAL US Equity", "FA_GROWTH(AIRCRAFT_RENTALS_PCT_SALES, YOY)", "FPT=A", "FPO=4A", "ACT_EST_MAPPING=PRECISE", "FS=MRC", "CURRENCY=USD", "XLFILL=b")</f>
        <v>-1.2400935135061693</v>
      </c>
      <c r="G200" s="9">
        <f>_xll.BQL("UAL US Equity", "FA_GROWTH(AIRCRAFT_RENTALS_PCT_SALES, YOY)", "FPT=A", "FPO=3A", "ACT_EST_MAPPING=PRECISE", "FS=MRC", "CURRENCY=USD", "XLFILL=b")</f>
        <v>6.0796065877110648</v>
      </c>
      <c r="H200" s="9">
        <f>_xll.BQL("UAL US Equity", "FA_GROWTH(AIRCRAFT_RENTALS_PCT_SALES, YOY)", "FPT=A", "FPO=2A", "ACT_EST_MAPPING=PRECISE", "FS=MRC", "CURRENCY=USD", "XLFILL=b")</f>
        <v>0.59753565461384628</v>
      </c>
      <c r="I200" s="9">
        <f>_xll.BQL("UAL US Equity", "FA_GROWTH(AIRCRAFT_RENTALS_PCT_SALES, YOY)", "FPT=A", "FPO=1A", "ACT_EST_MAPPING=PRECISE", "FS=MRC", "CURRENCY=USD", "XLFILL=b")</f>
        <v>-15.417004839514659</v>
      </c>
      <c r="J200" s="9">
        <f>_xll.BQL("UAL US Equity", "FA_GROWTH(AIRCRAFT_RENTALS_PCT_SALES, YOY)", "FPT=A", "FPO=0A", "ACT_EST_MAPPING=PRECISE", "FS=MRC", "CURRENCY=USD", "XLFILL=b")</f>
        <v>-34.576776705432422</v>
      </c>
      <c r="K200" s="9">
        <f>_xll.BQL("UAL US Equity", "FA_GROWTH(AIRCRAFT_RENTALS_PCT_SALES, YOY)", "FPT=A", "FPO=-1A", "ACT_EST_MAPPING=PRECISE", "FS=MRC", "CURRENCY=USD", "XLFILL=b")</f>
        <v>-39.434873469961204</v>
      </c>
      <c r="L200" s="9">
        <f>_xll.BQL("UAL US Equity", "FA_GROWTH(AIRCRAFT_RENTALS_PCT_SALES, YOY)", "FPT=A", "FPO=-2A", "ACT_EST_MAPPING=PRECISE", "FS=MRC", "CURRENCY=USD", "XLFILL=b")</f>
        <v>-28.223125957963983</v>
      </c>
      <c r="M200" s="9">
        <f>_xll.BQL("UAL US Equity", "FA_GROWTH(AIRCRAFT_RENTALS_PCT_SALES, YOY)", "FPT=A", "FPO=-3A", "ACT_EST_MAPPING=PRECISE", "FS=MRC", "CURRENCY=USD", "XLFILL=b")</f>
        <v>93.686502767828088</v>
      </c>
      <c r="N200" s="9">
        <f>_xll.BQL("UAL US Equity", "FA_GROWTH(AIRCRAFT_RENTALS_PCT_SALES, YOY)", "FPT=A", "FPO=-4A", "ACT_EST_MAPPING=PRECISE", "FS=MRC", "CURRENCY=USD", "XLFILL=b")</f>
        <v>-36.494737882309074</v>
      </c>
    </row>
    <row r="201" spans="1:14" x14ac:dyDescent="0.2">
      <c r="A201" s="8" t="s">
        <v>165</v>
      </c>
      <c r="B201" s="4" t="s">
        <v>166</v>
      </c>
      <c r="C201" s="4" t="s">
        <v>167</v>
      </c>
      <c r="D201" s="4"/>
      <c r="E201" s="9">
        <f>_xll.BQL("UAL US Equity", "IS_ADJUSTMENT_FACE/1M", "FPT=A", "FPO=5A", "ACT_EST_MAPPING=PRECISE", "FS=MRC", "CURRENCY=USD", "XLFILL=b")</f>
        <v>107.46216641501336</v>
      </c>
      <c r="F201" s="9">
        <f>_xll.BQL("UAL US Equity", "IS_ADJUSTMENT_FACE/1M", "FPT=A", "FPO=4A", "ACT_EST_MAPPING=PRECISE", "FS=MRC", "CURRENCY=USD", "XLFILL=b")</f>
        <v>102.34492039525082</v>
      </c>
      <c r="G201" s="9">
        <f>_xll.BQL("UAL US Equity", "IS_ADJUSTMENT_FACE/1M", "FPT=A", "FPO=3A", "ACT_EST_MAPPING=PRECISE", "FS=MRC", "CURRENCY=USD", "XLFILL=b")</f>
        <v>48.586501280317925</v>
      </c>
      <c r="H201" s="9">
        <f>_xll.BQL("UAL US Equity", "IS_ADJUSTMENT_FACE/1M", "FPT=A", "FPO=2A", "ACT_EST_MAPPING=PRECISE", "FS=MRC", "CURRENCY=USD", "XLFILL=b")</f>
        <v>93.587613207425036</v>
      </c>
      <c r="I201" s="9">
        <f>_xll.BQL("UAL US Equity", "IS_ADJUSTMENT_FACE/1M", "FPT=A", "FPO=1A", "ACT_EST_MAPPING=PRECISE", "FS=MRC", "CURRENCY=USD", "XLFILL=b")</f>
        <v>49</v>
      </c>
      <c r="J201" s="9">
        <f>_xll.BQL("UAL US Equity", "IS_ADJUSTMENT_FACE/1M", "FPT=A", "FPO=0A", "ACT_EST_MAPPING=PRECISE", "FS=MRC", "CURRENCY=USD", "XLFILL=b")</f>
        <v>949</v>
      </c>
      <c r="K201" s="9">
        <f>_xll.BQL("UAL US Equity", "IS_ADJUSTMENT_FACE/1M", "FPT=A", "FPO=-1A", "ACT_EST_MAPPING=PRECISE", "FS=MRC", "CURRENCY=USD", "XLFILL=b")</f>
        <v>140</v>
      </c>
      <c r="L201" s="9">
        <f>_xll.BQL("UAL US Equity", "IS_ADJUSTMENT_FACE/1M", "FPT=A", "FPO=-2A", "ACT_EST_MAPPING=PRECISE", "FS=MRC", "CURRENCY=USD", "XLFILL=b")</f>
        <v>-3367</v>
      </c>
      <c r="M201" s="9">
        <f>_xll.BQL("UAL US Equity", "IS_ADJUSTMENT_FACE/1M", "FPT=A", "FPO=-3A", "ACT_EST_MAPPING=PRECISE", "FS=MRC", "CURRENCY=USD", "XLFILL=b")</f>
        <v>-2616</v>
      </c>
      <c r="N201" s="9">
        <f>_xll.BQL("UAL US Equity", "IS_ADJUSTMENT_FACE/1M", "FPT=A", "FPO=-4A", "ACT_EST_MAPPING=PRECISE", "FS=MRC", "CURRENCY=USD", "XLFILL=b")</f>
        <v>246</v>
      </c>
    </row>
    <row r="202" spans="1:14" x14ac:dyDescent="0.2">
      <c r="A202" s="8" t="s">
        <v>20</v>
      </c>
      <c r="B202" s="4" t="s">
        <v>166</v>
      </c>
      <c r="C202" s="4" t="s">
        <v>167</v>
      </c>
      <c r="D202" s="4"/>
      <c r="E202" s="9">
        <f>_xll.BQL("UAL US Equity", "FA_GROWTH(IS_ADJUSTMENT_FACE, YOY)", "FPT=A", "FPO=5A", "ACT_EST_MAPPING=PRECISE", "FS=MRC", "CURRENCY=USD", "XLFILL=b")</f>
        <v>4.9999999999999902</v>
      </c>
      <c r="F202" s="9">
        <f>_xll.BQL("UAL US Equity", "FA_GROWTH(IS_ADJUSTMENT_FACE, YOY)", "FPT=A", "FPO=4A", "ACT_EST_MAPPING=PRECISE", "FS=MRC", "CURRENCY=USD", "XLFILL=b")</f>
        <v>110.64476284220548</v>
      </c>
      <c r="G202" s="9">
        <f>_xll.BQL("UAL US Equity", "FA_GROWTH(IS_ADJUSTMENT_FACE, YOY)", "FPT=A", "FPO=3A", "ACT_EST_MAPPING=PRECISE", "FS=MRC", "CURRENCY=USD", "XLFILL=b")</f>
        <v>-48.084474413689634</v>
      </c>
      <c r="H202" s="9">
        <f>_xll.BQL("UAL US Equity", "FA_GROWTH(IS_ADJUSTMENT_FACE, YOY)", "FPT=A", "FPO=2A", "ACT_EST_MAPPING=PRECISE", "FS=MRC", "CURRENCY=USD", "XLFILL=b")</f>
        <v>90.995128994744988</v>
      </c>
      <c r="I202" s="9">
        <f>_xll.BQL("UAL US Equity", "FA_GROWTH(IS_ADJUSTMENT_FACE, YOY)", "FPT=A", "FPO=1A", "ACT_EST_MAPPING=PRECISE", "FS=MRC", "CURRENCY=USD", "XLFILL=b")</f>
        <v>-94.836670179135936</v>
      </c>
      <c r="J202" s="9">
        <f>_xll.BQL("UAL US Equity", "FA_GROWTH(IS_ADJUSTMENT_FACE, YOY)", "FPT=A", "FPO=0A", "ACT_EST_MAPPING=PRECISE", "FS=MRC", "CURRENCY=USD", "XLFILL=b")</f>
        <v>577.85714285714289</v>
      </c>
      <c r="K202" s="9">
        <f>_xll.BQL("UAL US Equity", "FA_GROWTH(IS_ADJUSTMENT_FACE, YOY)", "FPT=A", "FPO=-1A", "ACT_EST_MAPPING=PRECISE", "FS=MRC", "CURRENCY=USD", "XLFILL=b")</f>
        <v>104.15800415800416</v>
      </c>
      <c r="L202" s="9">
        <f>_xll.BQL("UAL US Equity", "FA_GROWTH(IS_ADJUSTMENT_FACE, YOY)", "FPT=A", "FPO=-2A", "ACT_EST_MAPPING=PRECISE", "FS=MRC", "CURRENCY=USD", "XLFILL=b")</f>
        <v>-28.707951070336392</v>
      </c>
      <c r="M202" s="9">
        <f>_xll.BQL("UAL US Equity", "FA_GROWTH(IS_ADJUSTMENT_FACE, YOY)", "FPT=A", "FPO=-3A", "ACT_EST_MAPPING=PRECISE", "FS=MRC", "CURRENCY=USD", "XLFILL=b")</f>
        <v>-1163.4146341463415</v>
      </c>
      <c r="N202" s="9">
        <f>_xll.BQL("UAL US Equity", "FA_GROWTH(IS_ADJUSTMENT_FACE, YOY)", "FPT=A", "FPO=-4A", "ACT_EST_MAPPING=PRECISE", "FS=MRC", "CURRENCY=USD", "XLFILL=b")</f>
        <v>-49.486652977412732</v>
      </c>
    </row>
    <row r="203" spans="1:14" x14ac:dyDescent="0.2">
      <c r="A203" s="8" t="s">
        <v>168</v>
      </c>
      <c r="B203" s="4" t="s">
        <v>169</v>
      </c>
      <c r="C203" s="4" t="s">
        <v>170</v>
      </c>
      <c r="D203" s="4"/>
      <c r="E203" s="9">
        <f>_xll.BQL("UAL US Equity", "CB_IS_OTHER_OPEX/1M", "FPT=A", "FPO=5A", "ACT_EST_MAPPING=PRECISE", "FS=MRC", "CURRENCY=USD", "XLFILL=b")</f>
        <v>9278.667635574966</v>
      </c>
      <c r="F203" s="9">
        <f>_xll.BQL("UAL US Equity", "CB_IS_OTHER_OPEX/1M", "FPT=A", "FPO=4A", "ACT_EST_MAPPING=PRECISE", "FS=MRC", "CURRENCY=USD", "XLFILL=b")</f>
        <v>9400.39074139892</v>
      </c>
      <c r="G203" s="9">
        <f>_xll.BQL("UAL US Equity", "CB_IS_OTHER_OPEX/1M", "FPT=A", "FPO=3A", "ACT_EST_MAPPING=PRECISE", "FS=MRC", "CURRENCY=USD", "XLFILL=b")</f>
        <v>9586.9333074641327</v>
      </c>
      <c r="H203" s="9">
        <f>_xll.BQL("UAL US Equity", "CB_IS_OTHER_OPEX/1M", "FPT=A", "FPO=2A", "ACT_EST_MAPPING=PRECISE", "FS=MRC", "CURRENCY=USD", "XLFILL=b")</f>
        <v>9339.6649452691818</v>
      </c>
      <c r="I203" s="9">
        <f>_xll.BQL("UAL US Equity", "CB_IS_OTHER_OPEX/1M", "FPT=A", "FPO=1A", "ACT_EST_MAPPING=PRECISE", "FS=MRC", "CURRENCY=USD", "XLFILL=b")</f>
        <v>8824.3016090089513</v>
      </c>
      <c r="J203" s="9">
        <f>_xll.BQL("UAL US Equity", "CB_IS_OTHER_OPEX/1M", "FPT=A", "FPO=0A", "ACT_EST_MAPPING=PRECISE", "FS=MRC", "CURRENCY=USD", "XLFILL=b")</f>
        <v>8062</v>
      </c>
      <c r="K203" s="9">
        <f>_xll.BQL("UAL US Equity", "CB_IS_OTHER_OPEX/1M", "FPT=A", "FPO=-1A", "ACT_EST_MAPPING=PRECISE", "FS=MRC", "CURRENCY=USD", "XLFILL=b")</f>
        <v>6628</v>
      </c>
      <c r="L203" s="9">
        <f>_xll.BQL("UAL US Equity", "CB_IS_OTHER_OPEX/1M", "FPT=A", "FPO=-2A", "ACT_EST_MAPPING=PRECISE", "FS=MRC", "CURRENCY=USD", "XLFILL=b")</f>
        <v>4433</v>
      </c>
      <c r="M203" s="9">
        <f>_xll.BQL("UAL US Equity", "CB_IS_OTHER_OPEX/1M", "FPT=A", "FPO=-3A", "ACT_EST_MAPPING=PRECISE", "FS=MRC", "CURRENCY=USD", "XLFILL=b")</f>
        <v>3486</v>
      </c>
      <c r="N203" s="9">
        <f>_xll.BQL("UAL US Equity", "CB_IS_OTHER_OPEX/1M", "FPT=A", "FPO=-4A", "ACT_EST_MAPPING=PRECISE", "FS=MRC", "CURRENCY=USD", "XLFILL=b")</f>
        <v>6275</v>
      </c>
    </row>
    <row r="204" spans="1:14" x14ac:dyDescent="0.2">
      <c r="A204" s="8" t="s">
        <v>20</v>
      </c>
      <c r="B204" s="4" t="s">
        <v>169</v>
      </c>
      <c r="C204" s="4" t="s">
        <v>170</v>
      </c>
      <c r="D204" s="4"/>
      <c r="E204" s="9">
        <f>_xll.BQL("UAL US Equity", "FA_GROWTH(CB_IS_OTHER_OPEX, YOY)", "FPT=A", "FPO=5A", "ACT_EST_MAPPING=PRECISE", "FS=MRC", "CURRENCY=USD", "XLFILL=b")</f>
        <v>-1.2948728321248419</v>
      </c>
      <c r="F204" s="9">
        <f>_xll.BQL("UAL US Equity", "FA_GROWTH(CB_IS_OTHER_OPEX, YOY)", "FPT=A", "FPO=4A", "ACT_EST_MAPPING=PRECISE", "FS=MRC", "CURRENCY=USD", "XLFILL=b")</f>
        <v>-1.9458001853415956</v>
      </c>
      <c r="G204" s="9">
        <f>_xll.BQL("UAL US Equity", "FA_GROWTH(CB_IS_OTHER_OPEX, YOY)", "FPT=A", "FPO=3A", "ACT_EST_MAPPING=PRECISE", "FS=MRC", "CURRENCY=USD", "XLFILL=b")</f>
        <v>2.647507845773406</v>
      </c>
      <c r="H204" s="9">
        <f>_xll.BQL("UAL US Equity", "FA_GROWTH(CB_IS_OTHER_OPEX, YOY)", "FPT=A", "FPO=2A", "ACT_EST_MAPPING=PRECISE", "FS=MRC", "CURRENCY=USD", "XLFILL=b")</f>
        <v>5.8402733620764238</v>
      </c>
      <c r="I204" s="9">
        <f>_xll.BQL("UAL US Equity", "FA_GROWTH(CB_IS_OTHER_OPEX, YOY)", "FPT=A", "FPO=1A", "ACT_EST_MAPPING=PRECISE", "FS=MRC", "CURRENCY=USD", "XLFILL=b")</f>
        <v>9.455490064611153</v>
      </c>
      <c r="J204" s="9">
        <f>_xll.BQL("UAL US Equity", "FA_GROWTH(CB_IS_OTHER_OPEX, YOY)", "FPT=A", "FPO=0A", "ACT_EST_MAPPING=PRECISE", "FS=MRC", "CURRENCY=USD", "XLFILL=b")</f>
        <v>21.635485817742907</v>
      </c>
      <c r="K204" s="9">
        <f>_xll.BQL("UAL US Equity", "FA_GROWTH(CB_IS_OTHER_OPEX, YOY)", "FPT=A", "FPO=-1A", "ACT_EST_MAPPING=PRECISE", "FS=MRC", "CURRENCY=USD", "XLFILL=b")</f>
        <v>49.515001127904355</v>
      </c>
      <c r="L204" s="9">
        <f>_xll.BQL("UAL US Equity", "FA_GROWTH(CB_IS_OTHER_OPEX, YOY)", "FPT=A", "FPO=-2A", "ACT_EST_MAPPING=PRECISE", "FS=MRC", "CURRENCY=USD", "XLFILL=b")</f>
        <v>27.16580608146873</v>
      </c>
      <c r="M204" s="9">
        <f>_xll.BQL("UAL US Equity", "FA_GROWTH(CB_IS_OTHER_OPEX, YOY)", "FPT=A", "FPO=-3A", "ACT_EST_MAPPING=PRECISE", "FS=MRC", "CURRENCY=USD", "XLFILL=b")</f>
        <v>-44.446215139442231</v>
      </c>
      <c r="N204" s="9">
        <f>_xll.BQL("UAL US Equity", "FA_GROWTH(CB_IS_OTHER_OPEX, YOY)", "FPT=A", "FPO=-4A", "ACT_EST_MAPPING=PRECISE", "FS=MRC", "CURRENCY=USD", "XLFILL=b")</f>
        <v>8.1710049991380789</v>
      </c>
    </row>
    <row r="205" spans="1:14" x14ac:dyDescent="0.2">
      <c r="A205" s="8" t="s">
        <v>16</v>
      </c>
      <c r="B205" s="4"/>
      <c r="C205" s="4"/>
      <c r="D205" s="4"/>
      <c r="E205" s="9"/>
      <c r="F205" s="9"/>
      <c r="G205" s="9"/>
      <c r="H205" s="9"/>
      <c r="I205" s="9"/>
      <c r="J205" s="9"/>
      <c r="K205" s="9"/>
      <c r="L205" s="9"/>
      <c r="M205" s="9"/>
      <c r="N205" s="9"/>
    </row>
    <row r="206" spans="1:14" x14ac:dyDescent="0.2">
      <c r="A206" s="8" t="s">
        <v>171</v>
      </c>
      <c r="B206" s="4" t="s">
        <v>172</v>
      </c>
      <c r="C206" s="4" t="s">
        <v>173</v>
      </c>
      <c r="D206" s="4"/>
      <c r="E206" s="9">
        <f>_xll.BQL("UAL US Equity", "IS_EBIT_AS_REPORTED/1M", "FPT=A", "FPO=5A", "ACT_EST_MAPPING=PRECISE", "FS=MRC", "CURRENCY=USD", "XLFILL=b")</f>
        <v>6951.243363750893</v>
      </c>
      <c r="F206" s="9">
        <f>_xll.BQL("UAL US Equity", "IS_EBIT_AS_REPORTED/1M", "FPT=A", "FPO=4A", "ACT_EST_MAPPING=PRECISE", "FS=MRC", "CURRENCY=USD", "XLFILL=b")</f>
        <v>6206.6004346076397</v>
      </c>
      <c r="G206" s="9">
        <f>_xll.BQL("UAL US Equity", "IS_EBIT_AS_REPORTED/1M", "FPT=A", "FPO=3A", "ACT_EST_MAPPING=PRECISE", "FS=MRC", "CURRENCY=USD", "XLFILL=b")</f>
        <v>6024.0351218087271</v>
      </c>
      <c r="H206" s="9">
        <f>_xll.BQL("UAL US Equity", "IS_EBIT_AS_REPORTED/1M", "FPT=A", "FPO=2A", "ACT_EST_MAPPING=PRECISE", "FS=MRC", "CURRENCY=USD", "XLFILL=b")</f>
        <v>5419.5292644824649</v>
      </c>
      <c r="I206" s="9">
        <f>_xll.BQL("UAL US Equity", "IS_EBIT_AS_REPORTED/1M", "FPT=A", "FPO=1A", "ACT_EST_MAPPING=PRECISE", "FS=MRC", "CURRENCY=USD", "XLFILL=b")</f>
        <v>4380.0789352230186</v>
      </c>
      <c r="J206" s="9">
        <f>_xll.BQL("UAL US Equity", "IS_EBIT_AS_REPORTED/1M", "FPT=A", "FPO=0A", "ACT_EST_MAPPING=PRECISE", "FS=MRC", "CURRENCY=USD", "XLFILL=b")</f>
        <v>4211</v>
      </c>
      <c r="K206" s="9">
        <f>_xll.BQL("UAL US Equity", "IS_EBIT_AS_REPORTED/1M", "FPT=A", "FPO=-1A", "ACT_EST_MAPPING=PRECISE", "FS=MRC", "CURRENCY=USD", "XLFILL=b")</f>
        <v>2337</v>
      </c>
      <c r="L206" s="9">
        <f>_xll.BQL("UAL US Equity", "IS_EBIT_AS_REPORTED/1M", "FPT=A", "FPO=-2A", "ACT_EST_MAPPING=PRECISE", "FS=MRC", "CURRENCY=USD", "XLFILL=b")</f>
        <v>-1022</v>
      </c>
      <c r="M206" s="9">
        <f>_xll.BQL("UAL US Equity", "IS_EBIT_AS_REPORTED/1M", "FPT=A", "FPO=-3A", "ACT_EST_MAPPING=PRECISE", "FS=MRC", "CURRENCY=USD", "XLFILL=b")</f>
        <v>-6359</v>
      </c>
      <c r="N206" s="9">
        <f>_xll.BQL("UAL US Equity", "IS_EBIT_AS_REPORTED/1M", "FPT=A", "FPO=-4A", "ACT_EST_MAPPING=PRECISE", "FS=MRC", "CURRENCY=USD", "XLFILL=b")</f>
        <v>4301</v>
      </c>
    </row>
    <row r="207" spans="1:14" x14ac:dyDescent="0.2">
      <c r="A207" s="8" t="s">
        <v>12</v>
      </c>
      <c r="B207" s="4" t="s">
        <v>172</v>
      </c>
      <c r="C207" s="4" t="s">
        <v>173</v>
      </c>
      <c r="D207" s="4"/>
      <c r="E207" s="9">
        <f>_xll.BQL("UAL US Equity", "FA_GROWTH(IS_EBIT_AS_REPORTED, YOY)", "FPT=A", "FPO=5A", "ACT_EST_MAPPING=PRECISE", "FS=MRC", "CURRENCY=USD", "XLFILL=b")</f>
        <v>11.997597347996951</v>
      </c>
      <c r="F207" s="9">
        <f>_xll.BQL("UAL US Equity", "FA_GROWTH(IS_EBIT_AS_REPORTED, YOY)", "FPT=A", "FPO=4A", "ACT_EST_MAPPING=PRECISE", "FS=MRC", "CURRENCY=USD", "XLFILL=b")</f>
        <v>3.0306150131491347</v>
      </c>
      <c r="G207" s="9">
        <f>_xll.BQL("UAL US Equity", "FA_GROWTH(IS_EBIT_AS_REPORTED, YOY)", "FPT=A", "FPO=3A", "ACT_EST_MAPPING=PRECISE", "FS=MRC", "CURRENCY=USD", "XLFILL=b")</f>
        <v>11.154213361074811</v>
      </c>
      <c r="H207" s="9">
        <f>_xll.BQL("UAL US Equity", "FA_GROWTH(IS_EBIT_AS_REPORTED, YOY)", "FPT=A", "FPO=2A", "ACT_EST_MAPPING=PRECISE", "FS=MRC", "CURRENCY=USD", "XLFILL=b")</f>
        <v>23.731314997557707</v>
      </c>
      <c r="I207" s="9">
        <f>_xll.BQL("UAL US Equity", "FA_GROWTH(IS_EBIT_AS_REPORTED, YOY)", "FPT=A", "FPO=1A", "ACT_EST_MAPPING=PRECISE", "FS=MRC", "CURRENCY=USD", "XLFILL=b")</f>
        <v>4.0151730045836773</v>
      </c>
      <c r="J207" s="9">
        <f>_xll.BQL("UAL US Equity", "FA_GROWTH(IS_EBIT_AS_REPORTED, YOY)", "FPT=A", "FPO=0A", "ACT_EST_MAPPING=PRECISE", "FS=MRC", "CURRENCY=USD", "XLFILL=b")</f>
        <v>80.188275566966198</v>
      </c>
      <c r="K207" s="9">
        <f>_xll.BQL("UAL US Equity", "FA_GROWTH(IS_EBIT_AS_REPORTED, YOY)", "FPT=A", "FPO=-1A", "ACT_EST_MAPPING=PRECISE", "FS=MRC", "CURRENCY=USD", "XLFILL=b")</f>
        <v>328.66927592954988</v>
      </c>
      <c r="L207" s="9">
        <f>_xll.BQL("UAL US Equity", "FA_GROWTH(IS_EBIT_AS_REPORTED, YOY)", "FPT=A", "FPO=-2A", "ACT_EST_MAPPING=PRECISE", "FS=MRC", "CURRENCY=USD", "XLFILL=b")</f>
        <v>83.928290611731398</v>
      </c>
      <c r="M207" s="9">
        <f>_xll.BQL("UAL US Equity", "FA_GROWTH(IS_EBIT_AS_REPORTED, YOY)", "FPT=A", "FPO=-3A", "ACT_EST_MAPPING=PRECISE", "FS=MRC", "CURRENCY=USD", "XLFILL=b")</f>
        <v>-247.84933736340386</v>
      </c>
      <c r="N207" s="9">
        <f>_xll.BQL("UAL US Equity", "FA_GROWTH(IS_EBIT_AS_REPORTED, YOY)", "FPT=A", "FPO=-4A", "ACT_EST_MAPPING=PRECISE", "FS=MRC", "CURRENCY=USD", "XLFILL=b")</f>
        <v>33.199132858470115</v>
      </c>
    </row>
    <row r="208" spans="1:14" x14ac:dyDescent="0.2">
      <c r="A208" s="8" t="s">
        <v>174</v>
      </c>
      <c r="B208" s="4" t="s">
        <v>175</v>
      </c>
      <c r="C208" s="4" t="s">
        <v>176</v>
      </c>
      <c r="D208" s="4"/>
      <c r="E208" s="9">
        <f>_xll.BQL("UAL US Equity", "OPER_MARGIN", "FPT=A", "FPO=5A", "ACT_EST_MAPPING=PRECISE", "FS=MRC", "CURRENCY=USD", "XLFILL=b")</f>
        <v>10.732598186202807</v>
      </c>
      <c r="F208" s="9">
        <f>_xll.BQL("UAL US Equity", "OPER_MARGIN", "FPT=A", "FPO=4A", "ACT_EST_MAPPING=PRECISE", "FS=MRC", "CURRENCY=USD", "XLFILL=b")</f>
        <v>9.9627326796598403</v>
      </c>
      <c r="G208" s="9">
        <f>_xll.BQL("UAL US Equity", "OPER_MARGIN", "FPT=A", "FPO=3A", "ACT_EST_MAPPING=PRECISE", "FS=MRC", "CURRENCY=USD", "XLFILL=b")</f>
        <v>9.5976258812444186</v>
      </c>
      <c r="H208" s="9">
        <f>_xll.BQL("UAL US Equity", "OPER_MARGIN", "FPT=A", "FPO=2A", "ACT_EST_MAPPING=PRECISE", "FS=MRC", "CURRENCY=USD", "XLFILL=b")</f>
        <v>8.6750149984398384</v>
      </c>
      <c r="I208" s="9">
        <f>_xll.BQL("UAL US Equity", "OPER_MARGIN", "FPT=A", "FPO=1A", "ACT_EST_MAPPING=PRECISE", "FS=MRC", "CURRENCY=USD", "XLFILL=b")</f>
        <v>7.7220377188600349</v>
      </c>
      <c r="J208" s="9">
        <f>_xll.BQL("UAL US Equity", "OPER_MARGIN", "FPT=A", "FPO=0A", "ACT_EST_MAPPING=PRECISE", "FS=MRC", "CURRENCY=USD", "XLFILL=b")</f>
        <v>7.8392315281940546</v>
      </c>
      <c r="K208" s="9">
        <f>_xll.BQL("UAL US Equity", "OPER_MARGIN", "FPT=A", "FPO=-1A", "ACT_EST_MAPPING=PRECISE", "FS=MRC", "CURRENCY=USD", "XLFILL=b")</f>
        <v>5.1985318651985315</v>
      </c>
      <c r="L208" s="9">
        <f>_xll.BQL("UAL US Equity", "OPER_MARGIN", "FPT=A", "FPO=-2A", "ACT_EST_MAPPING=PRECISE", "FS=MRC", "CURRENCY=USD", "XLFILL=b")</f>
        <v>-4.1487375172525782</v>
      </c>
      <c r="M208" s="9">
        <f>_xll.BQL("UAL US Equity", "OPER_MARGIN", "FPT=A", "FPO=-3A", "ACT_EST_MAPPING=PRECISE", "FS=MRC", "CURRENCY=USD", "XLFILL=b")</f>
        <v>-41.413220449365028</v>
      </c>
      <c r="N208" s="9">
        <f>_xll.BQL("UAL US Equity", "OPER_MARGIN", "FPT=A", "FPO=-4A", "ACT_EST_MAPPING=PRECISE", "FS=MRC", "CURRENCY=USD", "XLFILL=b")</f>
        <v>9.9424397235257409</v>
      </c>
    </row>
    <row r="209" spans="1:14" x14ac:dyDescent="0.2">
      <c r="A209" s="8" t="s">
        <v>20</v>
      </c>
      <c r="B209" s="4" t="s">
        <v>175</v>
      </c>
      <c r="C209" s="4" t="s">
        <v>176</v>
      </c>
      <c r="D209" s="4"/>
      <c r="E209" s="9">
        <f>_xll.BQL("UAL US Equity", "FA_GROWTH(OPER_MARGIN, YOY)", "FPT=A", "FPO=5A", "ACT_EST_MAPPING=PRECISE", "FS=MRC", "CURRENCY=USD", "XLFILL=b")</f>
        <v>7.727453212859392</v>
      </c>
      <c r="F209" s="9">
        <f>_xll.BQL("UAL US Equity", "FA_GROWTH(OPER_MARGIN, YOY)", "FPT=A", "FPO=4A", "ACT_EST_MAPPING=PRECISE", "FS=MRC", "CURRENCY=USD", "XLFILL=b")</f>
        <v>3.8041365951647443</v>
      </c>
      <c r="G209" s="9">
        <f>_xll.BQL("UAL US Equity", "FA_GROWTH(OPER_MARGIN, YOY)", "FPT=A", "FPO=3A", "ACT_EST_MAPPING=PRECISE", "FS=MRC", "CURRENCY=USD", "XLFILL=b")</f>
        <v>10.63526556404234</v>
      </c>
      <c r="H209" s="9">
        <f>_xll.BQL("UAL US Equity", "FA_GROWTH(OPER_MARGIN, YOY)", "FPT=A", "FPO=2A", "ACT_EST_MAPPING=PRECISE", "FS=MRC", "CURRENCY=USD", "XLFILL=b")</f>
        <v>12.341007830773544</v>
      </c>
      <c r="I209" s="9">
        <f>_xll.BQL("UAL US Equity", "FA_GROWTH(OPER_MARGIN, YOY)", "FPT=A", "FPO=1A", "ACT_EST_MAPPING=PRECISE", "FS=MRC", "CURRENCY=USD", "XLFILL=b")</f>
        <v>-1.4949655321765696</v>
      </c>
      <c r="J209" s="9">
        <f>_xll.BQL("UAL US Equity", "FA_GROWTH(OPER_MARGIN, YOY)", "FPT=A", "FPO=0A", "ACT_EST_MAPPING=PRECISE", "FS=MRC", "CURRENCY=USD", "XLFILL=b")</f>
        <v>50.797027535286162</v>
      </c>
      <c r="K209" s="9">
        <f>_xll.BQL("UAL US Equity", "FA_GROWTH(OPER_MARGIN, YOY)", "FPT=A", "FPO=-1A", "ACT_EST_MAPPING=PRECISE", "FS=MRC", "CURRENCY=USD", "XLFILL=b")</f>
        <v>225.30394713043114</v>
      </c>
      <c r="L209" s="9">
        <f>_xll.BQL("UAL US Equity", "FA_GROWTH(OPER_MARGIN, YOY)", "FPT=A", "FPO=-2A", "ACT_EST_MAPPING=PRECISE", "FS=MRC", "CURRENCY=USD", "XLFILL=b")</f>
        <v>89.982093949140847</v>
      </c>
      <c r="M209" s="9">
        <f>_xll.BQL("UAL US Equity", "FA_GROWTH(OPER_MARGIN, YOY)", "FPT=A", "FPO=-3A", "ACT_EST_MAPPING=PRECISE", "FS=MRC", "CURRENCY=USD", "XLFILL=b")</f>
        <v>-516.52976131575952</v>
      </c>
      <c r="N209" s="9">
        <f>_xll.BQL("UAL US Equity", "FA_GROWTH(OPER_MARGIN, YOY)", "FPT=A", "FPO=-4A", "ACT_EST_MAPPING=PRECISE", "FS=MRC", "CURRENCY=USD", "XLFILL=b")</f>
        <v>27.176397615603488</v>
      </c>
    </row>
    <row r="210" spans="1:14" x14ac:dyDescent="0.2">
      <c r="A210" s="8" t="s">
        <v>16</v>
      </c>
      <c r="B210" s="4"/>
      <c r="C210" s="4"/>
      <c r="D210" s="4"/>
      <c r="E210" s="9"/>
      <c r="F210" s="9"/>
      <c r="G210" s="9"/>
      <c r="H210" s="9"/>
      <c r="I210" s="9"/>
      <c r="J210" s="9"/>
      <c r="K210" s="9"/>
      <c r="L210" s="9"/>
      <c r="M210" s="9"/>
      <c r="N210" s="9"/>
    </row>
    <row r="211" spans="1:14" x14ac:dyDescent="0.2">
      <c r="A211" s="8" t="s">
        <v>177</v>
      </c>
      <c r="B211" s="4" t="s">
        <v>178</v>
      </c>
      <c r="C211" s="4"/>
      <c r="D211" s="4"/>
      <c r="E211" s="9" t="str">
        <f>_xll.BQL("UAL US Equity", "EBITDA/1M", "FPT=A", "FPO=5A", "ACT_EST_MAPPING=PRECISE", "FS=MRC", "CURRENCY=USD", "XLFILL=b")</f>
        <v/>
      </c>
      <c r="F211" s="9" t="str">
        <f>_xll.BQL("UAL US Equity", "EBITDA/1M", "FPT=A", "FPO=4A", "ACT_EST_MAPPING=PRECISE", "FS=MRC", "CURRENCY=USD", "XLFILL=b")</f>
        <v/>
      </c>
      <c r="G211" s="9" t="str">
        <f>_xll.BQL("UAL US Equity", "EBITDA/1M", "FPT=A", "FPO=3A", "ACT_EST_MAPPING=PRECISE", "FS=MRC", "CURRENCY=USD", "XLFILL=b")</f>
        <v/>
      </c>
      <c r="H211" s="9">
        <f>_xll.BQL("UAL US Equity", "EBITDA/1M", "FPT=A", "FPO=2A", "ACT_EST_MAPPING=PRECISE", "FS=MRC", "CURRENCY=USD", "XLFILL=b")</f>
        <v>9466.8312300838625</v>
      </c>
      <c r="I211" s="9">
        <f>_xll.BQL("UAL US Equity", "EBITDA/1M", "FPT=A", "FPO=1A", "ACT_EST_MAPPING=PRECISE", "FS=MRC", "CURRENCY=USD", "XLFILL=b")</f>
        <v>7943.0695194013606</v>
      </c>
      <c r="J211" s="9">
        <f>_xll.BQL("UAL US Equity", "EBITDA/1M", "FPT=A", "FPO=0A", "ACT_EST_MAPPING=PRECISE", "FS=MRC", "CURRENCY=USD", "XLFILL=b")</f>
        <v>7768</v>
      </c>
      <c r="K211" s="9">
        <f>_xll.BQL("UAL US Equity", "EBITDA/1M", "FPT=A", "FPO=-1A", "ACT_EST_MAPPING=PRECISE", "FS=MRC", "CURRENCY=USD", "XLFILL=b")</f>
        <v>5701</v>
      </c>
      <c r="L211" s="9">
        <f>_xll.BQL("UAL US Equity", "EBITDA/1M", "FPT=A", "FPO=-2A", "ACT_EST_MAPPING=PRECISE", "FS=MRC", "CURRENCY=USD", "XLFILL=b")</f>
        <v>2395</v>
      </c>
      <c r="M211" s="9">
        <f>_xll.BQL("UAL US Equity", "EBITDA/1M", "FPT=A", "FPO=-3A", "ACT_EST_MAPPING=PRECISE", "FS=MRC", "CURRENCY=USD", "XLFILL=b")</f>
        <v>-2961</v>
      </c>
      <c r="N211" s="9">
        <f>_xll.BQL("UAL US Equity", "EBITDA/1M", "FPT=A", "FPO=-4A", "ACT_EST_MAPPING=PRECISE", "FS=MRC", "CURRENCY=USD", "XLFILL=b")</f>
        <v>7595</v>
      </c>
    </row>
    <row r="212" spans="1:14" x14ac:dyDescent="0.2">
      <c r="A212" s="8" t="s">
        <v>12</v>
      </c>
      <c r="B212" s="4" t="s">
        <v>178</v>
      </c>
      <c r="C212" s="4"/>
      <c r="D212" s="4"/>
      <c r="E212" s="9" t="str">
        <f>_xll.BQL("UAL US Equity", "FA_GROWTH(EBITDA, YOY)", "FPT=A", "FPO=5A", "ACT_EST_MAPPING=PRECISE", "FS=MRC", "CURRENCY=USD", "XLFILL=b")</f>
        <v/>
      </c>
      <c r="F212" s="9" t="str">
        <f>_xll.BQL("UAL US Equity", "FA_GROWTH(EBITDA, YOY)", "FPT=A", "FPO=4A", "ACT_EST_MAPPING=PRECISE", "FS=MRC", "CURRENCY=USD", "XLFILL=b")</f>
        <v/>
      </c>
      <c r="G212" s="9" t="str">
        <f>_xll.BQL("UAL US Equity", "FA_GROWTH(EBITDA, YOY)", "FPT=A", "FPO=3A", "ACT_EST_MAPPING=PRECISE", "FS=MRC", "CURRENCY=USD", "XLFILL=b")</f>
        <v/>
      </c>
      <c r="H212" s="9">
        <f>_xll.BQL("UAL US Equity", "FA_GROWTH(EBITDA, YOY)", "FPT=A", "FPO=2A", "ACT_EST_MAPPING=PRECISE", "FS=MRC", "CURRENCY=USD", "XLFILL=b")</f>
        <v>19.183537383887106</v>
      </c>
      <c r="I212" s="9">
        <f>_xll.BQL("UAL US Equity", "FA_GROWTH(EBITDA, YOY)", "FPT=A", "FPO=1A", "ACT_EST_MAPPING=PRECISE", "FS=MRC", "CURRENCY=USD", "XLFILL=b")</f>
        <v>2.2537270777724063</v>
      </c>
      <c r="J212" s="9">
        <f>_xll.BQL("UAL US Equity", "FA_GROWTH(EBITDA, YOY)", "FPT=A", "FPO=0A", "ACT_EST_MAPPING=PRECISE", "FS=MRC", "CURRENCY=USD", "XLFILL=b")</f>
        <v>36.256797053148567</v>
      </c>
      <c r="K212" s="9">
        <f>_xll.BQL("UAL US Equity", "FA_GROWTH(EBITDA, YOY)", "FPT=A", "FPO=-1A", "ACT_EST_MAPPING=PRECISE", "FS=MRC", "CURRENCY=USD", "XLFILL=b")</f>
        <v>138.03757828810021</v>
      </c>
      <c r="L212" s="9">
        <f>_xll.BQL("UAL US Equity", "FA_GROWTH(EBITDA, YOY)", "FPT=A", "FPO=-2A", "ACT_EST_MAPPING=PRECISE", "FS=MRC", "CURRENCY=USD", "XLFILL=b")</f>
        <v>180.88483620398515</v>
      </c>
      <c r="M212" s="9">
        <f>_xll.BQL("UAL US Equity", "FA_GROWTH(EBITDA, YOY)", "FPT=A", "FPO=-3A", "ACT_EST_MAPPING=PRECISE", "FS=MRC", "CURRENCY=USD", "XLFILL=b")</f>
        <v>-138.98617511520737</v>
      </c>
      <c r="N212" s="9">
        <f>_xll.BQL("UAL US Equity", "FA_GROWTH(EBITDA, YOY)", "FPT=A", "FPO=-4A", "ACT_EST_MAPPING=PRECISE", "FS=MRC", "CURRENCY=USD", "XLFILL=b")</f>
        <v>15.618815649261684</v>
      </c>
    </row>
    <row r="213" spans="1:14" x14ac:dyDescent="0.2">
      <c r="A213" s="8" t="s">
        <v>16</v>
      </c>
      <c r="B213" s="4"/>
      <c r="C213" s="4"/>
      <c r="D213" s="4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spans="1:14" x14ac:dyDescent="0.2">
      <c r="A214" s="8" t="s">
        <v>179</v>
      </c>
      <c r="B214" s="4" t="s">
        <v>180</v>
      </c>
      <c r="C214" s="4" t="s">
        <v>181</v>
      </c>
      <c r="D214" s="4"/>
      <c r="E214" s="9">
        <f>_xll.BQL("UAL US Equity", "IS_NON_OPERATING_INC_LOSS_GAAP/1M", "FPT=A", "FPO=5A", "ACT_EST_MAPPING=PRECISE", "FS=MRC", "CURRENCY=USD", "XLFILL=b")</f>
        <v>1031.4536649345223</v>
      </c>
      <c r="F214" s="9">
        <f>_xll.BQL("UAL US Equity", "IS_NON_OPERATING_INC_LOSS_GAAP/1M", "FPT=A", "FPO=4A", "ACT_EST_MAPPING=PRECISE", "FS=MRC", "CURRENCY=USD", "XLFILL=b")</f>
        <v>779.82045967146098</v>
      </c>
      <c r="G214" s="9">
        <f>_xll.BQL("UAL US Equity", "IS_NON_OPERATING_INC_LOSS_GAAP/1M", "FPT=A", "FPO=3A", "ACT_EST_MAPPING=PRECISE", "FS=MRC", "CURRENCY=USD", "XLFILL=b")</f>
        <v>871.07674814942209</v>
      </c>
      <c r="H214" s="9">
        <f>_xll.BQL("UAL US Equity", "IS_NON_OPERATING_INC_LOSS_GAAP/1M", "FPT=A", "FPO=2A", "ACT_EST_MAPPING=PRECISE", "FS=MRC", "CURRENCY=USD", "XLFILL=b")</f>
        <v>756.81509268092589</v>
      </c>
      <c r="I214" s="9">
        <f>_xll.BQL("UAL US Equity", "IS_NON_OPERATING_INC_LOSS_GAAP/1M", "FPT=A", "FPO=1A", "ACT_EST_MAPPING=PRECISE", "FS=MRC", "CURRENCY=USD", "XLFILL=b")</f>
        <v>780.81673601508271</v>
      </c>
      <c r="J214" s="9">
        <f>_xll.BQL("UAL US Equity", "IS_NON_OPERATING_INC_LOSS_GAAP/1M", "FPT=A", "FPO=0A", "ACT_EST_MAPPING=PRECISE", "FS=MRC", "CURRENCY=USD", "XLFILL=b")</f>
        <v>824</v>
      </c>
      <c r="K214" s="9">
        <f>_xll.BQL("UAL US Equity", "IS_NON_OPERATING_INC_LOSS_GAAP/1M", "FPT=A", "FPO=-1A", "ACT_EST_MAPPING=PRECISE", "FS=MRC", "CURRENCY=USD", "XLFILL=b")</f>
        <v>1347</v>
      </c>
      <c r="L214" s="9">
        <f>_xll.BQL("UAL US Equity", "IS_NON_OPERATING_INC_LOSS_GAAP/1M", "FPT=A", "FPO=-2A", "ACT_EST_MAPPING=PRECISE", "FS=MRC", "CURRENCY=USD", "XLFILL=b")</f>
        <v>1535</v>
      </c>
      <c r="M214" s="9">
        <f>_xll.BQL("UAL US Equity", "IS_NON_OPERATING_INC_LOSS_GAAP/1M", "FPT=A", "FPO=-3A", "ACT_EST_MAPPING=PRECISE", "FS=MRC", "CURRENCY=USD", "XLFILL=b")</f>
        <v>2463</v>
      </c>
      <c r="N214" s="9">
        <f>_xll.BQL("UAL US Equity", "IS_NON_OPERATING_INC_LOSS_GAAP/1M", "FPT=A", "FPO=-4A", "ACT_EST_MAPPING=PRECISE", "FS=MRC", "CURRENCY=USD", "XLFILL=b")</f>
        <v>387</v>
      </c>
    </row>
    <row r="215" spans="1:14" x14ac:dyDescent="0.2">
      <c r="A215" s="8" t="s">
        <v>12</v>
      </c>
      <c r="B215" s="4" t="s">
        <v>180</v>
      </c>
      <c r="C215" s="4" t="s">
        <v>181</v>
      </c>
      <c r="D215" s="4"/>
      <c r="E215" s="9">
        <f>_xll.BQL("UAL US Equity", "FA_GROWTH(IS_NON_OPERATING_INC_LOSS_GAAP, YOY)", "FPT=A", "FPO=5A", "ACT_EST_MAPPING=PRECISE", "FS=MRC", "CURRENCY=USD", "XLFILL=b")</f>
        <v>32.268094808524843</v>
      </c>
      <c r="F215" s="9">
        <f>_xll.BQL("UAL US Equity", "FA_GROWTH(IS_NON_OPERATING_INC_LOSS_GAAP, YOY)", "FPT=A", "FPO=4A", "ACT_EST_MAPPING=PRECISE", "FS=MRC", "CURRENCY=USD", "XLFILL=b")</f>
        <v>-10.476262702664544</v>
      </c>
      <c r="G215" s="9">
        <f>_xll.BQL("UAL US Equity", "FA_GROWTH(IS_NON_OPERATING_INC_LOSS_GAAP, YOY)", "FPT=A", "FPO=3A", "ACT_EST_MAPPING=PRECISE", "FS=MRC", "CURRENCY=USD", "XLFILL=b")</f>
        <v>15.097697782920545</v>
      </c>
      <c r="H215" s="9">
        <f>_xll.BQL("UAL US Equity", "FA_GROWTH(IS_NON_OPERATING_INC_LOSS_GAAP, YOY)", "FPT=A", "FPO=2A", "ACT_EST_MAPPING=PRECISE", "FS=MRC", "CURRENCY=USD", "XLFILL=b")</f>
        <v>-3.0739150721396986</v>
      </c>
      <c r="I215" s="9">
        <f>_xll.BQL("UAL US Equity", "FA_GROWTH(IS_NON_OPERATING_INC_LOSS_GAAP, YOY)", "FPT=A", "FPO=1A", "ACT_EST_MAPPING=PRECISE", "FS=MRC", "CURRENCY=USD", "XLFILL=b")</f>
        <v>-5.2406873768103495</v>
      </c>
      <c r="J215" s="9">
        <f>_xll.BQL("UAL US Equity", "FA_GROWTH(IS_NON_OPERATING_INC_LOSS_GAAP, YOY)", "FPT=A", "FPO=0A", "ACT_EST_MAPPING=PRECISE", "FS=MRC", "CURRENCY=USD", "XLFILL=b")</f>
        <v>-38.827023014105421</v>
      </c>
      <c r="K215" s="9">
        <f>_xll.BQL("UAL US Equity", "FA_GROWTH(IS_NON_OPERATING_INC_LOSS_GAAP, YOY)", "FPT=A", "FPO=-1A", "ACT_EST_MAPPING=PRECISE", "FS=MRC", "CURRENCY=USD", "XLFILL=b")</f>
        <v>-12.247557003257329</v>
      </c>
      <c r="L215" s="9">
        <f>_xll.BQL("UAL US Equity", "FA_GROWTH(IS_NON_OPERATING_INC_LOSS_GAAP, YOY)", "FPT=A", "FPO=-2A", "ACT_EST_MAPPING=PRECISE", "FS=MRC", "CURRENCY=USD", "XLFILL=b")</f>
        <v>-37.677628907835974</v>
      </c>
      <c r="M215" s="9">
        <f>_xll.BQL("UAL US Equity", "FA_GROWTH(IS_NON_OPERATING_INC_LOSS_GAAP, YOY)", "FPT=A", "FPO=-3A", "ACT_EST_MAPPING=PRECISE", "FS=MRC", "CURRENCY=USD", "XLFILL=b")</f>
        <v>536.4341085271318</v>
      </c>
      <c r="N215" s="9">
        <f>_xll.BQL("UAL US Equity", "FA_GROWTH(IS_NON_OPERATING_INC_LOSS_GAAP, YOY)", "FPT=A", "FPO=-4A", "ACT_EST_MAPPING=PRECISE", "FS=MRC", "CURRENCY=USD", "XLFILL=b")</f>
        <v>-33.390705679862307</v>
      </c>
    </row>
    <row r="216" spans="1:14" x14ac:dyDescent="0.2">
      <c r="A216" s="8" t="s">
        <v>182</v>
      </c>
      <c r="B216" s="4" t="s">
        <v>183</v>
      </c>
      <c r="C216" s="4" t="s">
        <v>184</v>
      </c>
      <c r="D216" s="4"/>
      <c r="E216" s="9">
        <f>_xll.BQL("UAL US Equity", "IS_NET_INTEREST_EXPENSE/1M", "FPT=A", "FPO=5A", "ACT_EST_MAPPING=PRECISE", "FS=MRC", "CURRENCY=USD", "XLFILL=b")</f>
        <v>1152.7539178355928</v>
      </c>
      <c r="F216" s="9">
        <f>_xll.BQL("UAL US Equity", "IS_NET_INTEREST_EXPENSE/1M", "FPT=A", "FPO=4A", "ACT_EST_MAPPING=PRECISE", "FS=MRC", "CURRENCY=USD", "XLFILL=b")</f>
        <v>1198.7799342669946</v>
      </c>
      <c r="G216" s="9">
        <f>_xll.BQL("UAL US Equity", "IS_NET_INTEREST_EXPENSE/1M", "FPT=A", "FPO=3A", "ACT_EST_MAPPING=PRECISE", "FS=MRC", "CURRENCY=USD", "XLFILL=b")</f>
        <v>869.772856314504</v>
      </c>
      <c r="H216" s="9">
        <f>_xll.BQL("UAL US Equity", "IS_NET_INTEREST_EXPENSE/1M", "FPT=A", "FPO=2A", "ACT_EST_MAPPING=PRECISE", "FS=MRC", "CURRENCY=USD", "XLFILL=b")</f>
        <v>945.21396180640329</v>
      </c>
      <c r="I216" s="9">
        <f>_xll.BQL("UAL US Equity", "IS_NET_INTEREST_EXPENSE/1M", "FPT=A", "FPO=1A", "ACT_EST_MAPPING=PRECISE", "FS=MRC", "CURRENCY=USD", "XLFILL=b")</f>
        <v>848.1525384562118</v>
      </c>
      <c r="J216" s="9">
        <f>_xll.BQL("UAL US Equity", "IS_NET_INTEREST_EXPENSE/1M", "FPT=A", "FPO=0A", "ACT_EST_MAPPING=PRECISE", "FS=MRC", "CURRENCY=USD", "XLFILL=b")</f>
        <v>947</v>
      </c>
      <c r="K216" s="9">
        <f>_xll.BQL("UAL US Equity", "IS_NET_INTEREST_EXPENSE/1M", "FPT=A", "FPO=-1A", "ACT_EST_MAPPING=PRECISE", "FS=MRC", "CURRENCY=USD", "XLFILL=b")</f>
        <v>1375</v>
      </c>
      <c r="L216" s="9">
        <f>_xll.BQL("UAL US Equity", "IS_NET_INTEREST_EXPENSE/1M", "FPT=A", "FPO=-2A", "ACT_EST_MAPPING=PRECISE", "FS=MRC", "CURRENCY=USD", "XLFILL=b")</f>
        <v>1541</v>
      </c>
      <c r="M216" s="9">
        <f>_xll.BQL("UAL US Equity", "IS_NET_INTEREST_EXPENSE/1M", "FPT=A", "FPO=-3A", "ACT_EST_MAPPING=PRECISE", "FS=MRC", "CURRENCY=USD", "XLFILL=b")</f>
        <v>942</v>
      </c>
      <c r="N216" s="9">
        <f>_xll.BQL("UAL US Equity", "IS_NET_INTEREST_EXPENSE/1M", "FPT=A", "FPO=-4A", "ACT_EST_MAPPING=PRECISE", "FS=MRC", "CURRENCY=USD", "XLFILL=b")</f>
        <v>513</v>
      </c>
    </row>
    <row r="217" spans="1:14" x14ac:dyDescent="0.2">
      <c r="A217" s="8" t="s">
        <v>12</v>
      </c>
      <c r="B217" s="4" t="s">
        <v>183</v>
      </c>
      <c r="C217" s="4" t="s">
        <v>184</v>
      </c>
      <c r="D217" s="4"/>
      <c r="E217" s="9">
        <f>_xll.BQL("UAL US Equity", "FA_GROWTH(IS_NET_INTEREST_EXPENSE, YOY)", "FPT=A", "FPO=5A", "ACT_EST_MAPPING=PRECISE", "FS=MRC", "CURRENCY=USD", "XLFILL=b")</f>
        <v>-3.8394049746540659</v>
      </c>
      <c r="F217" s="9">
        <f>_xll.BQL("UAL US Equity", "FA_GROWTH(IS_NET_INTEREST_EXPENSE, YOY)", "FPT=A", "FPO=4A", "ACT_EST_MAPPING=PRECISE", "FS=MRC", "CURRENCY=USD", "XLFILL=b")</f>
        <v>37.826781505529496</v>
      </c>
      <c r="G217" s="9">
        <f>_xll.BQL("UAL US Equity", "FA_GROWTH(IS_NET_INTEREST_EXPENSE, YOY)", "FPT=A", "FPO=3A", "ACT_EST_MAPPING=PRECISE", "FS=MRC", "CURRENCY=USD", "XLFILL=b")</f>
        <v>-7.9813786656011052</v>
      </c>
      <c r="H217" s="9">
        <f>_xll.BQL("UAL US Equity", "FA_GROWTH(IS_NET_INTEREST_EXPENSE, YOY)", "FPT=A", "FPO=2A", "ACT_EST_MAPPING=PRECISE", "FS=MRC", "CURRENCY=USD", "XLFILL=b")</f>
        <v>11.443864039699804</v>
      </c>
      <c r="I217" s="9">
        <f>_xll.BQL("UAL US Equity", "FA_GROWTH(IS_NET_INTEREST_EXPENSE, YOY)", "FPT=A", "FPO=1A", "ACT_EST_MAPPING=PRECISE", "FS=MRC", "CURRENCY=USD", "XLFILL=b")</f>
        <v>-10.437957924370453</v>
      </c>
      <c r="J217" s="9">
        <f>_xll.BQL("UAL US Equity", "FA_GROWTH(IS_NET_INTEREST_EXPENSE, YOY)", "FPT=A", "FPO=0A", "ACT_EST_MAPPING=PRECISE", "FS=MRC", "CURRENCY=USD", "XLFILL=b")</f>
        <v>-31.127272727272729</v>
      </c>
      <c r="K217" s="9">
        <f>_xll.BQL("UAL US Equity", "FA_GROWTH(IS_NET_INTEREST_EXPENSE, YOY)", "FPT=A", "FPO=-1A", "ACT_EST_MAPPING=PRECISE", "FS=MRC", "CURRENCY=USD", "XLFILL=b")</f>
        <v>-10.772225827384815</v>
      </c>
      <c r="L217" s="9">
        <f>_xll.BQL("UAL US Equity", "FA_GROWTH(IS_NET_INTEREST_EXPENSE, YOY)", "FPT=A", "FPO=-2A", "ACT_EST_MAPPING=PRECISE", "FS=MRC", "CURRENCY=USD", "XLFILL=b")</f>
        <v>63.588110403397025</v>
      </c>
      <c r="M217" s="9">
        <f>_xll.BQL("UAL US Equity", "FA_GROWTH(IS_NET_INTEREST_EXPENSE, YOY)", "FPT=A", "FPO=-3A", "ACT_EST_MAPPING=PRECISE", "FS=MRC", "CURRENCY=USD", "XLFILL=b")</f>
        <v>83.62573099415205</v>
      </c>
      <c r="N217" s="9">
        <f>_xll.BQL("UAL US Equity", "FA_GROWTH(IS_NET_INTEREST_EXPENSE, YOY)", "FPT=A", "FPO=-4A", "ACT_EST_MAPPING=PRECISE", "FS=MRC", "CURRENCY=USD", "XLFILL=b")</f>
        <v>1.7857142857142858</v>
      </c>
    </row>
    <row r="218" spans="1:14" x14ac:dyDescent="0.2">
      <c r="A218" s="8" t="s">
        <v>185</v>
      </c>
      <c r="B218" s="4" t="s">
        <v>186</v>
      </c>
      <c r="C218" s="4" t="s">
        <v>187</v>
      </c>
      <c r="D218" s="4"/>
      <c r="E218" s="9">
        <f>_xll.BQL("UAL US Equity", "CB_IS_INTEREST_EXPENSE/1M", "FPT=A", "FPO=5A", "ACT_EST_MAPPING=PRECISE", "FS=MRC", "CURRENCY=USD", "XLFILL=b")</f>
        <v>1340.1078818193635</v>
      </c>
      <c r="F218" s="9">
        <f>_xll.BQL("UAL US Equity", "CB_IS_INTEREST_EXPENSE/1M", "FPT=A", "FPO=4A", "ACT_EST_MAPPING=PRECISE", "FS=MRC", "CURRENCY=USD", "XLFILL=b")</f>
        <v>1472.6523287637549</v>
      </c>
      <c r="G218" s="9">
        <f>_xll.BQL("UAL US Equity", "CB_IS_INTEREST_EXPENSE/1M", "FPT=A", "FPO=3A", "ACT_EST_MAPPING=PRECISE", "FS=MRC", "CURRENCY=USD", "XLFILL=b")</f>
        <v>1545.37324821325</v>
      </c>
      <c r="H218" s="9">
        <f>_xll.BQL("UAL US Equity", "CB_IS_INTEREST_EXPENSE/1M", "FPT=A", "FPO=2A", "ACT_EST_MAPPING=PRECISE", "FS=MRC", "CURRENCY=USD", "XLFILL=b")</f>
        <v>1617.3138455517617</v>
      </c>
      <c r="I218" s="9">
        <f>_xll.BQL("UAL US Equity", "CB_IS_INTEREST_EXPENSE/1M", "FPT=A", "FPO=1A", "ACT_EST_MAPPING=PRECISE", "FS=MRC", "CURRENCY=USD", "XLFILL=b")</f>
        <v>1709.0789239512576</v>
      </c>
      <c r="J218" s="9">
        <f>_xll.BQL("UAL US Equity", "CB_IS_INTEREST_EXPENSE/1M", "FPT=A", "FPO=0A", "ACT_EST_MAPPING=PRECISE", "FS=MRC", "CURRENCY=USD", "XLFILL=b")</f>
        <v>1956</v>
      </c>
      <c r="K218" s="9">
        <f>_xll.BQL("UAL US Equity", "CB_IS_INTEREST_EXPENSE/1M", "FPT=A", "FPO=-1A", "ACT_EST_MAPPING=PRECISE", "FS=MRC", "CURRENCY=USD", "XLFILL=b")</f>
        <v>1778</v>
      </c>
      <c r="L218" s="9">
        <f>_xll.BQL("UAL US Equity", "CB_IS_INTEREST_EXPENSE/1M", "FPT=A", "FPO=-2A", "ACT_EST_MAPPING=PRECISE", "FS=MRC", "CURRENCY=USD", "XLFILL=b")</f>
        <v>1657</v>
      </c>
      <c r="M218" s="9">
        <f>_xll.BQL("UAL US Equity", "CB_IS_INTEREST_EXPENSE/1M", "FPT=A", "FPO=-3A", "ACT_EST_MAPPING=PRECISE", "FS=MRC", "CURRENCY=USD", "XLFILL=b")</f>
        <v>1063</v>
      </c>
      <c r="N218" s="9">
        <f>_xll.BQL("UAL US Equity", "CB_IS_INTEREST_EXPENSE/1M", "FPT=A", "FPO=-4A", "ACT_EST_MAPPING=PRECISE", "FS=MRC", "CURRENCY=USD", "XLFILL=b")</f>
        <v>731</v>
      </c>
    </row>
    <row r="219" spans="1:14" x14ac:dyDescent="0.2">
      <c r="A219" s="8" t="s">
        <v>20</v>
      </c>
      <c r="B219" s="4" t="s">
        <v>186</v>
      </c>
      <c r="C219" s="4" t="s">
        <v>187</v>
      </c>
      <c r="D219" s="4"/>
      <c r="E219" s="9">
        <f>_xll.BQL("UAL US Equity", "FA_GROWTH(CB_IS_INTEREST_EXPENSE, YOY)", "FPT=A", "FPO=5A", "ACT_EST_MAPPING=PRECISE", "FS=MRC", "CURRENCY=USD", "XLFILL=b")</f>
        <v>-9.0003895933576086</v>
      </c>
      <c r="F219" s="9">
        <f>_xll.BQL("UAL US Equity", "FA_GROWTH(CB_IS_INTEREST_EXPENSE, YOY)", "FPT=A", "FPO=4A", "ACT_EST_MAPPING=PRECISE", "FS=MRC", "CURRENCY=USD", "XLFILL=b")</f>
        <v>-4.7057187985863296</v>
      </c>
      <c r="G219" s="9">
        <f>_xll.BQL("UAL US Equity", "FA_GROWTH(CB_IS_INTEREST_EXPENSE, YOY)", "FPT=A", "FPO=3A", "ACT_EST_MAPPING=PRECISE", "FS=MRC", "CURRENCY=USD", "XLFILL=b")</f>
        <v>-4.4481531853805718</v>
      </c>
      <c r="H219" s="9">
        <f>_xll.BQL("UAL US Equity", "FA_GROWTH(CB_IS_INTEREST_EXPENSE, YOY)", "FPT=A", "FPO=2A", "ACT_EST_MAPPING=PRECISE", "FS=MRC", "CURRENCY=USD", "XLFILL=b")</f>
        <v>-5.3692709630601696</v>
      </c>
      <c r="I219" s="9">
        <f>_xll.BQL("UAL US Equity", "FA_GROWTH(CB_IS_INTEREST_EXPENSE, YOY)", "FPT=A", "FPO=1A", "ACT_EST_MAPPING=PRECISE", "FS=MRC", "CURRENCY=USD", "XLFILL=b")</f>
        <v>-12.623776894107479</v>
      </c>
      <c r="J219" s="9">
        <f>_xll.BQL("UAL US Equity", "FA_GROWTH(CB_IS_INTEREST_EXPENSE, YOY)", "FPT=A", "FPO=0A", "ACT_EST_MAPPING=PRECISE", "FS=MRC", "CURRENCY=USD", "XLFILL=b")</f>
        <v>10.011248593925758</v>
      </c>
      <c r="K219" s="9">
        <f>_xll.BQL("UAL US Equity", "FA_GROWTH(CB_IS_INTEREST_EXPENSE, YOY)", "FPT=A", "FPO=-1A", "ACT_EST_MAPPING=PRECISE", "FS=MRC", "CURRENCY=USD", "XLFILL=b")</f>
        <v>7.3023536511768254</v>
      </c>
      <c r="L219" s="9">
        <f>_xll.BQL("UAL US Equity", "FA_GROWTH(CB_IS_INTEREST_EXPENSE, YOY)", "FPT=A", "FPO=-2A", "ACT_EST_MAPPING=PRECISE", "FS=MRC", "CURRENCY=USD", "XLFILL=b")</f>
        <v>55.879586077140168</v>
      </c>
      <c r="M219" s="9">
        <f>_xll.BQL("UAL US Equity", "FA_GROWTH(CB_IS_INTEREST_EXPENSE, YOY)", "FPT=A", "FPO=-3A", "ACT_EST_MAPPING=PRECISE", "FS=MRC", "CURRENCY=USD", "XLFILL=b")</f>
        <v>45.417236662106703</v>
      </c>
      <c r="N219" s="9">
        <f>_xll.BQL("UAL US Equity", "FA_GROWTH(CB_IS_INTEREST_EXPENSE, YOY)", "FPT=A", "FPO=-4A", "ACT_EST_MAPPING=PRECISE", "FS=MRC", "CURRENCY=USD", "XLFILL=b")</f>
        <v>9.1044776119402986</v>
      </c>
    </row>
    <row r="220" spans="1:14" x14ac:dyDescent="0.2">
      <c r="A220" s="8" t="s">
        <v>188</v>
      </c>
      <c r="B220" s="4" t="s">
        <v>189</v>
      </c>
      <c r="C220" s="4" t="s">
        <v>190</v>
      </c>
      <c r="D220" s="4"/>
      <c r="E220" s="9">
        <f>_xll.BQL("UAL US Equity", "IS_CAP_INT_EXP/1M", "FPT=A", "FPO=5A", "ACT_EST_MAPPING=PRECISE", "FS=MRC", "CURRENCY=USD", "XLFILL=b")</f>
        <v>200</v>
      </c>
      <c r="F220" s="9">
        <f>_xll.BQL("UAL US Equity", "IS_CAP_INT_EXP/1M", "FPT=A", "FPO=4A", "ACT_EST_MAPPING=PRECISE", "FS=MRC", "CURRENCY=USD", "XLFILL=b")</f>
        <v>200</v>
      </c>
      <c r="G220" s="9">
        <f>_xll.BQL("UAL US Equity", "IS_CAP_INT_EXP/1M", "FPT=A", "FPO=3A", "ACT_EST_MAPPING=PRECISE", "FS=MRC", "CURRENCY=USD", "XLFILL=b")</f>
        <v>193.5</v>
      </c>
      <c r="H220" s="9">
        <f>_xll.BQL("UAL US Equity", "IS_CAP_INT_EXP/1M", "FPT=A", "FPO=2A", "ACT_EST_MAPPING=PRECISE", "FS=MRC", "CURRENCY=USD", "XLFILL=b")</f>
        <v>214.2253273622793</v>
      </c>
      <c r="I220" s="9">
        <f>_xll.BQL("UAL US Equity", "IS_CAP_INT_EXP/1M", "FPT=A", "FPO=1A", "ACT_EST_MAPPING=PRECISE", "FS=MRC", "CURRENCY=USD", "XLFILL=b")</f>
        <v>227.54646835288983</v>
      </c>
      <c r="J220" s="9">
        <f>_xll.BQL("UAL US Equity", "IS_CAP_INT_EXP/1M", "FPT=A", "FPO=0A", "ACT_EST_MAPPING=PRECISE", "FS=MRC", "CURRENCY=USD", "XLFILL=b")</f>
        <v>182</v>
      </c>
      <c r="K220" s="9">
        <f>_xll.BQL("UAL US Equity", "IS_CAP_INT_EXP/1M", "FPT=A", "FPO=-1A", "ACT_EST_MAPPING=PRECISE", "FS=MRC", "CURRENCY=USD", "XLFILL=b")</f>
        <v>105</v>
      </c>
      <c r="L220" s="9">
        <f>_xll.BQL("UAL US Equity", "IS_CAP_INT_EXP/1M", "FPT=A", "FPO=-2A", "ACT_EST_MAPPING=PRECISE", "FS=MRC", "CURRENCY=USD", "XLFILL=b")</f>
        <v>80</v>
      </c>
      <c r="M220" s="9">
        <f>_xll.BQL("UAL US Equity", "IS_CAP_INT_EXP/1M", "FPT=A", "FPO=-3A", "ACT_EST_MAPPING=PRECISE", "FS=MRC", "CURRENCY=USD", "XLFILL=b")</f>
        <v>71</v>
      </c>
      <c r="N220" s="9">
        <f>_xll.BQL("UAL US Equity", "IS_CAP_INT_EXP/1M", "FPT=A", "FPO=-4A", "ACT_EST_MAPPING=PRECISE", "FS=MRC", "CURRENCY=USD", "XLFILL=b")</f>
        <v>85</v>
      </c>
    </row>
    <row r="221" spans="1:14" x14ac:dyDescent="0.2">
      <c r="A221" s="8" t="s">
        <v>20</v>
      </c>
      <c r="B221" s="4" t="s">
        <v>189</v>
      </c>
      <c r="C221" s="4" t="s">
        <v>190</v>
      </c>
      <c r="D221" s="4"/>
      <c r="E221" s="9">
        <f>_xll.BQL("UAL US Equity", "FA_GROWTH(IS_CAP_INT_EXP, YOY)", "FPT=A", "FPO=5A", "ACT_EST_MAPPING=PRECISE", "FS=MRC", "CURRENCY=USD", "XLFILL=b")</f>
        <v>0</v>
      </c>
      <c r="F221" s="9">
        <f>_xll.BQL("UAL US Equity", "FA_GROWTH(IS_CAP_INT_EXP, YOY)", "FPT=A", "FPO=4A", "ACT_EST_MAPPING=PRECISE", "FS=MRC", "CURRENCY=USD", "XLFILL=b")</f>
        <v>3.3591731266149871</v>
      </c>
      <c r="G221" s="9">
        <f>_xll.BQL("UAL US Equity", "FA_GROWTH(IS_CAP_INT_EXP, YOY)", "FPT=A", "FPO=3A", "ACT_EST_MAPPING=PRECISE", "FS=MRC", "CURRENCY=USD", "XLFILL=b")</f>
        <v>-9.6745457773209136</v>
      </c>
      <c r="H221" s="9">
        <f>_xll.BQL("UAL US Equity", "FA_GROWTH(IS_CAP_INT_EXP, YOY)", "FPT=A", "FPO=2A", "ACT_EST_MAPPING=PRECISE", "FS=MRC", "CURRENCY=USD", "XLFILL=b")</f>
        <v>-5.8542508205187715</v>
      </c>
      <c r="I221" s="9">
        <f>_xll.BQL("UAL US Equity", "FA_GROWTH(IS_CAP_INT_EXP, YOY)", "FPT=A", "FPO=1A", "ACT_EST_MAPPING=PRECISE", "FS=MRC", "CURRENCY=USD", "XLFILL=b")</f>
        <v>25.025532062027381</v>
      </c>
      <c r="J221" s="9">
        <f>_xll.BQL("UAL US Equity", "FA_GROWTH(IS_CAP_INT_EXP, YOY)", "FPT=A", "FPO=0A", "ACT_EST_MAPPING=PRECISE", "FS=MRC", "CURRENCY=USD", "XLFILL=b")</f>
        <v>73.333333333333329</v>
      </c>
      <c r="K221" s="9">
        <f>_xll.BQL("UAL US Equity", "FA_GROWTH(IS_CAP_INT_EXP, YOY)", "FPT=A", "FPO=-1A", "ACT_EST_MAPPING=PRECISE", "FS=MRC", "CURRENCY=USD", "XLFILL=b")</f>
        <v>31.25</v>
      </c>
      <c r="L221" s="9">
        <f>_xll.BQL("UAL US Equity", "FA_GROWTH(IS_CAP_INT_EXP, YOY)", "FPT=A", "FPO=-2A", "ACT_EST_MAPPING=PRECISE", "FS=MRC", "CURRENCY=USD", "XLFILL=b")</f>
        <v>12.67605633802817</v>
      </c>
      <c r="M221" s="9">
        <f>_xll.BQL("UAL US Equity", "FA_GROWTH(IS_CAP_INT_EXP, YOY)", "FPT=A", "FPO=-3A", "ACT_EST_MAPPING=PRECISE", "FS=MRC", "CURRENCY=USD", "XLFILL=b")</f>
        <v>-16.470588235294116</v>
      </c>
      <c r="N221" s="9">
        <f>_xll.BQL("UAL US Equity", "FA_GROWTH(IS_CAP_INT_EXP, YOY)", "FPT=A", "FPO=-4A", "ACT_EST_MAPPING=PRECISE", "FS=MRC", "CURRENCY=USD", "XLFILL=b")</f>
        <v>30.76923076923077</v>
      </c>
    </row>
    <row r="222" spans="1:14" x14ac:dyDescent="0.2">
      <c r="A222" s="8" t="s">
        <v>191</v>
      </c>
      <c r="B222" s="4" t="s">
        <v>192</v>
      </c>
      <c r="C222" s="4" t="s">
        <v>193</v>
      </c>
      <c r="D222" s="4"/>
      <c r="E222" s="9">
        <f>_xll.BQL("UAL US Equity", "IS_INT_INC/1M", "FPT=A", "FPO=5A", "ACT_EST_MAPPING=PRECISE", "FS=MRC", "CURRENCY=USD", "XLFILL=b")</f>
        <v>461.16165691017375</v>
      </c>
      <c r="F222" s="9">
        <f>_xll.BQL("UAL US Equity", "IS_INT_INC/1M", "FPT=A", "FPO=4A", "ACT_EST_MAPPING=PRECISE", "FS=MRC", "CURRENCY=USD", "XLFILL=b")</f>
        <v>482.48409724637077</v>
      </c>
      <c r="G222" s="9">
        <f>_xll.BQL("UAL US Equity", "IS_INT_INC/1M", "FPT=A", "FPO=3A", "ACT_EST_MAPPING=PRECISE", "FS=MRC", "CURRENCY=USD", "XLFILL=b")</f>
        <v>544.57149902369315</v>
      </c>
      <c r="H222" s="9">
        <f>_xll.BQL("UAL US Equity", "IS_INT_INC/1M", "FPT=A", "FPO=2A", "ACT_EST_MAPPING=PRECISE", "FS=MRC", "CURRENCY=USD", "XLFILL=b")</f>
        <v>630.65093069108639</v>
      </c>
      <c r="I222" s="9">
        <f>_xll.BQL("UAL US Equity", "IS_INT_INC/1M", "FPT=A", "FPO=1A", "ACT_EST_MAPPING=PRECISE", "FS=MRC", "CURRENCY=USD", "XLFILL=b")</f>
        <v>721.28262729258131</v>
      </c>
      <c r="J222" s="9">
        <f>_xll.BQL("UAL US Equity", "IS_INT_INC/1M", "FPT=A", "FPO=0A", "ACT_EST_MAPPING=PRECISE", "FS=MRC", "CURRENCY=USD", "XLFILL=b")</f>
        <v>827</v>
      </c>
      <c r="K222" s="9">
        <f>_xll.BQL("UAL US Equity", "IS_INT_INC/1M", "FPT=A", "FPO=-1A", "ACT_EST_MAPPING=PRECISE", "FS=MRC", "CURRENCY=USD", "XLFILL=b")</f>
        <v>298</v>
      </c>
      <c r="L222" s="9">
        <f>_xll.BQL("UAL US Equity", "IS_INT_INC/1M", "FPT=A", "FPO=-2A", "ACT_EST_MAPPING=PRECISE", "FS=MRC", "CURRENCY=USD", "XLFILL=b")</f>
        <v>36</v>
      </c>
      <c r="M222" s="9">
        <f>_xll.BQL("UAL US Equity", "IS_INT_INC/1M", "FPT=A", "FPO=-3A", "ACT_EST_MAPPING=PRECISE", "FS=MRC", "CURRENCY=USD", "XLFILL=b")</f>
        <v>50</v>
      </c>
      <c r="N222" s="9">
        <f>_xll.BQL("UAL US Equity", "IS_INT_INC/1M", "FPT=A", "FPO=-4A", "ACT_EST_MAPPING=PRECISE", "FS=MRC", "CURRENCY=USD", "XLFILL=b")</f>
        <v>133</v>
      </c>
    </row>
    <row r="223" spans="1:14" x14ac:dyDescent="0.2">
      <c r="A223" s="8" t="s">
        <v>20</v>
      </c>
      <c r="B223" s="4" t="s">
        <v>192</v>
      </c>
      <c r="C223" s="4" t="s">
        <v>193</v>
      </c>
      <c r="D223" s="4"/>
      <c r="E223" s="9">
        <f>_xll.BQL("UAL US Equity", "FA_GROWTH(IS_INT_INC, YOY)", "FPT=A", "FPO=5A", "ACT_EST_MAPPING=PRECISE", "FS=MRC", "CURRENCY=USD", "XLFILL=b")</f>
        <v>-4.4193042750814531</v>
      </c>
      <c r="F223" s="9">
        <f>_xll.BQL("UAL US Equity", "FA_GROWTH(IS_INT_INC, YOY)", "FPT=A", "FPO=4A", "ACT_EST_MAPPING=PRECISE", "FS=MRC", "CURRENCY=USD", "XLFILL=b")</f>
        <v>-11.401147854530137</v>
      </c>
      <c r="G223" s="9">
        <f>_xll.BQL("UAL US Equity", "FA_GROWTH(IS_INT_INC, YOY)", "FPT=A", "FPO=3A", "ACT_EST_MAPPING=PRECISE", "FS=MRC", "CURRENCY=USD", "XLFILL=b")</f>
        <v>-13.649299077869394</v>
      </c>
      <c r="H223" s="9">
        <f>_xll.BQL("UAL US Equity", "FA_GROWTH(IS_INT_INC, YOY)", "FPT=A", "FPO=2A", "ACT_EST_MAPPING=PRECISE", "FS=MRC", "CURRENCY=USD", "XLFILL=b")</f>
        <v>-12.565351385446725</v>
      </c>
      <c r="I223" s="9">
        <f>_xll.BQL("UAL US Equity", "FA_GROWTH(IS_INT_INC, YOY)", "FPT=A", "FPO=1A", "ACT_EST_MAPPING=PRECISE", "FS=MRC", "CURRENCY=USD", "XLFILL=b")</f>
        <v>-12.783237328587505</v>
      </c>
      <c r="J223" s="9">
        <f>_xll.BQL("UAL US Equity", "FA_GROWTH(IS_INT_INC, YOY)", "FPT=A", "FPO=0A", "ACT_EST_MAPPING=PRECISE", "FS=MRC", "CURRENCY=USD", "XLFILL=b")</f>
        <v>177.51677852348993</v>
      </c>
      <c r="K223" s="9">
        <f>_xll.BQL("UAL US Equity", "FA_GROWTH(IS_INT_INC, YOY)", "FPT=A", "FPO=-1A", "ACT_EST_MAPPING=PRECISE", "FS=MRC", "CURRENCY=USD", "XLFILL=b")</f>
        <v>727.77777777777783</v>
      </c>
      <c r="L223" s="9">
        <f>_xll.BQL("UAL US Equity", "FA_GROWTH(IS_INT_INC, YOY)", "FPT=A", "FPO=-2A", "ACT_EST_MAPPING=PRECISE", "FS=MRC", "CURRENCY=USD", "XLFILL=b")</f>
        <v>-28</v>
      </c>
      <c r="M223" s="9">
        <f>_xll.BQL("UAL US Equity", "FA_GROWTH(IS_INT_INC, YOY)", "FPT=A", "FPO=-3A", "ACT_EST_MAPPING=PRECISE", "FS=MRC", "CURRENCY=USD", "XLFILL=b")</f>
        <v>-62.406015037593988</v>
      </c>
      <c r="N223" s="9">
        <f>_xll.BQL("UAL US Equity", "FA_GROWTH(IS_INT_INC, YOY)", "FPT=A", "FPO=-4A", "ACT_EST_MAPPING=PRECISE", "FS=MRC", "CURRENCY=USD", "XLFILL=b")</f>
        <v>31.683168316831683</v>
      </c>
    </row>
    <row r="224" spans="1:14" x14ac:dyDescent="0.2">
      <c r="A224" s="8" t="s">
        <v>194</v>
      </c>
      <c r="B224" s="4" t="s">
        <v>195</v>
      </c>
      <c r="C224" s="4"/>
      <c r="D224" s="4"/>
      <c r="E224" s="9" t="str">
        <f>_xll.BQL("UAL US Equity", "IS_OTHER_NONOP_INC_LOSS_GAAP/1M", "FPT=A", "FPO=5A", "ACT_EST_MAPPING=PRECISE", "FS=MRC", "CURRENCY=USD", "XLFILL=b")</f>
        <v/>
      </c>
      <c r="F224" s="9" t="str">
        <f>_xll.BQL("UAL US Equity", "IS_OTHER_NONOP_INC_LOSS_GAAP/1M", "FPT=A", "FPO=4A", "ACT_EST_MAPPING=PRECISE", "FS=MRC", "CURRENCY=USD", "XLFILL=b")</f>
        <v/>
      </c>
      <c r="G224" s="9">
        <f>_xll.BQL("UAL US Equity", "IS_OTHER_NONOP_INC_LOSS_GAAP/1M", "FPT=A", "FPO=3A", "ACT_EST_MAPPING=PRECISE", "FS=MRC", "CURRENCY=USD", "XLFILL=b")</f>
        <v>-115</v>
      </c>
      <c r="H224" s="9">
        <f>_xll.BQL("UAL US Equity", "IS_OTHER_NONOP_INC_LOSS_GAAP/1M", "FPT=A", "FPO=2A", "ACT_EST_MAPPING=PRECISE", "FS=MRC", "CURRENCY=USD", "XLFILL=b")</f>
        <v>-80</v>
      </c>
      <c r="I224" s="9">
        <f>_xll.BQL("UAL US Equity", "IS_OTHER_NONOP_INC_LOSS_GAAP/1M", "FPT=A", "FPO=1A", "ACT_EST_MAPPING=PRECISE", "FS=MRC", "CURRENCY=USD", "XLFILL=b")</f>
        <v>10</v>
      </c>
      <c r="J224" s="9">
        <f>_xll.BQL("UAL US Equity", "IS_OTHER_NONOP_INC_LOSS_GAAP/1M", "FPT=A", "FPO=0A", "ACT_EST_MAPPING=PRECISE", "FS=MRC", "CURRENCY=USD", "XLFILL=b")</f>
        <v>-123</v>
      </c>
      <c r="K224" s="9">
        <f>_xll.BQL("UAL US Equity", "IS_OTHER_NONOP_INC_LOSS_GAAP/1M", "FPT=A", "FPO=-1A", "ACT_EST_MAPPING=PRECISE", "FS=MRC", "CURRENCY=USD", "XLFILL=b")</f>
        <v>-28</v>
      </c>
      <c r="L224" s="9">
        <f>_xll.BQL("UAL US Equity", "IS_OTHER_NONOP_INC_LOSS_GAAP/1M", "FPT=A", "FPO=-2A", "ACT_EST_MAPPING=PRECISE", "FS=MRC", "CURRENCY=USD", "XLFILL=b")</f>
        <v>-6</v>
      </c>
      <c r="M224" s="9">
        <f>_xll.BQL("UAL US Equity", "IS_OTHER_NONOP_INC_LOSS_GAAP/1M", "FPT=A", "FPO=-3A", "ACT_EST_MAPPING=PRECISE", "FS=MRC", "CURRENCY=USD", "XLFILL=b")</f>
        <v>1521</v>
      </c>
      <c r="N224" s="9">
        <f>_xll.BQL("UAL US Equity", "IS_OTHER_NONOP_INC_LOSS_GAAP/1M", "FPT=A", "FPO=-4A", "ACT_EST_MAPPING=PRECISE", "FS=MRC", "CURRENCY=USD", "XLFILL=b")</f>
        <v>-126</v>
      </c>
    </row>
    <row r="225" spans="1:14" x14ac:dyDescent="0.2">
      <c r="A225" s="8" t="s">
        <v>12</v>
      </c>
      <c r="B225" s="4" t="s">
        <v>195</v>
      </c>
      <c r="C225" s="4"/>
      <c r="D225" s="4"/>
      <c r="E225" s="9" t="str">
        <f>_xll.BQL("UAL US Equity", "FA_GROWTH(IS_OTHER_NONOP_INC_LOSS_GAAP, YOY)", "FPT=A", "FPO=5A", "ACT_EST_MAPPING=PRECISE", "FS=MRC", "CURRENCY=USD", "XLFILL=b")</f>
        <v/>
      </c>
      <c r="F225" s="9" t="str">
        <f>_xll.BQL("UAL US Equity", "FA_GROWTH(IS_OTHER_NONOP_INC_LOSS_GAAP, YOY)", "FPT=A", "FPO=4A", "ACT_EST_MAPPING=PRECISE", "FS=MRC", "CURRENCY=USD", "XLFILL=b")</f>
        <v/>
      </c>
      <c r="G225" s="9">
        <f>_xll.BQL("UAL US Equity", "FA_GROWTH(IS_OTHER_NONOP_INC_LOSS_GAAP, YOY)", "FPT=A", "FPO=3A", "ACT_EST_MAPPING=PRECISE", "FS=MRC", "CURRENCY=USD", "XLFILL=b")</f>
        <v>-43.75</v>
      </c>
      <c r="H225" s="9">
        <f>_xll.BQL("UAL US Equity", "FA_GROWTH(IS_OTHER_NONOP_INC_LOSS_GAAP, YOY)", "FPT=A", "FPO=2A", "ACT_EST_MAPPING=PRECISE", "FS=MRC", "CURRENCY=USD", "XLFILL=b")</f>
        <v>-900</v>
      </c>
      <c r="I225" s="9">
        <f>_xll.BQL("UAL US Equity", "FA_GROWTH(IS_OTHER_NONOP_INC_LOSS_GAAP, YOY)", "FPT=A", "FPO=1A", "ACT_EST_MAPPING=PRECISE", "FS=MRC", "CURRENCY=USD", "XLFILL=b")</f>
        <v>108.130081300813</v>
      </c>
      <c r="J225" s="9">
        <f>_xll.BQL("UAL US Equity", "FA_GROWTH(IS_OTHER_NONOP_INC_LOSS_GAAP, YOY)", "FPT=A", "FPO=0A", "ACT_EST_MAPPING=PRECISE", "FS=MRC", "CURRENCY=USD", "XLFILL=b")</f>
        <v>-339.28571428571428</v>
      </c>
      <c r="K225" s="9">
        <f>_xll.BQL("UAL US Equity", "FA_GROWTH(IS_OTHER_NONOP_INC_LOSS_GAAP, YOY)", "FPT=A", "FPO=-1A", "ACT_EST_MAPPING=PRECISE", "FS=MRC", "CURRENCY=USD", "XLFILL=b")</f>
        <v>-366.66666666666669</v>
      </c>
      <c r="L225" s="9">
        <f>_xll.BQL("UAL US Equity", "FA_GROWTH(IS_OTHER_NONOP_INC_LOSS_GAAP, YOY)", "FPT=A", "FPO=-2A", "ACT_EST_MAPPING=PRECISE", "FS=MRC", "CURRENCY=USD", "XLFILL=b")</f>
        <v>-100.39447731755423</v>
      </c>
      <c r="M225" s="9">
        <f>_xll.BQL("UAL US Equity", "FA_GROWTH(IS_OTHER_NONOP_INC_LOSS_GAAP, YOY)", "FPT=A", "FPO=-3A", "ACT_EST_MAPPING=PRECISE", "FS=MRC", "CURRENCY=USD", "XLFILL=b")</f>
        <v>1307.1428571428571</v>
      </c>
      <c r="N225" s="9">
        <f>_xll.BQL("UAL US Equity", "FA_GROWTH(IS_OTHER_NONOP_INC_LOSS_GAAP, YOY)", "FPT=A", "FPO=-4A", "ACT_EST_MAPPING=PRECISE", "FS=MRC", "CURRENCY=USD", "XLFILL=b")</f>
        <v>-263.63636363636363</v>
      </c>
    </row>
    <row r="226" spans="1:14" x14ac:dyDescent="0.2">
      <c r="A226" s="8" t="s">
        <v>196</v>
      </c>
      <c r="B226" s="4" t="s">
        <v>197</v>
      </c>
      <c r="C226" s="4"/>
      <c r="D226" s="4"/>
      <c r="E226" s="9" t="str">
        <f>_xll.BQL("UAL US Equity", "IS_NET_INCR_FAIR_VALUE_INVEST/1M", "FPT=A", "FPO=5A", "ACT_EST_MAPPING=PRECISE", "FS=MRC", "CURRENCY=USD", "XLFILL=b")</f>
        <v/>
      </c>
      <c r="F226" s="9" t="str">
        <f>_xll.BQL("UAL US Equity", "IS_NET_INCR_FAIR_VALUE_INVEST/1M", "FPT=A", "FPO=4A", "ACT_EST_MAPPING=PRECISE", "FS=MRC", "CURRENCY=USD", "XLFILL=b")</f>
        <v/>
      </c>
      <c r="G226" s="9" t="str">
        <f>_xll.BQL("UAL US Equity", "IS_NET_INCR_FAIR_VALUE_INVEST/1M", "FPT=A", "FPO=3A", "ACT_EST_MAPPING=PRECISE", "FS=MRC", "CURRENCY=USD", "XLFILL=b")</f>
        <v/>
      </c>
      <c r="H226" s="9">
        <f>_xll.BQL("UAL US Equity", "IS_NET_INCR_FAIR_VALUE_INVEST/1M", "FPT=A", "FPO=2A", "ACT_EST_MAPPING=PRECISE", "FS=MRC", "CURRENCY=USD", "XLFILL=b")</f>
        <v>56.29525435369596</v>
      </c>
      <c r="I226" s="9">
        <f>_xll.BQL("UAL US Equity", "IS_NET_INCR_FAIR_VALUE_INVEST/1M", "FPT=A", "FPO=1A", "ACT_EST_MAPPING=PRECISE", "FS=MRC", "CURRENCY=USD", "XLFILL=b")</f>
        <v>93.769525052407545</v>
      </c>
      <c r="J226" s="9">
        <f>_xll.BQL("UAL US Equity", "IS_NET_INCR_FAIR_VALUE_INVEST/1M", "FPT=A", "FPO=0A", "ACT_EST_MAPPING=PRECISE", "FS=MRC", "CURRENCY=USD", "XLFILL=b")</f>
        <v>-27</v>
      </c>
      <c r="K226" s="9">
        <f>_xll.BQL("UAL US Equity", "IS_NET_INCR_FAIR_VALUE_INVEST/1M", "FPT=A", "FPO=-1A", "ACT_EST_MAPPING=PRECISE", "FS=MRC", "CURRENCY=USD", "XLFILL=b")</f>
        <v>-20</v>
      </c>
      <c r="L226" s="9">
        <f>_xll.BQL("UAL US Equity", "IS_NET_INCR_FAIR_VALUE_INVEST/1M", "FPT=A", "FPO=-2A", "ACT_EST_MAPPING=PRECISE", "FS=MRC", "CURRENCY=USD", "XLFILL=b")</f>
        <v>34</v>
      </c>
      <c r="M226" s="9">
        <f>_xll.BQL("UAL US Equity", "IS_NET_INCR_FAIR_VALUE_INVEST/1M", "FPT=A", "FPO=-3A", "ACT_EST_MAPPING=PRECISE", "FS=MRC", "CURRENCY=USD", "XLFILL=b")</f>
        <v>194</v>
      </c>
      <c r="N226" s="9">
        <f>_xll.BQL("UAL US Equity", "IS_NET_INCR_FAIR_VALUE_INVEST/1M", "FPT=A", "FPO=-4A", "ACT_EST_MAPPING=PRECISE", "FS=MRC", "CURRENCY=USD", "XLFILL=b")</f>
        <v>-153</v>
      </c>
    </row>
    <row r="227" spans="1:14" x14ac:dyDescent="0.2">
      <c r="A227" s="8" t="s">
        <v>20</v>
      </c>
      <c r="B227" s="4" t="s">
        <v>197</v>
      </c>
      <c r="C227" s="4"/>
      <c r="D227" s="4"/>
      <c r="E227" s="9" t="str">
        <f>_xll.BQL("UAL US Equity", "FA_GROWTH(IS_NET_INCR_FAIR_VALUE_INVEST, YOY)", "FPT=A", "FPO=5A", "ACT_EST_MAPPING=PRECISE", "FS=MRC", "CURRENCY=USD", "XLFILL=b")</f>
        <v/>
      </c>
      <c r="F227" s="9" t="str">
        <f>_xll.BQL("UAL US Equity", "FA_GROWTH(IS_NET_INCR_FAIR_VALUE_INVEST, YOY)", "FPT=A", "FPO=4A", "ACT_EST_MAPPING=PRECISE", "FS=MRC", "CURRENCY=USD", "XLFILL=b")</f>
        <v/>
      </c>
      <c r="G227" s="9" t="str">
        <f>_xll.BQL("UAL US Equity", "FA_GROWTH(IS_NET_INCR_FAIR_VALUE_INVEST, YOY)", "FPT=A", "FPO=3A", "ACT_EST_MAPPING=PRECISE", "FS=MRC", "CURRENCY=USD", "XLFILL=b")</f>
        <v/>
      </c>
      <c r="H227" s="9">
        <f>_xll.BQL("UAL US Equity", "FA_GROWTH(IS_NET_INCR_FAIR_VALUE_INVEST, YOY)", "FPT=A", "FPO=2A", "ACT_EST_MAPPING=PRECISE", "FS=MRC", "CURRENCY=USD", "XLFILL=b")</f>
        <v>-39.964232172198074</v>
      </c>
      <c r="I227" s="9">
        <f>_xll.BQL("UAL US Equity", "FA_GROWTH(IS_NET_INCR_FAIR_VALUE_INVEST, YOY)", "FPT=A", "FPO=1A", "ACT_EST_MAPPING=PRECISE", "FS=MRC", "CURRENCY=USD", "XLFILL=b")</f>
        <v>447.29453723113909</v>
      </c>
      <c r="J227" s="9">
        <f>_xll.BQL("UAL US Equity", "FA_GROWTH(IS_NET_INCR_FAIR_VALUE_INVEST, YOY)", "FPT=A", "FPO=0A", "ACT_EST_MAPPING=PRECISE", "FS=MRC", "CURRENCY=USD", "XLFILL=b")</f>
        <v>-35</v>
      </c>
      <c r="K227" s="9">
        <f>_xll.BQL("UAL US Equity", "FA_GROWTH(IS_NET_INCR_FAIR_VALUE_INVEST, YOY)", "FPT=A", "FPO=-1A", "ACT_EST_MAPPING=PRECISE", "FS=MRC", "CURRENCY=USD", "XLFILL=b")</f>
        <v>-158.8235294117647</v>
      </c>
      <c r="L227" s="9">
        <f>_xll.BQL("UAL US Equity", "FA_GROWTH(IS_NET_INCR_FAIR_VALUE_INVEST, YOY)", "FPT=A", "FPO=-2A", "ACT_EST_MAPPING=PRECISE", "FS=MRC", "CURRENCY=USD", "XLFILL=b")</f>
        <v>-82.474226804123717</v>
      </c>
      <c r="M227" s="9">
        <f>_xll.BQL("UAL US Equity", "FA_GROWTH(IS_NET_INCR_FAIR_VALUE_INVEST, YOY)", "FPT=A", "FPO=-3A", "ACT_EST_MAPPING=PRECISE", "FS=MRC", "CURRENCY=USD", "XLFILL=b")</f>
        <v>226.79738562091504</v>
      </c>
      <c r="N227" s="9">
        <f>_xll.BQL("UAL US Equity", "FA_GROWTH(IS_NET_INCR_FAIR_VALUE_INVEST, YOY)", "FPT=A", "FPO=-4A", "ACT_EST_MAPPING=PRECISE", "FS=MRC", "CURRENCY=USD", "XLFILL=b")</f>
        <v>-3160</v>
      </c>
    </row>
    <row r="228" spans="1:14" x14ac:dyDescent="0.2">
      <c r="A228" s="8" t="s">
        <v>198</v>
      </c>
      <c r="B228" s="4" t="s">
        <v>199</v>
      </c>
      <c r="C228" s="4"/>
      <c r="D228" s="4"/>
      <c r="E228" s="9" t="str">
        <f>_xll.BQL("UAL US Equity", "CB_IS_OTHER_NON_OPER_INC_EXPN/1M", "FPT=A", "FPO=5A", "ACT_EST_MAPPING=PRECISE", "FS=MRC", "CURRENCY=USD", "XLFILL=b")</f>
        <v/>
      </c>
      <c r="F228" s="9" t="str">
        <f>_xll.BQL("UAL US Equity", "CB_IS_OTHER_NON_OPER_INC_EXPN/1M", "FPT=A", "FPO=4A", "ACT_EST_MAPPING=PRECISE", "FS=MRC", "CURRENCY=USD", "XLFILL=b")</f>
        <v/>
      </c>
      <c r="G228" s="9" t="str">
        <f>_xll.BQL("UAL US Equity", "CB_IS_OTHER_NON_OPER_INC_EXPN/1M", "FPT=A", "FPO=3A", "ACT_EST_MAPPING=PRECISE", "FS=MRC", "CURRENCY=USD", "XLFILL=b")</f>
        <v/>
      </c>
      <c r="H228" s="9">
        <f>_xll.BQL("UAL US Equity", "CB_IS_OTHER_NON_OPER_INC_EXPN/1M", "FPT=A", "FPO=2A", "ACT_EST_MAPPING=PRECISE", "FS=MRC", "CURRENCY=USD", "XLFILL=b")</f>
        <v>-85</v>
      </c>
      <c r="I228" s="9">
        <f>_xll.BQL("UAL US Equity", "CB_IS_OTHER_NON_OPER_INC_EXPN/1M", "FPT=A", "FPO=1A", "ACT_EST_MAPPING=PRECISE", "FS=MRC", "CURRENCY=USD", "XLFILL=b")</f>
        <v>-85</v>
      </c>
      <c r="J228" s="9">
        <f>_xll.BQL("UAL US Equity", "CB_IS_OTHER_NON_OPER_INC_EXPN/1M", "FPT=A", "FPO=0A", "ACT_EST_MAPPING=PRECISE", "FS=MRC", "CURRENCY=USD", "XLFILL=b")</f>
        <v>-96</v>
      </c>
      <c r="K228" s="9">
        <f>_xll.BQL("UAL US Equity", "CB_IS_OTHER_NON_OPER_INC_EXPN/1M", "FPT=A", "FPO=-1A", "ACT_EST_MAPPING=PRECISE", "FS=MRC", "CURRENCY=USD", "XLFILL=b")</f>
        <v>-8</v>
      </c>
      <c r="L228" s="9">
        <f>_xll.BQL("UAL US Equity", "CB_IS_OTHER_NON_OPER_INC_EXPN/1M", "FPT=A", "FPO=-2A", "ACT_EST_MAPPING=PRECISE", "FS=MRC", "CURRENCY=USD", "XLFILL=b")</f>
        <v>-40</v>
      </c>
      <c r="M228" s="9">
        <f>_xll.BQL("UAL US Equity", "CB_IS_OTHER_NON_OPER_INC_EXPN/1M", "FPT=A", "FPO=-3A", "ACT_EST_MAPPING=PRECISE", "FS=MRC", "CURRENCY=USD", "XLFILL=b")</f>
        <v>1327</v>
      </c>
      <c r="N228" s="9">
        <f>_xll.BQL("UAL US Equity", "CB_IS_OTHER_NON_OPER_INC_EXPN/1M", "FPT=A", "FPO=-4A", "ACT_EST_MAPPING=PRECISE", "FS=MRC", "CURRENCY=USD", "XLFILL=b")</f>
        <v>27</v>
      </c>
    </row>
    <row r="229" spans="1:14" x14ac:dyDescent="0.2">
      <c r="A229" s="8" t="s">
        <v>20</v>
      </c>
      <c r="B229" s="4" t="s">
        <v>199</v>
      </c>
      <c r="C229" s="4"/>
      <c r="D229" s="4"/>
      <c r="E229" s="9" t="str">
        <f>_xll.BQL("UAL US Equity", "FA_GROWTH(CB_IS_OTHER_NON_OPER_INC_EXPN, YOY)", "FPT=A", "FPO=5A", "ACT_EST_MAPPING=PRECISE", "FS=MRC", "CURRENCY=USD", "XLFILL=b")</f>
        <v/>
      </c>
      <c r="F229" s="9" t="str">
        <f>_xll.BQL("UAL US Equity", "FA_GROWTH(CB_IS_OTHER_NON_OPER_INC_EXPN, YOY)", "FPT=A", "FPO=4A", "ACT_EST_MAPPING=PRECISE", "FS=MRC", "CURRENCY=USD", "XLFILL=b")</f>
        <v/>
      </c>
      <c r="G229" s="9" t="str">
        <f>_xll.BQL("UAL US Equity", "FA_GROWTH(CB_IS_OTHER_NON_OPER_INC_EXPN, YOY)", "FPT=A", "FPO=3A", "ACT_EST_MAPPING=PRECISE", "FS=MRC", "CURRENCY=USD", "XLFILL=b")</f>
        <v/>
      </c>
      <c r="H229" s="9">
        <f>_xll.BQL("UAL US Equity", "FA_GROWTH(CB_IS_OTHER_NON_OPER_INC_EXPN, YOY)", "FPT=A", "FPO=2A", "ACT_EST_MAPPING=PRECISE", "FS=MRC", "CURRENCY=USD", "XLFILL=b")</f>
        <v>0</v>
      </c>
      <c r="I229" s="9">
        <f>_xll.BQL("UAL US Equity", "FA_GROWTH(CB_IS_OTHER_NON_OPER_INC_EXPN, YOY)", "FPT=A", "FPO=1A", "ACT_EST_MAPPING=PRECISE", "FS=MRC", "CURRENCY=USD", "XLFILL=b")</f>
        <v>11.458333333333334</v>
      </c>
      <c r="J229" s="9">
        <f>_xll.BQL("UAL US Equity", "FA_GROWTH(CB_IS_OTHER_NON_OPER_INC_EXPN, YOY)", "FPT=A", "FPO=0A", "ACT_EST_MAPPING=PRECISE", "FS=MRC", "CURRENCY=USD", "XLFILL=b")</f>
        <v>-1100</v>
      </c>
      <c r="K229" s="9">
        <f>_xll.BQL("UAL US Equity", "FA_GROWTH(CB_IS_OTHER_NON_OPER_INC_EXPN, YOY)", "FPT=A", "FPO=-1A", "ACT_EST_MAPPING=PRECISE", "FS=MRC", "CURRENCY=USD", "XLFILL=b")</f>
        <v>80</v>
      </c>
      <c r="L229" s="9">
        <f>_xll.BQL("UAL US Equity", "FA_GROWTH(CB_IS_OTHER_NON_OPER_INC_EXPN, YOY)", "FPT=A", "FPO=-2A", "ACT_EST_MAPPING=PRECISE", "FS=MRC", "CURRENCY=USD", "XLFILL=b")</f>
        <v>-103.01431801055011</v>
      </c>
      <c r="M229" s="9">
        <f>_xll.BQL("UAL US Equity", "FA_GROWTH(CB_IS_OTHER_NON_OPER_INC_EXPN, YOY)", "FPT=A", "FPO=-3A", "ACT_EST_MAPPING=PRECISE", "FS=MRC", "CURRENCY=USD", "XLFILL=b")</f>
        <v>4814.8148148148148</v>
      </c>
      <c r="N229" s="9">
        <f>_xll.BQL("UAL US Equity", "FA_GROWTH(CB_IS_OTHER_NON_OPER_INC_EXPN, YOY)", "FPT=A", "FPO=-4A", "ACT_EST_MAPPING=PRECISE", "FS=MRC", "CURRENCY=USD", "XLFILL=b")</f>
        <v>-62.5</v>
      </c>
    </row>
    <row r="230" spans="1:14" x14ac:dyDescent="0.2">
      <c r="A230" s="8" t="s">
        <v>200</v>
      </c>
      <c r="B230" s="4" t="s">
        <v>201</v>
      </c>
      <c r="C230" s="4" t="s">
        <v>202</v>
      </c>
      <c r="D230" s="4"/>
      <c r="E230" s="9">
        <f>_xll.BQL("UAL US Equity", "PRETAX_INC/1M", "FPT=A", "FPO=5A", "ACT_EST_MAPPING=PRECISE", "FS=MRC", "CURRENCY=USD", "XLFILL=b")</f>
        <v>5896.3304554094602</v>
      </c>
      <c r="F230" s="9">
        <f>_xll.BQL("UAL US Equity", "PRETAX_INC/1M", "FPT=A", "FPO=4A", "ACT_EST_MAPPING=PRECISE", "FS=MRC", "CURRENCY=USD", "XLFILL=b")</f>
        <v>5426.7799749361793</v>
      </c>
      <c r="G230" s="9">
        <f>_xll.BQL("UAL US Equity", "PRETAX_INC/1M", "FPT=A", "FPO=3A", "ACT_EST_MAPPING=PRECISE", "FS=MRC", "CURRENCY=USD", "XLFILL=b")</f>
        <v>5152.9583736593031</v>
      </c>
      <c r="H230" s="9">
        <f>_xll.BQL("UAL US Equity", "PRETAX_INC/1M", "FPT=A", "FPO=2A", "ACT_EST_MAPPING=PRECISE", "FS=MRC", "CURRENCY=USD", "XLFILL=b")</f>
        <v>4538.9365055417193</v>
      </c>
      <c r="I230" s="9">
        <f>_xll.BQL("UAL US Equity", "PRETAX_INC/1M", "FPT=A", "FPO=1A", "ACT_EST_MAPPING=PRECISE", "FS=MRC", "CURRENCY=USD", "XLFILL=b")</f>
        <v>3876.1658060612031</v>
      </c>
      <c r="J230" s="9">
        <f>_xll.BQL("UAL US Equity", "PRETAX_INC/1M", "FPT=A", "FPO=0A", "ACT_EST_MAPPING=PRECISE", "FS=MRC", "CURRENCY=USD", "XLFILL=b")</f>
        <v>3387</v>
      </c>
      <c r="K230" s="9">
        <f>_xll.BQL("UAL US Equity", "PRETAX_INC/1M", "FPT=A", "FPO=-1A", "ACT_EST_MAPPING=PRECISE", "FS=MRC", "CURRENCY=USD", "XLFILL=b")</f>
        <v>990</v>
      </c>
      <c r="L230" s="9">
        <f>_xll.BQL("UAL US Equity", "PRETAX_INC/1M", "FPT=A", "FPO=-2A", "ACT_EST_MAPPING=PRECISE", "FS=MRC", "CURRENCY=USD", "XLFILL=b")</f>
        <v>-2557</v>
      </c>
      <c r="M230" s="9">
        <f>_xll.BQL("UAL US Equity", "PRETAX_INC/1M", "FPT=A", "FPO=-3A", "ACT_EST_MAPPING=PRECISE", "FS=MRC", "CURRENCY=USD", "XLFILL=b")</f>
        <v>-8822</v>
      </c>
      <c r="N230" s="9">
        <f>_xll.BQL("UAL US Equity", "PRETAX_INC/1M", "FPT=A", "FPO=-4A", "ACT_EST_MAPPING=PRECISE", "FS=MRC", "CURRENCY=USD", "XLFILL=b")</f>
        <v>3914</v>
      </c>
    </row>
    <row r="231" spans="1:14" x14ac:dyDescent="0.2">
      <c r="A231" s="8" t="s">
        <v>12</v>
      </c>
      <c r="B231" s="4" t="s">
        <v>201</v>
      </c>
      <c r="C231" s="4" t="s">
        <v>202</v>
      </c>
      <c r="D231" s="4"/>
      <c r="E231" s="9">
        <f>_xll.BQL("UAL US Equity", "FA_GROWTH(PRETAX_INC, YOY)", "FPT=A", "FPO=5A", "ACT_EST_MAPPING=PRECISE", "FS=MRC", "CURRENCY=USD", "XLFILL=b")</f>
        <v>8.652469468854834</v>
      </c>
      <c r="F231" s="9">
        <f>_xll.BQL("UAL US Equity", "FA_GROWTH(PRETAX_INC, YOY)", "FPT=A", "FPO=4A", "ACT_EST_MAPPING=PRECISE", "FS=MRC", "CURRENCY=USD", "XLFILL=b")</f>
        <v>5.3138717882253292</v>
      </c>
      <c r="G231" s="9">
        <f>_xll.BQL("UAL US Equity", "FA_GROWTH(PRETAX_INC, YOY)", "FPT=A", "FPO=3A", "ACT_EST_MAPPING=PRECISE", "FS=MRC", "CURRENCY=USD", "XLFILL=b")</f>
        <v>13.527879655683797</v>
      </c>
      <c r="H231" s="9">
        <f>_xll.BQL("UAL US Equity", "FA_GROWTH(PRETAX_INC, YOY)", "FPT=A", "FPO=2A", "ACT_EST_MAPPING=PRECISE", "FS=MRC", "CURRENCY=USD", "XLFILL=b")</f>
        <v>17.098615813702672</v>
      </c>
      <c r="I231" s="9">
        <f>_xll.BQL("UAL US Equity", "FA_GROWTH(PRETAX_INC, YOY)", "FPT=A", "FPO=1A", "ACT_EST_MAPPING=PRECISE", "FS=MRC", "CURRENCY=USD", "XLFILL=b")</f>
        <v>14.442450725160999</v>
      </c>
      <c r="J231" s="9">
        <f>_xll.BQL("UAL US Equity", "FA_GROWTH(PRETAX_INC, YOY)", "FPT=A", "FPO=0A", "ACT_EST_MAPPING=PRECISE", "FS=MRC", "CURRENCY=USD", "XLFILL=b")</f>
        <v>242.12121212121212</v>
      </c>
      <c r="K231" s="9">
        <f>_xll.BQL("UAL US Equity", "FA_GROWTH(PRETAX_INC, YOY)", "FPT=A", "FPO=-1A", "ACT_EST_MAPPING=PRECISE", "FS=MRC", "CURRENCY=USD", "XLFILL=b")</f>
        <v>138.71724677356278</v>
      </c>
      <c r="L231" s="9">
        <f>_xll.BQL("UAL US Equity", "FA_GROWTH(PRETAX_INC, YOY)", "FPT=A", "FPO=-2A", "ACT_EST_MAPPING=PRECISE", "FS=MRC", "CURRENCY=USD", "XLFILL=b")</f>
        <v>71.015642711403316</v>
      </c>
      <c r="M231" s="9">
        <f>_xll.BQL("UAL US Equity", "FA_GROWTH(PRETAX_INC, YOY)", "FPT=A", "FPO=-3A", "ACT_EST_MAPPING=PRECISE", "FS=MRC", "CURRENCY=USD", "XLFILL=b")</f>
        <v>-325.39601430761371</v>
      </c>
      <c r="N231" s="9">
        <f>_xll.BQL("UAL US Equity", "FA_GROWTH(PRETAX_INC, YOY)", "FPT=A", "FPO=-4A", "ACT_EST_MAPPING=PRECISE", "FS=MRC", "CURRENCY=USD", "XLFILL=b")</f>
        <v>47.809667673716014</v>
      </c>
    </row>
    <row r="232" spans="1:14" x14ac:dyDescent="0.2">
      <c r="A232" s="8" t="s">
        <v>203</v>
      </c>
      <c r="B232" s="4" t="s">
        <v>204</v>
      </c>
      <c r="C232" s="4" t="s">
        <v>205</v>
      </c>
      <c r="D232" s="4"/>
      <c r="E232" s="9">
        <f>_xll.BQL("UAL US Equity", "PRETAX_INC_TO_NET_SALES", "FPT=A", "FPO=5A", "ACT_EST_MAPPING=PRECISE", "FS=MRC", "CURRENCY=USD", "XLFILL=b")</f>
        <v>10.16085542599067</v>
      </c>
      <c r="F232" s="9">
        <f>_xll.BQL("UAL US Equity", "PRETAX_INC_TO_NET_SALES", "FPT=A", "FPO=4A", "ACT_EST_MAPPING=PRECISE", "FS=MRC", "CURRENCY=USD", "XLFILL=b")</f>
        <v>9.6680847242787653</v>
      </c>
      <c r="G232" s="9">
        <f>_xll.BQL("UAL US Equity", "PRETAX_INC_TO_NET_SALES", "FPT=A", "FPO=3A", "ACT_EST_MAPPING=PRECISE", "FS=MRC", "CURRENCY=USD", "XLFILL=b")</f>
        <v>8.9071301350936256</v>
      </c>
      <c r="H232" s="9">
        <f>_xll.BQL("UAL US Equity", "PRETAX_INC_TO_NET_SALES", "FPT=A", "FPO=2A", "ACT_EST_MAPPING=PRECISE", "FS=MRC", "CURRENCY=USD", "XLFILL=b")</f>
        <v>7.9628371348578497</v>
      </c>
      <c r="I232" s="9">
        <f>_xll.BQL("UAL US Equity", "PRETAX_INC_TO_NET_SALES", "FPT=A", "FPO=1A", "ACT_EST_MAPPING=PRECISE", "FS=MRC", "CURRENCY=USD", "XLFILL=b")</f>
        <v>6.6695561790187261</v>
      </c>
      <c r="J232" s="9">
        <f>_xll.BQL("UAL US Equity", "PRETAX_INC_TO_NET_SALES", "FPT=A", "FPO=0A", "ACT_EST_MAPPING=PRECISE", "FS=MRC", "CURRENCY=USD", "XLFILL=b")</f>
        <v>6.3052664891933645</v>
      </c>
      <c r="K232" s="9">
        <f>_xll.BQL("UAL US Equity", "PRETAX_INC_TO_NET_SALES", "FPT=A", "FPO=-1A", "ACT_EST_MAPPING=PRECISE", "FS=MRC", "CURRENCY=USD", "XLFILL=b")</f>
        <v>2.2022022022022023</v>
      </c>
      <c r="L232" s="9">
        <f>_xll.BQL("UAL US Equity", "PRETAX_INC_TO_NET_SALES", "FPT=A", "FPO=-2A", "ACT_EST_MAPPING=PRECISE", "FS=MRC", "CURRENCY=USD", "XLFILL=b")</f>
        <v>-10.379962653243485</v>
      </c>
      <c r="M232" s="9">
        <f>_xll.BQL("UAL US Equity", "PRETAX_INC_TO_NET_SALES", "FPT=A", "FPO=-3A", "ACT_EST_MAPPING=PRECISE", "FS=MRC", "CURRENCY=USD", "XLFILL=b")</f>
        <v>-57.453598176489741</v>
      </c>
      <c r="N232" s="9">
        <f>_xll.BQL("UAL US Equity", "PRETAX_INC_TO_NET_SALES", "FPT=A", "FPO=-4A", "ACT_EST_MAPPING=PRECISE", "FS=MRC", "CURRENCY=USD", "XLFILL=b")</f>
        <v>9.0478281976004986</v>
      </c>
    </row>
    <row r="233" spans="1:14" x14ac:dyDescent="0.2">
      <c r="A233" s="8" t="s">
        <v>20</v>
      </c>
      <c r="B233" s="4" t="s">
        <v>204</v>
      </c>
      <c r="C233" s="4" t="s">
        <v>205</v>
      </c>
      <c r="D233" s="4"/>
      <c r="E233" s="9">
        <f>_xll.BQL("UAL US Equity", "FA_GROWTH(PRETAX_INC_TO_NET_SALES, YOY)", "FPT=A", "FPO=5A", "ACT_EST_MAPPING=PRECISE", "FS=MRC", "CURRENCY=USD", "XLFILL=b")</f>
        <v>5.0968802587594739</v>
      </c>
      <c r="F233" s="9">
        <f>_xll.BQL("UAL US Equity", "FA_GROWTH(PRETAX_INC_TO_NET_SALES, YOY)", "FPT=A", "FPO=4A", "ACT_EST_MAPPING=PRECISE", "FS=MRC", "CURRENCY=USD", "XLFILL=b")</f>
        <v>8.5432072692754151</v>
      </c>
      <c r="G233" s="9">
        <f>_xll.BQL("UAL US Equity", "FA_GROWTH(PRETAX_INC_TO_NET_SALES, YOY)", "FPT=A", "FPO=3A", "ACT_EST_MAPPING=PRECISE", "FS=MRC", "CURRENCY=USD", "XLFILL=b")</f>
        <v>11.858750646827502</v>
      </c>
      <c r="H233" s="9">
        <f>_xll.BQL("UAL US Equity", "FA_GROWTH(PRETAX_INC_TO_NET_SALES, YOY)", "FPT=A", "FPO=2A", "ACT_EST_MAPPING=PRECISE", "FS=MRC", "CURRENCY=USD", "XLFILL=b")</f>
        <v>19.390809839904527</v>
      </c>
      <c r="I233" s="9">
        <f>_xll.BQL("UAL US Equity", "FA_GROWTH(PRETAX_INC_TO_NET_SALES, YOY)", "FPT=A", "FPO=1A", "ACT_EST_MAPPING=PRECISE", "FS=MRC", "CURRENCY=USD", "XLFILL=b")</f>
        <v>5.7775462853111756</v>
      </c>
      <c r="J233" s="9">
        <f>_xll.BQL("UAL US Equity", "FA_GROWTH(PRETAX_INC_TO_NET_SALES, YOY)", "FPT=A", "FPO=0A", "ACT_EST_MAPPING=PRECISE", "FS=MRC", "CURRENCY=USD", "XLFILL=b")</f>
        <v>186.31641921382595</v>
      </c>
      <c r="K233" s="9">
        <f>_xll.BQL("UAL US Equity", "FA_GROWTH(PRETAX_INC_TO_NET_SALES, YOY)", "FPT=A", "FPO=-1A", "ACT_EST_MAPPING=PRECISE", "FS=MRC", "CURRENCY=USD", "XLFILL=b")</f>
        <v>121.21589716427417</v>
      </c>
      <c r="L233" s="9">
        <f>_xll.BQL("UAL US Equity", "FA_GROWTH(PRETAX_INC_TO_NET_SALES, YOY)", "FPT=A", "FPO=-2A", "ACT_EST_MAPPING=PRECISE", "FS=MRC", "CURRENCY=USD", "XLFILL=b")</f>
        <v>81.933311432718909</v>
      </c>
      <c r="M233" s="9">
        <f>_xll.BQL("UAL US Equity", "FA_GROWTH(PRETAX_INC_TO_NET_SALES, YOY)", "FPT=A", "FPO=-3A", "ACT_EST_MAPPING=PRECISE", "FS=MRC", "CURRENCY=USD", "XLFILL=b")</f>
        <v>-734.99877453162242</v>
      </c>
      <c r="N233" s="9">
        <f>_xll.BQL("UAL US Equity", "FA_GROWTH(PRETAX_INC_TO_NET_SALES, YOY)", "FPT=A", "FPO=-4A", "ACT_EST_MAPPING=PRECISE", "FS=MRC", "CURRENCY=USD", "XLFILL=b")</f>
        <v>41.126302131983913</v>
      </c>
    </row>
    <row r="234" spans="1:14" x14ac:dyDescent="0.2">
      <c r="A234" s="8" t="s">
        <v>16</v>
      </c>
      <c r="B234" s="4"/>
      <c r="C234" s="4"/>
      <c r="D234" s="4"/>
      <c r="E234" s="9"/>
      <c r="F234" s="9"/>
      <c r="G234" s="9"/>
      <c r="H234" s="9"/>
      <c r="I234" s="9"/>
      <c r="J234" s="9"/>
      <c r="K234" s="9"/>
      <c r="L234" s="9"/>
      <c r="M234" s="9"/>
      <c r="N234" s="9"/>
    </row>
    <row r="235" spans="1:14" x14ac:dyDescent="0.2">
      <c r="A235" s="8" t="s">
        <v>206</v>
      </c>
      <c r="B235" s="4" t="s">
        <v>207</v>
      </c>
      <c r="C235" s="4" t="s">
        <v>208</v>
      </c>
      <c r="D235" s="4"/>
      <c r="E235" s="9">
        <f>_xll.BQL("UAL US Equity", "IS_INC_TAX_EXP/1M", "FPT=A", "FPO=5A", "ACT_EST_MAPPING=PRECISE", "FS=MRC", "CURRENCY=USD", "XLFILL=b")</f>
        <v>1438.9739049411317</v>
      </c>
      <c r="F235" s="9">
        <f>_xll.BQL("UAL US Equity", "IS_INC_TAX_EXP/1M", "FPT=A", "FPO=4A", "ACT_EST_MAPPING=PRECISE", "FS=MRC", "CURRENCY=USD", "XLFILL=b")</f>
        <v>1314.4998471842794</v>
      </c>
      <c r="G235" s="9">
        <f>_xll.BQL("UAL US Equity", "IS_INC_TAX_EXP/1M", "FPT=A", "FPO=3A", "ACT_EST_MAPPING=PRECISE", "FS=MRC", "CURRENCY=USD", "XLFILL=b")</f>
        <v>1227.5403893977684</v>
      </c>
      <c r="H235" s="9">
        <f>_xll.BQL("UAL US Equity", "IS_INC_TAX_EXP/1M", "FPT=A", "FPO=2A", "ACT_EST_MAPPING=PRECISE", "FS=MRC", "CURRENCY=USD", "XLFILL=b")</f>
        <v>1069.7790975579942</v>
      </c>
      <c r="I235" s="9">
        <f>_xll.BQL("UAL US Equity", "IS_INC_TAX_EXP/1M", "FPT=A", "FPO=1A", "ACT_EST_MAPPING=PRECISE", "FS=MRC", "CURRENCY=USD", "XLFILL=b")</f>
        <v>918.14404229651188</v>
      </c>
      <c r="J235" s="9">
        <f>_xll.BQL("UAL US Equity", "IS_INC_TAX_EXP/1M", "FPT=A", "FPO=0A", "ACT_EST_MAPPING=PRECISE", "FS=MRC", "CURRENCY=USD", "XLFILL=b")</f>
        <v>769</v>
      </c>
      <c r="K235" s="9">
        <f>_xll.BQL("UAL US Equity", "IS_INC_TAX_EXP/1M", "FPT=A", "FPO=-1A", "ACT_EST_MAPPING=PRECISE", "FS=MRC", "CURRENCY=USD", "XLFILL=b")</f>
        <v>253</v>
      </c>
      <c r="L235" s="9">
        <f>_xll.BQL("UAL US Equity", "IS_INC_TAX_EXP/1M", "FPT=A", "FPO=-2A", "ACT_EST_MAPPING=PRECISE", "FS=MRC", "CURRENCY=USD", "XLFILL=b")</f>
        <v>-593</v>
      </c>
      <c r="M235" s="9">
        <f>_xll.BQL("UAL US Equity", "IS_INC_TAX_EXP/1M", "FPT=A", "FPO=-3A", "ACT_EST_MAPPING=PRECISE", "FS=MRC", "CURRENCY=USD", "XLFILL=b")</f>
        <v>-1753</v>
      </c>
      <c r="N235" s="9">
        <f>_xll.BQL("UAL US Equity", "IS_INC_TAX_EXP/1M", "FPT=A", "FPO=-4A", "ACT_EST_MAPPING=PRECISE", "FS=MRC", "CURRENCY=USD", "XLFILL=b")</f>
        <v>905</v>
      </c>
    </row>
    <row r="236" spans="1:14" x14ac:dyDescent="0.2">
      <c r="A236" s="8" t="s">
        <v>12</v>
      </c>
      <c r="B236" s="4" t="s">
        <v>207</v>
      </c>
      <c r="C236" s="4" t="s">
        <v>208</v>
      </c>
      <c r="D236" s="4"/>
      <c r="E236" s="9">
        <f>_xll.BQL("UAL US Equity", "FA_GROWTH(IS_INC_TAX_EXP, YOY)", "FPT=A", "FPO=5A", "ACT_EST_MAPPING=PRECISE", "FS=MRC", "CURRENCY=USD", "XLFILL=b")</f>
        <v>9.4693094125101229</v>
      </c>
      <c r="F236" s="9">
        <f>_xll.BQL("UAL US Equity", "FA_GROWTH(IS_INC_TAX_EXP, YOY)", "FPT=A", "FPO=4A", "ACT_EST_MAPPING=PRECISE", "FS=MRC", "CURRENCY=USD", "XLFILL=b")</f>
        <v>7.0840404550088385</v>
      </c>
      <c r="G236" s="9">
        <f>_xll.BQL("UAL US Equity", "FA_GROWTH(IS_INC_TAX_EXP, YOY)", "FPT=A", "FPO=3A", "ACT_EST_MAPPING=PRECISE", "FS=MRC", "CURRENCY=USD", "XLFILL=b")</f>
        <v>14.747090516154133</v>
      </c>
      <c r="H236" s="9">
        <f>_xll.BQL("UAL US Equity", "FA_GROWTH(IS_INC_TAX_EXP, YOY)", "FPT=A", "FPO=2A", "ACT_EST_MAPPING=PRECISE", "FS=MRC", "CURRENCY=USD", "XLFILL=b")</f>
        <v>16.515388465866913</v>
      </c>
      <c r="I236" s="9">
        <f>_xll.BQL("UAL US Equity", "FA_GROWTH(IS_INC_TAX_EXP, YOY)", "FPT=A", "FPO=1A", "ACT_EST_MAPPING=PRECISE", "FS=MRC", "CURRENCY=USD", "XLFILL=b")</f>
        <v>19.394543861705056</v>
      </c>
      <c r="J236" s="9">
        <f>_xll.BQL("UAL US Equity", "FA_GROWTH(IS_INC_TAX_EXP, YOY)", "FPT=A", "FPO=0A", "ACT_EST_MAPPING=PRECISE", "FS=MRC", "CURRENCY=USD", "XLFILL=b")</f>
        <v>203.95256916996047</v>
      </c>
      <c r="K236" s="9">
        <f>_xll.BQL("UAL US Equity", "FA_GROWTH(IS_INC_TAX_EXP, YOY)", "FPT=A", "FPO=-1A", "ACT_EST_MAPPING=PRECISE", "FS=MRC", "CURRENCY=USD", "XLFILL=b")</f>
        <v>142.66441821247892</v>
      </c>
      <c r="L236" s="9">
        <f>_xll.BQL("UAL US Equity", "FA_GROWTH(IS_INC_TAX_EXP, YOY)", "FPT=A", "FPO=-2A", "ACT_EST_MAPPING=PRECISE", "FS=MRC", "CURRENCY=USD", "XLFILL=b")</f>
        <v>66.172276098117507</v>
      </c>
      <c r="M236" s="9">
        <f>_xll.BQL("UAL US Equity", "FA_GROWTH(IS_INC_TAX_EXP, YOY)", "FPT=A", "FPO=-3A", "ACT_EST_MAPPING=PRECISE", "FS=MRC", "CURRENCY=USD", "XLFILL=b")</f>
        <v>-293.70165745856355</v>
      </c>
      <c r="N236" s="9">
        <f>_xll.BQL("UAL US Equity", "FA_GROWTH(IS_INC_TAX_EXP, YOY)", "FPT=A", "FPO=-4A", "ACT_EST_MAPPING=PRECISE", "FS=MRC", "CURRENCY=USD", "XLFILL=b")</f>
        <v>72.053231939163496</v>
      </c>
    </row>
    <row r="237" spans="1:14" x14ac:dyDescent="0.2">
      <c r="A237" s="8" t="s">
        <v>209</v>
      </c>
      <c r="B237" s="4" t="s">
        <v>210</v>
      </c>
      <c r="C237" s="4" t="s">
        <v>211</v>
      </c>
      <c r="D237" s="4"/>
      <c r="E237" s="9">
        <f>_xll.BQL("UAL US Equity", "EFF_TAX_RATE", "FPT=A", "FPO=5A", "ACT_EST_MAPPING=PRECISE", "FS=MRC", "CURRENCY=USD", "XLFILL=b")</f>
        <v>23.499999999999993</v>
      </c>
      <c r="F237" s="9">
        <f>_xll.BQL("UAL US Equity", "EFF_TAX_RATE", "FPT=A", "FPO=4A", "ACT_EST_MAPPING=PRECISE", "FS=MRC", "CURRENCY=USD", "XLFILL=b")</f>
        <v>23.666666666666671</v>
      </c>
      <c r="G237" s="9">
        <f>_xll.BQL("UAL US Equity", "EFF_TAX_RATE", "FPT=A", "FPO=3A", "ACT_EST_MAPPING=PRECISE", "FS=MRC", "CURRENCY=USD", "XLFILL=b")</f>
        <v>23.52000000000001</v>
      </c>
      <c r="H237" s="9">
        <f>_xll.BQL("UAL US Equity", "EFF_TAX_RATE", "FPT=A", "FPO=2A", "ACT_EST_MAPPING=PRECISE", "FS=MRC", "CURRENCY=USD", "XLFILL=b")</f>
        <v>22.845013818113859</v>
      </c>
      <c r="I237" s="9">
        <f>_xll.BQL("UAL US Equity", "EFF_TAX_RATE", "FPT=A", "FPO=1A", "ACT_EST_MAPPING=PRECISE", "FS=MRC", "CURRENCY=USD", "XLFILL=b")</f>
        <v>22.579375405325752</v>
      </c>
      <c r="J237" s="9">
        <f>_xll.BQL("UAL US Equity", "EFF_TAX_RATE", "FPT=A", "FPO=0A", "ACT_EST_MAPPING=PRECISE", "FS=MRC", "CURRENCY=USD", "XLFILL=b")</f>
        <v>22.704458222615884</v>
      </c>
      <c r="K237" s="9">
        <f>_xll.BQL("UAL US Equity", "EFF_TAX_RATE", "FPT=A", "FPO=-1A", "ACT_EST_MAPPING=PRECISE", "FS=MRC", "CURRENCY=USD", "XLFILL=b")</f>
        <v>25.555555555555557</v>
      </c>
      <c r="L237" s="9" t="str">
        <f>_xll.BQL("UAL US Equity", "EFF_TAX_RATE", "FPT=A", "FPO=-2A", "ACT_EST_MAPPING=PRECISE", "FS=MRC", "CURRENCY=USD", "XLFILL=b")</f>
        <v/>
      </c>
      <c r="M237" s="9" t="str">
        <f>_xll.BQL("UAL US Equity", "EFF_TAX_RATE", "FPT=A", "FPO=-3A", "ACT_EST_MAPPING=PRECISE", "FS=MRC", "CURRENCY=USD", "XLFILL=b")</f>
        <v/>
      </c>
      <c r="N237" s="9">
        <f>_xll.BQL("UAL US Equity", "EFF_TAX_RATE", "FPT=A", "FPO=-4A", "ACT_EST_MAPPING=PRECISE", "FS=MRC", "CURRENCY=USD", "XLFILL=b")</f>
        <v>23.122125702606031</v>
      </c>
    </row>
    <row r="238" spans="1:14" x14ac:dyDescent="0.2">
      <c r="A238" s="8" t="s">
        <v>20</v>
      </c>
      <c r="B238" s="4" t="s">
        <v>210</v>
      </c>
      <c r="C238" s="4" t="s">
        <v>211</v>
      </c>
      <c r="D238" s="4"/>
      <c r="E238" s="9">
        <f>_xll.BQL("UAL US Equity", "FA_GROWTH(EFF_TAX_RATE, YOY)", "FPT=A", "FPO=5A", "ACT_EST_MAPPING=PRECISE", "FS=MRC", "CURRENCY=USD", "XLFILL=b")</f>
        <v>-0.70422535211272597</v>
      </c>
      <c r="F238" s="9">
        <f>_xll.BQL("UAL US Equity", "FA_GROWTH(EFF_TAX_RATE, YOY)", "FPT=A", "FPO=4A", "ACT_EST_MAPPING=PRECISE", "FS=MRC", "CURRENCY=USD", "XLFILL=b")</f>
        <v>0.62358276643988564</v>
      </c>
      <c r="G238" s="9">
        <f>_xll.BQL("UAL US Equity", "FA_GROWTH(EFF_TAX_RATE, YOY)", "FPT=A", "FPO=3A", "ACT_EST_MAPPING=PRECISE", "FS=MRC", "CURRENCY=USD", "XLFILL=b")</f>
        <v>2.9546324080178632</v>
      </c>
      <c r="H238" s="9">
        <f>_xll.BQL("UAL US Equity", "FA_GROWTH(EFF_TAX_RATE, YOY)", "FPT=A", "FPO=2A", "ACT_EST_MAPPING=PRECISE", "FS=MRC", "CURRENCY=USD", "XLFILL=b")</f>
        <v>1.1764648402340272</v>
      </c>
      <c r="I238" s="9">
        <f>_xll.BQL("UAL US Equity", "FA_GROWTH(EFF_TAX_RATE, YOY)", "FPT=A", "FPO=1A", "ACT_EST_MAPPING=PRECISE", "FS=MRC", "CURRENCY=USD", "XLFILL=b")</f>
        <v>-0.55091742803858956</v>
      </c>
      <c r="J238" s="9">
        <f>_xll.BQL("UAL US Equity", "FA_GROWTH(EFF_TAX_RATE, YOY)", "FPT=A", "FPO=0A", "ACT_EST_MAPPING=PRECISE", "FS=MRC", "CURRENCY=USD", "XLFILL=b")</f>
        <v>-11.156467824546548</v>
      </c>
      <c r="K238" s="9" t="str">
        <f>_xll.BQL("UAL US Equity", "FA_GROWTH(EFF_TAX_RATE, YOY)", "FPT=A", "FPO=-1A", "ACT_EST_MAPPING=PRECISE", "FS=MRC", "CURRENCY=USD", "XLFILL=b")</f>
        <v/>
      </c>
      <c r="L238" s="9" t="str">
        <f>_xll.BQL("UAL US Equity", "FA_GROWTH(EFF_TAX_RATE, YOY)", "FPT=A", "FPO=-2A", "ACT_EST_MAPPING=PRECISE", "FS=MRC", "CURRENCY=USD", "XLFILL=b")</f>
        <v/>
      </c>
      <c r="M238" s="9" t="str">
        <f>_xll.BQL("UAL US Equity", "FA_GROWTH(EFF_TAX_RATE, YOY)", "FPT=A", "FPO=-3A", "ACT_EST_MAPPING=PRECISE", "FS=MRC", "CURRENCY=USD", "XLFILL=b")</f>
        <v/>
      </c>
      <c r="N238" s="9">
        <f>_xll.BQL("UAL US Equity", "FA_GROWTH(EFF_TAX_RATE, YOY)", "FPT=A", "FPO=-4A", "ACT_EST_MAPPING=PRECISE", "FS=MRC", "CURRENCY=USD", "XLFILL=b")</f>
        <v>16.401879962929222</v>
      </c>
    </row>
    <row r="239" spans="1:14" x14ac:dyDescent="0.2">
      <c r="A239" s="8" t="s">
        <v>16</v>
      </c>
      <c r="B239" s="4"/>
      <c r="C239" s="4"/>
      <c r="D239" s="4"/>
      <c r="E239" s="9"/>
      <c r="F239" s="9"/>
      <c r="G239" s="9"/>
      <c r="H239" s="9"/>
      <c r="I239" s="9"/>
      <c r="J239" s="9"/>
      <c r="K239" s="9"/>
      <c r="L239" s="9"/>
      <c r="M239" s="9"/>
      <c r="N239" s="9"/>
    </row>
    <row r="240" spans="1:14" x14ac:dyDescent="0.2">
      <c r="A240" s="8" t="s">
        <v>212</v>
      </c>
      <c r="B240" s="4" t="s">
        <v>213</v>
      </c>
      <c r="C240" s="4" t="s">
        <v>214</v>
      </c>
      <c r="D240" s="4"/>
      <c r="E240" s="9">
        <f>_xll.BQL("UAL US Equity", "IS_COMP_NET_INCOME_GAAP/1M", "FPT=A", "FPO=5A", "ACT_EST_MAPPING=PRECISE", "FS=MRC", "CURRENCY=USD", "XLFILL=b")</f>
        <v>5326.5</v>
      </c>
      <c r="F240" s="9">
        <f>_xll.BQL("UAL US Equity", "IS_COMP_NET_INCOME_GAAP/1M", "FPT=A", "FPO=4A", "ACT_EST_MAPPING=PRECISE", "FS=MRC", "CURRENCY=USD", "XLFILL=b")</f>
        <v>4824</v>
      </c>
      <c r="G240" s="9">
        <f>_xll.BQL("UAL US Equity", "IS_COMP_NET_INCOME_GAAP/1M", "FPT=A", "FPO=3A", "ACT_EST_MAPPING=PRECISE", "FS=MRC", "CURRENCY=USD", "XLFILL=b")</f>
        <v>4355.833333333333</v>
      </c>
      <c r="H240" s="9">
        <f>_xll.BQL("UAL US Equity", "IS_COMP_NET_INCOME_GAAP/1M", "FPT=A", "FPO=2A", "ACT_EST_MAPPING=PRECISE", "FS=MRC", "CURRENCY=USD", "XLFILL=b")</f>
        <v>3801</v>
      </c>
      <c r="I240" s="9">
        <f>_xll.BQL("UAL US Equity", "IS_COMP_NET_INCOME_GAAP/1M", "FPT=A", "FPO=1A", "ACT_EST_MAPPING=PRECISE", "FS=MRC", "CURRENCY=USD", "XLFILL=b")</f>
        <v>3045.6363636363635</v>
      </c>
      <c r="J240" s="9">
        <f>_xll.BQL("UAL US Equity", "IS_COMP_NET_INCOME_GAAP/1M", "FPT=A", "FPO=0A", "ACT_EST_MAPPING=PRECISE", "FS=MRC", "CURRENCY=USD", "XLFILL=b")</f>
        <v>2618</v>
      </c>
      <c r="K240" s="9">
        <f>_xll.BQL("UAL US Equity", "IS_COMP_NET_INCOME_GAAP/1M", "FPT=A", "FPO=-1A", "ACT_EST_MAPPING=PRECISE", "FS=MRC", "CURRENCY=USD", "XLFILL=b")</f>
        <v>737</v>
      </c>
      <c r="L240" s="9">
        <f>_xll.BQL("UAL US Equity", "IS_COMP_NET_INCOME_GAAP/1M", "FPT=A", "FPO=-2A", "ACT_EST_MAPPING=PRECISE", "FS=MRC", "CURRENCY=USD", "XLFILL=b")</f>
        <v>-1964</v>
      </c>
      <c r="M240" s="9">
        <f>_xll.BQL("UAL US Equity", "IS_COMP_NET_INCOME_GAAP/1M", "FPT=A", "FPO=-3A", "ACT_EST_MAPPING=PRECISE", "FS=MRC", "CURRENCY=USD", "XLFILL=b")</f>
        <v>-7069</v>
      </c>
      <c r="N240" s="9">
        <f>_xll.BQL("UAL US Equity", "IS_COMP_NET_INCOME_GAAP/1M", "FPT=A", "FPO=-4A", "ACT_EST_MAPPING=PRECISE", "FS=MRC", "CURRENCY=USD", "XLFILL=b")</f>
        <v>3009</v>
      </c>
    </row>
    <row r="241" spans="1:14" x14ac:dyDescent="0.2">
      <c r="A241" s="8" t="s">
        <v>12</v>
      </c>
      <c r="B241" s="4" t="s">
        <v>213</v>
      </c>
      <c r="C241" s="4" t="s">
        <v>214</v>
      </c>
      <c r="D241" s="4"/>
      <c r="E241" s="9">
        <f>_xll.BQL("UAL US Equity", "FA_GROWTH(IS_COMP_NET_INCOME_GAAP, YOY)", "FPT=A", "FPO=5A", "ACT_EST_MAPPING=PRECISE", "FS=MRC", "CURRENCY=USD", "XLFILL=b")</f>
        <v>10.416666666666666</v>
      </c>
      <c r="F241" s="9">
        <f>_xll.BQL("UAL US Equity", "FA_GROWTH(IS_COMP_NET_INCOME_GAAP, YOY)", "FPT=A", "FPO=4A", "ACT_EST_MAPPING=PRECISE", "FS=MRC", "CURRENCY=USD", "XLFILL=b")</f>
        <v>10.748039028123216</v>
      </c>
      <c r="G241" s="9">
        <f>_xll.BQL("UAL US Equity", "FA_GROWTH(IS_COMP_NET_INCOME_GAAP, YOY)", "FPT=A", "FPO=3A", "ACT_EST_MAPPING=PRECISE", "FS=MRC", "CURRENCY=USD", "XLFILL=b")</f>
        <v>14.597035867754091</v>
      </c>
      <c r="H241" s="9">
        <f>_xll.BQL("UAL US Equity", "FA_GROWTH(IS_COMP_NET_INCOME_GAAP, YOY)", "FPT=A", "FPO=2A", "ACT_EST_MAPPING=PRECISE", "FS=MRC", "CURRENCY=USD", "XLFILL=b")</f>
        <v>24.801504387797749</v>
      </c>
      <c r="I241" s="9">
        <f>_xll.BQL("UAL US Equity", "FA_GROWTH(IS_COMP_NET_INCOME_GAAP, YOY)", "FPT=A", "FPO=1A", "ACT_EST_MAPPING=PRECISE", "FS=MRC", "CURRENCY=USD", "XLFILL=b")</f>
        <v>16.334467671366063</v>
      </c>
      <c r="J241" s="9">
        <f>_xll.BQL("UAL US Equity", "FA_GROWTH(IS_COMP_NET_INCOME_GAAP, YOY)", "FPT=A", "FPO=0A", "ACT_EST_MAPPING=PRECISE", "FS=MRC", "CURRENCY=USD", "XLFILL=b")</f>
        <v>255.22388059701493</v>
      </c>
      <c r="K241" s="9">
        <f>_xll.BQL("UAL US Equity", "FA_GROWTH(IS_COMP_NET_INCOME_GAAP, YOY)", "FPT=A", "FPO=-1A", "ACT_EST_MAPPING=PRECISE", "FS=MRC", "CURRENCY=USD", "XLFILL=b")</f>
        <v>137.52545824847252</v>
      </c>
      <c r="L241" s="9">
        <f>_xll.BQL("UAL US Equity", "FA_GROWTH(IS_COMP_NET_INCOME_GAAP, YOY)", "FPT=A", "FPO=-2A", "ACT_EST_MAPPING=PRECISE", "FS=MRC", "CURRENCY=USD", "XLFILL=b")</f>
        <v>72.216720894044414</v>
      </c>
      <c r="M241" s="9">
        <f>_xll.BQL("UAL US Equity", "FA_GROWTH(IS_COMP_NET_INCOME_GAAP, YOY)", "FPT=A", "FPO=-3A", "ACT_EST_MAPPING=PRECISE", "FS=MRC", "CURRENCY=USD", "XLFILL=b")</f>
        <v>-334.92854769026252</v>
      </c>
      <c r="N241" s="9">
        <f>_xll.BQL("UAL US Equity", "FA_GROWTH(IS_COMP_NET_INCOME_GAAP, YOY)", "FPT=A", "FPO=-4A", "ACT_EST_MAPPING=PRECISE", "FS=MRC", "CURRENCY=USD", "XLFILL=b")</f>
        <v>41.33395960544857</v>
      </c>
    </row>
    <row r="242" spans="1:14" x14ac:dyDescent="0.2">
      <c r="A242" s="8" t="s">
        <v>16</v>
      </c>
      <c r="B242" s="4"/>
      <c r="C242" s="4"/>
      <c r="D242" s="4"/>
      <c r="E242" s="9"/>
      <c r="F242" s="9"/>
      <c r="G242" s="9"/>
      <c r="H242" s="9"/>
      <c r="I242" s="9"/>
      <c r="J242" s="9"/>
      <c r="K242" s="9"/>
      <c r="L242" s="9"/>
      <c r="M242" s="9"/>
      <c r="N242" s="9"/>
    </row>
    <row r="243" spans="1:14" x14ac:dyDescent="0.2">
      <c r="A243" s="8" t="s">
        <v>215</v>
      </c>
      <c r="B243" s="4" t="s">
        <v>216</v>
      </c>
      <c r="C243" s="4"/>
      <c r="D243" s="4"/>
      <c r="E243" s="9">
        <f>_xll.BQL("UAL US Equity", "IS_AVG_NUM_SH_FOR_EPS/1M", "FPT=A", "FPO=5A", "ACT_EST_MAPPING=PRECISE", "FS=MRC", "CURRENCY=USD", "XLFILL=b")</f>
        <v>331.75814694791671</v>
      </c>
      <c r="F243" s="9">
        <f>_xll.BQL("UAL US Equity", "IS_AVG_NUM_SH_FOR_EPS/1M", "FPT=A", "FPO=4A", "ACT_EST_MAPPING=PRECISE", "FS=MRC", "CURRENCY=USD", "XLFILL=b")</f>
        <v>330.81319617187501</v>
      </c>
      <c r="G243" s="9">
        <f>_xll.BQL("UAL US Equity", "IS_AVG_NUM_SH_FOR_EPS/1M", "FPT=A", "FPO=3A", "ACT_EST_MAPPING=PRECISE", "FS=MRC", "CURRENCY=USD", "XLFILL=b")</f>
        <v>332.22193979687501</v>
      </c>
      <c r="H243" s="9">
        <f>_xll.BQL("UAL US Equity", "IS_AVG_NUM_SH_FOR_EPS/1M", "FPT=A", "FPO=2A", "ACT_EST_MAPPING=PRECISE", "FS=MRC", "CURRENCY=USD", "XLFILL=b")</f>
        <v>330.67975629734849</v>
      </c>
      <c r="I243" s="9">
        <f>_xll.BQL("UAL US Equity", "IS_AVG_NUM_SH_FOR_EPS/1M", "FPT=A", "FPO=1A", "ACT_EST_MAPPING=PRECISE", "FS=MRC", "CURRENCY=USD", "XLFILL=b")</f>
        <v>331.44155758333329</v>
      </c>
      <c r="J243" s="9">
        <f>_xll.BQL("UAL US Equity", "IS_AVG_NUM_SH_FOR_EPS/1M", "FPT=A", "FPO=0A", "ACT_EST_MAPPING=PRECISE", "FS=MRC", "CURRENCY=USD", "XLFILL=b")</f>
        <v>327.8</v>
      </c>
      <c r="K243" s="9">
        <f>_xll.BQL("UAL US Equity", "IS_AVG_NUM_SH_FOR_EPS/1M", "FPT=A", "FPO=-1A", "ACT_EST_MAPPING=PRECISE", "FS=MRC", "CURRENCY=USD", "XLFILL=b")</f>
        <v>326.39999999999998</v>
      </c>
      <c r="L243" s="9">
        <f>_xll.BQL("UAL US Equity", "IS_AVG_NUM_SH_FOR_EPS/1M", "FPT=A", "FPO=-2A", "ACT_EST_MAPPING=PRECISE", "FS=MRC", "CURRENCY=USD", "XLFILL=b")</f>
        <v>321.89999999999998</v>
      </c>
      <c r="M243" s="9">
        <f>_xll.BQL("UAL US Equity", "IS_AVG_NUM_SH_FOR_EPS/1M", "FPT=A", "FPO=-3A", "ACT_EST_MAPPING=PRECISE", "FS=MRC", "CURRENCY=USD", "XLFILL=b")</f>
        <v>279.39999999999998</v>
      </c>
      <c r="N243" s="9">
        <f>_xll.BQL("UAL US Equity", "IS_AVG_NUM_SH_FOR_EPS/1M", "FPT=A", "FPO=-4A", "ACT_EST_MAPPING=PRECISE", "FS=MRC", "CURRENCY=USD", "XLFILL=b")</f>
        <v>259.84455958549199</v>
      </c>
    </row>
    <row r="244" spans="1:14" x14ac:dyDescent="0.2">
      <c r="A244" s="8" t="s">
        <v>12</v>
      </c>
      <c r="B244" s="4" t="s">
        <v>216</v>
      </c>
      <c r="C244" s="4"/>
      <c r="D244" s="4"/>
      <c r="E244" s="9">
        <f>_xll.BQL("UAL US Equity", "FA_GROWTH(IS_AVG_NUM_SH_FOR_EPS, YOY)", "FPT=A", "FPO=5A", "ACT_EST_MAPPING=PRECISE", "FS=MRC", "CURRENCY=USD", "XLFILL=b")</f>
        <v>0.28564482522962431</v>
      </c>
      <c r="F244" s="9">
        <f>_xll.BQL("UAL US Equity", "FA_GROWTH(IS_AVG_NUM_SH_FOR_EPS, YOY)", "FPT=A", "FPO=4A", "ACT_EST_MAPPING=PRECISE", "FS=MRC", "CURRENCY=USD", "XLFILL=b")</f>
        <v>-0.42403690312004227</v>
      </c>
      <c r="G244" s="9">
        <f>_xll.BQL("UAL US Equity", "FA_GROWTH(IS_AVG_NUM_SH_FOR_EPS, YOY)", "FPT=A", "FPO=3A", "ACT_EST_MAPPING=PRECISE", "FS=MRC", "CURRENCY=USD", "XLFILL=b")</f>
        <v>0.46636767753625757</v>
      </c>
      <c r="H244" s="9">
        <f>_xll.BQL("UAL US Equity", "FA_GROWTH(IS_AVG_NUM_SH_FOR_EPS, YOY)", "FPT=A", "FPO=2A", "ACT_EST_MAPPING=PRECISE", "FS=MRC", "CURRENCY=USD", "XLFILL=b")</f>
        <v>-0.2298448304248259</v>
      </c>
      <c r="I244" s="9">
        <f>_xll.BQL("UAL US Equity", "FA_GROWTH(IS_AVG_NUM_SH_FOR_EPS, YOY)", "FPT=A", "FPO=1A", "ACT_EST_MAPPING=PRECISE", "FS=MRC", "CURRENCY=USD", "XLFILL=b")</f>
        <v>1.1109083536709314</v>
      </c>
      <c r="J244" s="9">
        <f>_xll.BQL("UAL US Equity", "FA_GROWTH(IS_AVG_NUM_SH_FOR_EPS, YOY)", "FPT=A", "FPO=0A", "ACT_EST_MAPPING=PRECISE", "FS=MRC", "CURRENCY=USD", "XLFILL=b")</f>
        <v>0.42892156862745096</v>
      </c>
      <c r="K244" s="9">
        <f>_xll.BQL("UAL US Equity", "FA_GROWTH(IS_AVG_NUM_SH_FOR_EPS, YOY)", "FPT=A", "FPO=-1A", "ACT_EST_MAPPING=PRECISE", "FS=MRC", "CURRENCY=USD", "XLFILL=b")</f>
        <v>1.3979496738117427</v>
      </c>
      <c r="L244" s="9">
        <f>_xll.BQL("UAL US Equity", "FA_GROWTH(IS_AVG_NUM_SH_FOR_EPS, YOY)", "FPT=A", "FPO=-2A", "ACT_EST_MAPPING=PRECISE", "FS=MRC", "CURRENCY=USD", "XLFILL=b")</f>
        <v>15.211166785969935</v>
      </c>
      <c r="M244" s="9">
        <f>_xll.BQL("UAL US Equity", "FA_GROWTH(IS_AVG_NUM_SH_FOR_EPS, YOY)", "FPT=A", "FPO=-3A", "ACT_EST_MAPPING=PRECISE", "FS=MRC", "CURRENCY=USD", "XLFILL=b")</f>
        <v>7.5258225324028913</v>
      </c>
      <c r="N244" s="9">
        <f>_xll.BQL("UAL US Equity", "FA_GROWTH(IS_AVG_NUM_SH_FOR_EPS, YOY)", "FPT=A", "FPO=-4A", "ACT_EST_MAPPING=PRECISE", "FS=MRC", "CURRENCY=USD", "XLFILL=b")</f>
        <v>-5.6825555043586258</v>
      </c>
    </row>
    <row r="245" spans="1:14" x14ac:dyDescent="0.2">
      <c r="A245" s="8" t="s">
        <v>217</v>
      </c>
      <c r="B245" s="4" t="s">
        <v>218</v>
      </c>
      <c r="C245" s="4" t="s">
        <v>219</v>
      </c>
      <c r="D245" s="4"/>
      <c r="E245" s="9">
        <f>_xll.BQL("UAL US Equity", "IS_COMP_EPS_GAAP", "FPT=A", "FPO=5A", "ACT_EST_MAPPING=PRECISE", "FS=MRC", "CURRENCY=USD", "XLFILL=b")</f>
        <v>16.074999999999999</v>
      </c>
      <c r="F245" s="9">
        <f>_xll.BQL("UAL US Equity", "IS_COMP_EPS_GAAP", "FPT=A", "FPO=4A", "ACT_EST_MAPPING=PRECISE", "FS=MRC", "CURRENCY=USD", "XLFILL=b")</f>
        <v>14.513333333333334</v>
      </c>
      <c r="G245" s="9">
        <f>_xll.BQL("UAL US Equity", "IS_COMP_EPS_GAAP", "FPT=A", "FPO=3A", "ACT_EST_MAPPING=PRECISE", "FS=MRC", "CURRENCY=USD", "XLFILL=b")</f>
        <v>12.971111111111112</v>
      </c>
      <c r="H245" s="9">
        <f>_xll.BQL("UAL US Equity", "IS_COMP_EPS_GAAP", "FPT=A", "FPO=2A", "ACT_EST_MAPPING=PRECISE", "FS=MRC", "CURRENCY=USD", "XLFILL=b")</f>
        <v>11.124615384615385</v>
      </c>
      <c r="I245" s="9">
        <f>_xll.BQL("UAL US Equity", "IS_COMP_EPS_GAAP", "FPT=A", "FPO=1A", "ACT_EST_MAPPING=PRECISE", "FS=MRC", "CURRENCY=USD", "XLFILL=b")</f>
        <v>8.9471428571428575</v>
      </c>
      <c r="J245" s="9">
        <f>_xll.BQL("UAL US Equity", "IS_COMP_EPS_GAAP", "FPT=A", "FPO=0A", "ACT_EST_MAPPING=PRECISE", "FS=MRC", "CURRENCY=USD", "XLFILL=b")</f>
        <v>7.89</v>
      </c>
      <c r="K245" s="9">
        <f>_xll.BQL("UAL US Equity", "IS_COMP_EPS_GAAP", "FPT=A", "FPO=-1A", "ACT_EST_MAPPING=PRECISE", "FS=MRC", "CURRENCY=USD", "XLFILL=b")</f>
        <v>2.23</v>
      </c>
      <c r="L245" s="9">
        <f>_xll.BQL("UAL US Equity", "IS_COMP_EPS_GAAP", "FPT=A", "FPO=-2A", "ACT_EST_MAPPING=PRECISE", "FS=MRC", "CURRENCY=USD", "XLFILL=b")</f>
        <v>-6.1</v>
      </c>
      <c r="M245" s="9">
        <f>_xll.BQL("UAL US Equity", "IS_COMP_EPS_GAAP", "FPT=A", "FPO=-3A", "ACT_EST_MAPPING=PRECISE", "FS=MRC", "CURRENCY=USD", "XLFILL=b")</f>
        <v>-25.3</v>
      </c>
      <c r="N245" s="9">
        <f>_xll.BQL("UAL US Equity", "IS_COMP_EPS_GAAP", "FPT=A", "FPO=-4A", "ACT_EST_MAPPING=PRECISE", "FS=MRC", "CURRENCY=USD", "XLFILL=b")</f>
        <v>11.58</v>
      </c>
    </row>
    <row r="246" spans="1:14" x14ac:dyDescent="0.2">
      <c r="A246" s="8" t="s">
        <v>12</v>
      </c>
      <c r="B246" s="4" t="s">
        <v>218</v>
      </c>
      <c r="C246" s="4" t="s">
        <v>219</v>
      </c>
      <c r="D246" s="4"/>
      <c r="E246" s="9">
        <f>_xll.BQL("UAL US Equity", "FA_GROWTH(IS_COMP_EPS_GAAP, YOY)", "FPT=A", "FPO=5A", "ACT_EST_MAPPING=PRECISE", "FS=MRC", "CURRENCY=USD", "XLFILL=b")</f>
        <v>10.760220486908583</v>
      </c>
      <c r="F246" s="9">
        <f>_xll.BQL("UAL US Equity", "FA_GROWTH(IS_COMP_EPS_GAAP, YOY)", "FPT=A", "FPO=4A", "ACT_EST_MAPPING=PRECISE", "FS=MRC", "CURRENCY=USD", "XLFILL=b")</f>
        <v>11.889669350693845</v>
      </c>
      <c r="G246" s="9">
        <f>_xll.BQL("UAL US Equity", "FA_GROWTH(IS_COMP_EPS_GAAP, YOY)", "FPT=A", "FPO=3A", "ACT_EST_MAPPING=PRECISE", "FS=MRC", "CURRENCY=USD", "XLFILL=b")</f>
        <v>16.598288234299851</v>
      </c>
      <c r="H246" s="9">
        <f>_xll.BQL("UAL US Equity", "FA_GROWTH(IS_COMP_EPS_GAAP, YOY)", "FPT=A", "FPO=2A", "ACT_EST_MAPPING=PRECISE", "FS=MRC", "CURRENCY=USD", "XLFILL=b")</f>
        <v>24.337071199597148</v>
      </c>
      <c r="I246" s="9">
        <f>_xll.BQL("UAL US Equity", "FA_GROWTH(IS_COMP_EPS_GAAP, YOY)", "FPT=A", "FPO=1A", "ACT_EST_MAPPING=PRECISE", "FS=MRC", "CURRENCY=USD", "XLFILL=b")</f>
        <v>13.398515299655992</v>
      </c>
      <c r="J246" s="9">
        <f>_xll.BQL("UAL US Equity", "FA_GROWTH(IS_COMP_EPS_GAAP, YOY)", "FPT=A", "FPO=0A", "ACT_EST_MAPPING=PRECISE", "FS=MRC", "CURRENCY=USD", "XLFILL=b")</f>
        <v>253.81165919282512</v>
      </c>
      <c r="K246" s="9">
        <f>_xll.BQL("UAL US Equity", "FA_GROWTH(IS_COMP_EPS_GAAP, YOY)", "FPT=A", "FPO=-1A", "ACT_EST_MAPPING=PRECISE", "FS=MRC", "CURRENCY=USD", "XLFILL=b")</f>
        <v>136.55737704918033</v>
      </c>
      <c r="L246" s="9">
        <f>_xll.BQL("UAL US Equity", "FA_GROWTH(IS_COMP_EPS_GAAP, YOY)", "FPT=A", "FPO=-2A", "ACT_EST_MAPPING=PRECISE", "FS=MRC", "CURRENCY=USD", "XLFILL=b")</f>
        <v>75.889328063241109</v>
      </c>
      <c r="M246" s="9">
        <f>_xll.BQL("UAL US Equity", "FA_GROWTH(IS_COMP_EPS_GAAP, YOY)", "FPT=A", "FPO=-3A", "ACT_EST_MAPPING=PRECISE", "FS=MRC", "CURRENCY=USD", "XLFILL=b")</f>
        <v>-318.48013816925737</v>
      </c>
      <c r="N246" s="9">
        <f>_xll.BQL("UAL US Equity", "FA_GROWTH(IS_COMP_EPS_GAAP, YOY)", "FPT=A", "FPO=-4A", "ACT_EST_MAPPING=PRECISE", "FS=MRC", "CURRENCY=USD", "XLFILL=b")</f>
        <v>50.38961038961039</v>
      </c>
    </row>
    <row r="247" spans="1:14" x14ac:dyDescent="0.2">
      <c r="A247" s="8" t="s">
        <v>16</v>
      </c>
      <c r="B247" s="4"/>
      <c r="C247" s="4"/>
      <c r="D247" s="4"/>
      <c r="E247" s="9"/>
      <c r="F247" s="9"/>
      <c r="G247" s="9"/>
      <c r="H247" s="9"/>
      <c r="I247" s="9"/>
      <c r="J247" s="9"/>
      <c r="K247" s="9"/>
      <c r="L247" s="9"/>
      <c r="M247" s="9"/>
      <c r="N247" s="9"/>
    </row>
    <row r="248" spans="1:14" x14ac:dyDescent="0.2">
      <c r="A248" s="8" t="s">
        <v>220</v>
      </c>
      <c r="B248" s="4" t="s">
        <v>221</v>
      </c>
      <c r="C248" s="4" t="s">
        <v>222</v>
      </c>
      <c r="D248" s="4"/>
      <c r="E248" s="9">
        <f>_xll.BQL("UAL US Equity", "IS_SH_FOR_DILUTED_EPS/1M", "FPT=A", "FPO=5A", "ACT_EST_MAPPING=PRECISE", "FS=MRC", "CURRENCY=USD", "XLFILL=b")</f>
        <v>331.75814694791671</v>
      </c>
      <c r="F248" s="9">
        <f>_xll.BQL("UAL US Equity", "IS_SH_FOR_DILUTED_EPS/1M", "FPT=A", "FPO=4A", "ACT_EST_MAPPING=PRECISE", "FS=MRC", "CURRENCY=USD", "XLFILL=b")</f>
        <v>330.81319617187501</v>
      </c>
      <c r="G248" s="9">
        <f>_xll.BQL("UAL US Equity", "IS_SH_FOR_DILUTED_EPS/1M", "FPT=A", "FPO=3A", "ACT_EST_MAPPING=PRECISE", "FS=MRC", "CURRENCY=USD", "XLFILL=b")</f>
        <v>332.33323676785716</v>
      </c>
      <c r="H248" s="9">
        <f>_xll.BQL("UAL US Equity", "IS_SH_FOR_DILUTED_EPS/1M", "FPT=A", "FPO=2A", "ACT_EST_MAPPING=PRECISE", "FS=MRC", "CURRENCY=USD", "XLFILL=b")</f>
        <v>330.64179228444323</v>
      </c>
      <c r="I248" s="9">
        <f>_xll.BQL("UAL US Equity", "IS_SH_FOR_DILUTED_EPS/1M", "FPT=A", "FPO=1A", "ACT_EST_MAPPING=PRECISE", "FS=MRC", "CURRENCY=USD", "XLFILL=b")</f>
        <v>331.58791146381247</v>
      </c>
      <c r="J248" s="9">
        <f>_xll.BQL("UAL US Equity", "IS_SH_FOR_DILUTED_EPS/1M", "FPT=A", "FPO=0A", "ACT_EST_MAPPING=PRECISE", "FS=MRC", "CURRENCY=USD", "XLFILL=b")</f>
        <v>331.9</v>
      </c>
      <c r="K248" s="9">
        <f>_xll.BQL("UAL US Equity", "IS_SH_FOR_DILUTED_EPS/1M", "FPT=A", "FPO=-1A", "ACT_EST_MAPPING=PRECISE", "FS=MRC", "CURRENCY=USD", "XLFILL=b")</f>
        <v>330.1</v>
      </c>
      <c r="L248" s="9">
        <f>_xll.BQL("UAL US Equity", "IS_SH_FOR_DILUTED_EPS/1M", "FPT=A", "FPO=-2A", "ACT_EST_MAPPING=PRECISE", "FS=MRC", "CURRENCY=USD", "XLFILL=b")</f>
        <v>321.89999999999998</v>
      </c>
      <c r="M248" s="9">
        <f>_xll.BQL("UAL US Equity", "IS_SH_FOR_DILUTED_EPS/1M", "FPT=A", "FPO=-3A", "ACT_EST_MAPPING=PRECISE", "FS=MRC", "CURRENCY=USD", "XLFILL=b")</f>
        <v>279.39999999999998</v>
      </c>
      <c r="N248" s="9">
        <f>_xll.BQL("UAL US Equity", "IS_SH_FOR_DILUTED_EPS/1M", "FPT=A", "FPO=-4A", "ACT_EST_MAPPING=PRECISE", "FS=MRC", "CURRENCY=USD", "XLFILL=b")</f>
        <v>259.84455958549199</v>
      </c>
    </row>
    <row r="249" spans="1:14" x14ac:dyDescent="0.2">
      <c r="A249" s="8" t="s">
        <v>12</v>
      </c>
      <c r="B249" s="4" t="s">
        <v>221</v>
      </c>
      <c r="C249" s="4" t="s">
        <v>222</v>
      </c>
      <c r="D249" s="4"/>
      <c r="E249" s="9">
        <f>_xll.BQL("UAL US Equity", "FA_GROWTH(IS_SH_FOR_DILUTED_EPS, YOY)", "FPT=A", "FPO=5A", "ACT_EST_MAPPING=PRECISE", "FS=MRC", "CURRENCY=USD", "XLFILL=b")</f>
        <v>0.28564482522962431</v>
      </c>
      <c r="F249" s="9">
        <f>_xll.BQL("UAL US Equity", "FA_GROWTH(IS_SH_FOR_DILUTED_EPS, YOY)", "FPT=A", "FPO=4A", "ACT_EST_MAPPING=PRECISE", "FS=MRC", "CURRENCY=USD", "XLFILL=b")</f>
        <v>-0.45738446469136029</v>
      </c>
      <c r="G249" s="9">
        <f>_xll.BQL("UAL US Equity", "FA_GROWTH(IS_SH_FOR_DILUTED_EPS, YOY)", "FPT=A", "FPO=3A", "ACT_EST_MAPPING=PRECISE", "FS=MRC", "CURRENCY=USD", "XLFILL=b")</f>
        <v>0.51156403179632703</v>
      </c>
      <c r="H249" s="9">
        <f>_xll.BQL("UAL US Equity", "FA_GROWTH(IS_SH_FOR_DILUTED_EPS, YOY)", "FPT=A", "FPO=2A", "ACT_EST_MAPPING=PRECISE", "FS=MRC", "CURRENCY=USD", "XLFILL=b")</f>
        <v>-0.28532981651610195</v>
      </c>
      <c r="I249" s="9">
        <f>_xll.BQL("UAL US Equity", "FA_GROWTH(IS_SH_FOR_DILUTED_EPS, YOY)", "FPT=A", "FPO=1A", "ACT_EST_MAPPING=PRECISE", "FS=MRC", "CURRENCY=USD", "XLFILL=b")</f>
        <v>-9.4030893699165286E-2</v>
      </c>
      <c r="J249" s="9">
        <f>_xll.BQL("UAL US Equity", "FA_GROWTH(IS_SH_FOR_DILUTED_EPS, YOY)", "FPT=A", "FPO=0A", "ACT_EST_MAPPING=PRECISE", "FS=MRC", "CURRENCY=USD", "XLFILL=b")</f>
        <v>0.54528930627082706</v>
      </c>
      <c r="K249" s="9">
        <f>_xll.BQL("UAL US Equity", "FA_GROWTH(IS_SH_FOR_DILUTED_EPS, YOY)", "FPT=A", "FPO=-1A", "ACT_EST_MAPPING=PRECISE", "FS=MRC", "CURRENCY=USD", "XLFILL=b")</f>
        <v>2.5473749611680647</v>
      </c>
      <c r="L249" s="9">
        <f>_xll.BQL("UAL US Equity", "FA_GROWTH(IS_SH_FOR_DILUTED_EPS, YOY)", "FPT=A", "FPO=-2A", "ACT_EST_MAPPING=PRECISE", "FS=MRC", "CURRENCY=USD", "XLFILL=b")</f>
        <v>15.211166785969935</v>
      </c>
      <c r="M249" s="9">
        <f>_xll.BQL("UAL US Equity", "FA_GROWTH(IS_SH_FOR_DILUTED_EPS, YOY)", "FPT=A", "FPO=-3A", "ACT_EST_MAPPING=PRECISE", "FS=MRC", "CURRENCY=USD", "XLFILL=b")</f>
        <v>7.5258225324028913</v>
      </c>
      <c r="N249" s="9">
        <f>_xll.BQL("UAL US Equity", "FA_GROWTH(IS_SH_FOR_DILUTED_EPS, YOY)", "FPT=A", "FPO=-4A", "ACT_EST_MAPPING=PRECISE", "FS=MRC", "CURRENCY=USD", "XLFILL=b")</f>
        <v>-6.0915939336855853</v>
      </c>
    </row>
    <row r="250" spans="1:14" x14ac:dyDescent="0.2">
      <c r="A250" s="8" t="s">
        <v>223</v>
      </c>
      <c r="B250" s="4" t="s">
        <v>224</v>
      </c>
      <c r="C250" s="4"/>
      <c r="D250" s="4"/>
      <c r="E250" s="9">
        <f>_xll.BQL("UAL US Equity", "IS_EPS", "FPT=A", "FPO=5A", "ACT_EST_MAPPING=PRECISE", "FS=MRC", "CURRENCY=USD", "XLFILL=b")</f>
        <v>15.987040727025713</v>
      </c>
      <c r="F250" s="9">
        <f>_xll.BQL("UAL US Equity", "IS_EPS", "FPT=A", "FPO=4A", "ACT_EST_MAPPING=PRECISE", "FS=MRC", "CURRENCY=USD", "XLFILL=b")</f>
        <v>14.54293919937815</v>
      </c>
      <c r="G250" s="9">
        <f>_xll.BQL("UAL US Equity", "IS_EPS", "FPT=A", "FPO=3A", "ACT_EST_MAPPING=PRECISE", "FS=MRC", "CURRENCY=USD", "XLFILL=b")</f>
        <v>12.821994051701861</v>
      </c>
      <c r="H250" s="9">
        <f>_xll.BQL("UAL US Equity", "IS_EPS", "FPT=A", "FPO=2A", "ACT_EST_MAPPING=PRECISE", "FS=MRC", "CURRENCY=USD", "XLFILL=b")</f>
        <v>11.072197592097835</v>
      </c>
      <c r="I250" s="9">
        <f>_xll.BQL("UAL US Equity", "IS_EPS", "FPT=A", "FPO=1A", "ACT_EST_MAPPING=PRECISE", "FS=MRC", "CURRENCY=USD", "XLFILL=b")</f>
        <v>8.9644660252930564</v>
      </c>
      <c r="J250" s="9">
        <f>_xll.BQL("UAL US Equity", "IS_EPS", "FPT=A", "FPO=0A", "ACT_EST_MAPPING=PRECISE", "FS=MRC", "CURRENCY=USD", "XLFILL=b")</f>
        <v>7.98</v>
      </c>
      <c r="K250" s="9">
        <f>_xll.BQL("UAL US Equity", "IS_EPS", "FPT=A", "FPO=-1A", "ACT_EST_MAPPING=PRECISE", "FS=MRC", "CURRENCY=USD", "XLFILL=b")</f>
        <v>2.2599999999999998</v>
      </c>
      <c r="L250" s="9">
        <f>_xll.BQL("UAL US Equity", "IS_EPS", "FPT=A", "FPO=-2A", "ACT_EST_MAPPING=PRECISE", "FS=MRC", "CURRENCY=USD", "XLFILL=b")</f>
        <v>-6.1</v>
      </c>
      <c r="M250" s="9">
        <f>_xll.BQL("UAL US Equity", "IS_EPS", "FPT=A", "FPO=-3A", "ACT_EST_MAPPING=PRECISE", "FS=MRC", "CURRENCY=USD", "XLFILL=b")</f>
        <v>-25.3</v>
      </c>
      <c r="N250" s="9">
        <f>_xll.BQL("UAL US Equity", "IS_EPS", "FPT=A", "FPO=-4A", "ACT_EST_MAPPING=PRECISE", "FS=MRC", "CURRENCY=USD", "XLFILL=b")</f>
        <v>11.58</v>
      </c>
    </row>
    <row r="251" spans="1:14" x14ac:dyDescent="0.2">
      <c r="A251" s="8" t="s">
        <v>12</v>
      </c>
      <c r="B251" s="4" t="s">
        <v>224</v>
      </c>
      <c r="C251" s="4"/>
      <c r="D251" s="4"/>
      <c r="E251" s="9">
        <f>_xll.BQL("UAL US Equity", "FA_GROWTH(IS_EPS, YOY)", "FPT=A", "FPO=5A", "ACT_EST_MAPPING=PRECISE", "FS=MRC", "CURRENCY=USD", "XLFILL=b")</f>
        <v>9.9299151832341561</v>
      </c>
      <c r="F251" s="9">
        <f>_xll.BQL("UAL US Equity", "FA_GROWTH(IS_EPS, YOY)", "FPT=A", "FPO=4A", "ACT_EST_MAPPING=PRECISE", "FS=MRC", "CURRENCY=USD", "XLFILL=b")</f>
        <v>13.421821447872757</v>
      </c>
      <c r="G251" s="9">
        <f>_xll.BQL("UAL US Equity", "FA_GROWTH(IS_EPS, YOY)", "FPT=A", "FPO=3A", "ACT_EST_MAPPING=PRECISE", "FS=MRC", "CURRENCY=USD", "XLFILL=b")</f>
        <v>15.803515472419367</v>
      </c>
      <c r="H251" s="9">
        <f>_xll.BQL("UAL US Equity", "FA_GROWTH(IS_EPS, YOY)", "FPT=A", "FPO=2A", "ACT_EST_MAPPING=PRECISE", "FS=MRC", "CURRENCY=USD", "XLFILL=b")</f>
        <v>23.512070444105174</v>
      </c>
      <c r="I251" s="9">
        <f>_xll.BQL("UAL US Equity", "FA_GROWTH(IS_EPS, YOY)", "FPT=A", "FPO=1A", "ACT_EST_MAPPING=PRECISE", "FS=MRC", "CURRENCY=USD", "XLFILL=b")</f>
        <v>12.336666983622255</v>
      </c>
      <c r="J251" s="9">
        <f>_xll.BQL("UAL US Equity", "FA_GROWTH(IS_EPS, YOY)", "FPT=A", "FPO=0A", "ACT_EST_MAPPING=PRECISE", "FS=MRC", "CURRENCY=USD", "XLFILL=b")</f>
        <v>253.09734513274344</v>
      </c>
      <c r="K251" s="9">
        <f>_xll.BQL("UAL US Equity", "FA_GROWTH(IS_EPS, YOY)", "FPT=A", "FPO=-1A", "ACT_EST_MAPPING=PRECISE", "FS=MRC", "CURRENCY=USD", "XLFILL=b")</f>
        <v>137.04918032786887</v>
      </c>
      <c r="L251" s="9">
        <f>_xll.BQL("UAL US Equity", "FA_GROWTH(IS_EPS, YOY)", "FPT=A", "FPO=-2A", "ACT_EST_MAPPING=PRECISE", "FS=MRC", "CURRENCY=USD", "XLFILL=b")</f>
        <v>75.889328063241109</v>
      </c>
      <c r="M251" s="9">
        <f>_xll.BQL("UAL US Equity", "FA_GROWTH(IS_EPS, YOY)", "FPT=A", "FPO=-3A", "ACT_EST_MAPPING=PRECISE", "FS=MRC", "CURRENCY=USD", "XLFILL=b")</f>
        <v>-318.48013816925737</v>
      </c>
      <c r="N251" s="9">
        <f>_xll.BQL("UAL US Equity", "FA_GROWTH(IS_EPS, YOY)", "FPT=A", "FPO=-4A", "ACT_EST_MAPPING=PRECISE", "FS=MRC", "CURRENCY=USD", "XLFILL=b")</f>
        <v>50.38961038961039</v>
      </c>
    </row>
    <row r="252" spans="1:14" x14ac:dyDescent="0.2">
      <c r="A252" s="8" t="s">
        <v>16</v>
      </c>
      <c r="B252" s="4"/>
      <c r="C252" s="4"/>
      <c r="D252" s="4"/>
      <c r="E252" s="9"/>
      <c r="F252" s="9"/>
      <c r="G252" s="9"/>
      <c r="H252" s="9"/>
      <c r="I252" s="9"/>
      <c r="J252" s="9"/>
      <c r="K252" s="9"/>
      <c r="L252" s="9"/>
      <c r="M252" s="9"/>
      <c r="N252" s="9"/>
    </row>
    <row r="253" spans="1:14" x14ac:dyDescent="0.2">
      <c r="A253" s="8" t="s">
        <v>225</v>
      </c>
      <c r="B253" s="4" t="s">
        <v>226</v>
      </c>
      <c r="C253" s="4"/>
      <c r="D253" s="4"/>
      <c r="E253" s="9">
        <f>_xll.BQL("UAL US Equity", "IS_REGULAR_CASH_DIVIDEND_PER_SH", "FPT=A", "FPO=5A", "ACT_EST_MAPPING=PRECISE", "FS=MRC", "CURRENCY=USD", "XLFILL=b")</f>
        <v>0</v>
      </c>
      <c r="F253" s="9">
        <f>_xll.BQL("UAL US Equity", "IS_REGULAR_CASH_DIVIDEND_PER_SH", "FPT=A", "FPO=4A", "ACT_EST_MAPPING=PRECISE", "FS=MRC", "CURRENCY=USD", "XLFILL=b")</f>
        <v>0</v>
      </c>
      <c r="G253" s="9">
        <f>_xll.BQL("UAL US Equity", "IS_REGULAR_CASH_DIVIDEND_PER_SH", "FPT=A", "FPO=3A", "ACT_EST_MAPPING=PRECISE", "FS=MRC", "CURRENCY=USD", "XLFILL=b")</f>
        <v>0</v>
      </c>
      <c r="H253" s="9">
        <f>_xll.BQL("UAL US Equity", "IS_REGULAR_CASH_DIVIDEND_PER_SH", "FPT=A", "FPO=2A", "ACT_EST_MAPPING=PRECISE", "FS=MRC", "CURRENCY=USD", "XLFILL=b")</f>
        <v>0</v>
      </c>
      <c r="I253" s="9">
        <f>_xll.BQL("UAL US Equity", "IS_REGULAR_CASH_DIVIDEND_PER_SH", "FPT=A", "FPO=1A", "ACT_EST_MAPPING=PRECISE", "FS=MRC", "CURRENCY=USD", "XLFILL=b")</f>
        <v>0</v>
      </c>
      <c r="J253" s="9">
        <f>_xll.BQL("UAL US Equity", "IS_REGULAR_CASH_DIVIDEND_PER_SH", "FPT=A", "FPO=0A", "ACT_EST_MAPPING=PRECISE", "FS=MRC", "CURRENCY=USD", "XLFILL=b")</f>
        <v>0</v>
      </c>
      <c r="K253" s="9">
        <f>_xll.BQL("UAL US Equity", "IS_REGULAR_CASH_DIVIDEND_PER_SH", "FPT=A", "FPO=-1A", "ACT_EST_MAPPING=PRECISE", "FS=MRC", "CURRENCY=USD", "XLFILL=b")</f>
        <v>0</v>
      </c>
      <c r="L253" s="9">
        <f>_xll.BQL("UAL US Equity", "IS_REGULAR_CASH_DIVIDEND_PER_SH", "FPT=A", "FPO=-2A", "ACT_EST_MAPPING=PRECISE", "FS=MRC", "CURRENCY=USD", "XLFILL=b")</f>
        <v>0</v>
      </c>
      <c r="M253" s="9">
        <f>_xll.BQL("UAL US Equity", "IS_REGULAR_CASH_DIVIDEND_PER_SH", "FPT=A", "FPO=-3A", "ACT_EST_MAPPING=PRECISE", "FS=MRC", "CURRENCY=USD", "XLFILL=b")</f>
        <v>0</v>
      </c>
      <c r="N253" s="9">
        <f>_xll.BQL("UAL US Equity", "IS_REGULAR_CASH_DIVIDEND_PER_SH", "FPT=A", "FPO=-4A", "ACT_EST_MAPPING=PRECISE", "FS=MRC", "CURRENCY=USD", "XLFILL=b")</f>
        <v>0</v>
      </c>
    </row>
    <row r="254" spans="1:14" x14ac:dyDescent="0.2">
      <c r="A254" s="8" t="s">
        <v>12</v>
      </c>
      <c r="B254" s="4" t="s">
        <v>226</v>
      </c>
      <c r="C254" s="4"/>
      <c r="D254" s="4"/>
      <c r="E254" s="9" t="str">
        <f>_xll.BQL("UAL US Equity", "FA_GROWTH(IS_REGULAR_CASH_DIVIDEND_PER_SH, YOY)", "FPT=A", "FPO=5A", "ACT_EST_MAPPING=PRECISE", "FS=MRC", "CURRENCY=USD", "XLFILL=b")</f>
        <v/>
      </c>
      <c r="F254" s="9" t="str">
        <f>_xll.BQL("UAL US Equity", "FA_GROWTH(IS_REGULAR_CASH_DIVIDEND_PER_SH, YOY)", "FPT=A", "FPO=4A", "ACT_EST_MAPPING=PRECISE", "FS=MRC", "CURRENCY=USD", "XLFILL=b")</f>
        <v/>
      </c>
      <c r="G254" s="9" t="str">
        <f>_xll.BQL("UAL US Equity", "FA_GROWTH(IS_REGULAR_CASH_DIVIDEND_PER_SH, YOY)", "FPT=A", "FPO=3A", "ACT_EST_MAPPING=PRECISE", "FS=MRC", "CURRENCY=USD", "XLFILL=b")</f>
        <v/>
      </c>
      <c r="H254" s="9" t="str">
        <f>_xll.BQL("UAL US Equity", "FA_GROWTH(IS_REGULAR_CASH_DIVIDEND_PER_SH, YOY)", "FPT=A", "FPO=2A", "ACT_EST_MAPPING=PRECISE", "FS=MRC", "CURRENCY=USD", "XLFILL=b")</f>
        <v/>
      </c>
      <c r="I254" s="9" t="str">
        <f>_xll.BQL("UAL US Equity", "FA_GROWTH(IS_REGULAR_CASH_DIVIDEND_PER_SH, YOY)", "FPT=A", "FPO=1A", "ACT_EST_MAPPING=PRECISE", "FS=MRC", "CURRENCY=USD", "XLFILL=b")</f>
        <v/>
      </c>
      <c r="J254" s="9" t="str">
        <f>_xll.BQL("UAL US Equity", "FA_GROWTH(IS_REGULAR_CASH_DIVIDEND_PER_SH, YOY)", "FPT=A", "FPO=0A", "ACT_EST_MAPPING=PRECISE", "FS=MRC", "CURRENCY=USD", "XLFILL=b")</f>
        <v/>
      </c>
      <c r="K254" s="9" t="str">
        <f>_xll.BQL("UAL US Equity", "FA_GROWTH(IS_REGULAR_CASH_DIVIDEND_PER_SH, YOY)", "FPT=A", "FPO=-1A", "ACT_EST_MAPPING=PRECISE", "FS=MRC", "CURRENCY=USD", "XLFILL=b")</f>
        <v/>
      </c>
      <c r="L254" s="9" t="str">
        <f>_xll.BQL("UAL US Equity", "FA_GROWTH(IS_REGULAR_CASH_DIVIDEND_PER_SH, YOY)", "FPT=A", "FPO=-2A", "ACT_EST_MAPPING=PRECISE", "FS=MRC", "CURRENCY=USD", "XLFILL=b")</f>
        <v/>
      </c>
      <c r="M254" s="9" t="str">
        <f>_xll.BQL("UAL US Equity", "FA_GROWTH(IS_REGULAR_CASH_DIVIDEND_PER_SH, YOY)", "FPT=A", "FPO=-3A", "ACT_EST_MAPPING=PRECISE", "FS=MRC", "CURRENCY=USD", "XLFILL=b")</f>
        <v/>
      </c>
      <c r="N254" s="9" t="str">
        <f>_xll.BQL("UAL US Equity", "FA_GROWTH(IS_REGULAR_CASH_DIVIDEND_PER_SH, YOY)", "FPT=A", "FPO=-4A", "ACT_EST_MAPPING=PRECISE", "FS=MRC", "CURRENCY=USD", "XLFILL=b")</f>
        <v/>
      </c>
    </row>
    <row r="255" spans="1:14" x14ac:dyDescent="0.2">
      <c r="A255" s="8" t="s">
        <v>16</v>
      </c>
      <c r="B255" s="4"/>
      <c r="C255" s="4"/>
      <c r="D255" s="4"/>
      <c r="E255" s="9"/>
      <c r="F255" s="9"/>
      <c r="G255" s="9"/>
      <c r="H255" s="9"/>
      <c r="I255" s="9"/>
      <c r="J255" s="9"/>
      <c r="K255" s="9"/>
      <c r="L255" s="9"/>
      <c r="M255" s="9"/>
      <c r="N255" s="9"/>
    </row>
    <row r="256" spans="1:14" x14ac:dyDescent="0.2">
      <c r="A256" s="8" t="s">
        <v>227</v>
      </c>
      <c r="B256" s="4"/>
      <c r="C256" s="4" t="s">
        <v>228</v>
      </c>
      <c r="D256" s="4"/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 spans="1:14" x14ac:dyDescent="0.2">
      <c r="A257" s="8" t="s">
        <v>229</v>
      </c>
      <c r="B257" s="4" t="s">
        <v>230</v>
      </c>
      <c r="C257" s="4"/>
      <c r="D257" s="4"/>
      <c r="E257" s="9" t="str">
        <f>_xll.BQL("UAL US Equity", "CB_IS_ADJUSTED_OPEX/1M", "FPT=A", "FPO=5A", "ACT_EST_MAPPING=PRECISE", "FS=MRC", "CURRENCY=USD", "XLFILL=b")</f>
        <v/>
      </c>
      <c r="F257" s="9" t="str">
        <f>_xll.BQL("UAL US Equity", "CB_IS_ADJUSTED_OPEX/1M", "FPT=A", "FPO=4A", "ACT_EST_MAPPING=PRECISE", "FS=MRC", "CURRENCY=USD", "XLFILL=b")</f>
        <v/>
      </c>
      <c r="G257" s="9">
        <f>_xll.BQL("UAL US Equity", "CB_IS_ADJUSTED_OPEX/1M", "FPT=A", "FPO=3A", "ACT_EST_MAPPING=PRECISE", "FS=MRC", "CURRENCY=USD", "XLFILL=b")</f>
        <v>44535.547379704782</v>
      </c>
      <c r="H257" s="9">
        <f>_xll.BQL("UAL US Equity", "CB_IS_ADJUSTED_OPEX/1M", "FPT=A", "FPO=2A", "ACT_EST_MAPPING=PRECISE", "FS=MRC", "CURRENCY=USD", "XLFILL=b")</f>
        <v>41591.362474762354</v>
      </c>
      <c r="I257" s="9">
        <f>_xll.BQL("UAL US Equity", "CB_IS_ADJUSTED_OPEX/1M", "FPT=A", "FPO=1A", "ACT_EST_MAPPING=PRECISE", "FS=MRC", "CURRENCY=USD", "XLFILL=b")</f>
        <v>38838.579743350674</v>
      </c>
      <c r="J257" s="9">
        <f>_xll.BQL("UAL US Equity", "CB_IS_ADJUSTED_OPEX/1M", "FPT=A", "FPO=0A", "ACT_EST_MAPPING=PRECISE", "FS=MRC", "CURRENCY=USD", "XLFILL=b")</f>
        <v>35033</v>
      </c>
      <c r="K257" s="9">
        <f>_xll.BQL("UAL US Equity", "CB_IS_ADJUSTED_OPEX/1M", "FPT=A", "FPO=-1A", "ACT_EST_MAPPING=PRECISE", "FS=MRC", "CURRENCY=USD", "XLFILL=b")</f>
        <v>29086</v>
      </c>
      <c r="L257" s="9">
        <f>_xll.BQL("UAL US Equity", "CB_IS_ADJUSTED_OPEX/1M", "FPT=A", "FPO=-2A", "ACT_EST_MAPPING=PRECISE", "FS=MRC", "CURRENCY=USD", "XLFILL=b")</f>
        <v>23149</v>
      </c>
      <c r="M257" s="9">
        <f>_xll.BQL("UAL US Equity", "CB_IS_ADJUSTED_OPEX/1M", "FPT=A", "FPO=-3A", "ACT_EST_MAPPING=PRECISE", "FS=MRC", "CURRENCY=USD", "XLFILL=b")</f>
        <v>21040</v>
      </c>
      <c r="N257" s="9">
        <f>_xll.BQL("UAL US Equity", "CB_IS_ADJUSTED_OPEX/1M", "FPT=A", "FPO=-4A", "ACT_EST_MAPPING=PRECISE", "FS=MRC", "CURRENCY=USD", "XLFILL=b")</f>
        <v>29100</v>
      </c>
    </row>
    <row r="258" spans="1:14" x14ac:dyDescent="0.2">
      <c r="A258" s="8" t="s">
        <v>20</v>
      </c>
      <c r="B258" s="4" t="s">
        <v>230</v>
      </c>
      <c r="C258" s="4"/>
      <c r="D258" s="4"/>
      <c r="E258" s="9" t="str">
        <f>_xll.BQL("UAL US Equity", "FA_GROWTH(CB_IS_ADJUSTED_OPEX, YOY)", "FPT=A", "FPO=5A", "ACT_EST_MAPPING=PRECISE", "FS=MRC", "CURRENCY=USD", "XLFILL=b")</f>
        <v/>
      </c>
      <c r="F258" s="9" t="str">
        <f>_xll.BQL("UAL US Equity", "FA_GROWTH(CB_IS_ADJUSTED_OPEX, YOY)", "FPT=A", "FPO=4A", "ACT_EST_MAPPING=PRECISE", "FS=MRC", "CURRENCY=USD", "XLFILL=b")</f>
        <v/>
      </c>
      <c r="G258" s="9">
        <f>_xll.BQL("UAL US Equity", "FA_GROWTH(CB_IS_ADJUSTED_OPEX, YOY)", "FPT=A", "FPO=3A", "ACT_EST_MAPPING=PRECISE", "FS=MRC", "CURRENCY=USD", "XLFILL=b")</f>
        <v>7.0788373589082605</v>
      </c>
      <c r="H258" s="9">
        <f>_xll.BQL("UAL US Equity", "FA_GROWTH(CB_IS_ADJUSTED_OPEX, YOY)", "FPT=A", "FPO=2A", "ACT_EST_MAPPING=PRECISE", "FS=MRC", "CURRENCY=USD", "XLFILL=b")</f>
        <v>7.0877533359930913</v>
      </c>
      <c r="I258" s="9">
        <f>_xll.BQL("UAL US Equity", "FA_GROWTH(CB_IS_ADJUSTED_OPEX, YOY)", "FPT=A", "FPO=1A", "ACT_EST_MAPPING=PRECISE", "FS=MRC", "CURRENCY=USD", "XLFILL=b")</f>
        <v>10.862842872008327</v>
      </c>
      <c r="J258" s="9">
        <f>_xll.BQL("UAL US Equity", "FA_GROWTH(CB_IS_ADJUSTED_OPEX, YOY)", "FPT=A", "FPO=0A", "ACT_EST_MAPPING=PRECISE", "FS=MRC", "CURRENCY=USD", "XLFILL=b")</f>
        <v>20.446262806848654</v>
      </c>
      <c r="K258" s="9">
        <f>_xll.BQL("UAL US Equity", "FA_GROWTH(CB_IS_ADJUSTED_OPEX, YOY)", "FPT=A", "FPO=-1A", "ACT_EST_MAPPING=PRECISE", "FS=MRC", "CURRENCY=USD", "XLFILL=b")</f>
        <v>25.646896194220052</v>
      </c>
      <c r="L258" s="9">
        <f>_xll.BQL("UAL US Equity", "FA_GROWTH(CB_IS_ADJUSTED_OPEX, YOY)", "FPT=A", "FPO=-2A", "ACT_EST_MAPPING=PRECISE", "FS=MRC", "CURRENCY=USD", "XLFILL=b")</f>
        <v>10.023764258555133</v>
      </c>
      <c r="M258" s="9">
        <f>_xll.BQL("UAL US Equity", "FA_GROWTH(CB_IS_ADJUSTED_OPEX, YOY)", "FPT=A", "FPO=-3A", "ACT_EST_MAPPING=PRECISE", "FS=MRC", "CURRENCY=USD", "XLFILL=b")</f>
        <v>-27.697594501718214</v>
      </c>
      <c r="N258" s="9">
        <f>_xll.BQL("UAL US Equity", "FA_GROWTH(CB_IS_ADJUSTED_OPEX, YOY)", "FPT=A", "FPO=-4A", "ACT_EST_MAPPING=PRECISE", "FS=MRC", "CURRENCY=USD", "XLFILL=b")</f>
        <v>-22.57961529252135</v>
      </c>
    </row>
    <row r="259" spans="1:14" x14ac:dyDescent="0.2">
      <c r="A259" s="8" t="s">
        <v>231</v>
      </c>
      <c r="B259" s="4" t="s">
        <v>232</v>
      </c>
      <c r="C259" s="4" t="s">
        <v>173</v>
      </c>
      <c r="D259" s="4"/>
      <c r="E259" s="9">
        <f>_xll.BQL("UAL US Equity", "IS_COMPARABLE_EBIT/1M", "FPT=A", "FPO=5A", "ACT_EST_MAPPING=PRECISE", "FS=MRC", "CURRENCY=USD", "XLFILL=b")</f>
        <v>7236.333333333333</v>
      </c>
      <c r="F259" s="9">
        <f>_xll.BQL("UAL US Equity", "IS_COMPARABLE_EBIT/1M", "FPT=A", "FPO=4A", "ACT_EST_MAPPING=PRECISE", "FS=MRC", "CURRENCY=USD", "XLFILL=b")</f>
        <v>6462.5</v>
      </c>
      <c r="G259" s="9">
        <f>_xll.BQL("UAL US Equity", "IS_COMPARABLE_EBIT/1M", "FPT=A", "FPO=3A", "ACT_EST_MAPPING=PRECISE", "FS=MRC", "CURRENCY=USD", "XLFILL=b")</f>
        <v>6336.7142857142862</v>
      </c>
      <c r="H259" s="9">
        <f>_xll.BQL("UAL US Equity", "IS_COMPARABLE_EBIT/1M", "FPT=A", "FPO=2A", "ACT_EST_MAPPING=PRECISE", "FS=MRC", "CURRENCY=USD", "XLFILL=b")</f>
        <v>5689.9411764705883</v>
      </c>
      <c r="I259" s="9">
        <f>_xll.BQL("UAL US Equity", "IS_COMPARABLE_EBIT/1M", "FPT=A", "FPO=1A", "ACT_EST_MAPPING=PRECISE", "FS=MRC", "CURRENCY=USD", "XLFILL=b")</f>
        <v>4893.1176470588234</v>
      </c>
      <c r="J259" s="9">
        <f>_xll.BQL("UAL US Equity", "IS_COMPARABLE_EBIT/1M", "FPT=A", "FPO=0A", "ACT_EST_MAPPING=PRECISE", "FS=MRC", "CURRENCY=USD", "XLFILL=b")</f>
        <v>5160</v>
      </c>
      <c r="K259" s="9">
        <f>_xll.BQL("UAL US Equity", "IS_COMPARABLE_EBIT/1M", "FPT=A", "FPO=-1A", "ACT_EST_MAPPING=PRECISE", "FS=MRC", "CURRENCY=USD", "XLFILL=b")</f>
        <v>2477</v>
      </c>
      <c r="L259" s="9">
        <f>_xll.BQL("UAL US Equity", "IS_COMPARABLE_EBIT/1M", "FPT=A", "FPO=-2A", "ACT_EST_MAPPING=PRECISE", "FS=MRC", "CURRENCY=USD", "XLFILL=b")</f>
        <v>-4389</v>
      </c>
      <c r="M259" s="9">
        <f>_xll.BQL("UAL US Equity", "IS_COMPARABLE_EBIT/1M", "FPT=A", "FPO=-3A", "ACT_EST_MAPPING=PRECISE", "FS=MRC", "CURRENCY=USD", "XLFILL=b")</f>
        <v>-8975</v>
      </c>
      <c r="N259" s="9">
        <f>_xll.BQL("UAL US Equity", "IS_COMPARABLE_EBIT/1M", "FPT=A", "FPO=-4A", "ACT_EST_MAPPING=PRECISE", "FS=MRC", "CURRENCY=USD", "XLFILL=b")</f>
        <v>4547</v>
      </c>
    </row>
    <row r="260" spans="1:14" x14ac:dyDescent="0.2">
      <c r="A260" s="8" t="s">
        <v>20</v>
      </c>
      <c r="B260" s="4" t="s">
        <v>232</v>
      </c>
      <c r="C260" s="4" t="s">
        <v>173</v>
      </c>
      <c r="D260" s="4"/>
      <c r="E260" s="9">
        <f>_xll.BQL("UAL US Equity", "FA_GROWTH(IS_COMPARABLE_EBIT, YOY)", "FPT=A", "FPO=5A", "ACT_EST_MAPPING=PRECISE", "FS=MRC", "CURRENCY=USD", "XLFILL=b")</f>
        <v>11.974210186976139</v>
      </c>
      <c r="F260" s="9">
        <f>_xll.BQL("UAL US Equity", "FA_GROWTH(IS_COMPARABLE_EBIT, YOY)", "FPT=A", "FPO=4A", "ACT_EST_MAPPING=PRECISE", "FS=MRC", "CURRENCY=USD", "XLFILL=b")</f>
        <v>1.9850305476024055</v>
      </c>
      <c r="G260" s="9">
        <f>_xll.BQL("UAL US Equity", "FA_GROWTH(IS_COMPARABLE_EBIT, YOY)", "FPT=A", "FPO=3A", "ACT_EST_MAPPING=PRECISE", "FS=MRC", "CURRENCY=USD", "XLFILL=b")</f>
        <v>11.366955987493773</v>
      </c>
      <c r="H260" s="9">
        <f>_xll.BQL("UAL US Equity", "FA_GROWTH(IS_COMPARABLE_EBIT, YOY)", "FPT=A", "FPO=2A", "ACT_EST_MAPPING=PRECISE", "FS=MRC", "CURRENCY=USD", "XLFILL=b")</f>
        <v>16.28457737758918</v>
      </c>
      <c r="I260" s="9">
        <f>_xll.BQL("UAL US Equity", "FA_GROWTH(IS_COMPARABLE_EBIT, YOY)", "FPT=A", "FPO=1A", "ACT_EST_MAPPING=PRECISE", "FS=MRC", "CURRENCY=USD", "XLFILL=b")</f>
        <v>-5.1721386228910156</v>
      </c>
      <c r="J260" s="9">
        <f>_xll.BQL("UAL US Equity", "FA_GROWTH(IS_COMPARABLE_EBIT, YOY)", "FPT=A", "FPO=0A", "ACT_EST_MAPPING=PRECISE", "FS=MRC", "CURRENCY=USD", "XLFILL=b")</f>
        <v>108.31651190956802</v>
      </c>
      <c r="K260" s="9">
        <f>_xll.BQL("UAL US Equity", "FA_GROWTH(IS_COMPARABLE_EBIT, YOY)", "FPT=A", "FPO=-1A", "ACT_EST_MAPPING=PRECISE", "FS=MRC", "CURRENCY=USD", "XLFILL=b")</f>
        <v>156.43654591023011</v>
      </c>
      <c r="L260" s="9">
        <f>_xll.BQL("UAL US Equity", "FA_GROWTH(IS_COMPARABLE_EBIT, YOY)", "FPT=A", "FPO=-2A", "ACT_EST_MAPPING=PRECISE", "FS=MRC", "CURRENCY=USD", "XLFILL=b")</f>
        <v>51.097493036211702</v>
      </c>
      <c r="M260" s="9">
        <f>_xll.BQL("UAL US Equity", "FA_GROWTH(IS_COMPARABLE_EBIT, YOY)", "FPT=A", "FPO=-3A", "ACT_EST_MAPPING=PRECISE", "FS=MRC", "CURRENCY=USD", "XLFILL=b")</f>
        <v>-297.38288981746206</v>
      </c>
      <c r="N260" s="9">
        <f>_xll.BQL("UAL US Equity", "FA_GROWTH(IS_COMPARABLE_EBIT, YOY)", "FPT=A", "FPO=-4A", "ACT_EST_MAPPING=PRECISE", "FS=MRC", "CURRENCY=USD", "XLFILL=b")</f>
        <v>20.322836729293464</v>
      </c>
    </row>
    <row r="261" spans="1:14" x14ac:dyDescent="0.2">
      <c r="A261" s="8" t="s">
        <v>233</v>
      </c>
      <c r="B261" s="4" t="s">
        <v>234</v>
      </c>
      <c r="C261" s="4" t="s">
        <v>176</v>
      </c>
      <c r="D261" s="4"/>
      <c r="E261" s="9">
        <f>_xll.BQL("UAL US Equity", "CB_IS_ADJ_OPERATING_MARGIN", "FPT=A", "FPO=5A", "ACT_EST_MAPPING=PRECISE", "FS=MRC", "CURRENCY=USD", "XLFILL=b")</f>
        <v>11.023395658872007</v>
      </c>
      <c r="F261" s="9">
        <f>_xll.BQL("UAL US Equity", "CB_IS_ADJ_OPERATING_MARGIN", "FPT=A", "FPO=4A", "ACT_EST_MAPPING=PRECISE", "FS=MRC", "CURRENCY=USD", "XLFILL=b")</f>
        <v>10.307562044892791</v>
      </c>
      <c r="G261" s="9">
        <f>_xll.BQL("UAL US Equity", "CB_IS_ADJ_OPERATING_MARGIN", "FPT=A", "FPO=3A", "ACT_EST_MAPPING=PRECISE", "FS=MRC", "CURRENCY=USD", "XLFILL=b")</f>
        <v>9.9474039143348154</v>
      </c>
      <c r="H261" s="9">
        <f>_xll.BQL("UAL US Equity", "CB_IS_ADJ_OPERATING_MARGIN", "FPT=A", "FPO=2A", "ACT_EST_MAPPING=PRECISE", "FS=MRC", "CURRENCY=USD", "XLFILL=b")</f>
        <v>9.0923083265193601</v>
      </c>
      <c r="I261" s="9">
        <f>_xll.BQL("UAL US Equity", "CB_IS_ADJ_OPERATING_MARGIN", "FPT=A", "FPO=1A", "ACT_EST_MAPPING=PRECISE", "FS=MRC", "CURRENCY=USD", "XLFILL=b")</f>
        <v>8.240807553972008</v>
      </c>
      <c r="J261" s="9">
        <f>_xll.BQL("UAL US Equity", "CB_IS_ADJ_OPERATING_MARGIN", "FPT=A", "FPO=0A", "ACT_EST_MAPPING=PRECISE", "FS=MRC", "CURRENCY=USD", "XLFILL=b")</f>
        <v>9.6</v>
      </c>
      <c r="K261" s="9">
        <f>_xll.BQL("UAL US Equity", "CB_IS_ADJ_OPERATING_MARGIN", "FPT=A", "FPO=-1A", "ACT_EST_MAPPING=PRECISE", "FS=MRC", "CURRENCY=USD", "XLFILL=b")</f>
        <v>5.5</v>
      </c>
      <c r="L261" s="9">
        <f>_xll.BQL("UAL US Equity", "CB_IS_ADJ_OPERATING_MARGIN", "FPT=A", "FPO=-2A", "ACT_EST_MAPPING=PRECISE", "FS=MRC", "CURRENCY=USD", "XLFILL=b")</f>
        <v>-17.8</v>
      </c>
      <c r="M261" s="9">
        <f>_xll.BQL("UAL US Equity", "CB_IS_ADJ_OPERATING_MARGIN", "FPT=A", "FPO=-3A", "ACT_EST_MAPPING=PRECISE", "FS=MRC", "CURRENCY=USD", "XLFILL=b")</f>
        <v>-58.5</v>
      </c>
      <c r="N261" s="9">
        <f>_xll.BQL("UAL US Equity", "CB_IS_ADJ_OPERATING_MARGIN", "FPT=A", "FPO=-4A", "ACT_EST_MAPPING=PRECISE", "FS=MRC", "CURRENCY=USD", "XLFILL=b")</f>
        <v>10.5</v>
      </c>
    </row>
    <row r="262" spans="1:14" x14ac:dyDescent="0.2">
      <c r="A262" s="8" t="s">
        <v>86</v>
      </c>
      <c r="B262" s="4" t="s">
        <v>234</v>
      </c>
      <c r="C262" s="4" t="s">
        <v>176</v>
      </c>
      <c r="D262" s="4"/>
      <c r="E262" s="9">
        <f>_xll.BQL("UAL US Equity", "FA_GROWTH(CB_IS_ADJ_OPERATING_MARGIN, YOY)", "FPT=A", "FPO=5A", "ACT_EST_MAPPING=PRECISE", "FS=MRC", "CURRENCY=USD", "XLFILL=b")</f>
        <v>6.9447422277113366</v>
      </c>
      <c r="F262" s="9">
        <f>_xll.BQL("UAL US Equity", "FA_GROWTH(CB_IS_ADJ_OPERATING_MARGIN, YOY)", "FPT=A", "FPO=4A", "ACT_EST_MAPPING=PRECISE", "FS=MRC", "CURRENCY=USD", "XLFILL=b")</f>
        <v>3.6206243725457399</v>
      </c>
      <c r="G262" s="9">
        <f>_xll.BQL("UAL US Equity", "FA_GROWTH(CB_IS_ADJ_OPERATING_MARGIN, YOY)", "FPT=A", "FPO=3A", "ACT_EST_MAPPING=PRECISE", "FS=MRC", "CURRENCY=USD", "XLFILL=b")</f>
        <v>9.4046039477281536</v>
      </c>
      <c r="H262" s="9">
        <f>_xll.BQL("UAL US Equity", "FA_GROWTH(CB_IS_ADJ_OPERATING_MARGIN, YOY)", "FPT=A", "FPO=2A", "ACT_EST_MAPPING=PRECISE", "FS=MRC", "CURRENCY=USD", "XLFILL=b")</f>
        <v>10.332734589062634</v>
      </c>
      <c r="I262" s="9">
        <f>_xll.BQL("UAL US Equity", "FA_GROWTH(CB_IS_ADJ_OPERATING_MARGIN, YOY)", "FPT=A", "FPO=1A", "ACT_EST_MAPPING=PRECISE", "FS=MRC", "CURRENCY=USD", "XLFILL=b")</f>
        <v>-14.158254646124913</v>
      </c>
      <c r="J262" s="9">
        <f>_xll.BQL("UAL US Equity", "FA_GROWTH(CB_IS_ADJ_OPERATING_MARGIN, YOY)", "FPT=A", "FPO=0A", "ACT_EST_MAPPING=PRECISE", "FS=MRC", "CURRENCY=USD", "XLFILL=b")</f>
        <v>74.545454545454533</v>
      </c>
      <c r="K262" s="9">
        <f>_xll.BQL("UAL US Equity", "FA_GROWTH(CB_IS_ADJ_OPERATING_MARGIN, YOY)", "FPT=A", "FPO=-1A", "ACT_EST_MAPPING=PRECISE", "FS=MRC", "CURRENCY=USD", "XLFILL=b")</f>
        <v>130.89887640449439</v>
      </c>
      <c r="L262" s="9">
        <f>_xll.BQL("UAL US Equity", "FA_GROWTH(CB_IS_ADJ_OPERATING_MARGIN, YOY)", "FPT=A", "FPO=-2A", "ACT_EST_MAPPING=PRECISE", "FS=MRC", "CURRENCY=USD", "XLFILL=b")</f>
        <v>69.572649572649581</v>
      </c>
      <c r="M262" s="9">
        <f>_xll.BQL("UAL US Equity", "FA_GROWTH(CB_IS_ADJ_OPERATING_MARGIN, YOY)", "FPT=A", "FPO=-3A", "ACT_EST_MAPPING=PRECISE", "FS=MRC", "CURRENCY=USD", "XLFILL=b")</f>
        <v>-657.14285714285711</v>
      </c>
      <c r="N262" s="9">
        <f>_xll.BQL("UAL US Equity", "FA_GROWTH(CB_IS_ADJ_OPERATING_MARGIN, YOY)", "FPT=A", "FPO=-4A", "ACT_EST_MAPPING=PRECISE", "FS=MRC", "CURRENCY=USD", "XLFILL=b")</f>
        <v>16.666666666666668</v>
      </c>
    </row>
    <row r="263" spans="1:14" x14ac:dyDescent="0.2">
      <c r="A263" s="8" t="s">
        <v>235</v>
      </c>
      <c r="B263" s="4" t="s">
        <v>236</v>
      </c>
      <c r="C263" s="4" t="s">
        <v>178</v>
      </c>
      <c r="D263" s="4"/>
      <c r="E263" s="9">
        <f>_xll.BQL("UAL US Equity", "IS_COMPARABLE_EBITDA/1M", "FPT=A", "FPO=5A", "ACT_EST_MAPPING=PRECISE", "FS=MRC", "CURRENCY=USD", "XLFILL=b")</f>
        <v>11277.5</v>
      </c>
      <c r="F263" s="9">
        <f>_xll.BQL("UAL US Equity", "IS_COMPARABLE_EBITDA/1M", "FPT=A", "FPO=4A", "ACT_EST_MAPPING=PRECISE", "FS=MRC", "CURRENCY=USD", "XLFILL=b")</f>
        <v>10637.5</v>
      </c>
      <c r="G263" s="9">
        <f>_xll.BQL("UAL US Equity", "IS_COMPARABLE_EBITDA/1M", "FPT=A", "FPO=3A", "ACT_EST_MAPPING=PRECISE", "FS=MRC", "CURRENCY=USD", "XLFILL=b")</f>
        <v>9842.454545454546</v>
      </c>
      <c r="H263" s="9">
        <f>_xll.BQL("UAL US Equity", "IS_COMPARABLE_EBITDA/1M", "FPT=A", "FPO=2A", "ACT_EST_MAPPING=PRECISE", "FS=MRC", "CURRENCY=USD", "XLFILL=b")</f>
        <v>8747.8125</v>
      </c>
      <c r="I263" s="9">
        <f>_xll.BQL("UAL US Equity", "IS_COMPARABLE_EBITDA/1M", "FPT=A", "FPO=1A", "ACT_EST_MAPPING=PRECISE", "FS=MRC", "CURRENCY=USD", "XLFILL=b")</f>
        <v>7769.4375</v>
      </c>
      <c r="J263" s="9">
        <f>_xll.BQL("UAL US Equity", "IS_COMPARABLE_EBITDA/1M", "FPT=A", "FPO=0A", "ACT_EST_MAPPING=PRECISE", "FS=MRC", "CURRENCY=USD", "XLFILL=b")</f>
        <v>7938</v>
      </c>
      <c r="K263" s="9">
        <f>_xll.BQL("UAL US Equity", "IS_COMPARABLE_EBITDA/1M", "FPT=A", "FPO=-1A", "ACT_EST_MAPPING=PRECISE", "FS=MRC", "CURRENCY=USD", "XLFILL=b")</f>
        <v>4933</v>
      </c>
      <c r="L263" s="9">
        <f>_xll.BQL("UAL US Equity", "IS_COMPARABLE_EBITDA/1M", "FPT=A", "FPO=-2A", "ACT_EST_MAPPING=PRECISE", "FS=MRC", "CURRENCY=USD", "XLFILL=b")</f>
        <v>-1904</v>
      </c>
      <c r="M263" s="9">
        <f>_xll.BQL("UAL US Equity", "IS_COMPARABLE_EBITDA/1M", "FPT=A", "FPO=-3A", "ACT_EST_MAPPING=PRECISE", "FS=MRC", "CURRENCY=USD", "XLFILL=b")</f>
        <v>-6487</v>
      </c>
      <c r="N263" s="9">
        <f>_xll.BQL("UAL US Equity", "IS_COMPARABLE_EBITDA/1M", "FPT=A", "FPO=-4A", "ACT_EST_MAPPING=PRECISE", "FS=MRC", "CURRENCY=USD", "XLFILL=b")</f>
        <v>6835</v>
      </c>
    </row>
    <row r="264" spans="1:14" x14ac:dyDescent="0.2">
      <c r="A264" s="8" t="s">
        <v>20</v>
      </c>
      <c r="B264" s="4" t="s">
        <v>236</v>
      </c>
      <c r="C264" s="4" t="s">
        <v>178</v>
      </c>
      <c r="D264" s="4"/>
      <c r="E264" s="9">
        <f>_xll.BQL("UAL US Equity", "FA_GROWTH(IS_COMPARABLE_EBITDA, YOY)", "FPT=A", "FPO=5A", "ACT_EST_MAPPING=PRECISE", "FS=MRC", "CURRENCY=USD", "XLFILL=b")</f>
        <v>6.0164512338425382</v>
      </c>
      <c r="F264" s="9">
        <f>_xll.BQL("UAL US Equity", "FA_GROWTH(IS_COMPARABLE_EBITDA, YOY)", "FPT=A", "FPO=4A", "ACT_EST_MAPPING=PRECISE", "FS=MRC", "CURRENCY=USD", "XLFILL=b")</f>
        <v>8.0777152779701975</v>
      </c>
      <c r="G264" s="9">
        <f>_xll.BQL("UAL US Equity", "FA_GROWTH(IS_COMPARABLE_EBITDA, YOY)", "FPT=A", "FPO=3A", "ACT_EST_MAPPING=PRECISE", "FS=MRC", "CURRENCY=USD", "XLFILL=b")</f>
        <v>12.513323135978805</v>
      </c>
      <c r="H264" s="9">
        <f>_xll.BQL("UAL US Equity", "FA_GROWTH(IS_COMPARABLE_EBITDA, YOY)", "FPT=A", "FPO=2A", "ACT_EST_MAPPING=PRECISE", "FS=MRC", "CURRENCY=USD", "XLFILL=b")</f>
        <v>12.592610468904603</v>
      </c>
      <c r="I264" s="9">
        <f>_xll.BQL("UAL US Equity", "FA_GROWTH(IS_COMPARABLE_EBITDA, YOY)", "FPT=A", "FPO=1A", "ACT_EST_MAPPING=PRECISE", "FS=MRC", "CURRENCY=USD", "XLFILL=b")</f>
        <v>-2.12348828420257</v>
      </c>
      <c r="J264" s="9">
        <f>_xll.BQL("UAL US Equity", "FA_GROWTH(IS_COMPARABLE_EBITDA, YOY)", "FPT=A", "FPO=0A", "ACT_EST_MAPPING=PRECISE", "FS=MRC", "CURRENCY=USD", "XLFILL=b")</f>
        <v>60.916278126900465</v>
      </c>
      <c r="K264" s="9">
        <f>_xll.BQL("UAL US Equity", "FA_GROWTH(IS_COMPARABLE_EBITDA, YOY)", "FPT=A", "FPO=-1A", "ACT_EST_MAPPING=PRECISE", "FS=MRC", "CURRENCY=USD", "XLFILL=b")</f>
        <v>359.08613445378154</v>
      </c>
      <c r="L264" s="9">
        <f>_xll.BQL("UAL US Equity", "FA_GROWTH(IS_COMPARABLE_EBITDA, YOY)", "FPT=A", "FPO=-2A", "ACT_EST_MAPPING=PRECISE", "FS=MRC", "CURRENCY=USD", "XLFILL=b")</f>
        <v>70.648990288268848</v>
      </c>
      <c r="M264" s="9">
        <f>_xll.BQL("UAL US Equity", "FA_GROWTH(IS_COMPARABLE_EBITDA, YOY)", "FPT=A", "FPO=-3A", "ACT_EST_MAPPING=PRECISE", "FS=MRC", "CURRENCY=USD", "XLFILL=b")</f>
        <v>-194.90855888807607</v>
      </c>
      <c r="N264" s="9">
        <f>_xll.BQL("UAL US Equity", "FA_GROWTH(IS_COMPARABLE_EBITDA, YOY)", "FPT=A", "FPO=-4A", "ACT_EST_MAPPING=PRECISE", "FS=MRC", "CURRENCY=USD", "XLFILL=b")</f>
        <v>13.557069280611397</v>
      </c>
    </row>
    <row r="265" spans="1:14" x14ac:dyDescent="0.2">
      <c r="A265" s="8" t="s">
        <v>237</v>
      </c>
      <c r="B265" s="4" t="s">
        <v>238</v>
      </c>
      <c r="C265" s="4"/>
      <c r="D265" s="4"/>
      <c r="E265" s="9">
        <f>_xll.BQL("UAL US Equity", "CB_IS_ADJ_EBITDA_MARGIN", "FPT=A", "FPO=5A", "ACT_EST_MAPPING=PRECISE", "FS=MRC", "CURRENCY=USD", "XLFILL=b")</f>
        <v>16.909877041756531</v>
      </c>
      <c r="F265" s="9">
        <f>_xll.BQL("UAL US Equity", "CB_IS_ADJ_EBITDA_MARGIN", "FPT=A", "FPO=4A", "ACT_EST_MAPPING=PRECISE", "FS=MRC", "CURRENCY=USD", "XLFILL=b")</f>
        <v>16.060259384357281</v>
      </c>
      <c r="G265" s="9">
        <f>_xll.BQL("UAL US Equity", "CB_IS_ADJ_EBITDA_MARGIN", "FPT=A", "FPO=3A", "ACT_EST_MAPPING=PRECISE", "FS=MRC", "CURRENCY=USD", "XLFILL=b")</f>
        <v>15.289263470168384</v>
      </c>
      <c r="H265" s="9">
        <f>_xll.BQL("UAL US Equity", "CB_IS_ADJ_EBITDA_MARGIN", "FPT=A", "FPO=2A", "ACT_EST_MAPPING=PRECISE", "FS=MRC", "CURRENCY=USD", "XLFILL=b")</f>
        <v>14.098949573810035</v>
      </c>
      <c r="I265" s="9">
        <f>_xll.BQL("UAL US Equity", "CB_IS_ADJ_EBITDA_MARGIN", "FPT=A", "FPO=1A", "ACT_EST_MAPPING=PRECISE", "FS=MRC", "CURRENCY=USD", "XLFILL=b")</f>
        <v>13.156632295737301</v>
      </c>
      <c r="J265" s="9">
        <f>_xll.BQL("UAL US Equity", "CB_IS_ADJ_EBITDA_MARGIN", "FPT=A", "FPO=0A", "ACT_EST_MAPPING=PRECISE", "FS=MRC", "CURRENCY=USD", "XLFILL=b")</f>
        <v>14.8</v>
      </c>
      <c r="K265" s="9" t="str">
        <f>_xll.BQL("UAL US Equity", "CB_IS_ADJ_EBITDA_MARGIN", "FPT=A", "FPO=-1A", "ACT_EST_MAPPING=PRECISE", "FS=MRC", "CURRENCY=USD", "XLFILL=b")</f>
        <v/>
      </c>
      <c r="L265" s="9" t="str">
        <f>_xll.BQL("UAL US Equity", "CB_IS_ADJ_EBITDA_MARGIN", "FPT=A", "FPO=-2A", "ACT_EST_MAPPING=PRECISE", "FS=MRC", "CURRENCY=USD", "XLFILL=b")</f>
        <v/>
      </c>
      <c r="M265" s="9" t="str">
        <f>_xll.BQL("UAL US Equity", "CB_IS_ADJ_EBITDA_MARGIN", "FPT=A", "FPO=-3A", "ACT_EST_MAPPING=PRECISE", "FS=MRC", "CURRENCY=USD", "XLFILL=b")</f>
        <v/>
      </c>
      <c r="N265" s="9" t="str">
        <f>_xll.BQL("UAL US Equity", "CB_IS_ADJ_EBITDA_MARGIN", "FPT=A", "FPO=-4A", "ACT_EST_MAPPING=PRECISE", "FS=MRC", "CURRENCY=USD", "XLFILL=b")</f>
        <v/>
      </c>
    </row>
    <row r="266" spans="1:14" x14ac:dyDescent="0.2">
      <c r="A266" s="8" t="s">
        <v>86</v>
      </c>
      <c r="B266" s="4" t="s">
        <v>238</v>
      </c>
      <c r="C266" s="4"/>
      <c r="D266" s="4"/>
      <c r="E266" s="9">
        <f>_xll.BQL("UAL US Equity", "FA_GROWTH(CB_IS_ADJ_EBITDA_MARGIN, YOY)", "FPT=A", "FPO=5A", "ACT_EST_MAPPING=PRECISE", "FS=MRC", "CURRENCY=USD", "XLFILL=b")</f>
        <v>5.2901863977787249</v>
      </c>
      <c r="F266" s="9">
        <f>_xll.BQL("UAL US Equity", "FA_GROWTH(CB_IS_ADJ_EBITDA_MARGIN, YOY)", "FPT=A", "FPO=4A", "ACT_EST_MAPPING=PRECISE", "FS=MRC", "CURRENCY=USD", "XLFILL=b")</f>
        <v>5.0427276349395331</v>
      </c>
      <c r="G266" s="9">
        <f>_xll.BQL("UAL US Equity", "FA_GROWTH(CB_IS_ADJ_EBITDA_MARGIN, YOY)", "FPT=A", "FPO=3A", "ACT_EST_MAPPING=PRECISE", "FS=MRC", "CURRENCY=USD", "XLFILL=b")</f>
        <v>8.4425714846831958</v>
      </c>
      <c r="H266" s="9">
        <f>_xll.BQL("UAL US Equity", "FA_GROWTH(CB_IS_ADJ_EBITDA_MARGIN, YOY)", "FPT=A", "FPO=2A", "ACT_EST_MAPPING=PRECISE", "FS=MRC", "CURRENCY=USD", "XLFILL=b")</f>
        <v>7.1622985038355225</v>
      </c>
      <c r="I266" s="9">
        <f>_xll.BQL("UAL US Equity", "FA_GROWTH(CB_IS_ADJ_EBITDA_MARGIN, YOY)", "FPT=A", "FPO=1A", "ACT_EST_MAPPING=PRECISE", "FS=MRC", "CURRENCY=USD", "XLFILL=b")</f>
        <v>-11.103835839612833</v>
      </c>
      <c r="J266" s="9" t="str">
        <f>_xll.BQL("UAL US Equity", "FA_GROWTH(CB_IS_ADJ_EBITDA_MARGIN, YOY)", "FPT=A", "FPO=0A", "ACT_EST_MAPPING=PRECISE", "FS=MRC", "CURRENCY=USD", "XLFILL=b")</f>
        <v/>
      </c>
      <c r="K266" s="9" t="str">
        <f>_xll.BQL("UAL US Equity", "FA_GROWTH(CB_IS_ADJ_EBITDA_MARGIN, YOY)", "FPT=A", "FPO=-1A", "ACT_EST_MAPPING=PRECISE", "FS=MRC", "CURRENCY=USD", "XLFILL=b")</f>
        <v/>
      </c>
      <c r="L266" s="9" t="str">
        <f>_xll.BQL("UAL US Equity", "FA_GROWTH(CB_IS_ADJ_EBITDA_MARGIN, YOY)", "FPT=A", "FPO=-2A", "ACT_EST_MAPPING=PRECISE", "FS=MRC", "CURRENCY=USD", "XLFILL=b")</f>
        <v/>
      </c>
      <c r="M266" s="9" t="str">
        <f>_xll.BQL("UAL US Equity", "FA_GROWTH(CB_IS_ADJ_EBITDA_MARGIN, YOY)", "FPT=A", "FPO=-3A", "ACT_EST_MAPPING=PRECISE", "FS=MRC", "CURRENCY=USD", "XLFILL=b")</f>
        <v/>
      </c>
      <c r="N266" s="9" t="str">
        <f>_xll.BQL("UAL US Equity", "FA_GROWTH(CB_IS_ADJ_EBITDA_MARGIN, YOY)", "FPT=A", "FPO=-4A", "ACT_EST_MAPPING=PRECISE", "FS=MRC", "CURRENCY=USD", "XLFILL=b")</f>
        <v/>
      </c>
    </row>
    <row r="267" spans="1:14" x14ac:dyDescent="0.2">
      <c r="A267" s="8" t="s">
        <v>239</v>
      </c>
      <c r="B267" s="4" t="s">
        <v>51</v>
      </c>
      <c r="C267" s="4"/>
      <c r="D267" s="4"/>
      <c r="E267" s="9" t="str">
        <f>_xll.BQL("UAL US Equity", "AIRLINES_EBITDAR_RATIO/1M", "FPT=A", "FPO=5A", "ACT_EST_MAPPING=PRECISE", "FS=MRC", "CURRENCY=USD", "XLFILL=b")</f>
        <v/>
      </c>
      <c r="F267" s="9" t="str">
        <f>_xll.BQL("UAL US Equity", "AIRLINES_EBITDAR_RATIO/1M", "FPT=A", "FPO=4A", "ACT_EST_MAPPING=PRECISE", "FS=MRC", "CURRENCY=USD", "XLFILL=b")</f>
        <v/>
      </c>
      <c r="G267" s="9">
        <f>_xll.BQL("UAL US Equity", "AIRLINES_EBITDAR_RATIO/1M", "FPT=A", "FPO=3A", "ACT_EST_MAPPING=PRECISE", "FS=MRC", "CURRENCY=USD", "XLFILL=b")</f>
        <v>9339.0495630018086</v>
      </c>
      <c r="H267" s="9">
        <f>_xll.BQL("UAL US Equity", "AIRLINES_EBITDAR_RATIO/1M", "FPT=A", "FPO=2A", "ACT_EST_MAPPING=PRECISE", "FS=MRC", "CURRENCY=USD", "XLFILL=b")</f>
        <v>8639.0819564537869</v>
      </c>
      <c r="I267" s="9">
        <f>_xll.BQL("UAL US Equity", "AIRLINES_EBITDAR_RATIO/1M", "FPT=A", "FPO=1A", "ACT_EST_MAPPING=PRECISE", "FS=MRC", "CURRENCY=USD", "XLFILL=b")</f>
        <v>7900.8327238580587</v>
      </c>
      <c r="J267" s="9">
        <f>_xll.BQL("UAL US Equity", "AIRLINES_EBITDAR_RATIO/1M", "FPT=A", "FPO=0A", "ACT_EST_MAPPING=PRECISE", "FS=MRC", "CURRENCY=USD", "XLFILL=b")</f>
        <v>7768</v>
      </c>
      <c r="K267" s="9">
        <f>_xll.BQL("UAL US Equity", "AIRLINES_EBITDAR_RATIO/1M", "FPT=A", "FPO=-1A", "ACT_EST_MAPPING=PRECISE", "FS=MRC", "CURRENCY=USD", "XLFILL=b")</f>
        <v>5701</v>
      </c>
      <c r="L267" s="9">
        <f>_xll.BQL("UAL US Equity", "AIRLINES_EBITDAR_RATIO/1M", "FPT=A", "FPO=-2A", "ACT_EST_MAPPING=PRECISE", "FS=MRC", "CURRENCY=USD", "XLFILL=b")</f>
        <v>2395</v>
      </c>
      <c r="M267" s="9">
        <f>_xll.BQL("UAL US Equity", "AIRLINES_EBITDAR_RATIO/1M", "FPT=A", "FPO=-3A", "ACT_EST_MAPPING=PRECISE", "FS=MRC", "CURRENCY=USD", "XLFILL=b")</f>
        <v>-2961</v>
      </c>
      <c r="N267" s="9">
        <f>_xll.BQL("UAL US Equity", "AIRLINES_EBITDAR_RATIO/1M", "FPT=A", "FPO=-4A", "ACT_EST_MAPPING=PRECISE", "FS=MRC", "CURRENCY=USD", "XLFILL=b")</f>
        <v>7595</v>
      </c>
    </row>
    <row r="268" spans="1:14" x14ac:dyDescent="0.2">
      <c r="A268" s="8" t="s">
        <v>20</v>
      </c>
      <c r="B268" s="4" t="s">
        <v>51</v>
      </c>
      <c r="C268" s="4"/>
      <c r="D268" s="4"/>
      <c r="E268" s="9" t="str">
        <f>_xll.BQL("UAL US Equity", "FA_GROWTH(AIRLINES_EBITDAR_RATIO, YOY)", "FPT=A", "FPO=5A", "ACT_EST_MAPPING=PRECISE", "FS=MRC", "CURRENCY=USD", "XLFILL=b")</f>
        <v/>
      </c>
      <c r="F268" s="9" t="str">
        <f>_xll.BQL("UAL US Equity", "FA_GROWTH(AIRLINES_EBITDAR_RATIO, YOY)", "FPT=A", "FPO=4A", "ACT_EST_MAPPING=PRECISE", "FS=MRC", "CURRENCY=USD", "XLFILL=b")</f>
        <v/>
      </c>
      <c r="G268" s="9">
        <f>_xll.BQL("UAL US Equity", "FA_GROWTH(AIRLINES_EBITDAR_RATIO, YOY)", "FPT=A", "FPO=3A", "ACT_EST_MAPPING=PRECISE", "FS=MRC", "CURRENCY=USD", "XLFILL=b")</f>
        <v>8.1023378418711918</v>
      </c>
      <c r="H268" s="9">
        <f>_xll.BQL("UAL US Equity", "FA_GROWTH(AIRLINES_EBITDAR_RATIO, YOY)", "FPT=A", "FPO=2A", "ACT_EST_MAPPING=PRECISE", "FS=MRC", "CURRENCY=USD", "XLFILL=b")</f>
        <v>9.343942067858805</v>
      </c>
      <c r="I268" s="9">
        <f>_xll.BQL("UAL US Equity", "FA_GROWTH(AIRLINES_EBITDAR_RATIO, YOY)", "FPT=A", "FPO=1A", "ACT_EST_MAPPING=PRECISE", "FS=MRC", "CURRENCY=USD", "XLFILL=b")</f>
        <v>1.7099990197999346</v>
      </c>
      <c r="J268" s="9">
        <f>_xll.BQL("UAL US Equity", "FA_GROWTH(AIRLINES_EBITDAR_RATIO, YOY)", "FPT=A", "FPO=0A", "ACT_EST_MAPPING=PRECISE", "FS=MRC", "CURRENCY=USD", "XLFILL=b")</f>
        <v>36.256797053148567</v>
      </c>
      <c r="K268" s="9">
        <f>_xll.BQL("UAL US Equity", "FA_GROWTH(AIRLINES_EBITDAR_RATIO, YOY)", "FPT=A", "FPO=-1A", "ACT_EST_MAPPING=PRECISE", "FS=MRC", "CURRENCY=USD", "XLFILL=b")</f>
        <v>138.03757828810021</v>
      </c>
      <c r="L268" s="9">
        <f>_xll.BQL("UAL US Equity", "FA_GROWTH(AIRLINES_EBITDAR_RATIO, YOY)", "FPT=A", "FPO=-2A", "ACT_EST_MAPPING=PRECISE", "FS=MRC", "CURRENCY=USD", "XLFILL=b")</f>
        <v>180.88483620398515</v>
      </c>
      <c r="M268" s="9">
        <f>_xll.BQL("UAL US Equity", "FA_GROWTH(AIRLINES_EBITDAR_RATIO, YOY)", "FPT=A", "FPO=-3A", "ACT_EST_MAPPING=PRECISE", "FS=MRC", "CURRENCY=USD", "XLFILL=b")</f>
        <v>-138.98617511520737</v>
      </c>
      <c r="N268" s="9">
        <f>_xll.BQL("UAL US Equity", "FA_GROWTH(AIRLINES_EBITDAR_RATIO, YOY)", "FPT=A", "FPO=-4A", "ACT_EST_MAPPING=PRECISE", "FS=MRC", "CURRENCY=USD", "XLFILL=b")</f>
        <v>15.618815649261684</v>
      </c>
    </row>
    <row r="269" spans="1:14" x14ac:dyDescent="0.2">
      <c r="A269" s="8" t="s">
        <v>240</v>
      </c>
      <c r="B269" s="4"/>
      <c r="C269" s="4"/>
      <c r="D269" s="4"/>
      <c r="E269" s="9"/>
      <c r="F269" s="9"/>
      <c r="G269" s="9"/>
      <c r="H269" s="9"/>
      <c r="I269" s="9"/>
      <c r="J269" s="9"/>
      <c r="K269" s="9"/>
      <c r="L269" s="9"/>
      <c r="M269" s="9"/>
      <c r="N269" s="9"/>
    </row>
    <row r="270" spans="1:14" x14ac:dyDescent="0.2">
      <c r="A270" s="8" t="s">
        <v>241</v>
      </c>
      <c r="B270" s="4" t="s">
        <v>242</v>
      </c>
      <c r="C270" s="4" t="s">
        <v>202</v>
      </c>
      <c r="D270" s="4"/>
      <c r="E270" s="9">
        <f>_xll.BQL("UAL US Equity", "IS_COMP_PTP_EX_STK_BASED_COMP/1M", "FPT=A", "FPO=5A", "ACT_EST_MAPPING=PRECISE", "FS=MRC", "CURRENCY=USD", "XLFILL=b")</f>
        <v>6963</v>
      </c>
      <c r="F270" s="9">
        <f>_xll.BQL("UAL US Equity", "IS_COMP_PTP_EX_STK_BASED_COMP/1M", "FPT=A", "FPO=4A", "ACT_EST_MAPPING=PRECISE", "FS=MRC", "CURRENCY=USD", "XLFILL=b")</f>
        <v>6319.666666666667</v>
      </c>
      <c r="G270" s="9">
        <f>_xll.BQL("UAL US Equity", "IS_COMP_PTP_EX_STK_BASED_COMP/1M", "FPT=A", "FPO=3A", "ACT_EST_MAPPING=PRECISE", "FS=MRC", "CURRENCY=USD", "XLFILL=b")</f>
        <v>5737.090909090909</v>
      </c>
      <c r="H270" s="9">
        <f>_xll.BQL("UAL US Equity", "IS_COMP_PTP_EX_STK_BASED_COMP/1M", "FPT=A", "FPO=2A", "ACT_EST_MAPPING=PRECISE", "FS=MRC", "CURRENCY=USD", "XLFILL=b")</f>
        <v>4885.125</v>
      </c>
      <c r="I270" s="9">
        <f>_xll.BQL("UAL US Equity", "IS_COMP_PTP_EX_STK_BASED_COMP/1M", "FPT=A", "FPO=1A", "ACT_EST_MAPPING=PRECISE", "FS=MRC", "CURRENCY=USD", "XLFILL=b")</f>
        <v>4141.9375</v>
      </c>
      <c r="J270" s="9">
        <f>_xll.BQL("UAL US Equity", "IS_COMP_PTP_EX_STK_BASED_COMP/1M", "FPT=A", "FPO=0A", "ACT_EST_MAPPING=PRECISE", "FS=MRC", "CURRENCY=USD", "XLFILL=b")</f>
        <v>4320</v>
      </c>
      <c r="K270" s="9">
        <f>_xll.BQL("UAL US Equity", "IS_COMP_PTP_EX_STK_BASED_COMP/1M", "FPT=A", "FPO=-1A", "ACT_EST_MAPPING=PRECISE", "FS=MRC", "CURRENCY=USD", "XLFILL=b")</f>
        <v>1117</v>
      </c>
      <c r="L270" s="9">
        <f>_xll.BQL("UAL US Equity", "IS_COMP_PTP_EX_STK_BASED_COMP/1M", "FPT=A", "FPO=-2A", "ACT_EST_MAPPING=PRECISE", "FS=MRC", "CURRENCY=USD", "XLFILL=b")</f>
        <v>-5809</v>
      </c>
      <c r="M270" s="9">
        <f>_xll.BQL("UAL US Equity", "IS_COMP_PTP_EX_STK_BASED_COMP/1M", "FPT=A", "FPO=-3A", "ACT_EST_MAPPING=PRECISE", "FS=MRC", "CURRENCY=USD", "XLFILL=b")</f>
        <v>-9860</v>
      </c>
      <c r="N270" s="9">
        <f>_xll.BQL("UAL US Equity", "IS_COMP_PTP_EX_STK_BASED_COMP/1M", "FPT=A", "FPO=-4A", "ACT_EST_MAPPING=PRECISE", "FS=MRC", "CURRENCY=USD", "XLFILL=b")</f>
        <v>4071</v>
      </c>
    </row>
    <row r="271" spans="1:14" x14ac:dyDescent="0.2">
      <c r="A271" s="8" t="s">
        <v>20</v>
      </c>
      <c r="B271" s="4" t="s">
        <v>242</v>
      </c>
      <c r="C271" s="4" t="s">
        <v>202</v>
      </c>
      <c r="D271" s="4"/>
      <c r="E271" s="9">
        <f>_xll.BQL("UAL US Equity", "FA_GROWTH(IS_COMP_PTP_EX_STK_BASED_COMP, YOY)", "FPT=A", "FPO=5A", "ACT_EST_MAPPING=PRECISE", "FS=MRC", "CURRENCY=USD", "XLFILL=b")</f>
        <v>10.179861807057328</v>
      </c>
      <c r="F271" s="9">
        <f>_xll.BQL("UAL US Equity", "FA_GROWTH(IS_COMP_PTP_EX_STK_BASED_COMP, YOY)", "FPT=A", "FPO=4A", "ACT_EST_MAPPING=PRECISE", "FS=MRC", "CURRENCY=USD", "XLFILL=b")</f>
        <v>10.154549872176805</v>
      </c>
      <c r="G271" s="9">
        <f>_xll.BQL("UAL US Equity", "FA_GROWTH(IS_COMP_PTP_EX_STK_BASED_COMP, YOY)", "FPT=A", "FPO=3A", "ACT_EST_MAPPING=PRECISE", "FS=MRC", "CURRENCY=USD", "XLFILL=b")</f>
        <v>17.440002233124208</v>
      </c>
      <c r="H271" s="9">
        <f>_xll.BQL("UAL US Equity", "FA_GROWTH(IS_COMP_PTP_EX_STK_BASED_COMP, YOY)", "FPT=A", "FPO=2A", "ACT_EST_MAPPING=PRECISE", "FS=MRC", "CURRENCY=USD", "XLFILL=b")</f>
        <v>17.942991655475247</v>
      </c>
      <c r="I271" s="9">
        <f>_xll.BQL("UAL US Equity", "FA_GROWTH(IS_COMP_PTP_EX_STK_BASED_COMP, YOY)", "FPT=A", "FPO=1A", "ACT_EST_MAPPING=PRECISE", "FS=MRC", "CURRENCY=USD", "XLFILL=b")</f>
        <v>-4.1218171296296298</v>
      </c>
      <c r="J271" s="9">
        <f>_xll.BQL("UAL US Equity", "FA_GROWTH(IS_COMP_PTP_EX_STK_BASED_COMP, YOY)", "FPT=A", "FPO=0A", "ACT_EST_MAPPING=PRECISE", "FS=MRC", "CURRENCY=USD", "XLFILL=b")</f>
        <v>286.75022381378693</v>
      </c>
      <c r="K271" s="9">
        <f>_xll.BQL("UAL US Equity", "FA_GROWTH(IS_COMP_PTP_EX_STK_BASED_COMP, YOY)", "FPT=A", "FPO=-1A", "ACT_EST_MAPPING=PRECISE", "FS=MRC", "CURRENCY=USD", "XLFILL=b")</f>
        <v>119.22878292305045</v>
      </c>
      <c r="L271" s="9">
        <f>_xll.BQL("UAL US Equity", "FA_GROWTH(IS_COMP_PTP_EX_STK_BASED_COMP, YOY)", "FPT=A", "FPO=-2A", "ACT_EST_MAPPING=PRECISE", "FS=MRC", "CURRENCY=USD", "XLFILL=b")</f>
        <v>41.085192697768761</v>
      </c>
      <c r="M271" s="9">
        <f>_xll.BQL("UAL US Equity", "FA_GROWTH(IS_COMP_PTP_EX_STK_BASED_COMP, YOY)", "FPT=A", "FPO=-3A", "ACT_EST_MAPPING=PRECISE", "FS=MRC", "CURRENCY=USD", "XLFILL=b")</f>
        <v>-342.20093343158931</v>
      </c>
      <c r="N271" s="9">
        <f>_xll.BQL("UAL US Equity", "FA_GROWTH(IS_COMP_PTP_EX_STK_BASED_COMP, YOY)", "FPT=A", "FPO=-4A", "ACT_EST_MAPPING=PRECISE", "FS=MRC", "CURRENCY=USD", "XLFILL=b")</f>
        <v>28.180100755667507</v>
      </c>
    </row>
    <row r="272" spans="1:14" x14ac:dyDescent="0.2">
      <c r="A272" s="8" t="s">
        <v>209</v>
      </c>
      <c r="B272" s="4" t="s">
        <v>243</v>
      </c>
      <c r="C272" s="4"/>
      <c r="D272" s="4"/>
      <c r="E272" s="9">
        <f>_xll.BQL("UAL US Equity", "CB_IS_ETR_PCT", "FPT=A", "FPO=5A", "ACT_EST_MAPPING=PRECISE", "FS=MRC", "CURRENCY=USD", "XLFILL=b")</f>
        <v>25</v>
      </c>
      <c r="F272" s="9">
        <f>_xll.BQL("UAL US Equity", "CB_IS_ETR_PCT", "FPT=A", "FPO=4A", "ACT_EST_MAPPING=PRECISE", "FS=MRC", "CURRENCY=USD", "XLFILL=b")</f>
        <v>25</v>
      </c>
      <c r="G272" s="9">
        <f>_xll.BQL("UAL US Equity", "CB_IS_ETR_PCT", "FPT=A", "FPO=3A", "ACT_EST_MAPPING=PRECISE", "FS=MRC", "CURRENCY=USD", "XLFILL=b")</f>
        <v>23.516666666666666</v>
      </c>
      <c r="H272" s="9">
        <f>_xll.BQL("UAL US Equity", "CB_IS_ETR_PCT", "FPT=A", "FPO=2A", "ACT_EST_MAPPING=PRECISE", "FS=MRC", "CURRENCY=USD", "XLFILL=b")</f>
        <v>23.014285714285712</v>
      </c>
      <c r="I272" s="9">
        <f>_xll.BQL("UAL US Equity", "CB_IS_ETR_PCT", "FPT=A", "FPO=1A", "ACT_EST_MAPPING=PRECISE", "FS=MRC", "CURRENCY=USD", "XLFILL=b")</f>
        <v>23.25277696681372</v>
      </c>
      <c r="J272" s="9">
        <f>_xll.BQL("UAL US Equity", "CB_IS_ETR_PCT", "FPT=A", "FPO=0A", "ACT_EST_MAPPING=PRECISE", "FS=MRC", "CURRENCY=USD", "XLFILL=b")</f>
        <v>22.7</v>
      </c>
      <c r="K272" s="9">
        <f>_xll.BQL("UAL US Equity", "CB_IS_ETR_PCT", "FPT=A", "FPO=-1A", "ACT_EST_MAPPING=PRECISE", "FS=MRC", "CURRENCY=USD", "XLFILL=b")</f>
        <v>25.6</v>
      </c>
      <c r="L272" s="9">
        <f>_xll.BQL("UAL US Equity", "CB_IS_ETR_PCT", "FPT=A", "FPO=-2A", "ACT_EST_MAPPING=PRECISE", "FS=MRC", "CURRENCY=USD", "XLFILL=b")</f>
        <v>23.2</v>
      </c>
      <c r="M272" s="9">
        <f>_xll.BQL("UAL US Equity", "CB_IS_ETR_PCT", "FPT=A", "FPO=-3A", "ACT_EST_MAPPING=PRECISE", "FS=MRC", "CURRENCY=USD", "XLFILL=b")</f>
        <v>19.899999999999999</v>
      </c>
      <c r="N272" s="9">
        <f>_xll.BQL("UAL US Equity", "CB_IS_ETR_PCT", "FPT=A", "FPO=-4A", "ACT_EST_MAPPING=PRECISE", "FS=MRC", "CURRENCY=USD", "XLFILL=b")</f>
        <v>23.1</v>
      </c>
    </row>
    <row r="273" spans="1:14" x14ac:dyDescent="0.2">
      <c r="A273" s="8" t="s">
        <v>20</v>
      </c>
      <c r="B273" s="4" t="s">
        <v>243</v>
      </c>
      <c r="C273" s="4"/>
      <c r="D273" s="4"/>
      <c r="E273" s="9">
        <f>_xll.BQL("UAL US Equity", "FA_GROWTH(CB_IS_ETR_PCT, YOY)", "FPT=A", "FPO=5A", "ACT_EST_MAPPING=PRECISE", "FS=MRC", "CURRENCY=USD", "XLFILL=b")</f>
        <v>0</v>
      </c>
      <c r="F273" s="9">
        <f>_xll.BQL("UAL US Equity", "FA_GROWTH(CB_IS_ETR_PCT, YOY)", "FPT=A", "FPO=4A", "ACT_EST_MAPPING=PRECISE", "FS=MRC", "CURRENCY=USD", "XLFILL=b")</f>
        <v>6.3075832742735694</v>
      </c>
      <c r="G273" s="9">
        <f>_xll.BQL("UAL US Equity", "FA_GROWTH(CB_IS_ETR_PCT, YOY)", "FPT=A", "FPO=3A", "ACT_EST_MAPPING=PRECISE", "FS=MRC", "CURRENCY=USD", "XLFILL=b")</f>
        <v>2.1829091661493938</v>
      </c>
      <c r="H273" s="9">
        <f>_xll.BQL("UAL US Equity", "FA_GROWTH(CB_IS_ETR_PCT, YOY)", "FPT=A", "FPO=2A", "ACT_EST_MAPPING=PRECISE", "FS=MRC", "CURRENCY=USD", "XLFILL=b")</f>
        <v>-1.0256463254620343</v>
      </c>
      <c r="I273" s="9">
        <f>_xll.BQL("UAL US Equity", "FA_GROWTH(CB_IS_ETR_PCT, YOY)", "FPT=A", "FPO=1A", "ACT_EST_MAPPING=PRECISE", "FS=MRC", "CURRENCY=USD", "XLFILL=b")</f>
        <v>2.4351408229679312</v>
      </c>
      <c r="J273" s="9">
        <f>_xll.BQL("UAL US Equity", "FA_GROWTH(CB_IS_ETR_PCT, YOY)", "FPT=A", "FPO=0A", "ACT_EST_MAPPING=PRECISE", "FS=MRC", "CURRENCY=USD", "XLFILL=b")</f>
        <v>-11.328125000000009</v>
      </c>
      <c r="K273" s="9">
        <f>_xll.BQL("UAL US Equity", "FA_GROWTH(CB_IS_ETR_PCT, YOY)", "FPT=A", "FPO=-1A", "ACT_EST_MAPPING=PRECISE", "FS=MRC", "CURRENCY=USD", "XLFILL=b")</f>
        <v>10.344827586206907</v>
      </c>
      <c r="L273" s="9">
        <f>_xll.BQL("UAL US Equity", "FA_GROWTH(CB_IS_ETR_PCT, YOY)", "FPT=A", "FPO=-2A", "ACT_EST_MAPPING=PRECISE", "FS=MRC", "CURRENCY=USD", "XLFILL=b")</f>
        <v>16.582914572864325</v>
      </c>
      <c r="M273" s="9">
        <f>_xll.BQL("UAL US Equity", "FA_GROWTH(CB_IS_ETR_PCT, YOY)", "FPT=A", "FPO=-3A", "ACT_EST_MAPPING=PRECISE", "FS=MRC", "CURRENCY=USD", "XLFILL=b")</f>
        <v>-13.852813852813865</v>
      </c>
      <c r="N273" s="9">
        <f>_xll.BQL("UAL US Equity", "FA_GROWTH(CB_IS_ETR_PCT, YOY)", "FPT=A", "FPO=-4A", "ACT_EST_MAPPING=PRECISE", "FS=MRC", "CURRENCY=USD", "XLFILL=b")</f>
        <v>16.080402010050268</v>
      </c>
    </row>
    <row r="274" spans="1:14" x14ac:dyDescent="0.2">
      <c r="A274" s="8" t="s">
        <v>244</v>
      </c>
      <c r="B274" s="4" t="s">
        <v>53</v>
      </c>
      <c r="C274" s="4" t="s">
        <v>214</v>
      </c>
      <c r="D274" s="4"/>
      <c r="E274" s="9">
        <f>_xll.BQL("UAL US Equity", "IS_COMP_NET_INCOME_ADJUST_OLD/1M", "FPT=A", "FPO=5A", "ACT_EST_MAPPING=PRECISE", "FS=MRC", "CURRENCY=USD", "XLFILL=b")</f>
        <v>5326.5</v>
      </c>
      <c r="F274" s="9">
        <f>_xll.BQL("UAL US Equity", "IS_COMP_NET_INCOME_ADJUST_OLD/1M", "FPT=A", "FPO=4A", "ACT_EST_MAPPING=PRECISE", "FS=MRC", "CURRENCY=USD", "XLFILL=b")</f>
        <v>4824</v>
      </c>
      <c r="G274" s="9">
        <f>_xll.BQL("UAL US Equity", "IS_COMP_NET_INCOME_ADJUST_OLD/1M", "FPT=A", "FPO=3A", "ACT_EST_MAPPING=PRECISE", "FS=MRC", "CURRENCY=USD", "XLFILL=b")</f>
        <v>4373</v>
      </c>
      <c r="H274" s="9">
        <f>_xll.BQL("UAL US Equity", "IS_COMP_NET_INCOME_ADJUST_OLD/1M", "FPT=A", "FPO=2A", "ACT_EST_MAPPING=PRECISE", "FS=MRC", "CURRENCY=USD", "XLFILL=b")</f>
        <v>3748.0588235294117</v>
      </c>
      <c r="I274" s="9">
        <f>_xll.BQL("UAL US Equity", "IS_COMP_NET_INCOME_ADJUST_OLD/1M", "FPT=A", "FPO=1A", "ACT_EST_MAPPING=PRECISE", "FS=MRC", "CURRENCY=USD", "XLFILL=b")</f>
        <v>3177.5</v>
      </c>
      <c r="J274" s="9">
        <f>_xll.BQL("UAL US Equity", "IS_COMP_NET_INCOME_ADJUST_OLD/1M", "FPT=A", "FPO=0A", "ACT_EST_MAPPING=PRECISE", "FS=MRC", "CURRENCY=USD", "XLFILL=b")</f>
        <v>3337</v>
      </c>
      <c r="K274" s="9">
        <f>_xll.BQL("UAL US Equity", "IS_COMP_NET_INCOME_ADJUST_OLD/1M", "FPT=A", "FPO=-1A", "ACT_EST_MAPPING=PRECISE", "FS=MRC", "CURRENCY=USD", "XLFILL=b")</f>
        <v>831</v>
      </c>
      <c r="L274" s="9">
        <f>_xll.BQL("UAL US Equity", "IS_COMP_NET_INCOME_ADJUST_OLD/1M", "FPT=A", "FPO=-2A", "ACT_EST_MAPPING=PRECISE", "FS=MRC", "CURRENCY=USD", "XLFILL=b")</f>
        <v>-4488</v>
      </c>
      <c r="M274" s="9">
        <f>_xll.BQL("UAL US Equity", "IS_COMP_NET_INCOME_ADJUST_OLD/1M", "FPT=A", "FPO=-3A", "ACT_EST_MAPPING=PRECISE", "FS=MRC", "CURRENCY=USD", "XLFILL=b")</f>
        <v>-7703</v>
      </c>
      <c r="N274" s="9">
        <f>_xll.BQL("UAL US Equity", "IS_COMP_NET_INCOME_ADJUST_OLD/1M", "FPT=A", "FPO=-4A", "ACT_EST_MAPPING=PRECISE", "FS=MRC", "CURRENCY=USD", "XLFILL=b")</f>
        <v>3131</v>
      </c>
    </row>
    <row r="275" spans="1:14" x14ac:dyDescent="0.2">
      <c r="A275" s="8" t="s">
        <v>20</v>
      </c>
      <c r="B275" s="4" t="s">
        <v>53</v>
      </c>
      <c r="C275" s="4" t="s">
        <v>214</v>
      </c>
      <c r="D275" s="4"/>
      <c r="E275" s="9">
        <f>_xll.BQL("UAL US Equity", "FA_GROWTH(IS_COMP_NET_INCOME_ADJUST_OLD, YOY)", "FPT=A", "FPO=5A", "ACT_EST_MAPPING=PRECISE", "FS=MRC", "CURRENCY=USD", "XLFILL=b")</f>
        <v>10.416666666666666</v>
      </c>
      <c r="F275" s="9">
        <f>_xll.BQL("UAL US Equity", "FA_GROWTH(IS_COMP_NET_INCOME_ADJUST_OLD, YOY)", "FPT=A", "FPO=4A", "ACT_EST_MAPPING=PRECISE", "FS=MRC", "CURRENCY=USD", "XLFILL=b")</f>
        <v>10.313286073633661</v>
      </c>
      <c r="G275" s="9">
        <f>_xll.BQL("UAL US Equity", "FA_GROWTH(IS_COMP_NET_INCOME_ADJUST_OLD, YOY)", "FPT=A", "FPO=3A", "ACT_EST_MAPPING=PRECISE", "FS=MRC", "CURRENCY=USD", "XLFILL=b")</f>
        <v>16.673729146067767</v>
      </c>
      <c r="H275" s="9">
        <f>_xll.BQL("UAL US Equity", "FA_GROWTH(IS_COMP_NET_INCOME_ADJUST_OLD, YOY)", "FPT=A", "FPO=2A", "ACT_EST_MAPPING=PRECISE", "FS=MRC", "CURRENCY=USD", "XLFILL=b")</f>
        <v>17.956217892349702</v>
      </c>
      <c r="I275" s="9">
        <f>_xll.BQL("UAL US Equity", "FA_GROWTH(IS_COMP_NET_INCOME_ADJUST_OLD, YOY)", "FPT=A", "FPO=1A", "ACT_EST_MAPPING=PRECISE", "FS=MRC", "CURRENCY=USD", "XLFILL=b")</f>
        <v>-4.7797422834881633</v>
      </c>
      <c r="J275" s="9">
        <f>_xll.BQL("UAL US Equity", "FA_GROWTH(IS_COMP_NET_INCOME_ADJUST_OLD, YOY)", "FPT=A", "FPO=0A", "ACT_EST_MAPPING=PRECISE", "FS=MRC", "CURRENCY=USD", "XLFILL=b")</f>
        <v>301.56438026474126</v>
      </c>
      <c r="K275" s="9">
        <f>_xll.BQL("UAL US Equity", "FA_GROWTH(IS_COMP_NET_INCOME_ADJUST_OLD, YOY)", "FPT=A", "FPO=-1A", "ACT_EST_MAPPING=PRECISE", "FS=MRC", "CURRENCY=USD", "XLFILL=b")</f>
        <v>118.51604278074866</v>
      </c>
      <c r="L275" s="9">
        <f>_xll.BQL("UAL US Equity", "FA_GROWTH(IS_COMP_NET_INCOME_ADJUST_OLD, YOY)", "FPT=A", "FPO=-2A", "ACT_EST_MAPPING=PRECISE", "FS=MRC", "CURRENCY=USD", "XLFILL=b")</f>
        <v>41.73698559002986</v>
      </c>
      <c r="M275" s="9">
        <f>_xll.BQL("UAL US Equity", "FA_GROWTH(IS_COMP_NET_INCOME_ADJUST_OLD, YOY)", "FPT=A", "FPO=-3A", "ACT_EST_MAPPING=PRECISE", "FS=MRC", "CURRENCY=USD", "XLFILL=b")</f>
        <v>-346.0236346215267</v>
      </c>
      <c r="N275" s="9">
        <f>_xll.BQL("UAL US Equity", "FA_GROWTH(IS_COMP_NET_INCOME_ADJUST_OLD, YOY)", "FPT=A", "FPO=-4A", "ACT_EST_MAPPING=PRECISE", "FS=MRC", "CURRENCY=USD", "XLFILL=b")</f>
        <v>23.950910530482979</v>
      </c>
    </row>
    <row r="276" spans="1:14" x14ac:dyDescent="0.2">
      <c r="A276" s="8" t="s">
        <v>245</v>
      </c>
      <c r="B276" s="4" t="s">
        <v>246</v>
      </c>
      <c r="C276" s="4" t="s">
        <v>247</v>
      </c>
      <c r="D276" s="4"/>
      <c r="E276" s="9">
        <f>_xll.BQL("UAL US Equity", "ADJ_PROFIT_MARGIN", "FPT=A", "FPO=5A", "ACT_EST_MAPPING=PRECISE", "FS=MRC", "CURRENCY=USD", "XLFILL=b")</f>
        <v>7.2100802810077056</v>
      </c>
      <c r="F276" s="9">
        <f>_xll.BQL("UAL US Equity", "ADJ_PROFIT_MARGIN", "FPT=A", "FPO=4A", "ACT_EST_MAPPING=PRECISE", "FS=MRC", "CURRENCY=USD", "XLFILL=b")</f>
        <v>6.4895926007651736</v>
      </c>
      <c r="G276" s="9">
        <f>_xll.BQL("UAL US Equity", "ADJ_PROFIT_MARGIN", "FPT=A", "FPO=3A", "ACT_EST_MAPPING=PRECISE", "FS=MRC", "CURRENCY=USD", "XLFILL=b")</f>
        <v>6.2655043812238889</v>
      </c>
      <c r="H276" s="9">
        <f>_xll.BQL("UAL US Equity", "ADJ_PROFIT_MARGIN", "FPT=A", "FPO=2A", "ACT_EST_MAPPING=PRECISE", "FS=MRC", "CURRENCY=USD", "XLFILL=b")</f>
        <v>5.7134737619743694</v>
      </c>
      <c r="I276" s="9">
        <f>_xll.BQL("UAL US Equity", "ADJ_PROFIT_MARGIN", "FPT=A", "FPO=1A", "ACT_EST_MAPPING=PRECISE", "FS=MRC", "CURRENCY=USD", "XLFILL=b")</f>
        <v>4.9279487231646781</v>
      </c>
      <c r="J276" s="9">
        <f>_xll.BQL("UAL US Equity", "ADJ_PROFIT_MARGIN", "FPT=A", "FPO=0A", "ACT_EST_MAPPING=PRECISE", "FS=MRC", "CURRENCY=USD", "XLFILL=b")</f>
        <v>6.2121860863413811</v>
      </c>
      <c r="K276" s="9">
        <f>_xll.BQL("UAL US Equity", "ADJ_PROFIT_MARGIN", "FPT=A", "FPO=-1A", "ACT_EST_MAPPING=PRECISE", "FS=MRC", "CURRENCY=USD", "XLFILL=b")</f>
        <v>1.8485151818485153</v>
      </c>
      <c r="L276" s="9">
        <f>_xll.BQL("UAL US Equity", "ADJ_PROFIT_MARGIN", "FPT=A", "FPO=-2A", "ACT_EST_MAPPING=PRECISE", "FS=MRC", "CURRENCY=USD", "XLFILL=b")</f>
        <v>-18.218722091418364</v>
      </c>
      <c r="M276" s="9">
        <f>_xll.BQL("UAL US Equity", "ADJ_PROFIT_MARGIN", "FPT=A", "FPO=-3A", "ACT_EST_MAPPING=PRECISE", "FS=MRC", "CURRENCY=USD", "XLFILL=b")</f>
        <v>-50.166069684141981</v>
      </c>
      <c r="N276" s="9">
        <f>_xll.BQL("UAL US Equity", "ADJ_PROFIT_MARGIN", "FPT=A", "FPO=-4A", "ACT_EST_MAPPING=PRECISE", "FS=MRC", "CURRENCY=USD", "XLFILL=b")</f>
        <v>7.2378002265424541</v>
      </c>
    </row>
    <row r="277" spans="1:14" x14ac:dyDescent="0.2">
      <c r="A277" s="8" t="s">
        <v>86</v>
      </c>
      <c r="B277" s="4" t="s">
        <v>246</v>
      </c>
      <c r="C277" s="4" t="s">
        <v>247</v>
      </c>
      <c r="D277" s="4"/>
      <c r="E277" s="9">
        <f>_xll.BQL("UAL US Equity", "FA_GROWTH(ADJ_PROFIT_MARGIN, YOY)", "FPT=A", "FPO=5A", "ACT_EST_MAPPING=PRECISE", "FS=MRC", "CURRENCY=USD", "XLFILL=b")</f>
        <v>11.10220201122611</v>
      </c>
      <c r="F277" s="9">
        <f>_xll.BQL("UAL US Equity", "FA_GROWTH(ADJ_PROFIT_MARGIN, YOY)", "FPT=A", "FPO=4A", "ACT_EST_MAPPING=PRECISE", "FS=MRC", "CURRENCY=USD", "XLFILL=b")</f>
        <v>3.5765391883344577</v>
      </c>
      <c r="G277" s="9">
        <f>_xll.BQL("UAL US Equity", "FA_GROWTH(ADJ_PROFIT_MARGIN, YOY)", "FPT=A", "FPO=3A", "ACT_EST_MAPPING=PRECISE", "FS=MRC", "CURRENCY=USD", "XLFILL=b")</f>
        <v>9.6619087134611732</v>
      </c>
      <c r="H277" s="9">
        <f>_xll.BQL("UAL US Equity", "FA_GROWTH(ADJ_PROFIT_MARGIN, YOY)", "FPT=A", "FPO=2A", "ACT_EST_MAPPING=PRECISE", "FS=MRC", "CURRENCY=USD", "XLFILL=b")</f>
        <v>15.940203174541864</v>
      </c>
      <c r="I277" s="9">
        <f>_xll.BQL("UAL US Equity", "FA_GROWTH(ADJ_PROFIT_MARGIN, YOY)", "FPT=A", "FPO=1A", "ACT_EST_MAPPING=PRECISE", "FS=MRC", "CURRENCY=USD", "XLFILL=b")</f>
        <v>-20.672873370621204</v>
      </c>
      <c r="J277" s="9">
        <f>_xll.BQL("UAL US Equity", "FA_GROWTH(ADJ_PROFIT_MARGIN, YOY)", "FPT=A", "FPO=0A", "ACT_EST_MAPPING=PRECISE", "FS=MRC", "CURRENCY=USD", "XLFILL=b")</f>
        <v>236.06356860586854</v>
      </c>
      <c r="K277" s="9">
        <f>_xll.BQL("UAL US Equity", "FA_GROWTH(ADJ_PROFIT_MARGIN, YOY)", "FPT=A", "FPO=-1A", "ACT_EST_MAPPING=PRECISE", "FS=MRC", "CURRENCY=USD", "XLFILL=b")</f>
        <v>110.1462395253245</v>
      </c>
      <c r="L277" s="9">
        <f>_xll.BQL("UAL US Equity", "FA_GROWTH(ADJ_PROFIT_MARGIN, YOY)", "FPT=A", "FPO=-2A", "ACT_EST_MAPPING=PRECISE", "FS=MRC", "CURRENCY=USD", "XLFILL=b")</f>
        <v>63.683178279406867</v>
      </c>
      <c r="M277" s="9">
        <f>_xll.BQL("UAL US Equity", "FA_GROWTH(ADJ_PROFIT_MARGIN, YOY)", "FPT=A", "FPO=-3A", "ACT_EST_MAPPING=PRECISE", "FS=MRC", "CURRENCY=USD", "XLFILL=b")</f>
        <v>-793.11210746288657</v>
      </c>
      <c r="N277" s="9">
        <f>_xll.BQL("UAL US Equity", "FA_GROWTH(ADJ_PROFIT_MARGIN, YOY)", "FPT=A", "FPO=-4A", "ACT_EST_MAPPING=PRECISE", "FS=MRC", "CURRENCY=USD", "XLFILL=b")</f>
        <v>18.675213480302897</v>
      </c>
    </row>
    <row r="278" spans="1:14" x14ac:dyDescent="0.2">
      <c r="A278" s="8" t="s">
        <v>248</v>
      </c>
      <c r="B278" s="4" t="s">
        <v>249</v>
      </c>
      <c r="C278" s="4"/>
      <c r="D278" s="4"/>
      <c r="E278" s="9">
        <f>_xll.BQL("UAL US Equity", "IS_ADJUSTED_EPS_AS_REPORTED", "FPT=A", "FPO=5A", "ACT_EST_MAPPING=PRECISE", "FS=MRC", "CURRENCY=USD", "XLFILL=b")</f>
        <v>15.987040727025713</v>
      </c>
      <c r="F278" s="9">
        <f>_xll.BQL("UAL US Equity", "IS_ADJUSTED_EPS_AS_REPORTED", "FPT=A", "FPO=4A", "ACT_EST_MAPPING=PRECISE", "FS=MRC", "CURRENCY=USD", "XLFILL=b")</f>
        <v>14.536736711705103</v>
      </c>
      <c r="G278" s="9">
        <f>_xll.BQL("UAL US Equity", "IS_ADJUSTED_EPS_AS_REPORTED", "FPT=A", "FPO=3A", "ACT_EST_MAPPING=PRECISE", "FS=MRC", "CURRENCY=USD", "XLFILL=b")</f>
        <v>13.108449710059801</v>
      </c>
      <c r="H278" s="9">
        <f>_xll.BQL("UAL US Equity", "IS_ADJUSTED_EPS_AS_REPORTED", "FPT=A", "FPO=2A", "ACT_EST_MAPPING=PRECISE", "FS=MRC", "CURRENCY=USD", "XLFILL=b")</f>
        <v>11.410359066561591</v>
      </c>
      <c r="I278" s="9">
        <f>_xll.BQL("UAL US Equity", "IS_ADJUSTED_EPS_AS_REPORTED", "FPT=A", "FPO=1A", "ACT_EST_MAPPING=PRECISE", "FS=MRC", "CURRENCY=USD", "XLFILL=b")</f>
        <v>9.5682756372829409</v>
      </c>
      <c r="J278" s="9">
        <f>_xll.BQL("UAL US Equity", "IS_ADJUSTED_EPS_AS_REPORTED", "FPT=A", "FPO=0A", "ACT_EST_MAPPING=PRECISE", "FS=MRC", "CURRENCY=USD", "XLFILL=b")</f>
        <v>10.050000000000001</v>
      </c>
      <c r="K278" s="9">
        <f>_xll.BQL("UAL US Equity", "IS_ADJUSTED_EPS_AS_REPORTED", "FPT=A", "FPO=-1A", "ACT_EST_MAPPING=PRECISE", "FS=MRC", "CURRENCY=USD", "XLFILL=b")</f>
        <v>2.52</v>
      </c>
      <c r="L278" s="9">
        <f>_xll.BQL("UAL US Equity", "IS_ADJUSTED_EPS_AS_REPORTED", "FPT=A", "FPO=-2A", "ACT_EST_MAPPING=PRECISE", "FS=MRC", "CURRENCY=USD", "XLFILL=b")</f>
        <v>-13.94</v>
      </c>
      <c r="M278" s="9">
        <f>_xll.BQL("UAL US Equity", "IS_ADJUSTED_EPS_AS_REPORTED", "FPT=A", "FPO=-3A", "ACT_EST_MAPPING=PRECISE", "FS=MRC", "CURRENCY=USD", "XLFILL=b")</f>
        <v>-27.57</v>
      </c>
      <c r="N278" s="9">
        <f>_xll.BQL("UAL US Equity", "IS_ADJUSTED_EPS_AS_REPORTED", "FPT=A", "FPO=-4A", "ACT_EST_MAPPING=PRECISE", "FS=MRC", "CURRENCY=USD", "XLFILL=b")</f>
        <v>12.05</v>
      </c>
    </row>
    <row r="279" spans="1:14" x14ac:dyDescent="0.2">
      <c r="A279" s="8" t="s">
        <v>20</v>
      </c>
      <c r="B279" s="4" t="s">
        <v>249</v>
      </c>
      <c r="C279" s="4"/>
      <c r="D279" s="4"/>
      <c r="E279" s="9">
        <f>_xll.BQL("UAL US Equity", "FA_GROWTH(IS_ADJUSTED_EPS_AS_REPORTED, YOY)", "FPT=A", "FPO=5A", "ACT_EST_MAPPING=PRECISE", "FS=MRC", "CURRENCY=USD", "XLFILL=b")</f>
        <v>9.9768197229080489</v>
      </c>
      <c r="F279" s="9">
        <f>_xll.BQL("UAL US Equity", "FA_GROWTH(IS_ADJUSTED_EPS_AS_REPORTED, YOY)", "FPT=A", "FPO=4A", "ACT_EST_MAPPING=PRECISE", "FS=MRC", "CURRENCY=USD", "XLFILL=b")</f>
        <v>10.895926163939839</v>
      </c>
      <c r="G279" s="9">
        <f>_xll.BQL("UAL US Equity", "FA_GROWTH(IS_ADJUSTED_EPS_AS_REPORTED, YOY)", "FPT=A", "FPO=3A", "ACT_EST_MAPPING=PRECISE", "FS=MRC", "CURRENCY=USD", "XLFILL=b")</f>
        <v>14.882008827176323</v>
      </c>
      <c r="H279" s="9">
        <f>_xll.BQL("UAL US Equity", "FA_GROWTH(IS_ADJUSTED_EPS_AS_REPORTED, YOY)", "FPT=A", "FPO=2A", "ACT_EST_MAPPING=PRECISE", "FS=MRC", "CURRENCY=USD", "XLFILL=b")</f>
        <v>19.251989586304795</v>
      </c>
      <c r="I279" s="9">
        <f>_xll.BQL("UAL US Equity", "FA_GROWTH(IS_ADJUSTED_EPS_AS_REPORTED, YOY)", "FPT=A", "FPO=1A", "ACT_EST_MAPPING=PRECISE", "FS=MRC", "CURRENCY=USD", "XLFILL=b")</f>
        <v>-4.793277240965768</v>
      </c>
      <c r="J279" s="9">
        <f>_xll.BQL("UAL US Equity", "FA_GROWTH(IS_ADJUSTED_EPS_AS_REPORTED, YOY)", "FPT=A", "FPO=0A", "ACT_EST_MAPPING=PRECISE", "FS=MRC", "CURRENCY=USD", "XLFILL=b")</f>
        <v>298.80952380952385</v>
      </c>
      <c r="K279" s="9">
        <f>_xll.BQL("UAL US Equity", "FA_GROWTH(IS_ADJUSTED_EPS_AS_REPORTED, YOY)", "FPT=A", "FPO=-1A", "ACT_EST_MAPPING=PRECISE", "FS=MRC", "CURRENCY=USD", "XLFILL=b")</f>
        <v>118.07747489239598</v>
      </c>
      <c r="L279" s="9">
        <f>_xll.BQL("UAL US Equity", "FA_GROWTH(IS_ADJUSTED_EPS_AS_REPORTED, YOY)", "FPT=A", "FPO=-2A", "ACT_EST_MAPPING=PRECISE", "FS=MRC", "CURRENCY=USD", "XLFILL=b")</f>
        <v>49.437794704388828</v>
      </c>
      <c r="M279" s="9">
        <f>_xll.BQL("UAL US Equity", "FA_GROWTH(IS_ADJUSTED_EPS_AS_REPORTED, YOY)", "FPT=A", "FPO=-3A", "ACT_EST_MAPPING=PRECISE", "FS=MRC", "CURRENCY=USD", "XLFILL=b")</f>
        <v>-328.79668049792531</v>
      </c>
      <c r="N279" s="9">
        <f>_xll.BQL("UAL US Equity", "FA_GROWTH(IS_ADJUSTED_EPS_AS_REPORTED, YOY)", "FPT=A", "FPO=-4A", "ACT_EST_MAPPING=PRECISE", "FS=MRC", "CURRENCY=USD", "XLFILL=b")</f>
        <v>32.272228320526906</v>
      </c>
    </row>
    <row r="280" spans="1:14" x14ac:dyDescent="0.2">
      <c r="A280" s="8" t="s">
        <v>250</v>
      </c>
      <c r="B280" s="4" t="s">
        <v>10</v>
      </c>
      <c r="C280" s="4" t="s">
        <v>251</v>
      </c>
      <c r="D280" s="4"/>
      <c r="E280" s="9">
        <f>_xll.BQL("UAL US Equity", "IS_COMP_EPS_ADJUSTED_OLD", "FPT=A", "FPO=5A", "ACT_EST_MAPPING=PRECISE", "FS=MRC", "CURRENCY=USD", "XLFILL=b")</f>
        <v>15.955</v>
      </c>
      <c r="F280" s="9">
        <f>_xll.BQL("UAL US Equity", "IS_COMP_EPS_ADJUSTED_OLD", "FPT=A", "FPO=4A", "ACT_EST_MAPPING=PRECISE", "FS=MRC", "CURRENCY=USD", "XLFILL=b")</f>
        <v>14.44</v>
      </c>
      <c r="G280" s="9">
        <f>_xll.BQL("UAL US Equity", "IS_COMP_EPS_ADJUSTED_OLD", "FPT=A", "FPO=3A", "ACT_EST_MAPPING=PRECISE", "FS=MRC", "CURRENCY=USD", "XLFILL=b")</f>
        <v>13.001666666666667</v>
      </c>
      <c r="H280" s="9">
        <f>_xll.BQL("UAL US Equity", "IS_COMP_EPS_ADJUSTED_OLD", "FPT=A", "FPO=2A", "ACT_EST_MAPPING=PRECISE", "FS=MRC", "CURRENCY=USD", "XLFILL=b")</f>
        <v>11.234999999999999</v>
      </c>
      <c r="I280" s="9">
        <f>_xll.BQL("UAL US Equity", "IS_COMP_EPS_ADJUSTED_OLD", "FPT=A", "FPO=1A", "ACT_EST_MAPPING=PRECISE", "FS=MRC", "CURRENCY=USD", "XLFILL=b")</f>
        <v>9.6611111111111132</v>
      </c>
      <c r="J280" s="9">
        <f>_xll.BQL("UAL US Equity", "IS_COMP_EPS_ADJUSTED_OLD", "FPT=A", "FPO=0A", "ACT_EST_MAPPING=PRECISE", "FS=MRC", "CURRENCY=USD", "XLFILL=b")</f>
        <v>10.050000000000001</v>
      </c>
      <c r="K280" s="9">
        <f>_xll.BQL("UAL US Equity", "IS_COMP_EPS_ADJUSTED_OLD", "FPT=A", "FPO=-1A", "ACT_EST_MAPPING=PRECISE", "FS=MRC", "CURRENCY=USD", "XLFILL=b")</f>
        <v>2.52</v>
      </c>
      <c r="L280" s="9">
        <f>_xll.BQL("UAL US Equity", "IS_COMP_EPS_ADJUSTED_OLD", "FPT=A", "FPO=-2A", "ACT_EST_MAPPING=PRECISE", "FS=MRC", "CURRENCY=USD", "XLFILL=b")</f>
        <v>-13.94</v>
      </c>
      <c r="M280" s="9">
        <f>_xll.BQL("UAL US Equity", "IS_COMP_EPS_ADJUSTED_OLD", "FPT=A", "FPO=-3A", "ACT_EST_MAPPING=PRECISE", "FS=MRC", "CURRENCY=USD", "XLFILL=b")</f>
        <v>-27.57</v>
      </c>
      <c r="N280" s="9">
        <f>_xll.BQL("UAL US Equity", "IS_COMP_EPS_ADJUSTED_OLD", "FPT=A", "FPO=-4A", "ACT_EST_MAPPING=PRECISE", "FS=MRC", "CURRENCY=USD", "XLFILL=b")</f>
        <v>12.05</v>
      </c>
    </row>
    <row r="281" spans="1:14" x14ac:dyDescent="0.2">
      <c r="A281" s="8" t="s">
        <v>20</v>
      </c>
      <c r="B281" s="4" t="s">
        <v>10</v>
      </c>
      <c r="C281" s="4" t="s">
        <v>251</v>
      </c>
      <c r="D281" s="4"/>
      <c r="E281" s="9">
        <f>_xll.BQL("UAL US Equity", "FA_GROWTH(IS_COMP_EPS_ADJUSTED_OLD, YOY)", "FPT=A", "FPO=5A", "ACT_EST_MAPPING=PRECISE", "FS=MRC", "CURRENCY=USD", "XLFILL=b")</f>
        <v>10.491689750692524</v>
      </c>
      <c r="F281" s="9">
        <f>_xll.BQL("UAL US Equity", "FA_GROWTH(IS_COMP_EPS_ADJUSTED_OLD, YOY)", "FPT=A", "FPO=4A", "ACT_EST_MAPPING=PRECISE", "FS=MRC", "CURRENCY=USD", "XLFILL=b")</f>
        <v>11.062684271247269</v>
      </c>
      <c r="G281" s="9">
        <f>_xll.BQL("UAL US Equity", "FA_GROWTH(IS_COMP_EPS_ADJUSTED_OLD, YOY)", "FPT=A", "FPO=3A", "ACT_EST_MAPPING=PRECISE", "FS=MRC", "CURRENCY=USD", "XLFILL=b")</f>
        <v>15.724669930277415</v>
      </c>
      <c r="H281" s="9">
        <f>_xll.BQL("UAL US Equity", "FA_GROWTH(IS_COMP_EPS_ADJUSTED_OLD, YOY)", "FPT=A", "FPO=2A", "ACT_EST_MAPPING=PRECISE", "FS=MRC", "CURRENCY=USD", "XLFILL=b")</f>
        <v>16.290971822886686</v>
      </c>
      <c r="I281" s="9">
        <f>_xll.BQL("UAL US Equity", "FA_GROWTH(IS_COMP_EPS_ADJUSTED_OLD, YOY)", "FPT=A", "FPO=1A", "ACT_EST_MAPPING=PRECISE", "FS=MRC", "CURRENCY=USD", "XLFILL=b")</f>
        <v>-3.8695411829740047</v>
      </c>
      <c r="J281" s="9">
        <f>_xll.BQL("UAL US Equity", "FA_GROWTH(IS_COMP_EPS_ADJUSTED_OLD, YOY)", "FPT=A", "FPO=0A", "ACT_EST_MAPPING=PRECISE", "FS=MRC", "CURRENCY=USD", "XLFILL=b")</f>
        <v>298.80952380952385</v>
      </c>
      <c r="K281" s="9">
        <f>_xll.BQL("UAL US Equity", "FA_GROWTH(IS_COMP_EPS_ADJUSTED_OLD, YOY)", "FPT=A", "FPO=-1A", "ACT_EST_MAPPING=PRECISE", "FS=MRC", "CURRENCY=USD", "XLFILL=b")</f>
        <v>118.07747489239598</v>
      </c>
      <c r="L281" s="9">
        <f>_xll.BQL("UAL US Equity", "FA_GROWTH(IS_COMP_EPS_ADJUSTED_OLD, YOY)", "FPT=A", "FPO=-2A", "ACT_EST_MAPPING=PRECISE", "FS=MRC", "CURRENCY=USD", "XLFILL=b")</f>
        <v>49.437794704388828</v>
      </c>
      <c r="M281" s="9">
        <f>_xll.BQL("UAL US Equity", "FA_GROWTH(IS_COMP_EPS_ADJUSTED_OLD, YOY)", "FPT=A", "FPO=-3A", "ACT_EST_MAPPING=PRECISE", "FS=MRC", "CURRENCY=USD", "XLFILL=b")</f>
        <v>-328.79668049792531</v>
      </c>
      <c r="N281" s="9">
        <f>_xll.BQL("UAL US Equity", "FA_GROWTH(IS_COMP_EPS_ADJUSTED_OLD, YOY)", "FPT=A", "FPO=-4A", "ACT_EST_MAPPING=PRECISE", "FS=MRC", "CURRENCY=USD", "XLFILL=b")</f>
        <v>31.982475355969328</v>
      </c>
    </row>
    <row r="282" spans="1:14" x14ac:dyDescent="0.2">
      <c r="A282" s="8" t="s">
        <v>16</v>
      </c>
      <c r="B282" s="4"/>
      <c r="C282" s="4"/>
      <c r="D282" s="4"/>
      <c r="E282" s="9"/>
      <c r="F282" s="9"/>
      <c r="G282" s="9"/>
      <c r="H282" s="9"/>
      <c r="I282" s="9"/>
      <c r="J282" s="9"/>
      <c r="K282" s="9"/>
      <c r="L282" s="9"/>
      <c r="M282" s="9"/>
      <c r="N282" s="9"/>
    </row>
    <row r="283" spans="1:14" x14ac:dyDescent="0.2">
      <c r="A283" s="8" t="s">
        <v>252</v>
      </c>
      <c r="B283" s="4"/>
      <c r="C283" s="4"/>
      <c r="D283" s="4"/>
      <c r="E283" s="9"/>
      <c r="F283" s="9"/>
      <c r="G283" s="9"/>
      <c r="H283" s="9"/>
      <c r="I283" s="9"/>
      <c r="J283" s="9"/>
      <c r="K283" s="9"/>
      <c r="L283" s="9"/>
      <c r="M283" s="9"/>
      <c r="N283" s="9"/>
    </row>
    <row r="284" spans="1:14" x14ac:dyDescent="0.2">
      <c r="A284" s="8" t="s">
        <v>253</v>
      </c>
      <c r="B284" s="4" t="s">
        <v>254</v>
      </c>
      <c r="C284" s="4"/>
      <c r="D284" s="4"/>
      <c r="E284" s="9" t="str">
        <f>_xll.BQL("UAL US Equity", "IS_NET_ABNORMAL_ITEMS/1M", "FPT=A", "FPO=5A", "ACT_EST_MAPPING=PRECISE", "FS=MRC", "CURRENCY=USD", "XLFILL=b")</f>
        <v/>
      </c>
      <c r="F284" s="9" t="str">
        <f>_xll.BQL("UAL US Equity", "IS_NET_ABNORMAL_ITEMS/1M", "FPT=A", "FPO=4A", "ACT_EST_MAPPING=PRECISE", "FS=MRC", "CURRENCY=USD", "XLFILL=b")</f>
        <v/>
      </c>
      <c r="G284" s="9" t="str">
        <f>_xll.BQL("UAL US Equity", "IS_NET_ABNORMAL_ITEMS/1M", "FPT=A", "FPO=3A", "ACT_EST_MAPPING=PRECISE", "FS=MRC", "CURRENCY=USD", "XLFILL=b")</f>
        <v/>
      </c>
      <c r="H284" s="9">
        <f>_xll.BQL("UAL US Equity", "IS_NET_ABNORMAL_ITEMS/1M", "FPT=A", "FPO=2A", "ACT_EST_MAPPING=PRECISE", "FS=MRC", "CURRENCY=USD", "XLFILL=b")</f>
        <v>470.92142886923023</v>
      </c>
      <c r="I284" s="9">
        <f>_xll.BQL("UAL US Equity", "IS_NET_ABNORMAL_ITEMS/1M", "FPT=A", "FPO=1A", "ACT_EST_MAPPING=PRECISE", "FS=MRC", "CURRENCY=USD", "XLFILL=b")</f>
        <v>274.27499999999998</v>
      </c>
      <c r="J284" s="9">
        <f>_xll.BQL("UAL US Equity", "IS_NET_ABNORMAL_ITEMS/1M", "FPT=A", "FPO=0A", "ACT_EST_MAPPING=PRECISE", "FS=MRC", "CURRENCY=USD", "XLFILL=b")</f>
        <v>505</v>
      </c>
      <c r="K284" s="9">
        <f>_xll.BQL("UAL US Equity", "IS_NET_ABNORMAL_ITEMS/1M", "FPT=A", "FPO=-1A", "ACT_EST_MAPPING=PRECISE", "FS=MRC", "CURRENCY=USD", "XLFILL=b")</f>
        <v>94</v>
      </c>
      <c r="L284" s="9">
        <f>_xll.BQL("UAL US Equity", "IS_NET_ABNORMAL_ITEMS/1M", "FPT=A", "FPO=-2A", "ACT_EST_MAPPING=PRECISE", "FS=MRC", "CURRENCY=USD", "XLFILL=b")</f>
        <v>-2524</v>
      </c>
      <c r="M284" s="9">
        <f>_xll.BQL("UAL US Equity", "IS_NET_ABNORMAL_ITEMS/1M", "FPT=A", "FPO=-3A", "ACT_EST_MAPPING=PRECISE", "FS=MRC", "CURRENCY=USD", "XLFILL=b")</f>
        <v>-634</v>
      </c>
      <c r="N284" s="9">
        <f>_xll.BQL("UAL US Equity", "IS_NET_ABNORMAL_ITEMS/1M", "FPT=A", "FPO=-4A", "ACT_EST_MAPPING=PRECISE", "FS=MRC", "CURRENCY=USD", "XLFILL=b")</f>
        <v>87</v>
      </c>
    </row>
    <row r="285" spans="1:14" x14ac:dyDescent="0.2">
      <c r="A285" s="8" t="s">
        <v>20</v>
      </c>
      <c r="B285" s="4" t="s">
        <v>254</v>
      </c>
      <c r="C285" s="4"/>
      <c r="D285" s="4"/>
      <c r="E285" s="9" t="str">
        <f>_xll.BQL("UAL US Equity", "FA_GROWTH(IS_NET_ABNORMAL_ITEMS, YOY)", "FPT=A", "FPO=5A", "ACT_EST_MAPPING=PRECISE", "FS=MRC", "CURRENCY=USD", "XLFILL=b")</f>
        <v/>
      </c>
      <c r="F285" s="9" t="str">
        <f>_xll.BQL("UAL US Equity", "FA_GROWTH(IS_NET_ABNORMAL_ITEMS, YOY)", "FPT=A", "FPO=4A", "ACT_EST_MAPPING=PRECISE", "FS=MRC", "CURRENCY=USD", "XLFILL=b")</f>
        <v/>
      </c>
      <c r="G285" s="9" t="str">
        <f>_xll.BQL("UAL US Equity", "FA_GROWTH(IS_NET_ABNORMAL_ITEMS, YOY)", "FPT=A", "FPO=3A", "ACT_EST_MAPPING=PRECISE", "FS=MRC", "CURRENCY=USD", "XLFILL=b")</f>
        <v/>
      </c>
      <c r="H285" s="9">
        <f>_xll.BQL("UAL US Equity", "FA_GROWTH(IS_NET_ABNORMAL_ITEMS, YOY)", "FPT=A", "FPO=2A", "ACT_EST_MAPPING=PRECISE", "FS=MRC", "CURRENCY=USD", "XLFILL=b")</f>
        <v>71.696811181926975</v>
      </c>
      <c r="I285" s="9">
        <f>_xll.BQL("UAL US Equity", "FA_GROWTH(IS_NET_ABNORMAL_ITEMS, YOY)", "FPT=A", "FPO=1A", "ACT_EST_MAPPING=PRECISE", "FS=MRC", "CURRENCY=USD", "XLFILL=b")</f>
        <v>-45.688118811881189</v>
      </c>
      <c r="J285" s="9">
        <f>_xll.BQL("UAL US Equity", "FA_GROWTH(IS_NET_ABNORMAL_ITEMS, YOY)", "FPT=A", "FPO=0A", "ACT_EST_MAPPING=PRECISE", "FS=MRC", "CURRENCY=USD", "XLFILL=b")</f>
        <v>437.2340425531915</v>
      </c>
      <c r="K285" s="9">
        <f>_xll.BQL("UAL US Equity", "FA_GROWTH(IS_NET_ABNORMAL_ITEMS, YOY)", "FPT=A", "FPO=-1A", "ACT_EST_MAPPING=PRECISE", "FS=MRC", "CURRENCY=USD", "XLFILL=b")</f>
        <v>103.7242472266244</v>
      </c>
      <c r="L285" s="9">
        <f>_xll.BQL("UAL US Equity", "FA_GROWTH(IS_NET_ABNORMAL_ITEMS, YOY)", "FPT=A", "FPO=-2A", "ACT_EST_MAPPING=PRECISE", "FS=MRC", "CURRENCY=USD", "XLFILL=b")</f>
        <v>-298.10725552050474</v>
      </c>
      <c r="M285" s="9">
        <f>_xll.BQL("UAL US Equity", "FA_GROWTH(IS_NET_ABNORMAL_ITEMS, YOY)", "FPT=A", "FPO=-3A", "ACT_EST_MAPPING=PRECISE", "FS=MRC", "CURRENCY=USD", "XLFILL=b")</f>
        <v>-828.73563218390802</v>
      </c>
      <c r="N285" s="9">
        <f>_xll.BQL("UAL US Equity", "FA_GROWTH(IS_NET_ABNORMAL_ITEMS, YOY)", "FPT=A", "FPO=-4A", "ACT_EST_MAPPING=PRECISE", "FS=MRC", "CURRENCY=USD", "XLFILL=b")</f>
        <v>-69.580419580419587</v>
      </c>
    </row>
    <row r="286" spans="1:14" x14ac:dyDescent="0.2">
      <c r="A286" s="8" t="s">
        <v>16</v>
      </c>
      <c r="B286" s="4"/>
      <c r="C286" s="4"/>
      <c r="D286" s="4"/>
      <c r="E286" s="9"/>
      <c r="F286" s="9"/>
      <c r="G286" s="9"/>
      <c r="H286" s="9"/>
      <c r="I286" s="9"/>
      <c r="J286" s="9"/>
      <c r="K286" s="9"/>
      <c r="L286" s="9"/>
      <c r="M286" s="9"/>
      <c r="N286" s="9"/>
    </row>
    <row r="287" spans="1:14" x14ac:dyDescent="0.2">
      <c r="A287" s="8" t="s">
        <v>255</v>
      </c>
      <c r="B287" s="4"/>
      <c r="C287" s="4" t="s">
        <v>256</v>
      </c>
      <c r="D287" s="4"/>
      <c r="E287" s="9"/>
      <c r="F287" s="9"/>
      <c r="G287" s="9"/>
      <c r="H287" s="9"/>
      <c r="I287" s="9"/>
      <c r="J287" s="9"/>
      <c r="K287" s="9"/>
      <c r="L287" s="9"/>
      <c r="M287" s="9"/>
      <c r="N287" s="9"/>
    </row>
    <row r="288" spans="1:14" x14ac:dyDescent="0.2">
      <c r="A288" s="8" t="s">
        <v>257</v>
      </c>
      <c r="B288" s="4"/>
      <c r="C288" s="4" t="s">
        <v>258</v>
      </c>
      <c r="D288" s="4"/>
      <c r="E288" s="9"/>
      <c r="F288" s="9"/>
      <c r="G288" s="9"/>
      <c r="H288" s="9"/>
      <c r="I288" s="9"/>
      <c r="J288" s="9"/>
      <c r="K288" s="9"/>
      <c r="L288" s="9"/>
      <c r="M288" s="9"/>
      <c r="N288" s="9"/>
    </row>
    <row r="289" spans="1:14" x14ac:dyDescent="0.2">
      <c r="A289" s="8" t="s">
        <v>259</v>
      </c>
      <c r="B289" s="4" t="s">
        <v>260</v>
      </c>
      <c r="C289" s="4" t="s">
        <v>261</v>
      </c>
      <c r="D289" s="4"/>
      <c r="E289" s="9">
        <f>_xll.BQL("UAL US Equity", "BS_CUR_ASSET_REPORT/1M", "FPT=A", "FPO=5A", "ACT_EST_MAPPING=PRECISE", "FS=MRC", "CURRENCY=USD", "XLFILL=b")</f>
        <v>14767.80061662453</v>
      </c>
      <c r="F289" s="9">
        <f>_xll.BQL("UAL US Equity", "BS_CUR_ASSET_REPORT/1M", "FPT=A", "FPO=4A", "ACT_EST_MAPPING=PRECISE", "FS=MRC", "CURRENCY=USD", "XLFILL=b")</f>
        <v>15387.875482743179</v>
      </c>
      <c r="G289" s="9">
        <f>_xll.BQL("UAL US Equity", "BS_CUR_ASSET_REPORT/1M", "FPT=A", "FPO=3A", "ACT_EST_MAPPING=PRECISE", "FS=MRC", "CURRENCY=USD", "XLFILL=b")</f>
        <v>13695.616008552701</v>
      </c>
      <c r="H289" s="9">
        <f>_xll.BQL("UAL US Equity", "BS_CUR_ASSET_REPORT/1M", "FPT=A", "FPO=2A", "ACT_EST_MAPPING=PRECISE", "FS=MRC", "CURRENCY=USD", "XLFILL=b")</f>
        <v>16681.482888916526</v>
      </c>
      <c r="I289" s="9">
        <f>_xll.BQL("UAL US Equity", "BS_CUR_ASSET_REPORT/1M", "FPT=A", "FPO=1A", "ACT_EST_MAPPING=PRECISE", "FS=MRC", "CURRENCY=USD", "XLFILL=b")</f>
        <v>16575.668174239356</v>
      </c>
      <c r="J289" s="9">
        <f>_xll.BQL("UAL US Equity", "BS_CUR_ASSET_REPORT/1M", "FPT=A", "FPO=0A", "ACT_EST_MAPPING=PRECISE", "FS=MRC", "CURRENCY=USD", "XLFILL=b")</f>
        <v>18487</v>
      </c>
      <c r="K289" s="9">
        <f>_xll.BQL("UAL US Equity", "BS_CUR_ASSET_REPORT/1M", "FPT=A", "FPO=-1A", "ACT_EST_MAPPING=PRECISE", "FS=MRC", "CURRENCY=USD", "XLFILL=b")</f>
        <v>20058</v>
      </c>
      <c r="L289" s="9">
        <f>_xll.BQL("UAL US Equity", "BS_CUR_ASSET_REPORT/1M", "FPT=A", "FPO=-2A", "ACT_EST_MAPPING=PRECISE", "FS=MRC", "CURRENCY=USD", "XLFILL=b")</f>
        <v>21834</v>
      </c>
      <c r="M289" s="9">
        <f>_xll.BQL("UAL US Equity", "BS_CUR_ASSET_REPORT/1M", "FPT=A", "FPO=-3A", "ACT_EST_MAPPING=PRECISE", "FS=MRC", "CURRENCY=USD", "XLFILL=b")</f>
        <v>14800</v>
      </c>
      <c r="N289" s="9">
        <f>_xll.BQL("UAL US Equity", "BS_CUR_ASSET_REPORT/1M", "FPT=A", "FPO=-4A", "ACT_EST_MAPPING=PRECISE", "FS=MRC", "CURRENCY=USD", "XLFILL=b")</f>
        <v>8194</v>
      </c>
    </row>
    <row r="290" spans="1:14" x14ac:dyDescent="0.2">
      <c r="A290" s="8" t="s">
        <v>20</v>
      </c>
      <c r="B290" s="4" t="s">
        <v>260</v>
      </c>
      <c r="C290" s="4" t="s">
        <v>261</v>
      </c>
      <c r="D290" s="4"/>
      <c r="E290" s="9">
        <f>_xll.BQL("UAL US Equity", "FA_GROWTH(BS_CUR_ASSET_REPORT, YOY)", "FPT=A", "FPO=5A", "ACT_EST_MAPPING=PRECISE", "FS=MRC", "CURRENCY=USD", "XLFILL=b")</f>
        <v>-4.0296327248945767</v>
      </c>
      <c r="F290" s="9">
        <f>_xll.BQL("UAL US Equity", "FA_GROWTH(BS_CUR_ASSET_REPORT, YOY)", "FPT=A", "FPO=4A", "ACT_EST_MAPPING=PRECISE", "FS=MRC", "CURRENCY=USD", "XLFILL=b")</f>
        <v>12.356212916116291</v>
      </c>
      <c r="G290" s="9">
        <f>_xll.BQL("UAL US Equity", "FA_GROWTH(BS_CUR_ASSET_REPORT, YOY)", "FPT=A", "FPO=3A", "ACT_EST_MAPPING=PRECISE", "FS=MRC", "CURRENCY=USD", "XLFILL=b")</f>
        <v>-17.899289291287698</v>
      </c>
      <c r="H290" s="9">
        <f>_xll.BQL("UAL US Equity", "FA_GROWTH(BS_CUR_ASSET_REPORT, YOY)", "FPT=A", "FPO=2A", "ACT_EST_MAPPING=PRECISE", "FS=MRC", "CURRENCY=USD", "XLFILL=b")</f>
        <v>0.63837375099977611</v>
      </c>
      <c r="I290" s="9">
        <f>_xll.BQL("UAL US Equity", "FA_GROWTH(BS_CUR_ASSET_REPORT, YOY)", "FPT=A", "FPO=1A", "ACT_EST_MAPPING=PRECISE", "FS=MRC", "CURRENCY=USD", "XLFILL=b")</f>
        <v>-10.338788477095489</v>
      </c>
      <c r="J290" s="9">
        <f>_xll.BQL("UAL US Equity", "FA_GROWTH(BS_CUR_ASSET_REPORT, YOY)", "FPT=A", "FPO=0A", "ACT_EST_MAPPING=PRECISE", "FS=MRC", "CURRENCY=USD", "XLFILL=b")</f>
        <v>-7.8322863695283678</v>
      </c>
      <c r="K290" s="9">
        <f>_xll.BQL("UAL US Equity", "FA_GROWTH(BS_CUR_ASSET_REPORT, YOY)", "FPT=A", "FPO=-1A", "ACT_EST_MAPPING=PRECISE", "FS=MRC", "CURRENCY=USD", "XLFILL=b")</f>
        <v>-8.1341027754877722</v>
      </c>
      <c r="L290" s="9">
        <f>_xll.BQL("UAL US Equity", "FA_GROWTH(BS_CUR_ASSET_REPORT, YOY)", "FPT=A", "FPO=-2A", "ACT_EST_MAPPING=PRECISE", "FS=MRC", "CURRENCY=USD", "XLFILL=b")</f>
        <v>47.527027027027025</v>
      </c>
      <c r="M290" s="9">
        <f>_xll.BQL("UAL US Equity", "FA_GROWTH(BS_CUR_ASSET_REPORT, YOY)", "FPT=A", "FPO=-3A", "ACT_EST_MAPPING=PRECISE", "FS=MRC", "CURRENCY=USD", "XLFILL=b")</f>
        <v>80.619965828655111</v>
      </c>
      <c r="N290" s="9">
        <f>_xll.BQL("UAL US Equity", "FA_GROWTH(BS_CUR_ASSET_REPORT, YOY)", "FPT=A", "FPO=-4A", "ACT_EST_MAPPING=PRECISE", "FS=MRC", "CURRENCY=USD", "XLFILL=b")</f>
        <v>15.506061460389061</v>
      </c>
    </row>
    <row r="291" spans="1:14" x14ac:dyDescent="0.2">
      <c r="A291" s="8" t="s">
        <v>262</v>
      </c>
      <c r="B291" s="4" t="s">
        <v>263</v>
      </c>
      <c r="C291" s="4" t="s">
        <v>264</v>
      </c>
      <c r="D291" s="4"/>
      <c r="E291" s="9">
        <f>_xll.BQL("UAL US Equity", "BS_CASH_CASH_EQUIVALENTS_AND_STI/1M", "FPT=A", "FPO=5A", "ACT_EST_MAPPING=PRECISE", "FS=MRC", "CURRENCY=USD", "XLFILL=b")</f>
        <v>8595.9201053317083</v>
      </c>
      <c r="F291" s="9">
        <f>_xll.BQL("UAL US Equity", "BS_CASH_CASH_EQUIVALENTS_AND_STI/1M", "FPT=A", "FPO=4A", "ACT_EST_MAPPING=PRECISE", "FS=MRC", "CURRENCY=USD", "XLFILL=b")</f>
        <v>6684.7092008805903</v>
      </c>
      <c r="G291" s="9">
        <f>_xll.BQL("UAL US Equity", "BS_CASH_CASH_EQUIVALENTS_AND_STI/1M", "FPT=A", "FPO=3A", "ACT_EST_MAPPING=PRECISE", "FS=MRC", "CURRENCY=USD", "XLFILL=b")</f>
        <v>8126.9169199173475</v>
      </c>
      <c r="H291" s="9">
        <f>_xll.BQL("UAL US Equity", "BS_CASH_CASH_EQUIVALENTS_AND_STI/1M", "FPT=A", "FPO=2A", "ACT_EST_MAPPING=PRECISE", "FS=MRC", "CURRENCY=USD", "XLFILL=b")</f>
        <v>12061.305851396979</v>
      </c>
      <c r="I291" s="9">
        <f>_xll.BQL("UAL US Equity", "BS_CASH_CASH_EQUIVALENTS_AND_STI/1M", "FPT=A", "FPO=1A", "ACT_EST_MAPPING=PRECISE", "FS=MRC", "CURRENCY=USD", "XLFILL=b")</f>
        <v>12132.107113495545</v>
      </c>
      <c r="J291" s="9">
        <f>_xll.BQL("UAL US Equity", "BS_CASH_CASH_EQUIVALENTS_AND_STI/1M", "FPT=A", "FPO=0A", "ACT_EST_MAPPING=PRECISE", "FS=MRC", "CURRENCY=USD", "XLFILL=b")</f>
        <v>14388</v>
      </c>
      <c r="K291" s="9">
        <f>_xll.BQL("UAL US Equity", "BS_CASH_CASH_EQUIVALENTS_AND_STI/1M", "FPT=A", "FPO=-1A", "ACT_EST_MAPPING=PRECISE", "FS=MRC", "CURRENCY=USD", "XLFILL=b")</f>
        <v>16414</v>
      </c>
      <c r="L291" s="9">
        <f>_xll.BQL("UAL US Equity", "BS_CASH_CASH_EQUIVALENTS_AND_STI/1M", "FPT=A", "FPO=-2A", "ACT_EST_MAPPING=PRECISE", "FS=MRC", "CURRENCY=USD", "XLFILL=b")</f>
        <v>18406</v>
      </c>
      <c r="M291" s="9">
        <f>_xll.BQL("UAL US Equity", "BS_CASH_CASH_EQUIVALENTS_AND_STI/1M", "FPT=A", "FPO=-3A", "ACT_EST_MAPPING=PRECISE", "FS=MRC", "CURRENCY=USD", "XLFILL=b")</f>
        <v>11683</v>
      </c>
      <c r="N291" s="9">
        <f>_xll.BQL("UAL US Equity", "BS_CASH_CASH_EQUIVALENTS_AND_STI/1M", "FPT=A", "FPO=-4A", "ACT_EST_MAPPING=PRECISE", "FS=MRC", "CURRENCY=USD", "XLFILL=b")</f>
        <v>4944</v>
      </c>
    </row>
    <row r="292" spans="1:14" x14ac:dyDescent="0.2">
      <c r="A292" s="8" t="s">
        <v>86</v>
      </c>
      <c r="B292" s="4" t="s">
        <v>263</v>
      </c>
      <c r="C292" s="4" t="s">
        <v>264</v>
      </c>
      <c r="D292" s="4"/>
      <c r="E292" s="9">
        <f>_xll.BQL("UAL US Equity", "FA_GROWTH(BS_CASH_CASH_EQUIVALENTS_AND_STI, YOY)", "FPT=A", "FPO=5A", "ACT_EST_MAPPING=PRECISE", "FS=MRC", "CURRENCY=USD", "XLFILL=b")</f>
        <v>28.590786031490357</v>
      </c>
      <c r="F292" s="9">
        <f>_xll.BQL("UAL US Equity", "FA_GROWTH(BS_CASH_CASH_EQUIVALENTS_AND_STI, YOY)", "FPT=A", "FPO=4A", "ACT_EST_MAPPING=PRECISE", "FS=MRC", "CURRENCY=USD", "XLFILL=b")</f>
        <v>-17.746062046016647</v>
      </c>
      <c r="G292" s="9">
        <f>_xll.BQL("UAL US Equity", "FA_GROWTH(BS_CASH_CASH_EQUIVALENTS_AND_STI, YOY)", "FPT=A", "FPO=3A", "ACT_EST_MAPPING=PRECISE", "FS=MRC", "CURRENCY=USD", "XLFILL=b")</f>
        <v>-32.619925072407788</v>
      </c>
      <c r="H292" s="9">
        <f>_xll.BQL("UAL US Equity", "FA_GROWTH(BS_CASH_CASH_EQUIVALENTS_AND_STI, YOY)", "FPT=A", "FPO=2A", "ACT_EST_MAPPING=PRECISE", "FS=MRC", "CURRENCY=USD", "XLFILL=b")</f>
        <v>-0.58358586382583011</v>
      </c>
      <c r="I292" s="9">
        <f>_xll.BQL("UAL US Equity", "FA_GROWTH(BS_CASH_CASH_EQUIVALENTS_AND_STI, YOY)", "FPT=A", "FPO=1A", "ACT_EST_MAPPING=PRECISE", "FS=MRC", "CURRENCY=USD", "XLFILL=b")</f>
        <v>-15.678988646819946</v>
      </c>
      <c r="J292" s="9">
        <f>_xll.BQL("UAL US Equity", "FA_GROWTH(BS_CASH_CASH_EQUIVALENTS_AND_STI, YOY)", "FPT=A", "FPO=0A", "ACT_EST_MAPPING=PRECISE", "FS=MRC", "CURRENCY=USD", "XLFILL=b")</f>
        <v>-12.343121725356403</v>
      </c>
      <c r="K292" s="9">
        <f>_xll.BQL("UAL US Equity", "FA_GROWTH(BS_CASH_CASH_EQUIVALENTS_AND_STI, YOY)", "FPT=A", "FPO=-1A", "ACT_EST_MAPPING=PRECISE", "FS=MRC", "CURRENCY=USD", "XLFILL=b")</f>
        <v>-10.82255786156688</v>
      </c>
      <c r="L292" s="9">
        <f>_xll.BQL("UAL US Equity", "FA_GROWTH(BS_CASH_CASH_EQUIVALENTS_AND_STI, YOY)", "FPT=A", "FPO=-2A", "ACT_EST_MAPPING=PRECISE", "FS=MRC", "CURRENCY=USD", "XLFILL=b")</f>
        <v>57.545151074210388</v>
      </c>
      <c r="M292" s="9">
        <f>_xll.BQL("UAL US Equity", "FA_GROWTH(BS_CASH_CASH_EQUIVALENTS_AND_STI, YOY)", "FPT=A", "FPO=-3A", "ACT_EST_MAPPING=PRECISE", "FS=MRC", "CURRENCY=USD", "XLFILL=b")</f>
        <v>136.30663430420711</v>
      </c>
      <c r="N292" s="9">
        <f>_xll.BQL("UAL US Equity", "FA_GROWTH(BS_CASH_CASH_EQUIVALENTS_AND_STI, YOY)", "FPT=A", "FPO=-4A", "ACT_EST_MAPPING=PRECISE", "FS=MRC", "CURRENCY=USD", "XLFILL=b")</f>
        <v>25.164556962025316</v>
      </c>
    </row>
    <row r="293" spans="1:14" x14ac:dyDescent="0.2">
      <c r="A293" s="8" t="s">
        <v>265</v>
      </c>
      <c r="B293" s="4" t="s">
        <v>266</v>
      </c>
      <c r="C293" s="4" t="s">
        <v>267</v>
      </c>
      <c r="D293" s="4"/>
      <c r="E293" s="9">
        <f>_xll.BQL("UAL US Equity", "BS_CASH_NEAR_CASH_ITEM/1M", "FPT=A", "FPO=5A", "ACT_EST_MAPPING=PRECISE", "FS=MRC", "CURRENCY=USD", "XLFILL=b")</f>
        <v>6343.8345140066258</v>
      </c>
      <c r="F293" s="9">
        <f>_xll.BQL("UAL US Equity", "BS_CASH_NEAR_CASH_ITEM/1M", "FPT=A", "FPO=4A", "ACT_EST_MAPPING=PRECISE", "FS=MRC", "CURRENCY=USD", "XLFILL=b")</f>
        <v>7142.5293307893007</v>
      </c>
      <c r="G293" s="9">
        <f>_xll.BQL("UAL US Equity", "BS_CASH_NEAR_CASH_ITEM/1M", "FPT=A", "FPO=3A", "ACT_EST_MAPPING=PRECISE", "FS=MRC", "CURRENCY=USD", "XLFILL=b")</f>
        <v>4886.966262411278</v>
      </c>
      <c r="H293" s="9">
        <f>_xll.BQL("UAL US Equity", "BS_CASH_NEAR_CASH_ITEM/1M", "FPT=A", "FPO=2A", "ACT_EST_MAPPING=PRECISE", "FS=MRC", "CURRENCY=USD", "XLFILL=b")</f>
        <v>7898.3641161203204</v>
      </c>
      <c r="I293" s="9">
        <f>_xll.BQL("UAL US Equity", "BS_CASH_NEAR_CASH_ITEM/1M", "FPT=A", "FPO=1A", "ACT_EST_MAPPING=PRECISE", "FS=MRC", "CURRENCY=USD", "XLFILL=b")</f>
        <v>7063.721180087462</v>
      </c>
      <c r="J293" s="9">
        <f>_xll.BQL("UAL US Equity", "BS_CASH_NEAR_CASH_ITEM/1M", "FPT=A", "FPO=0A", "ACT_EST_MAPPING=PRECISE", "FS=MRC", "CURRENCY=USD", "XLFILL=b")</f>
        <v>6058</v>
      </c>
      <c r="K293" s="9">
        <f>_xll.BQL("UAL US Equity", "BS_CASH_NEAR_CASH_ITEM/1M", "FPT=A", "FPO=-1A", "ACT_EST_MAPPING=PRECISE", "FS=MRC", "CURRENCY=USD", "XLFILL=b")</f>
        <v>7166</v>
      </c>
      <c r="L293" s="9">
        <f>_xll.BQL("UAL US Equity", "BS_CASH_NEAR_CASH_ITEM/1M", "FPT=A", "FPO=-2A", "ACT_EST_MAPPING=PRECISE", "FS=MRC", "CURRENCY=USD", "XLFILL=b")</f>
        <v>18283</v>
      </c>
      <c r="M293" s="9">
        <f>_xll.BQL("UAL US Equity", "BS_CASH_NEAR_CASH_ITEM/1M", "FPT=A", "FPO=-3A", "ACT_EST_MAPPING=PRECISE", "FS=MRC", "CURRENCY=USD", "XLFILL=b")</f>
        <v>11269</v>
      </c>
      <c r="N293" s="9">
        <f>_xll.BQL("UAL US Equity", "BS_CASH_NEAR_CASH_ITEM/1M", "FPT=A", "FPO=-4A", "ACT_EST_MAPPING=PRECISE", "FS=MRC", "CURRENCY=USD", "XLFILL=b")</f>
        <v>2762</v>
      </c>
    </row>
    <row r="294" spans="1:14" x14ac:dyDescent="0.2">
      <c r="A294" s="8" t="s">
        <v>91</v>
      </c>
      <c r="B294" s="4" t="s">
        <v>266</v>
      </c>
      <c r="C294" s="4" t="s">
        <v>267</v>
      </c>
      <c r="D294" s="4"/>
      <c r="E294" s="9">
        <f>_xll.BQL("UAL US Equity", "FA_GROWTH(BS_CASH_NEAR_CASH_ITEM, YOY)", "FPT=A", "FPO=5A", "ACT_EST_MAPPING=PRECISE", "FS=MRC", "CURRENCY=USD", "XLFILL=b")</f>
        <v>-11.182240629236777</v>
      </c>
      <c r="F294" s="9">
        <f>_xll.BQL("UAL US Equity", "FA_GROWTH(BS_CASH_NEAR_CASH_ITEM, YOY)", "FPT=A", "FPO=4A", "ACT_EST_MAPPING=PRECISE", "FS=MRC", "CURRENCY=USD", "XLFILL=b")</f>
        <v>46.154668300597308</v>
      </c>
      <c r="G294" s="9">
        <f>_xll.BQL("UAL US Equity", "FA_GROWTH(BS_CASH_NEAR_CASH_ITEM, YOY)", "FPT=A", "FPO=3A", "ACT_EST_MAPPING=PRECISE", "FS=MRC", "CURRENCY=USD", "XLFILL=b")</f>
        <v>-38.12685525047992</v>
      </c>
      <c r="H294" s="9">
        <f>_xll.BQL("UAL US Equity", "FA_GROWTH(BS_CASH_NEAR_CASH_ITEM, YOY)", "FPT=A", "FPO=2A", "ACT_EST_MAPPING=PRECISE", "FS=MRC", "CURRENCY=USD", "XLFILL=b")</f>
        <v>11.815909982201809</v>
      </c>
      <c r="I294" s="9">
        <f>_xll.BQL("UAL US Equity", "FA_GROWTH(BS_CASH_NEAR_CASH_ITEM, YOY)", "FPT=A", "FPO=1A", "ACT_EST_MAPPING=PRECISE", "FS=MRC", "CURRENCY=USD", "XLFILL=b")</f>
        <v>16.60153813284025</v>
      </c>
      <c r="J294" s="9">
        <f>_xll.BQL("UAL US Equity", "FA_GROWTH(BS_CASH_NEAR_CASH_ITEM, YOY)", "FPT=A", "FPO=0A", "ACT_EST_MAPPING=PRECISE", "FS=MRC", "CURRENCY=USD", "XLFILL=b")</f>
        <v>-15.461903432877477</v>
      </c>
      <c r="K294" s="9">
        <f>_xll.BQL("UAL US Equity", "FA_GROWTH(BS_CASH_NEAR_CASH_ITEM, YOY)", "FPT=A", "FPO=-1A", "ACT_EST_MAPPING=PRECISE", "FS=MRC", "CURRENCY=USD", "XLFILL=b")</f>
        <v>-60.805119509927252</v>
      </c>
      <c r="L294" s="9">
        <f>_xll.BQL("UAL US Equity", "FA_GROWTH(BS_CASH_NEAR_CASH_ITEM, YOY)", "FPT=A", "FPO=-2A", "ACT_EST_MAPPING=PRECISE", "FS=MRC", "CURRENCY=USD", "XLFILL=b")</f>
        <v>62.241547608483451</v>
      </c>
      <c r="M294" s="9">
        <f>_xll.BQL("UAL US Equity", "FA_GROWTH(BS_CASH_NEAR_CASH_ITEM, YOY)", "FPT=A", "FPO=-3A", "ACT_EST_MAPPING=PRECISE", "FS=MRC", "CURRENCY=USD", "XLFILL=b")</f>
        <v>308.00144822592324</v>
      </c>
      <c r="N294" s="9">
        <f>_xll.BQL("UAL US Equity", "FA_GROWTH(BS_CASH_NEAR_CASH_ITEM, YOY)", "FPT=A", "FPO=-4A", "ACT_EST_MAPPING=PRECISE", "FS=MRC", "CURRENCY=USD", "XLFILL=b")</f>
        <v>63.04604486422668</v>
      </c>
    </row>
    <row r="295" spans="1:14" x14ac:dyDescent="0.2">
      <c r="A295" s="8" t="s">
        <v>268</v>
      </c>
      <c r="B295" s="4" t="s">
        <v>269</v>
      </c>
      <c r="C295" s="4" t="s">
        <v>270</v>
      </c>
      <c r="D295" s="4"/>
      <c r="E295" s="9">
        <f>_xll.BQL("UAL US Equity", "BS_MKT_SEC_OTHER_ST_INVEST/1M", "FPT=A", "FPO=5A", "ACT_EST_MAPPING=PRECISE", "FS=MRC", "CURRENCY=USD", "XLFILL=b")</f>
        <v>2330</v>
      </c>
      <c r="F295" s="9">
        <f>_xll.BQL("UAL US Equity", "BS_MKT_SEC_OTHER_ST_INVEST/1M", "FPT=A", "FPO=4A", "ACT_EST_MAPPING=PRECISE", "FS=MRC", "CURRENCY=USD", "XLFILL=b")</f>
        <v>2330</v>
      </c>
      <c r="G295" s="9">
        <f>_xll.BQL("UAL US Equity", "BS_MKT_SEC_OTHER_ST_INVEST/1M", "FPT=A", "FPO=3A", "ACT_EST_MAPPING=PRECISE", "FS=MRC", "CURRENCY=USD", "XLFILL=b")</f>
        <v>4033.4737970132205</v>
      </c>
      <c r="H295" s="9">
        <f>_xll.BQL("UAL US Equity", "BS_MKT_SEC_OTHER_ST_INVEST/1M", "FPT=A", "FPO=2A", "ACT_EST_MAPPING=PRECISE", "FS=MRC", "CURRENCY=USD", "XLFILL=b")</f>
        <v>5325.9840997703377</v>
      </c>
      <c r="I295" s="9">
        <f>_xll.BQL("UAL US Equity", "BS_MKT_SEC_OTHER_ST_INVEST/1M", "FPT=A", "FPO=1A", "ACT_EST_MAPPING=PRECISE", "FS=MRC", "CURRENCY=USD", "XLFILL=b")</f>
        <v>5931.8844183914725</v>
      </c>
      <c r="J295" s="9">
        <f>_xll.BQL("UAL US Equity", "BS_MKT_SEC_OTHER_ST_INVEST/1M", "FPT=A", "FPO=0A", "ACT_EST_MAPPING=PRECISE", "FS=MRC", "CURRENCY=USD", "XLFILL=b")</f>
        <v>8330</v>
      </c>
      <c r="K295" s="9">
        <f>_xll.BQL("UAL US Equity", "BS_MKT_SEC_OTHER_ST_INVEST/1M", "FPT=A", "FPO=-1A", "ACT_EST_MAPPING=PRECISE", "FS=MRC", "CURRENCY=USD", "XLFILL=b")</f>
        <v>9248</v>
      </c>
      <c r="L295" s="9">
        <f>_xll.BQL("UAL US Equity", "BS_MKT_SEC_OTHER_ST_INVEST/1M", "FPT=A", "FPO=-2A", "ACT_EST_MAPPING=PRECISE", "FS=MRC", "CURRENCY=USD", "XLFILL=b")</f>
        <v>123</v>
      </c>
      <c r="M295" s="9">
        <f>_xll.BQL("UAL US Equity", "BS_MKT_SEC_OTHER_ST_INVEST/1M", "FPT=A", "FPO=-3A", "ACT_EST_MAPPING=PRECISE", "FS=MRC", "CURRENCY=USD", "XLFILL=b")</f>
        <v>414</v>
      </c>
      <c r="N295" s="9">
        <f>_xll.BQL("UAL US Equity", "BS_MKT_SEC_OTHER_ST_INVEST/1M", "FPT=A", "FPO=-4A", "ACT_EST_MAPPING=PRECISE", "FS=MRC", "CURRENCY=USD", "XLFILL=b")</f>
        <v>2182</v>
      </c>
    </row>
    <row r="296" spans="1:14" x14ac:dyDescent="0.2">
      <c r="A296" s="8" t="s">
        <v>91</v>
      </c>
      <c r="B296" s="4" t="s">
        <v>269</v>
      </c>
      <c r="C296" s="4" t="s">
        <v>270</v>
      </c>
      <c r="D296" s="4"/>
      <c r="E296" s="9">
        <f>_xll.BQL("UAL US Equity", "FA_GROWTH(BS_MKT_SEC_OTHER_ST_INVEST, YOY)", "FPT=A", "FPO=5A", "ACT_EST_MAPPING=PRECISE", "FS=MRC", "CURRENCY=USD", "XLFILL=b")</f>
        <v>0</v>
      </c>
      <c r="F296" s="9">
        <f>_xll.BQL("UAL US Equity", "FA_GROWTH(BS_MKT_SEC_OTHER_ST_INVEST, YOY)", "FPT=A", "FPO=4A", "ACT_EST_MAPPING=PRECISE", "FS=MRC", "CURRENCY=USD", "XLFILL=b")</f>
        <v>-42.233416720709563</v>
      </c>
      <c r="G296" s="9">
        <f>_xll.BQL("UAL US Equity", "FA_GROWTH(BS_MKT_SEC_OTHER_ST_INVEST, YOY)", "FPT=A", "FPO=3A", "ACT_EST_MAPPING=PRECISE", "FS=MRC", "CURRENCY=USD", "XLFILL=b")</f>
        <v>-24.268009039171787</v>
      </c>
      <c r="H296" s="9">
        <f>_xll.BQL("UAL US Equity", "FA_GROWTH(BS_MKT_SEC_OTHER_ST_INVEST, YOY)", "FPT=A", "FPO=2A", "ACT_EST_MAPPING=PRECISE", "FS=MRC", "CURRENCY=USD", "XLFILL=b")</f>
        <v>-10.214297445556678</v>
      </c>
      <c r="I296" s="9">
        <f>_xll.BQL("UAL US Equity", "FA_GROWTH(BS_MKT_SEC_OTHER_ST_INVEST, YOY)", "FPT=A", "FPO=1A", "ACT_EST_MAPPING=PRECISE", "FS=MRC", "CURRENCY=USD", "XLFILL=b")</f>
        <v>-28.788902540318453</v>
      </c>
      <c r="J296" s="9">
        <f>_xll.BQL("UAL US Equity", "FA_GROWTH(BS_MKT_SEC_OTHER_ST_INVEST, YOY)", "FPT=A", "FPO=0A", "ACT_EST_MAPPING=PRECISE", "FS=MRC", "CURRENCY=USD", "XLFILL=b")</f>
        <v>-9.9264705882352935</v>
      </c>
      <c r="K296" s="9">
        <f>_xll.BQL("UAL US Equity", "FA_GROWTH(BS_MKT_SEC_OTHER_ST_INVEST, YOY)", "FPT=A", "FPO=-1A", "ACT_EST_MAPPING=PRECISE", "FS=MRC", "CURRENCY=USD", "XLFILL=b")</f>
        <v>7418.6991869918702</v>
      </c>
      <c r="L296" s="9">
        <f>_xll.BQL("UAL US Equity", "FA_GROWTH(BS_MKT_SEC_OTHER_ST_INVEST, YOY)", "FPT=A", "FPO=-2A", "ACT_EST_MAPPING=PRECISE", "FS=MRC", "CURRENCY=USD", "XLFILL=b")</f>
        <v>-70.289855072463766</v>
      </c>
      <c r="M296" s="9">
        <f>_xll.BQL("UAL US Equity", "FA_GROWTH(BS_MKT_SEC_OTHER_ST_INVEST, YOY)", "FPT=A", "FPO=-3A", "ACT_EST_MAPPING=PRECISE", "FS=MRC", "CURRENCY=USD", "XLFILL=b")</f>
        <v>-81.026581118240145</v>
      </c>
      <c r="N296" s="9">
        <f>_xll.BQL("UAL US Equity", "FA_GROWTH(BS_MKT_SEC_OTHER_ST_INVEST, YOY)", "FPT=A", "FPO=-4A", "ACT_EST_MAPPING=PRECISE", "FS=MRC", "CURRENCY=USD", "XLFILL=b")</f>
        <v>-3.2801418439716312</v>
      </c>
    </row>
    <row r="297" spans="1:14" x14ac:dyDescent="0.2">
      <c r="A297" s="8" t="s">
        <v>271</v>
      </c>
      <c r="B297" s="4" t="s">
        <v>272</v>
      </c>
      <c r="C297" s="4" t="s">
        <v>273</v>
      </c>
      <c r="D297" s="4"/>
      <c r="E297" s="9">
        <f>_xll.BQL("UAL US Equity", "BS_ACCTS_REC_EXCL_NOTES_REC/1M", "FPT=A", "FPO=5A", "ACT_EST_MAPPING=PRECISE", "FS=MRC", "CURRENCY=USD", "XLFILL=b")</f>
        <v>2264.8185481226465</v>
      </c>
      <c r="F297" s="9">
        <f>_xll.BQL("UAL US Equity", "BS_ACCTS_REC_EXCL_NOTES_REC/1M", "FPT=A", "FPO=4A", "ACT_EST_MAPPING=PRECISE", "FS=MRC", "CURRENCY=USD", "XLFILL=b")</f>
        <v>2173.9851876009338</v>
      </c>
      <c r="G297" s="9">
        <f>_xll.BQL("UAL US Equity", "BS_ACCTS_REC_EXCL_NOTES_REC/1M", "FPT=A", "FPO=3A", "ACT_EST_MAPPING=PRECISE", "FS=MRC", "CURRENCY=USD", "XLFILL=b")</f>
        <v>2147.6795243925758</v>
      </c>
      <c r="H297" s="9">
        <f>_xll.BQL("UAL US Equity", "BS_ACCTS_REC_EXCL_NOTES_REC/1M", "FPT=A", "FPO=2A", "ACT_EST_MAPPING=PRECISE", "FS=MRC", "CURRENCY=USD", "XLFILL=b")</f>
        <v>2037.1449457848537</v>
      </c>
      <c r="I297" s="9">
        <f>_xll.BQL("UAL US Equity", "BS_ACCTS_REC_EXCL_NOTES_REC/1M", "FPT=A", "FPO=1A", "ACT_EST_MAPPING=PRECISE", "FS=MRC", "CURRENCY=USD", "XLFILL=b")</f>
        <v>2014.8921986738735</v>
      </c>
      <c r="J297" s="9">
        <f>_xll.BQL("UAL US Equity", "BS_ACCTS_REC_EXCL_NOTES_REC/1M", "FPT=A", "FPO=0A", "ACT_EST_MAPPING=PRECISE", "FS=MRC", "CURRENCY=USD", "XLFILL=b")</f>
        <v>1898</v>
      </c>
      <c r="K297" s="9">
        <f>_xll.BQL("UAL US Equity", "BS_ACCTS_REC_EXCL_NOTES_REC/1M", "FPT=A", "FPO=-1A", "ACT_EST_MAPPING=PRECISE", "FS=MRC", "CURRENCY=USD", "XLFILL=b")</f>
        <v>1801</v>
      </c>
      <c r="L297" s="9">
        <f>_xll.BQL("UAL US Equity", "BS_ACCTS_REC_EXCL_NOTES_REC/1M", "FPT=A", "FPO=-2A", "ACT_EST_MAPPING=PRECISE", "FS=MRC", "CURRENCY=USD", "XLFILL=b")</f>
        <v>1663</v>
      </c>
      <c r="M297" s="9">
        <f>_xll.BQL("UAL US Equity", "BS_ACCTS_REC_EXCL_NOTES_REC/1M", "FPT=A", "FPO=-3A", "ACT_EST_MAPPING=PRECISE", "FS=MRC", "CURRENCY=USD", "XLFILL=b")</f>
        <v>1295</v>
      </c>
      <c r="N297" s="9">
        <f>_xll.BQL("UAL US Equity", "BS_ACCTS_REC_EXCL_NOTES_REC/1M", "FPT=A", "FPO=-4A", "ACT_EST_MAPPING=PRECISE", "FS=MRC", "CURRENCY=USD", "XLFILL=b")</f>
        <v>1364</v>
      </c>
    </row>
    <row r="298" spans="1:14" x14ac:dyDescent="0.2">
      <c r="A298" s="8" t="s">
        <v>86</v>
      </c>
      <c r="B298" s="4" t="s">
        <v>272</v>
      </c>
      <c r="C298" s="4" t="s">
        <v>273</v>
      </c>
      <c r="D298" s="4"/>
      <c r="E298" s="9">
        <f>_xll.BQL("UAL US Equity", "FA_GROWTH(BS_ACCTS_REC_EXCL_NOTES_REC, YOY)", "FPT=A", "FPO=5A", "ACT_EST_MAPPING=PRECISE", "FS=MRC", "CURRENCY=USD", "XLFILL=b")</f>
        <v>4.178195925150253</v>
      </c>
      <c r="F298" s="9">
        <f>_xll.BQL("UAL US Equity", "FA_GROWTH(BS_ACCTS_REC_EXCL_NOTES_REC, YOY)", "FPT=A", "FPO=4A", "ACT_EST_MAPPING=PRECISE", "FS=MRC", "CURRENCY=USD", "XLFILL=b")</f>
        <v>1.2248411790301101</v>
      </c>
      <c r="G298" s="9">
        <f>_xll.BQL("UAL US Equity", "FA_GROWTH(BS_ACCTS_REC_EXCL_NOTES_REC, YOY)", "FPT=A", "FPO=3A", "ACT_EST_MAPPING=PRECISE", "FS=MRC", "CURRENCY=USD", "XLFILL=b")</f>
        <v>5.4259555186013646</v>
      </c>
      <c r="H298" s="9">
        <f>_xll.BQL("UAL US Equity", "FA_GROWTH(BS_ACCTS_REC_EXCL_NOTES_REC, YOY)", "FPT=A", "FPO=2A", "ACT_EST_MAPPING=PRECISE", "FS=MRC", "CURRENCY=USD", "XLFILL=b")</f>
        <v>1.1044137808278873</v>
      </c>
      <c r="I298" s="9">
        <f>_xll.BQL("UAL US Equity", "FA_GROWTH(BS_ACCTS_REC_EXCL_NOTES_REC, YOY)", "FPT=A", "FPO=1A", "ACT_EST_MAPPING=PRECISE", "FS=MRC", "CURRENCY=USD", "XLFILL=b")</f>
        <v>6.1587038289712028</v>
      </c>
      <c r="J298" s="9">
        <f>_xll.BQL("UAL US Equity", "FA_GROWTH(BS_ACCTS_REC_EXCL_NOTES_REC, YOY)", "FPT=A", "FPO=0A", "ACT_EST_MAPPING=PRECISE", "FS=MRC", "CURRENCY=USD", "XLFILL=b")</f>
        <v>5.3858967240421984</v>
      </c>
      <c r="K298" s="9">
        <f>_xll.BQL("UAL US Equity", "FA_GROWTH(BS_ACCTS_REC_EXCL_NOTES_REC, YOY)", "FPT=A", "FPO=-1A", "ACT_EST_MAPPING=PRECISE", "FS=MRC", "CURRENCY=USD", "XLFILL=b")</f>
        <v>8.2982561635598309</v>
      </c>
      <c r="L298" s="9">
        <f>_xll.BQL("UAL US Equity", "FA_GROWTH(BS_ACCTS_REC_EXCL_NOTES_REC, YOY)", "FPT=A", "FPO=-2A", "ACT_EST_MAPPING=PRECISE", "FS=MRC", "CURRENCY=USD", "XLFILL=b")</f>
        <v>28.416988416988417</v>
      </c>
      <c r="M298" s="9">
        <f>_xll.BQL("UAL US Equity", "FA_GROWTH(BS_ACCTS_REC_EXCL_NOTES_REC, YOY)", "FPT=A", "FPO=-3A", "ACT_EST_MAPPING=PRECISE", "FS=MRC", "CURRENCY=USD", "XLFILL=b")</f>
        <v>-5.0586510263929618</v>
      </c>
      <c r="N298" s="9">
        <f>_xll.BQL("UAL US Equity", "FA_GROWTH(BS_ACCTS_REC_EXCL_NOTES_REC, YOY)", "FPT=A", "FPO=-4A", "ACT_EST_MAPPING=PRECISE", "FS=MRC", "CURRENCY=USD", "XLFILL=b")</f>
        <v>-4.3478260869565215</v>
      </c>
    </row>
    <row r="299" spans="1:14" x14ac:dyDescent="0.2">
      <c r="A299" s="8" t="s">
        <v>274</v>
      </c>
      <c r="B299" s="4" t="s">
        <v>275</v>
      </c>
      <c r="C299" s="4" t="s">
        <v>276</v>
      </c>
      <c r="D299" s="4"/>
      <c r="E299" s="9">
        <f>_xll.BQL("UAL US Equity", "CB_BS_OTHER_CURRENT_ASSETS/1M", "FPT=A", "FPO=5A", "ACT_EST_MAPPING=PRECISE", "FS=MRC", "CURRENCY=USD", "XLFILL=b")</f>
        <v>1838.3843915952953</v>
      </c>
      <c r="F299" s="9">
        <f>_xll.BQL("UAL US Equity", "CB_BS_OTHER_CURRENT_ASSETS/1M", "FPT=A", "FPO=4A", "ACT_EST_MAPPING=PRECISE", "FS=MRC", "CURRENCY=USD", "XLFILL=b")</f>
        <v>1749.2510013229278</v>
      </c>
      <c r="G299" s="9">
        <f>_xll.BQL("UAL US Equity", "CB_BS_OTHER_CURRENT_ASSETS/1M", "FPT=A", "FPO=3A", "ACT_EST_MAPPING=PRECISE", "FS=MRC", "CURRENCY=USD", "XLFILL=b")</f>
        <v>1754.7774321345548</v>
      </c>
      <c r="H299" s="9">
        <f>_xll.BQL("UAL US Equity", "CB_BS_OTHER_CURRENT_ASSETS/1M", "FPT=A", "FPO=2A", "ACT_EST_MAPPING=PRECISE", "FS=MRC", "CURRENCY=USD", "XLFILL=b")</f>
        <v>1648.1298640970251</v>
      </c>
      <c r="I299" s="9">
        <f>_xll.BQL("UAL US Equity", "CB_BS_OTHER_CURRENT_ASSETS/1M", "FPT=A", "FPO=1A", "ACT_EST_MAPPING=PRECISE", "FS=MRC", "CURRENCY=USD", "XLFILL=b")</f>
        <v>1559.6698978414765</v>
      </c>
      <c r="J299" s="9">
        <f>_xll.BQL("UAL US Equity", "CB_BS_OTHER_CURRENT_ASSETS/1M", "FPT=A", "FPO=0A", "ACT_EST_MAPPING=PRECISE", "FS=MRC", "CURRENCY=USD", "XLFILL=b")</f>
        <v>1561</v>
      </c>
      <c r="K299" s="9">
        <f>_xll.BQL("UAL US Equity", "CB_BS_OTHER_CURRENT_ASSETS/1M", "FPT=A", "FPO=-1A", "ACT_EST_MAPPING=PRECISE", "FS=MRC", "CURRENCY=USD", "XLFILL=b")</f>
        <v>1109</v>
      </c>
      <c r="L299" s="9">
        <f>_xll.BQL("UAL US Equity", "CB_BS_OTHER_CURRENT_ASSETS/1M", "FPT=A", "FPO=-2A", "ACT_EST_MAPPING=PRECISE", "FS=MRC", "CURRENCY=USD", "XLFILL=b")</f>
        <v>983</v>
      </c>
      <c r="M299" s="9">
        <f>_xll.BQL("UAL US Equity", "CB_BS_OTHER_CURRENT_ASSETS/1M", "FPT=A", "FPO=-3A", "ACT_EST_MAPPING=PRECISE", "FS=MRC", "CURRENCY=USD", "XLFILL=b")</f>
        <v>932</v>
      </c>
      <c r="N299" s="9">
        <f>_xll.BQL("UAL US Equity", "CB_BS_OTHER_CURRENT_ASSETS/1M", "FPT=A", "FPO=-4A", "ACT_EST_MAPPING=PRECISE", "FS=MRC", "CURRENCY=USD", "XLFILL=b")</f>
        <v>1072</v>
      </c>
    </row>
    <row r="300" spans="1:14" x14ac:dyDescent="0.2">
      <c r="A300" s="8" t="s">
        <v>86</v>
      </c>
      <c r="B300" s="4" t="s">
        <v>275</v>
      </c>
      <c r="C300" s="4" t="s">
        <v>276</v>
      </c>
      <c r="D300" s="4"/>
      <c r="E300" s="9">
        <f>_xll.BQL("UAL US Equity", "FA_GROWTH(CB_BS_OTHER_CURRENT_ASSETS, YOY)", "FPT=A", "FPO=5A", "ACT_EST_MAPPING=PRECISE", "FS=MRC", "CURRENCY=USD", "XLFILL=b")</f>
        <v>5.0955174646152823</v>
      </c>
      <c r="F300" s="9">
        <f>_xll.BQL("UAL US Equity", "FA_GROWTH(CB_BS_OTHER_CURRENT_ASSETS, YOY)", "FPT=A", "FPO=4A", "ACT_EST_MAPPING=PRECISE", "FS=MRC", "CURRENCY=USD", "XLFILL=b")</f>
        <v>-0.31493628254066741</v>
      </c>
      <c r="G300" s="9">
        <f>_xll.BQL("UAL US Equity", "FA_GROWTH(CB_BS_OTHER_CURRENT_ASSETS, YOY)", "FPT=A", "FPO=3A", "ACT_EST_MAPPING=PRECISE", "FS=MRC", "CURRENCY=USD", "XLFILL=b")</f>
        <v>6.4708231044620756</v>
      </c>
      <c r="H300" s="9">
        <f>_xll.BQL("UAL US Equity", "FA_GROWTH(CB_BS_OTHER_CURRENT_ASSETS, YOY)", "FPT=A", "FPO=2A", "ACT_EST_MAPPING=PRECISE", "FS=MRC", "CURRENCY=USD", "XLFILL=b")</f>
        <v>5.6717108138057881</v>
      </c>
      <c r="I300" s="9">
        <f>_xll.BQL("UAL US Equity", "FA_GROWTH(CB_BS_OTHER_CURRENT_ASSETS, YOY)", "FPT=A", "FPO=1A", "ACT_EST_MAPPING=PRECISE", "FS=MRC", "CURRENCY=USD", "XLFILL=b")</f>
        <v>-8.5208338150131943E-2</v>
      </c>
      <c r="J300" s="9">
        <f>_xll.BQL("UAL US Equity", "FA_GROWTH(CB_BS_OTHER_CURRENT_ASSETS, YOY)", "FPT=A", "FPO=0A", "ACT_EST_MAPPING=PRECISE", "FS=MRC", "CURRENCY=USD", "XLFILL=b")</f>
        <v>40.757439134355273</v>
      </c>
      <c r="K300" s="9">
        <f>_xll.BQL("UAL US Equity", "FA_GROWTH(CB_BS_OTHER_CURRENT_ASSETS, YOY)", "FPT=A", "FPO=-1A", "ACT_EST_MAPPING=PRECISE", "FS=MRC", "CURRENCY=USD", "XLFILL=b")</f>
        <v>12.817904374364192</v>
      </c>
      <c r="L300" s="9">
        <f>_xll.BQL("UAL US Equity", "FA_GROWTH(CB_BS_OTHER_CURRENT_ASSETS, YOY)", "FPT=A", "FPO=-2A", "ACT_EST_MAPPING=PRECISE", "FS=MRC", "CURRENCY=USD", "XLFILL=b")</f>
        <v>5.4721030042918457</v>
      </c>
      <c r="M300" s="9">
        <f>_xll.BQL("UAL US Equity", "FA_GROWTH(CB_BS_OTHER_CURRENT_ASSETS, YOY)", "FPT=A", "FPO=-3A", "ACT_EST_MAPPING=PRECISE", "FS=MRC", "CURRENCY=USD", "XLFILL=b")</f>
        <v>-13.059701492537313</v>
      </c>
      <c r="N300" s="9">
        <f>_xll.BQL("UAL US Equity", "FA_GROWTH(CB_BS_OTHER_CURRENT_ASSETS, YOY)", "FPT=A", "FPO=-4A", "ACT_EST_MAPPING=PRECISE", "FS=MRC", "CURRENCY=USD", "XLFILL=b")</f>
        <v>8.8324873096446694</v>
      </c>
    </row>
    <row r="301" spans="1:14" x14ac:dyDescent="0.2">
      <c r="A301" s="8" t="s">
        <v>277</v>
      </c>
      <c r="B301" s="4" t="s">
        <v>278</v>
      </c>
      <c r="C301" s="4" t="s">
        <v>279</v>
      </c>
      <c r="D301" s="4"/>
      <c r="E301" s="9">
        <f>_xll.BQL("UAL US Equity", "PREPAID_EXPNSS_AND_OTHR/1M", "FPT=A", "FPO=5A", "ACT_EST_MAPPING=PRECISE", "FS=MRC", "CURRENCY=USD", "XLFILL=b")</f>
        <v>640</v>
      </c>
      <c r="F301" s="9">
        <f>_xll.BQL("UAL US Equity", "PREPAID_EXPNSS_AND_OTHR/1M", "FPT=A", "FPO=4A", "ACT_EST_MAPPING=PRECISE", "FS=MRC", "CURRENCY=USD", "XLFILL=b")</f>
        <v>640</v>
      </c>
      <c r="G301" s="9">
        <f>_xll.BQL("UAL US Equity", "PREPAID_EXPNSS_AND_OTHR/1M", "FPT=A", "FPO=3A", "ACT_EST_MAPPING=PRECISE", "FS=MRC", "CURRENCY=USD", "XLFILL=b")</f>
        <v>703.70081813107981</v>
      </c>
      <c r="H301" s="9">
        <f>_xll.BQL("UAL US Equity", "PREPAID_EXPNSS_AND_OTHR/1M", "FPT=A", "FPO=2A", "ACT_EST_MAPPING=PRECISE", "FS=MRC", "CURRENCY=USD", "XLFILL=b")</f>
        <v>718.01847998441337</v>
      </c>
      <c r="I301" s="9">
        <f>_xll.BQL("UAL US Equity", "PREPAID_EXPNSS_AND_OTHR/1M", "FPT=A", "FPO=1A", "ACT_EST_MAPPING=PRECISE", "FS=MRC", "CURRENCY=USD", "XLFILL=b")</f>
        <v>690.95474851545634</v>
      </c>
      <c r="J301" s="9">
        <f>_xll.BQL("UAL US Equity", "PREPAID_EXPNSS_AND_OTHR/1M", "FPT=A", "FPO=0A", "ACT_EST_MAPPING=PRECISE", "FS=MRC", "CURRENCY=USD", "XLFILL=b")</f>
        <v>609</v>
      </c>
      <c r="K301" s="9">
        <f>_xll.BQL("UAL US Equity", "PREPAID_EXPNSS_AND_OTHR/1M", "FPT=A", "FPO=-1A", "ACT_EST_MAPPING=PRECISE", "FS=MRC", "CURRENCY=USD", "XLFILL=b")</f>
        <v>689</v>
      </c>
      <c r="L301" s="9">
        <f>_xll.BQL("UAL US Equity", "PREPAID_EXPNSS_AND_OTHR/1M", "FPT=A", "FPO=-2A", "ACT_EST_MAPPING=PRECISE", "FS=MRC", "CURRENCY=USD", "XLFILL=b")</f>
        <v>745</v>
      </c>
      <c r="M301" s="9">
        <f>_xll.BQL("UAL US Equity", "PREPAID_EXPNSS_AND_OTHR/1M", "FPT=A", "FPO=-3A", "ACT_EST_MAPPING=PRECISE", "FS=MRC", "CURRENCY=USD", "XLFILL=b")</f>
        <v>635</v>
      </c>
      <c r="N301" s="9">
        <f>_xll.BQL("UAL US Equity", "PREPAID_EXPNSS_AND_OTHR/1M", "FPT=A", "FPO=-4A", "ACT_EST_MAPPING=PRECISE", "FS=MRC", "CURRENCY=USD", "XLFILL=b")</f>
        <v>814</v>
      </c>
    </row>
    <row r="302" spans="1:14" x14ac:dyDescent="0.2">
      <c r="A302" s="8" t="s">
        <v>86</v>
      </c>
      <c r="B302" s="4" t="s">
        <v>278</v>
      </c>
      <c r="C302" s="4" t="s">
        <v>279</v>
      </c>
      <c r="D302" s="4"/>
      <c r="E302" s="9">
        <f>_xll.BQL("UAL US Equity", "FA_GROWTH(PREPAID_EXPNSS_AND_OTHR, YOY)", "FPT=A", "FPO=5A", "ACT_EST_MAPPING=PRECISE", "FS=MRC", "CURRENCY=USD", "XLFILL=b")</f>
        <v>0</v>
      </c>
      <c r="F302" s="9">
        <f>_xll.BQL("UAL US Equity", "FA_GROWTH(PREPAID_EXPNSS_AND_OTHR, YOY)", "FPT=A", "FPO=4A", "ACT_EST_MAPPING=PRECISE", "FS=MRC", "CURRENCY=USD", "XLFILL=b")</f>
        <v>-9.0522586431346319</v>
      </c>
      <c r="G302" s="9">
        <f>_xll.BQL("UAL US Equity", "FA_GROWTH(PREPAID_EXPNSS_AND_OTHR, YOY)", "FPT=A", "FPO=3A", "ACT_EST_MAPPING=PRECISE", "FS=MRC", "CURRENCY=USD", "XLFILL=b")</f>
        <v>-1.9940519990020866</v>
      </c>
      <c r="H302" s="9">
        <f>_xll.BQL("UAL US Equity", "FA_GROWTH(PREPAID_EXPNSS_AND_OTHR, YOY)", "FPT=A", "FPO=2A", "ACT_EST_MAPPING=PRECISE", "FS=MRC", "CURRENCY=USD", "XLFILL=b")</f>
        <v>3.9168601890506674</v>
      </c>
      <c r="I302" s="9">
        <f>_xll.BQL("UAL US Equity", "FA_GROWTH(PREPAID_EXPNSS_AND_OTHR, YOY)", "FPT=A", "FPO=1A", "ACT_EST_MAPPING=PRECISE", "FS=MRC", "CURRENCY=USD", "XLFILL=b")</f>
        <v>13.457265766084781</v>
      </c>
      <c r="J302" s="9">
        <f>_xll.BQL("UAL US Equity", "FA_GROWTH(PREPAID_EXPNSS_AND_OTHR, YOY)", "FPT=A", "FPO=0A", "ACT_EST_MAPPING=PRECISE", "FS=MRC", "CURRENCY=USD", "XLFILL=b")</f>
        <v>-11.611030478955007</v>
      </c>
      <c r="K302" s="9">
        <f>_xll.BQL("UAL US Equity", "FA_GROWTH(PREPAID_EXPNSS_AND_OTHR, YOY)", "FPT=A", "FPO=-1A", "ACT_EST_MAPPING=PRECISE", "FS=MRC", "CURRENCY=USD", "XLFILL=b")</f>
        <v>-7.5167785234899327</v>
      </c>
      <c r="L302" s="9">
        <f>_xll.BQL("UAL US Equity", "FA_GROWTH(PREPAID_EXPNSS_AND_OTHR, YOY)", "FPT=A", "FPO=-2A", "ACT_EST_MAPPING=PRECISE", "FS=MRC", "CURRENCY=USD", "XLFILL=b")</f>
        <v>17.322834645669293</v>
      </c>
      <c r="M302" s="9">
        <f>_xll.BQL("UAL US Equity", "FA_GROWTH(PREPAID_EXPNSS_AND_OTHR, YOY)", "FPT=A", "FPO=-3A", "ACT_EST_MAPPING=PRECISE", "FS=MRC", "CURRENCY=USD", "XLFILL=b")</f>
        <v>-21.990171990171991</v>
      </c>
      <c r="N302" s="9">
        <f>_xll.BQL("UAL US Equity", "FA_GROWTH(PREPAID_EXPNSS_AND_OTHR, YOY)", "FPT=A", "FPO=-4A", "ACT_EST_MAPPING=PRECISE", "FS=MRC", "CURRENCY=USD", "XLFILL=b")</f>
        <v>11.050477489768076</v>
      </c>
    </row>
    <row r="303" spans="1:14" x14ac:dyDescent="0.2">
      <c r="A303" s="8" t="s">
        <v>280</v>
      </c>
      <c r="B303" s="4" t="s">
        <v>281</v>
      </c>
      <c r="C303" s="4" t="s">
        <v>282</v>
      </c>
      <c r="D303" s="4"/>
      <c r="E303" s="9" t="str">
        <f>_xll.BQL("UAL US Equity", "BS_RESTRICTED_CASH/1M", "FPT=A", "FPO=5A", "ACT_EST_MAPPING=PRECISE", "FS=MRC", "CURRENCY=USD", "XLFILL=b")</f>
        <v/>
      </c>
      <c r="F303" s="9" t="str">
        <f>_xll.BQL("UAL US Equity", "BS_RESTRICTED_CASH/1M", "FPT=A", "FPO=4A", "ACT_EST_MAPPING=PRECISE", "FS=MRC", "CURRENCY=USD", "XLFILL=b")</f>
        <v/>
      </c>
      <c r="G303" s="9">
        <f>_xll.BQL("UAL US Equity", "BS_RESTRICTED_CASH/1M", "FPT=A", "FPO=3A", "ACT_EST_MAPPING=PRECISE", "FS=MRC", "CURRENCY=USD", "XLFILL=b")</f>
        <v>30</v>
      </c>
      <c r="H303" s="9">
        <f>_xll.BQL("UAL US Equity", "BS_RESTRICTED_CASH/1M", "FPT=A", "FPO=2A", "ACT_EST_MAPPING=PRECISE", "FS=MRC", "CURRENCY=USD", "XLFILL=b")</f>
        <v>30.2</v>
      </c>
      <c r="I303" s="9">
        <f>_xll.BQL("UAL US Equity", "BS_RESTRICTED_CASH/1M", "FPT=A", "FPO=1A", "ACT_EST_MAPPING=PRECISE", "FS=MRC", "CURRENCY=USD", "XLFILL=b")</f>
        <v>30.2</v>
      </c>
      <c r="J303" s="9">
        <f>_xll.BQL("UAL US Equity", "BS_RESTRICTED_CASH/1M", "FPT=A", "FPO=0A", "ACT_EST_MAPPING=PRECISE", "FS=MRC", "CURRENCY=USD", "XLFILL=b")</f>
        <v>31</v>
      </c>
      <c r="K303" s="9">
        <f>_xll.BQL("UAL US Equity", "BS_RESTRICTED_CASH/1M", "FPT=A", "FPO=-1A", "ACT_EST_MAPPING=PRECISE", "FS=MRC", "CURRENCY=USD", "XLFILL=b")</f>
        <v>45</v>
      </c>
      <c r="L303" s="9">
        <f>_xll.BQL("UAL US Equity", "BS_RESTRICTED_CASH/1M", "FPT=A", "FPO=-2A", "ACT_EST_MAPPING=PRECISE", "FS=MRC", "CURRENCY=USD", "XLFILL=b")</f>
        <v>37</v>
      </c>
      <c r="M303" s="9">
        <f>_xll.BQL("UAL US Equity", "BS_RESTRICTED_CASH/1M", "FPT=A", "FPO=-3A", "ACT_EST_MAPPING=PRECISE", "FS=MRC", "CURRENCY=USD", "XLFILL=b")</f>
        <v>255</v>
      </c>
      <c r="N303" s="9">
        <f>_xll.BQL("UAL US Equity", "BS_RESTRICTED_CASH/1M", "FPT=A", "FPO=-4A", "ACT_EST_MAPPING=PRECISE", "FS=MRC", "CURRENCY=USD", "XLFILL=b")</f>
        <v>0</v>
      </c>
    </row>
    <row r="304" spans="1:14" x14ac:dyDescent="0.2">
      <c r="A304" s="8" t="s">
        <v>86</v>
      </c>
      <c r="B304" s="4" t="s">
        <v>281</v>
      </c>
      <c r="C304" s="4" t="s">
        <v>282</v>
      </c>
      <c r="D304" s="4"/>
      <c r="E304" s="9" t="str">
        <f>_xll.BQL("UAL US Equity", "FA_GROWTH(BS_RESTRICTED_CASH, YOY)", "FPT=A", "FPO=5A", "ACT_EST_MAPPING=PRECISE", "FS=MRC", "CURRENCY=USD", "XLFILL=b")</f>
        <v/>
      </c>
      <c r="F304" s="9" t="str">
        <f>_xll.BQL("UAL US Equity", "FA_GROWTH(BS_RESTRICTED_CASH, YOY)", "FPT=A", "FPO=4A", "ACT_EST_MAPPING=PRECISE", "FS=MRC", "CURRENCY=USD", "XLFILL=b")</f>
        <v/>
      </c>
      <c r="G304" s="9">
        <f>_xll.BQL("UAL US Equity", "FA_GROWTH(BS_RESTRICTED_CASH, YOY)", "FPT=A", "FPO=3A", "ACT_EST_MAPPING=PRECISE", "FS=MRC", "CURRENCY=USD", "XLFILL=b")</f>
        <v>-0.66225165562913912</v>
      </c>
      <c r="H304" s="9">
        <f>_xll.BQL("UAL US Equity", "FA_GROWTH(BS_RESTRICTED_CASH, YOY)", "FPT=A", "FPO=2A", "ACT_EST_MAPPING=PRECISE", "FS=MRC", "CURRENCY=USD", "XLFILL=b")</f>
        <v>0</v>
      </c>
      <c r="I304" s="9">
        <f>_xll.BQL("UAL US Equity", "FA_GROWTH(BS_RESTRICTED_CASH, YOY)", "FPT=A", "FPO=1A", "ACT_EST_MAPPING=PRECISE", "FS=MRC", "CURRENCY=USD", "XLFILL=b")</f>
        <v>-2.5806451612903225</v>
      </c>
      <c r="J304" s="9">
        <f>_xll.BQL("UAL US Equity", "FA_GROWTH(BS_RESTRICTED_CASH, YOY)", "FPT=A", "FPO=0A", "ACT_EST_MAPPING=PRECISE", "FS=MRC", "CURRENCY=USD", "XLFILL=b")</f>
        <v>-31.111111111111111</v>
      </c>
      <c r="K304" s="9">
        <f>_xll.BQL("UAL US Equity", "FA_GROWTH(BS_RESTRICTED_CASH, YOY)", "FPT=A", "FPO=-1A", "ACT_EST_MAPPING=PRECISE", "FS=MRC", "CURRENCY=USD", "XLFILL=b")</f>
        <v>21.621621621621621</v>
      </c>
      <c r="L304" s="9">
        <f>_xll.BQL("UAL US Equity", "FA_GROWTH(BS_RESTRICTED_CASH, YOY)", "FPT=A", "FPO=-2A", "ACT_EST_MAPPING=PRECISE", "FS=MRC", "CURRENCY=USD", "XLFILL=b")</f>
        <v>-85.490196078431367</v>
      </c>
      <c r="M304" s="9" t="str">
        <f>_xll.BQL("UAL US Equity", "FA_GROWTH(BS_RESTRICTED_CASH, YOY)", "FPT=A", "FPO=-3A", "ACT_EST_MAPPING=PRECISE", "FS=MRC", "CURRENCY=USD", "XLFILL=b")</f>
        <v/>
      </c>
      <c r="N304" s="9" t="str">
        <f>_xll.BQL("UAL US Equity", "FA_GROWTH(BS_RESTRICTED_CASH, YOY)", "FPT=A", "FPO=-4A", "ACT_EST_MAPPING=PRECISE", "FS=MRC", "CURRENCY=USD", "XLFILL=b")</f>
        <v/>
      </c>
    </row>
    <row r="305" spans="1:14" x14ac:dyDescent="0.2">
      <c r="A305" s="8" t="s">
        <v>283</v>
      </c>
      <c r="B305" s="4" t="s">
        <v>284</v>
      </c>
      <c r="C305" s="4"/>
      <c r="D305" s="4"/>
      <c r="E305" s="9" t="str">
        <f>_xll.BQL("UAL US Equity", "WORKING_CAPITAL/1M", "FPT=A", "FPO=5A", "ACT_EST_MAPPING=PRECISE", "FS=MRC", "CURRENCY=USD", "XLFILL=b")</f>
        <v/>
      </c>
      <c r="F305" s="9" t="str">
        <f>_xll.BQL("UAL US Equity", "WORKING_CAPITAL/1M", "FPT=A", "FPO=4A", "ACT_EST_MAPPING=PRECISE", "FS=MRC", "CURRENCY=USD", "XLFILL=b")</f>
        <v/>
      </c>
      <c r="G305" s="9">
        <f>_xll.BQL("UAL US Equity", "WORKING_CAPITAL/1M", "FPT=A", "FPO=3A", "ACT_EST_MAPPING=PRECISE", "FS=MRC", "CURRENCY=USD", "XLFILL=b")</f>
        <v>-13603.336124001373</v>
      </c>
      <c r="H305" s="9">
        <f>_xll.BQL("UAL US Equity", "WORKING_CAPITAL/1M", "FPT=A", "FPO=2A", "ACT_EST_MAPPING=PRECISE", "FS=MRC", "CURRENCY=USD", "XLFILL=b")</f>
        <v>-11028.516809512865</v>
      </c>
      <c r="I305" s="9">
        <f>_xll.BQL("UAL US Equity", "WORKING_CAPITAL/1M", "FPT=A", "FPO=1A", "ACT_EST_MAPPING=PRECISE", "FS=MRC", "CURRENCY=USD", "XLFILL=b")</f>
        <v>-9949.0103782967999</v>
      </c>
      <c r="J305" s="9">
        <f>_xll.BQL("UAL US Equity", "WORKING_CAPITAL/1M", "FPT=A", "FPO=0A", "ACT_EST_MAPPING=PRECISE", "FS=MRC", "CURRENCY=USD", "XLFILL=b")</f>
        <v>-3716</v>
      </c>
      <c r="K305" s="9">
        <f>_xll.BQL("UAL US Equity", "WORKING_CAPITAL/1M", "FPT=A", "FPO=-1A", "ACT_EST_MAPPING=PRECISE", "FS=MRC", "CURRENCY=USD", "XLFILL=b")</f>
        <v>66</v>
      </c>
      <c r="L305" s="9">
        <f>_xll.BQL("UAL US Equity", "WORKING_CAPITAL/1M", "FPT=A", "FPO=-2A", "ACT_EST_MAPPING=PRECISE", "FS=MRC", "CURRENCY=USD", "XLFILL=b")</f>
        <v>3530</v>
      </c>
      <c r="M305" s="9">
        <f>_xll.BQL("UAL US Equity", "WORKING_CAPITAL/1M", "FPT=A", "FPO=-3A", "ACT_EST_MAPPING=PRECISE", "FS=MRC", "CURRENCY=USD", "XLFILL=b")</f>
        <v>2075</v>
      </c>
      <c r="N305" s="9">
        <f>_xll.BQL("UAL US Equity", "WORKING_CAPITAL/1M", "FPT=A", "FPO=-4A", "ACT_EST_MAPPING=PRECISE", "FS=MRC", "CURRENCY=USD", "XLFILL=b")</f>
        <v>-6744</v>
      </c>
    </row>
    <row r="306" spans="1:14" x14ac:dyDescent="0.2">
      <c r="A306" s="8" t="s">
        <v>86</v>
      </c>
      <c r="B306" s="4" t="s">
        <v>284</v>
      </c>
      <c r="C306" s="4"/>
      <c r="D306" s="4"/>
      <c r="E306" s="9" t="str">
        <f>_xll.BQL("UAL US Equity", "FA_GROWTH(WORKING_CAPITAL, YOY)", "FPT=A", "FPO=5A", "ACT_EST_MAPPING=PRECISE", "FS=MRC", "CURRENCY=USD", "XLFILL=b")</f>
        <v/>
      </c>
      <c r="F306" s="9" t="str">
        <f>_xll.BQL("UAL US Equity", "FA_GROWTH(WORKING_CAPITAL, YOY)", "FPT=A", "FPO=4A", "ACT_EST_MAPPING=PRECISE", "FS=MRC", "CURRENCY=USD", "XLFILL=b")</f>
        <v/>
      </c>
      <c r="G306" s="9">
        <f>_xll.BQL("UAL US Equity", "FA_GROWTH(WORKING_CAPITAL, YOY)", "FPT=A", "FPO=3A", "ACT_EST_MAPPING=PRECISE", "FS=MRC", "CURRENCY=USD", "XLFILL=b")</f>
        <v>-23.346922881484364</v>
      </c>
      <c r="H306" s="9">
        <f>_xll.BQL("UAL US Equity", "FA_GROWTH(WORKING_CAPITAL, YOY)", "FPT=A", "FPO=2A", "ACT_EST_MAPPING=PRECISE", "FS=MRC", "CURRENCY=USD", "XLFILL=b")</f>
        <v>-10.850390040510423</v>
      </c>
      <c r="I306" s="9">
        <f>_xll.BQL("UAL US Equity", "FA_GROWTH(WORKING_CAPITAL, YOY)", "FPT=A", "FPO=1A", "ACT_EST_MAPPING=PRECISE", "FS=MRC", "CURRENCY=USD", "XLFILL=b")</f>
        <v>-167.73440199937568</v>
      </c>
      <c r="J306" s="9">
        <f>_xll.BQL("UAL US Equity", "FA_GROWTH(WORKING_CAPITAL, YOY)", "FPT=A", "FPO=0A", "ACT_EST_MAPPING=PRECISE", "FS=MRC", "CURRENCY=USD", "XLFILL=b")</f>
        <v>-5730.30303030303</v>
      </c>
      <c r="K306" s="9">
        <f>_xll.BQL("UAL US Equity", "FA_GROWTH(WORKING_CAPITAL, YOY)", "FPT=A", "FPO=-1A", "ACT_EST_MAPPING=PRECISE", "FS=MRC", "CURRENCY=USD", "XLFILL=b")</f>
        <v>-98.130311614730871</v>
      </c>
      <c r="L306" s="9">
        <f>_xll.BQL("UAL US Equity", "FA_GROWTH(WORKING_CAPITAL, YOY)", "FPT=A", "FPO=-2A", "ACT_EST_MAPPING=PRECISE", "FS=MRC", "CURRENCY=USD", "XLFILL=b")</f>
        <v>70.120481927710841</v>
      </c>
      <c r="M306" s="9">
        <f>_xll.BQL("UAL US Equity", "FA_GROWTH(WORKING_CAPITAL, YOY)", "FPT=A", "FPO=-3A", "ACT_EST_MAPPING=PRECISE", "FS=MRC", "CURRENCY=USD", "XLFILL=b")</f>
        <v>130.76809015421114</v>
      </c>
      <c r="N306" s="9">
        <f>_xll.BQL("UAL US Equity", "FA_GROWTH(WORKING_CAPITAL, YOY)", "FPT=A", "FPO=-4A", "ACT_EST_MAPPING=PRECISE", "FS=MRC", "CURRENCY=USD", "XLFILL=b")</f>
        <v>1.4825796886582653E-2</v>
      </c>
    </row>
    <row r="307" spans="1:14" x14ac:dyDescent="0.2">
      <c r="A307" s="8" t="s">
        <v>285</v>
      </c>
      <c r="B307" s="4" t="s">
        <v>286</v>
      </c>
      <c r="C307" s="4"/>
      <c r="D307" s="4"/>
      <c r="E307" s="9">
        <f>_xll.BQL("UAL US Equity", "BS_TOTAL_NON_CURRENT_ASSETS/1M", "FPT=A", "FPO=5A", "ACT_EST_MAPPING=PRECISE", "FS=MRC", "CURRENCY=USD", "XLFILL=b")</f>
        <v>66736.44852191431</v>
      </c>
      <c r="F307" s="9">
        <f>_xll.BQL("UAL US Equity", "BS_TOTAL_NON_CURRENT_ASSETS/1M", "FPT=A", "FPO=4A", "ACT_EST_MAPPING=PRECISE", "FS=MRC", "CURRENCY=USD", "XLFILL=b")</f>
        <v>64398.112122400147</v>
      </c>
      <c r="G307" s="9">
        <f>_xll.BQL("UAL US Equity", "BS_TOTAL_NON_CURRENT_ASSETS/1M", "FPT=A", "FPO=3A", "ACT_EST_MAPPING=PRECISE", "FS=MRC", "CURRENCY=USD", "XLFILL=b")</f>
        <v>61134.139307191021</v>
      </c>
      <c r="H307" s="9">
        <f>_xll.BQL("UAL US Equity", "BS_TOTAL_NON_CURRENT_ASSETS/1M", "FPT=A", "FPO=2A", "ACT_EST_MAPPING=PRECISE", "FS=MRC", "CURRENCY=USD", "XLFILL=b")</f>
        <v>59407.960206258664</v>
      </c>
      <c r="I307" s="9">
        <f>_xll.BQL("UAL US Equity", "BS_TOTAL_NON_CURRENT_ASSETS/1M", "FPT=A", "FPO=1A", "ACT_EST_MAPPING=PRECISE", "FS=MRC", "CURRENCY=USD", "XLFILL=b")</f>
        <v>55237.900093796663</v>
      </c>
      <c r="J307" s="9">
        <f>_xll.BQL("UAL US Equity", "BS_TOTAL_NON_CURRENT_ASSETS/1M", "FPT=A", "FPO=0A", "ACT_EST_MAPPING=PRECISE", "FS=MRC", "CURRENCY=USD", "XLFILL=b")</f>
        <v>52617</v>
      </c>
      <c r="K307" s="9">
        <f>_xll.BQL("UAL US Equity", "BS_TOTAL_NON_CURRENT_ASSETS/1M", "FPT=A", "FPO=-1A", "ACT_EST_MAPPING=PRECISE", "FS=MRC", "CURRENCY=USD", "XLFILL=b")</f>
        <v>47300</v>
      </c>
      <c r="L307" s="9">
        <f>_xll.BQL("UAL US Equity", "BS_TOTAL_NON_CURRENT_ASSETS/1M", "FPT=A", "FPO=-2A", "ACT_EST_MAPPING=PRECISE", "FS=MRC", "CURRENCY=USD", "XLFILL=b")</f>
        <v>46341</v>
      </c>
      <c r="M307" s="9">
        <f>_xll.BQL("UAL US Equity", "BS_TOTAL_NON_CURRENT_ASSETS/1M", "FPT=A", "FPO=-3A", "ACT_EST_MAPPING=PRECISE", "FS=MRC", "CURRENCY=USD", "XLFILL=b")</f>
        <v>44748</v>
      </c>
      <c r="N307" s="9">
        <f>_xll.BQL("UAL US Equity", "BS_TOTAL_NON_CURRENT_ASSETS/1M", "FPT=A", "FPO=-4A", "ACT_EST_MAPPING=PRECISE", "FS=MRC", "CURRENCY=USD", "XLFILL=b")</f>
        <v>44417</v>
      </c>
    </row>
    <row r="308" spans="1:14" x14ac:dyDescent="0.2">
      <c r="A308" s="8" t="s">
        <v>20</v>
      </c>
      <c r="B308" s="4" t="s">
        <v>286</v>
      </c>
      <c r="C308" s="4"/>
      <c r="D308" s="4"/>
      <c r="E308" s="9">
        <f>_xll.BQL("UAL US Equity", "FA_GROWTH(BS_TOTAL_NON_CURRENT_ASSETS, YOY)", "FPT=A", "FPO=5A", "ACT_EST_MAPPING=PRECISE", "FS=MRC", "CURRENCY=USD", "XLFILL=b")</f>
        <v>3.6310635862581391</v>
      </c>
      <c r="F308" s="9">
        <f>_xll.BQL("UAL US Equity", "FA_GROWTH(BS_TOTAL_NON_CURRENT_ASSETS, YOY)", "FPT=A", "FPO=4A", "ACT_EST_MAPPING=PRECISE", "FS=MRC", "CURRENCY=USD", "XLFILL=b")</f>
        <v>5.3390345430530965</v>
      </c>
      <c r="G308" s="9">
        <f>_xll.BQL("UAL US Equity", "FA_GROWTH(BS_TOTAL_NON_CURRENT_ASSETS, YOY)", "FPT=A", "FPO=3A", "ACT_EST_MAPPING=PRECISE", "FS=MRC", "CURRENCY=USD", "XLFILL=b")</f>
        <v>2.9056360375599901</v>
      </c>
      <c r="H308" s="9">
        <f>_xll.BQL("UAL US Equity", "FA_GROWTH(BS_TOTAL_NON_CURRENT_ASSETS, YOY)", "FPT=A", "FPO=2A", "ACT_EST_MAPPING=PRECISE", "FS=MRC", "CURRENCY=USD", "XLFILL=b")</f>
        <v>7.5492734252769189</v>
      </c>
      <c r="I308" s="9">
        <f>_xll.BQL("UAL US Equity", "FA_GROWTH(BS_TOTAL_NON_CURRENT_ASSETS, YOY)", "FPT=A", "FPO=1A", "ACT_EST_MAPPING=PRECISE", "FS=MRC", "CURRENCY=USD", "XLFILL=b")</f>
        <v>4.9810899401270721</v>
      </c>
      <c r="J308" s="9">
        <f>_xll.BQL("UAL US Equity", "FA_GROWTH(BS_TOTAL_NON_CURRENT_ASSETS, YOY)", "FPT=A", "FPO=0A", "ACT_EST_MAPPING=PRECISE", "FS=MRC", "CURRENCY=USD", "XLFILL=b")</f>
        <v>11.241014799154334</v>
      </c>
      <c r="K308" s="9">
        <f>_xll.BQL("UAL US Equity", "FA_GROWTH(BS_TOTAL_NON_CURRENT_ASSETS, YOY)", "FPT=A", "FPO=-1A", "ACT_EST_MAPPING=PRECISE", "FS=MRC", "CURRENCY=USD", "XLFILL=b")</f>
        <v>2.0694417470490496</v>
      </c>
      <c r="L308" s="9">
        <f>_xll.BQL("UAL US Equity", "FA_GROWTH(BS_TOTAL_NON_CURRENT_ASSETS, YOY)", "FPT=A", "FPO=-2A", "ACT_EST_MAPPING=PRECISE", "FS=MRC", "CURRENCY=USD", "XLFILL=b")</f>
        <v>3.5599356395816573</v>
      </c>
      <c r="M308" s="9">
        <f>_xll.BQL("UAL US Equity", "FA_GROWTH(BS_TOTAL_NON_CURRENT_ASSETS, YOY)", "FPT=A", "FPO=-3A", "ACT_EST_MAPPING=PRECISE", "FS=MRC", "CURRENCY=USD", "XLFILL=b")</f>
        <v>0.74521016727829437</v>
      </c>
      <c r="N308" s="9">
        <f>_xll.BQL("UAL US Equity", "FA_GROWTH(BS_TOTAL_NON_CURRENT_ASSETS, YOY)", "FPT=A", "FPO=-4A", "ACT_EST_MAPPING=PRECISE", "FS=MRC", "CURRENCY=USD", "XLFILL=b")</f>
        <v>5.9313140949201051</v>
      </c>
    </row>
    <row r="309" spans="1:14" x14ac:dyDescent="0.2">
      <c r="A309" s="8" t="s">
        <v>287</v>
      </c>
      <c r="B309" s="4" t="s">
        <v>288</v>
      </c>
      <c r="C309" s="4"/>
      <c r="D309" s="4"/>
      <c r="E309" s="9" t="str">
        <f>_xll.BQL("UAL US Equity", "BS_FLIGHT_EQUIPMNT/1M", "FPT=A", "FPO=5A", "ACT_EST_MAPPING=PRECISE", "FS=MRC", "CURRENCY=USD", "XLFILL=b")</f>
        <v/>
      </c>
      <c r="F309" s="9" t="str">
        <f>_xll.BQL("UAL US Equity", "BS_FLIGHT_EQUIPMNT/1M", "FPT=A", "FPO=4A", "ACT_EST_MAPPING=PRECISE", "FS=MRC", "CURRENCY=USD", "XLFILL=b")</f>
        <v/>
      </c>
      <c r="G309" s="9">
        <f>_xll.BQL("UAL US Equity", "BS_FLIGHT_EQUIPMNT/1M", "FPT=A", "FPO=3A", "ACT_EST_MAPPING=PRECISE", "FS=MRC", "CURRENCY=USD", "XLFILL=b")</f>
        <v>68684</v>
      </c>
      <c r="H309" s="9">
        <f>_xll.BQL("UAL US Equity", "BS_FLIGHT_EQUIPMNT/1M", "FPT=A", "FPO=2A", "ACT_EST_MAPPING=PRECISE", "FS=MRC", "CURRENCY=USD", "XLFILL=b")</f>
        <v>61184</v>
      </c>
      <c r="I309" s="9">
        <f>_xll.BQL("UAL US Equity", "BS_FLIGHT_EQUIPMNT/1M", "FPT=A", "FPO=1A", "ACT_EST_MAPPING=PRECISE", "FS=MRC", "CURRENCY=USD", "XLFILL=b")</f>
        <v>53784</v>
      </c>
      <c r="J309" s="9">
        <f>_xll.BQL("UAL US Equity", "BS_FLIGHT_EQUIPMNT/1M", "FPT=A", "FPO=0A", "ACT_EST_MAPPING=PRECISE", "FS=MRC", "CURRENCY=USD", "XLFILL=b")</f>
        <v>48448</v>
      </c>
      <c r="K309" s="9">
        <f>_xll.BQL("UAL US Equity", "BS_FLIGHT_EQUIPMNT/1M", "FPT=A", "FPO=-1A", "ACT_EST_MAPPING=PRECISE", "FS=MRC", "CURRENCY=USD", "XLFILL=b")</f>
        <v>42775</v>
      </c>
      <c r="L309" s="9">
        <f>_xll.BQL("UAL US Equity", "BS_FLIGHT_EQUIPMNT/1M", "FPT=A", "FPO=-2A", "ACT_EST_MAPPING=PRECISE", "FS=MRC", "CURRENCY=USD", "XLFILL=b")</f>
        <v>39584</v>
      </c>
      <c r="M309" s="9">
        <f>_xll.BQL("UAL US Equity", "BS_FLIGHT_EQUIPMNT/1M", "FPT=A", "FPO=-3A", "ACT_EST_MAPPING=PRECISE", "FS=MRC", "CURRENCY=USD", "XLFILL=b")</f>
        <v>38218</v>
      </c>
      <c r="N309" s="9">
        <f>_xll.BQL("UAL US Equity", "BS_FLIGHT_EQUIPMNT/1M", "FPT=A", "FPO=-4A", "ACT_EST_MAPPING=PRECISE", "FS=MRC", "CURRENCY=USD", "XLFILL=b")</f>
        <v>35421</v>
      </c>
    </row>
    <row r="310" spans="1:14" x14ac:dyDescent="0.2">
      <c r="A310" s="8" t="s">
        <v>86</v>
      </c>
      <c r="B310" s="4" t="s">
        <v>288</v>
      </c>
      <c r="C310" s="4"/>
      <c r="D310" s="4"/>
      <c r="E310" s="9" t="str">
        <f>_xll.BQL("UAL US Equity", "FA_GROWTH(BS_FLIGHT_EQUIPMNT, YOY)", "FPT=A", "FPO=5A", "ACT_EST_MAPPING=PRECISE", "FS=MRC", "CURRENCY=USD", "XLFILL=b")</f>
        <v/>
      </c>
      <c r="F310" s="9" t="str">
        <f>_xll.BQL("UAL US Equity", "FA_GROWTH(BS_FLIGHT_EQUIPMNT, YOY)", "FPT=A", "FPO=4A", "ACT_EST_MAPPING=PRECISE", "FS=MRC", "CURRENCY=USD", "XLFILL=b")</f>
        <v/>
      </c>
      <c r="G310" s="9">
        <f>_xll.BQL("UAL US Equity", "FA_GROWTH(BS_FLIGHT_EQUIPMNT, YOY)", "FPT=A", "FPO=3A", "ACT_EST_MAPPING=PRECISE", "FS=MRC", "CURRENCY=USD", "XLFILL=b")</f>
        <v>12.25810669456067</v>
      </c>
      <c r="H310" s="9">
        <f>_xll.BQL("UAL US Equity", "FA_GROWTH(BS_FLIGHT_EQUIPMNT, YOY)", "FPT=A", "FPO=2A", "ACT_EST_MAPPING=PRECISE", "FS=MRC", "CURRENCY=USD", "XLFILL=b")</f>
        <v>13.758738658337052</v>
      </c>
      <c r="I310" s="9">
        <f>_xll.BQL("UAL US Equity", "FA_GROWTH(BS_FLIGHT_EQUIPMNT, YOY)", "FPT=A", "FPO=1A", "ACT_EST_MAPPING=PRECISE", "FS=MRC", "CURRENCY=USD", "XLFILL=b")</f>
        <v>11.013870541611626</v>
      </c>
      <c r="J310" s="9">
        <f>_xll.BQL("UAL US Equity", "FA_GROWTH(BS_FLIGHT_EQUIPMNT, YOY)", "FPT=A", "FPO=0A", "ACT_EST_MAPPING=PRECISE", "FS=MRC", "CURRENCY=USD", "XLFILL=b")</f>
        <v>13.262419637638807</v>
      </c>
      <c r="K310" s="9">
        <f>_xll.BQL("UAL US Equity", "FA_GROWTH(BS_FLIGHT_EQUIPMNT, YOY)", "FPT=A", "FPO=-1A", "ACT_EST_MAPPING=PRECISE", "FS=MRC", "CURRENCY=USD", "XLFILL=b")</f>
        <v>8.0613379143088117</v>
      </c>
      <c r="L310" s="9">
        <f>_xll.BQL("UAL US Equity", "FA_GROWTH(BS_FLIGHT_EQUIPMNT, YOY)", "FPT=A", "FPO=-2A", "ACT_EST_MAPPING=PRECISE", "FS=MRC", "CURRENCY=USD", "XLFILL=b")</f>
        <v>3.5742320372599297</v>
      </c>
      <c r="M310" s="9">
        <f>_xll.BQL("UAL US Equity", "FA_GROWTH(BS_FLIGHT_EQUIPMNT, YOY)", "FPT=A", "FPO=-3A", "ACT_EST_MAPPING=PRECISE", "FS=MRC", "CURRENCY=USD", "XLFILL=b")</f>
        <v>7.8964456113604919</v>
      </c>
      <c r="N310" s="9">
        <f>_xll.BQL("UAL US Equity", "FA_GROWTH(BS_FLIGHT_EQUIPMNT, YOY)", "FPT=A", "FPO=-4A", "ACT_EST_MAPPING=PRECISE", "FS=MRC", "CURRENCY=USD", "XLFILL=b")</f>
        <v>8.6567072609589246</v>
      </c>
    </row>
    <row r="311" spans="1:14" x14ac:dyDescent="0.2">
      <c r="A311" s="8" t="s">
        <v>289</v>
      </c>
      <c r="B311" s="4" t="s">
        <v>290</v>
      </c>
      <c r="C311" s="4"/>
      <c r="D311" s="4"/>
      <c r="E311" s="9" t="str">
        <f>_xll.BQL("UAL US Equity", "BS_SECRTY_DEPSTS_ASSTS/1M", "FPT=A", "FPO=5A", "ACT_EST_MAPPING=PRECISE", "FS=MRC", "CURRENCY=USD", "XLFILL=b")</f>
        <v/>
      </c>
      <c r="F311" s="9" t="str">
        <f>_xll.BQL("UAL US Equity", "BS_SECRTY_DEPSTS_ASSTS/1M", "FPT=A", "FPO=4A", "ACT_EST_MAPPING=PRECISE", "FS=MRC", "CURRENCY=USD", "XLFILL=b")</f>
        <v/>
      </c>
      <c r="G311" s="9">
        <f>_xll.BQL("UAL US Equity", "BS_SECRTY_DEPSTS_ASSTS/1M", "FPT=A", "FPO=3A", "ACT_EST_MAPPING=PRECISE", "FS=MRC", "CURRENCY=USD", "XLFILL=b")</f>
        <v>3457</v>
      </c>
      <c r="H311" s="9">
        <f>_xll.BQL("UAL US Equity", "BS_SECRTY_DEPSTS_ASSTS/1M", "FPT=A", "FPO=2A", "ACT_EST_MAPPING=PRECISE", "FS=MRC", "CURRENCY=USD", "XLFILL=b")</f>
        <v>3457</v>
      </c>
      <c r="I311" s="9">
        <f>_xll.BQL("UAL US Equity", "BS_SECRTY_DEPSTS_ASSTS/1M", "FPT=A", "FPO=1A", "ACT_EST_MAPPING=PRECISE", "FS=MRC", "CURRENCY=USD", "XLFILL=b")</f>
        <v>3457</v>
      </c>
      <c r="J311" s="9">
        <f>_xll.BQL("UAL US Equity", "BS_SECRTY_DEPSTS_ASSTS/1M", "FPT=A", "FPO=0A", "ACT_EST_MAPPING=PRECISE", "FS=MRC", "CURRENCY=USD", "XLFILL=b")</f>
        <v>3550</v>
      </c>
      <c r="K311" s="9">
        <f>_xll.BQL("UAL US Equity", "BS_SECRTY_DEPSTS_ASSTS/1M", "FPT=A", "FPO=-1A", "ACT_EST_MAPPING=PRECISE", "FS=MRC", "CURRENCY=USD", "XLFILL=b")</f>
        <v>2820</v>
      </c>
      <c r="L311" s="9">
        <f>_xll.BQL("UAL US Equity", "BS_SECRTY_DEPSTS_ASSTS/1M", "FPT=A", "FPO=-2A", "ACT_EST_MAPPING=PRECISE", "FS=MRC", "CURRENCY=USD", "XLFILL=b")</f>
        <v>2215</v>
      </c>
      <c r="M311" s="9">
        <f>_xll.BQL("UAL US Equity", "BS_SECRTY_DEPSTS_ASSTS/1M", "FPT=A", "FPO=-3A", "ACT_EST_MAPPING=PRECISE", "FS=MRC", "CURRENCY=USD", "XLFILL=b")</f>
        <v>1166</v>
      </c>
      <c r="N311" s="9">
        <f>_xll.BQL("UAL US Equity", "BS_SECRTY_DEPSTS_ASSTS/1M", "FPT=A", "FPO=-4A", "ACT_EST_MAPPING=PRECISE", "FS=MRC", "CURRENCY=USD", "XLFILL=b")</f>
        <v>1360</v>
      </c>
    </row>
    <row r="312" spans="1:14" x14ac:dyDescent="0.2">
      <c r="A312" s="8" t="s">
        <v>86</v>
      </c>
      <c r="B312" s="4" t="s">
        <v>290</v>
      </c>
      <c r="C312" s="4"/>
      <c r="D312" s="4"/>
      <c r="E312" s="9" t="str">
        <f>_xll.BQL("UAL US Equity", "FA_GROWTH(BS_SECRTY_DEPSTS_ASSTS, YOY)", "FPT=A", "FPO=5A", "ACT_EST_MAPPING=PRECISE", "FS=MRC", "CURRENCY=USD", "XLFILL=b")</f>
        <v/>
      </c>
      <c r="F312" s="9" t="str">
        <f>_xll.BQL("UAL US Equity", "FA_GROWTH(BS_SECRTY_DEPSTS_ASSTS, YOY)", "FPT=A", "FPO=4A", "ACT_EST_MAPPING=PRECISE", "FS=MRC", "CURRENCY=USD", "XLFILL=b")</f>
        <v/>
      </c>
      <c r="G312" s="9">
        <f>_xll.BQL("UAL US Equity", "FA_GROWTH(BS_SECRTY_DEPSTS_ASSTS, YOY)", "FPT=A", "FPO=3A", "ACT_EST_MAPPING=PRECISE", "FS=MRC", "CURRENCY=USD", "XLFILL=b")</f>
        <v>0</v>
      </c>
      <c r="H312" s="9">
        <f>_xll.BQL("UAL US Equity", "FA_GROWTH(BS_SECRTY_DEPSTS_ASSTS, YOY)", "FPT=A", "FPO=2A", "ACT_EST_MAPPING=PRECISE", "FS=MRC", "CURRENCY=USD", "XLFILL=b")</f>
        <v>0</v>
      </c>
      <c r="I312" s="9">
        <f>_xll.BQL("UAL US Equity", "FA_GROWTH(BS_SECRTY_DEPSTS_ASSTS, YOY)", "FPT=A", "FPO=1A", "ACT_EST_MAPPING=PRECISE", "FS=MRC", "CURRENCY=USD", "XLFILL=b")</f>
        <v>-2.619718309859155</v>
      </c>
      <c r="J312" s="9">
        <f>_xll.BQL("UAL US Equity", "FA_GROWTH(BS_SECRTY_DEPSTS_ASSTS, YOY)", "FPT=A", "FPO=0A", "ACT_EST_MAPPING=PRECISE", "FS=MRC", "CURRENCY=USD", "XLFILL=b")</f>
        <v>25.886524822695037</v>
      </c>
      <c r="K312" s="9">
        <f>_xll.BQL("UAL US Equity", "FA_GROWTH(BS_SECRTY_DEPSTS_ASSTS, YOY)", "FPT=A", "FPO=-1A", "ACT_EST_MAPPING=PRECISE", "FS=MRC", "CURRENCY=USD", "XLFILL=b")</f>
        <v>27.313769751693002</v>
      </c>
      <c r="L312" s="9">
        <f>_xll.BQL("UAL US Equity", "FA_GROWTH(BS_SECRTY_DEPSTS_ASSTS, YOY)", "FPT=A", "FPO=-2A", "ACT_EST_MAPPING=PRECISE", "FS=MRC", "CURRENCY=USD", "XLFILL=b")</f>
        <v>89.965694682675817</v>
      </c>
      <c r="M312" s="9">
        <f>_xll.BQL("UAL US Equity", "FA_GROWTH(BS_SECRTY_DEPSTS_ASSTS, YOY)", "FPT=A", "FPO=-3A", "ACT_EST_MAPPING=PRECISE", "FS=MRC", "CURRENCY=USD", "XLFILL=b")</f>
        <v>-14.264705882352942</v>
      </c>
      <c r="N312" s="9">
        <f>_xll.BQL("UAL US Equity", "FA_GROWTH(BS_SECRTY_DEPSTS_ASSTS, YOY)", "FPT=A", "FPO=-4A", "ACT_EST_MAPPING=PRECISE", "FS=MRC", "CURRENCY=USD", "XLFILL=b")</f>
        <v>15.548003398470689</v>
      </c>
    </row>
    <row r="313" spans="1:14" x14ac:dyDescent="0.2">
      <c r="A313" s="8" t="s">
        <v>291</v>
      </c>
      <c r="B313" s="4" t="s">
        <v>292</v>
      </c>
      <c r="C313" s="4" t="s">
        <v>293</v>
      </c>
      <c r="D313" s="4"/>
      <c r="E313" s="9">
        <f>_xll.BQL("UAL US Equity", "CB_BS_PP_AND_E_NET/1M", "FPT=A", "FPO=5A", "ACT_EST_MAPPING=PRECISE", "FS=MRC", "CURRENCY=USD", "XLFILL=b")</f>
        <v>61119.548343122107</v>
      </c>
      <c r="F313" s="9">
        <f>_xll.BQL("UAL US Equity", "CB_BS_PP_AND_E_NET/1M", "FPT=A", "FPO=4A", "ACT_EST_MAPPING=PRECISE", "FS=MRC", "CURRENCY=USD", "XLFILL=b")</f>
        <v>58112.270329734049</v>
      </c>
      <c r="G313" s="9">
        <f>_xll.BQL("UAL US Equity", "CB_BS_PP_AND_E_NET/1M", "FPT=A", "FPO=3A", "ACT_EST_MAPPING=PRECISE", "FS=MRC", "CURRENCY=USD", "XLFILL=b")</f>
        <v>53062.393132559795</v>
      </c>
      <c r="H313" s="9">
        <f>_xll.BQL("UAL US Equity", "CB_BS_PP_AND_E_NET/1M", "FPT=A", "FPO=2A", "ACT_EST_MAPPING=PRECISE", "FS=MRC", "CURRENCY=USD", "XLFILL=b")</f>
        <v>48250.321584087047</v>
      </c>
      <c r="I313" s="9">
        <f>_xll.BQL("UAL US Equity", "CB_BS_PP_AND_E_NET/1M", "FPT=A", "FPO=1A", "ACT_EST_MAPPING=PRECISE", "FS=MRC", "CURRENCY=USD", "XLFILL=b")</f>
        <v>43457.860412682632</v>
      </c>
      <c r="J313" s="9">
        <f>_xll.BQL("UAL US Equity", "CB_BS_PP_AND_E_NET/1M", "FPT=A", "FPO=0A", "ACT_EST_MAPPING=PRECISE", "FS=MRC", "CURRENCY=USD", "XLFILL=b")</f>
        <v>39815</v>
      </c>
      <c r="K313" s="9">
        <f>_xll.BQL("UAL US Equity", "CB_BS_PP_AND_E_NET/1M", "FPT=A", "FPO=-1A", "ACT_EST_MAPPING=PRECISE", "FS=MRC", "CURRENCY=USD", "XLFILL=b")</f>
        <v>34448</v>
      </c>
      <c r="L313" s="9">
        <f>_xll.BQL("UAL US Equity", "CB_BS_PP_AND_E_NET/1M", "FPT=A", "FPO=-2A", "ACT_EST_MAPPING=PRECISE", "FS=MRC", "CURRENCY=USD", "XLFILL=b")</f>
        <v>32074</v>
      </c>
      <c r="M313" s="9">
        <f>_xll.BQL("UAL US Equity", "CB_BS_PP_AND_E_NET/1M", "FPT=A", "FPO=-3A", "ACT_EST_MAPPING=PRECISE", "FS=MRC", "CURRENCY=USD", "XLFILL=b")</f>
        <v>31466</v>
      </c>
      <c r="N313" s="9">
        <f>_xll.BQL("UAL US Equity", "CB_BS_PP_AND_E_NET/1M", "FPT=A", "FPO=-4A", "ACT_EST_MAPPING=PRECISE", "FS=MRC", "CURRENCY=USD", "XLFILL=b")</f>
        <v>30170</v>
      </c>
    </row>
    <row r="314" spans="1:14" x14ac:dyDescent="0.2">
      <c r="A314" s="8" t="s">
        <v>86</v>
      </c>
      <c r="B314" s="4" t="s">
        <v>292</v>
      </c>
      <c r="C314" s="4" t="s">
        <v>293</v>
      </c>
      <c r="D314" s="4"/>
      <c r="E314" s="9">
        <f>_xll.BQL("UAL US Equity", "FA_GROWTH(CB_BS_PP_AND_E_NET, YOY)", "FPT=A", "FPO=5A", "ACT_EST_MAPPING=PRECISE", "FS=MRC", "CURRENCY=USD", "XLFILL=b")</f>
        <v>5.1749449751739283</v>
      </c>
      <c r="F314" s="9">
        <f>_xll.BQL("UAL US Equity", "FA_GROWTH(CB_BS_PP_AND_E_NET, YOY)", "FPT=A", "FPO=4A", "ACT_EST_MAPPING=PRECISE", "FS=MRC", "CURRENCY=USD", "XLFILL=b")</f>
        <v>9.5168666527322223</v>
      </c>
      <c r="G314" s="9">
        <f>_xll.BQL("UAL US Equity", "FA_GROWTH(CB_BS_PP_AND_E_NET, YOY)", "FPT=A", "FPO=3A", "ACT_EST_MAPPING=PRECISE", "FS=MRC", "CURRENCY=USD", "XLFILL=b")</f>
        <v>9.973138811285704</v>
      </c>
      <c r="H314" s="9">
        <f>_xll.BQL("UAL US Equity", "FA_GROWTH(CB_BS_PP_AND_E_NET, YOY)", "FPT=A", "FPO=2A", "ACT_EST_MAPPING=PRECISE", "FS=MRC", "CURRENCY=USD", "XLFILL=b")</f>
        <v>11.027835070328939</v>
      </c>
      <c r="I314" s="9">
        <f>_xll.BQL("UAL US Equity", "FA_GROWTH(CB_BS_PP_AND_E_NET, YOY)", "FPT=A", "FPO=1A", "ACT_EST_MAPPING=PRECISE", "FS=MRC", "CURRENCY=USD", "XLFILL=b")</f>
        <v>9.1494673180525741</v>
      </c>
      <c r="J314" s="9">
        <f>_xll.BQL("UAL US Equity", "FA_GROWTH(CB_BS_PP_AND_E_NET, YOY)", "FPT=A", "FPO=0A", "ACT_EST_MAPPING=PRECISE", "FS=MRC", "CURRENCY=USD", "XLFILL=b")</f>
        <v>15.580004644681839</v>
      </c>
      <c r="K314" s="9">
        <f>_xll.BQL("UAL US Equity", "FA_GROWTH(CB_BS_PP_AND_E_NET, YOY)", "FPT=A", "FPO=-1A", "ACT_EST_MAPPING=PRECISE", "FS=MRC", "CURRENCY=USD", "XLFILL=b")</f>
        <v>7.4016337220178334</v>
      </c>
      <c r="L314" s="9">
        <f>_xll.BQL("UAL US Equity", "FA_GROWTH(CB_BS_PP_AND_E_NET, YOY)", "FPT=A", "FPO=-2A", "ACT_EST_MAPPING=PRECISE", "FS=MRC", "CURRENCY=USD", "XLFILL=b")</f>
        <v>1.9322443272103222</v>
      </c>
      <c r="M314" s="9">
        <f>_xll.BQL("UAL US Equity", "FA_GROWTH(CB_BS_PP_AND_E_NET, YOY)", "FPT=A", "FPO=-3A", "ACT_EST_MAPPING=PRECISE", "FS=MRC", "CURRENCY=USD", "XLFILL=b")</f>
        <v>4.2956579383493541</v>
      </c>
      <c r="N314" s="9">
        <f>_xll.BQL("UAL US Equity", "FA_GROWTH(CB_BS_PP_AND_E_NET, YOY)", "FPT=A", "FPO=-4A", "ACT_EST_MAPPING=PRECISE", "FS=MRC", "CURRENCY=USD", "XLFILL=b")</f>
        <v>10.113507792255191</v>
      </c>
    </row>
    <row r="315" spans="1:14" x14ac:dyDescent="0.2">
      <c r="A315" s="8" t="s">
        <v>294</v>
      </c>
      <c r="B315" s="4" t="s">
        <v>295</v>
      </c>
      <c r="C315" s="4"/>
      <c r="D315" s="4"/>
      <c r="E315" s="9" t="str">
        <f>_xll.BQL("UAL US Equity", "BS_OTHER_PPE_GROSS/1M", "FPT=A", "FPO=5A", "ACT_EST_MAPPING=PRECISE", "FS=MRC", "CURRENCY=USD", "XLFILL=b")</f>
        <v/>
      </c>
      <c r="F315" s="9" t="str">
        <f>_xll.BQL("UAL US Equity", "BS_OTHER_PPE_GROSS/1M", "FPT=A", "FPO=4A", "ACT_EST_MAPPING=PRECISE", "FS=MRC", "CURRENCY=USD", "XLFILL=b")</f>
        <v/>
      </c>
      <c r="G315" s="9">
        <f>_xll.BQL("UAL US Equity", "BS_OTHER_PPE_GROSS/1M", "FPT=A", "FPO=3A", "ACT_EST_MAPPING=PRECISE", "FS=MRC", "CURRENCY=USD", "XLFILL=b")</f>
        <v>11295</v>
      </c>
      <c r="H315" s="9">
        <f>_xll.BQL("UAL US Equity", "BS_OTHER_PPE_GROSS/1M", "FPT=A", "FPO=2A", "ACT_EST_MAPPING=PRECISE", "FS=MRC", "CURRENCY=USD", "XLFILL=b")</f>
        <v>11295</v>
      </c>
      <c r="I315" s="9">
        <f>_xll.BQL("UAL US Equity", "BS_OTHER_PPE_GROSS/1M", "FPT=A", "FPO=1A", "ACT_EST_MAPPING=PRECISE", "FS=MRC", "CURRENCY=USD", "XLFILL=b")</f>
        <v>11295</v>
      </c>
      <c r="J315" s="9">
        <f>_xll.BQL("UAL US Equity", "BS_OTHER_PPE_GROSS/1M", "FPT=A", "FPO=0A", "ACT_EST_MAPPING=PRECISE", "FS=MRC", "CURRENCY=USD", "XLFILL=b")</f>
        <v>10527</v>
      </c>
      <c r="K315" s="9">
        <f>_xll.BQL("UAL US Equity", "BS_OTHER_PPE_GROSS/1M", "FPT=A", "FPO=-1A", "ACT_EST_MAPPING=PRECISE", "FS=MRC", "CURRENCY=USD", "XLFILL=b")</f>
        <v>9334</v>
      </c>
      <c r="L315" s="9">
        <f>_xll.BQL("UAL US Equity", "BS_OTHER_PPE_GROSS/1M", "FPT=A", "FPO=-2A", "ACT_EST_MAPPING=PRECISE", "FS=MRC", "CURRENCY=USD", "XLFILL=b")</f>
        <v>8764</v>
      </c>
      <c r="M315" s="9">
        <f>_xll.BQL("UAL US Equity", "BS_OTHER_PPE_GROSS/1M", "FPT=A", "FPO=-3A", "ACT_EST_MAPPING=PRECISE", "FS=MRC", "CURRENCY=USD", "XLFILL=b")</f>
        <v>8511</v>
      </c>
      <c r="N315" s="9">
        <f>_xll.BQL("UAL US Equity", "BS_OTHER_PPE_GROSS/1M", "FPT=A", "FPO=-4A", "ACT_EST_MAPPING=PRECISE", "FS=MRC", "CURRENCY=USD", "XLFILL=b")</f>
        <v>7926</v>
      </c>
    </row>
    <row r="316" spans="1:14" x14ac:dyDescent="0.2">
      <c r="A316" s="8" t="s">
        <v>91</v>
      </c>
      <c r="B316" s="4" t="s">
        <v>295</v>
      </c>
      <c r="C316" s="4"/>
      <c r="D316" s="4"/>
      <c r="E316" s="9" t="str">
        <f>_xll.BQL("UAL US Equity", "FA_GROWTH(BS_OTHER_PPE_GROSS, YOY)", "FPT=A", "FPO=5A", "ACT_EST_MAPPING=PRECISE", "FS=MRC", "CURRENCY=USD", "XLFILL=b")</f>
        <v/>
      </c>
      <c r="F316" s="9" t="str">
        <f>_xll.BQL("UAL US Equity", "FA_GROWTH(BS_OTHER_PPE_GROSS, YOY)", "FPT=A", "FPO=4A", "ACT_EST_MAPPING=PRECISE", "FS=MRC", "CURRENCY=USD", "XLFILL=b")</f>
        <v/>
      </c>
      <c r="G316" s="9">
        <f>_xll.BQL("UAL US Equity", "FA_GROWTH(BS_OTHER_PPE_GROSS, YOY)", "FPT=A", "FPO=3A", "ACT_EST_MAPPING=PRECISE", "FS=MRC", "CURRENCY=USD", "XLFILL=b")</f>
        <v>0</v>
      </c>
      <c r="H316" s="9">
        <f>_xll.BQL("UAL US Equity", "FA_GROWTH(BS_OTHER_PPE_GROSS, YOY)", "FPT=A", "FPO=2A", "ACT_EST_MAPPING=PRECISE", "FS=MRC", "CURRENCY=USD", "XLFILL=b")</f>
        <v>0</v>
      </c>
      <c r="I316" s="9">
        <f>_xll.BQL("UAL US Equity", "FA_GROWTH(BS_OTHER_PPE_GROSS, YOY)", "FPT=A", "FPO=1A", "ACT_EST_MAPPING=PRECISE", "FS=MRC", "CURRENCY=USD", "XLFILL=b")</f>
        <v>7.2955257908235964</v>
      </c>
      <c r="J316" s="9">
        <f>_xll.BQL("UAL US Equity", "FA_GROWTH(BS_OTHER_PPE_GROSS, YOY)", "FPT=A", "FPO=0A", "ACT_EST_MAPPING=PRECISE", "FS=MRC", "CURRENCY=USD", "XLFILL=b")</f>
        <v>12.781229912149133</v>
      </c>
      <c r="K316" s="9">
        <f>_xll.BQL("UAL US Equity", "FA_GROWTH(BS_OTHER_PPE_GROSS, YOY)", "FPT=A", "FPO=-1A", "ACT_EST_MAPPING=PRECISE", "FS=MRC", "CURRENCY=USD", "XLFILL=b")</f>
        <v>6.5038795070743953</v>
      </c>
      <c r="L316" s="9">
        <f>_xll.BQL("UAL US Equity", "FA_GROWTH(BS_OTHER_PPE_GROSS, YOY)", "FPT=A", "FPO=-2A", "ACT_EST_MAPPING=PRECISE", "FS=MRC", "CURRENCY=USD", "XLFILL=b")</f>
        <v>2.9726236634943013</v>
      </c>
      <c r="M316" s="9">
        <f>_xll.BQL("UAL US Equity", "FA_GROWTH(BS_OTHER_PPE_GROSS, YOY)", "FPT=A", "FPO=-3A", "ACT_EST_MAPPING=PRECISE", "FS=MRC", "CURRENCY=USD", "XLFILL=b")</f>
        <v>7.3807721423164265</v>
      </c>
      <c r="N316" s="9">
        <f>_xll.BQL("UAL US Equity", "FA_GROWTH(BS_OTHER_PPE_GROSS, YOY)", "FPT=A", "FPO=-4A", "ACT_EST_MAPPING=PRECISE", "FS=MRC", "CURRENCY=USD", "XLFILL=b")</f>
        <v>15.052983016402962</v>
      </c>
    </row>
    <row r="317" spans="1:14" x14ac:dyDescent="0.2">
      <c r="A317" s="8" t="s">
        <v>296</v>
      </c>
      <c r="B317" s="4" t="s">
        <v>297</v>
      </c>
      <c r="C317" s="4"/>
      <c r="D317" s="4"/>
      <c r="E317" s="9">
        <f>_xll.BQL("UAL US Equity", "BS_ACCUM_DEPR/1M", "FPT=A", "FPO=5A", "ACT_EST_MAPPING=PRECISE", "FS=MRC", "CURRENCY=USD", "XLFILL=b")</f>
        <v>36589.177485316832</v>
      </c>
      <c r="F317" s="9">
        <f>_xll.BQL("UAL US Equity", "BS_ACCUM_DEPR/1M", "FPT=A", "FPO=4A", "ACT_EST_MAPPING=PRECISE", "FS=MRC", "CURRENCY=USD", "XLFILL=b")</f>
        <v>32647.094505398927</v>
      </c>
      <c r="G317" s="9">
        <f>_xll.BQL("UAL US Equity", "BS_ACCUM_DEPR/1M", "FPT=A", "FPO=3A", "ACT_EST_MAPPING=PRECISE", "FS=MRC", "CURRENCY=USD", "XLFILL=b")</f>
        <v>29735.268364932017</v>
      </c>
      <c r="H317" s="9">
        <f>_xll.BQL("UAL US Equity", "BS_ACCUM_DEPR/1M", "FPT=A", "FPO=2A", "ACT_EST_MAPPING=PRECISE", "FS=MRC", "CURRENCY=USD", "XLFILL=b")</f>
        <v>26437.709970444896</v>
      </c>
      <c r="I317" s="9">
        <f>_xll.BQL("UAL US Equity", "BS_ACCUM_DEPR/1M", "FPT=A", "FPO=1A", "ACT_EST_MAPPING=PRECISE", "FS=MRC", "CURRENCY=USD", "XLFILL=b")</f>
        <v>23311.282496096359</v>
      </c>
      <c r="J317" s="9">
        <f>_xll.BQL("UAL US Equity", "BS_ACCUM_DEPR/1M", "FPT=A", "FPO=0A", "ACT_EST_MAPPING=PRECISE", "FS=MRC", "CURRENCY=USD", "XLFILL=b")</f>
        <v>22710</v>
      </c>
      <c r="K317" s="9">
        <f>_xll.BQL("UAL US Equity", "BS_ACCUM_DEPR/1M", "FPT=A", "FPO=-1A", "ACT_EST_MAPPING=PRECISE", "FS=MRC", "CURRENCY=USD", "XLFILL=b")</f>
        <v>20481</v>
      </c>
      <c r="L317" s="9">
        <f>_xll.BQL("UAL US Equity", "BS_ACCUM_DEPR/1M", "FPT=A", "FPO=-2A", "ACT_EST_MAPPING=PRECISE", "FS=MRC", "CURRENCY=USD", "XLFILL=b")</f>
        <v>18489</v>
      </c>
      <c r="M317" s="9">
        <f>_xll.BQL("UAL US Equity", "BS_ACCUM_DEPR/1M", "FPT=A", "FPO=-3A", "ACT_EST_MAPPING=PRECISE", "FS=MRC", "CURRENCY=USD", "XLFILL=b")</f>
        <v>16429</v>
      </c>
      <c r="N317" s="9">
        <f>_xll.BQL("UAL US Equity", "BS_ACCUM_DEPR/1M", "FPT=A", "FPO=-4A", "ACT_EST_MAPPING=PRECISE", "FS=MRC", "CURRENCY=USD", "XLFILL=b")</f>
        <v>14537</v>
      </c>
    </row>
    <row r="318" spans="1:14" x14ac:dyDescent="0.2">
      <c r="A318" s="8" t="s">
        <v>91</v>
      </c>
      <c r="B318" s="4" t="s">
        <v>297</v>
      </c>
      <c r="C318" s="4"/>
      <c r="D318" s="4"/>
      <c r="E318" s="9">
        <f>_xll.BQL("UAL US Equity", "FA_GROWTH(BS_ACCUM_DEPR, YOY)", "FPT=A", "FPO=5A", "ACT_EST_MAPPING=PRECISE", "FS=MRC", "CURRENCY=USD", "XLFILL=b")</f>
        <v>12.074835570025982</v>
      </c>
      <c r="F318" s="9">
        <f>_xll.BQL("UAL US Equity", "FA_GROWTH(BS_ACCUM_DEPR, YOY)", "FPT=A", "FPO=4A", "ACT_EST_MAPPING=PRECISE", "FS=MRC", "CURRENCY=USD", "XLFILL=b")</f>
        <v>9.7924999523493099</v>
      </c>
      <c r="G318" s="9">
        <f>_xll.BQL("UAL US Equity", "FA_GROWTH(BS_ACCUM_DEPR, YOY)", "FPT=A", "FPO=3A", "ACT_EST_MAPPING=PRECISE", "FS=MRC", "CURRENCY=USD", "XLFILL=b")</f>
        <v>12.472935054410955</v>
      </c>
      <c r="H318" s="9">
        <f>_xll.BQL("UAL US Equity", "FA_GROWTH(BS_ACCUM_DEPR, YOY)", "FPT=A", "FPO=2A", "ACT_EST_MAPPING=PRECISE", "FS=MRC", "CURRENCY=USD", "XLFILL=b")</f>
        <v>13.411649379960455</v>
      </c>
      <c r="I318" s="9">
        <f>_xll.BQL("UAL US Equity", "FA_GROWTH(BS_ACCUM_DEPR, YOY)", "FPT=A", "FPO=1A", "ACT_EST_MAPPING=PRECISE", "FS=MRC", "CURRENCY=USD", "XLFILL=b")</f>
        <v>2.6476552007765708</v>
      </c>
      <c r="J318" s="9">
        <f>_xll.BQL("UAL US Equity", "FA_GROWTH(BS_ACCUM_DEPR, YOY)", "FPT=A", "FPO=0A", "ACT_EST_MAPPING=PRECISE", "FS=MRC", "CURRENCY=USD", "XLFILL=b")</f>
        <v>10.883257653434891</v>
      </c>
      <c r="K318" s="9">
        <f>_xll.BQL("UAL US Equity", "FA_GROWTH(BS_ACCUM_DEPR, YOY)", "FPT=A", "FPO=-1A", "ACT_EST_MAPPING=PRECISE", "FS=MRC", "CURRENCY=USD", "XLFILL=b")</f>
        <v>10.773973714100276</v>
      </c>
      <c r="L318" s="9">
        <f>_xll.BQL("UAL US Equity", "FA_GROWTH(BS_ACCUM_DEPR, YOY)", "FPT=A", "FPO=-2A", "ACT_EST_MAPPING=PRECISE", "FS=MRC", "CURRENCY=USD", "XLFILL=b")</f>
        <v>12.538803335565159</v>
      </c>
      <c r="M318" s="9">
        <f>_xll.BQL("UAL US Equity", "FA_GROWTH(BS_ACCUM_DEPR, YOY)", "FPT=A", "FPO=-3A", "ACT_EST_MAPPING=PRECISE", "FS=MRC", "CURRENCY=USD", "XLFILL=b")</f>
        <v>13.015065006535048</v>
      </c>
      <c r="N318" s="9">
        <f>_xll.BQL("UAL US Equity", "FA_GROWTH(BS_ACCUM_DEPR, YOY)", "FPT=A", "FPO=-4A", "ACT_EST_MAPPING=PRECISE", "FS=MRC", "CURRENCY=USD", "XLFILL=b")</f>
        <v>9.580883461480477</v>
      </c>
    </row>
    <row r="319" spans="1:14" x14ac:dyDescent="0.2">
      <c r="A319" s="8" t="s">
        <v>298</v>
      </c>
      <c r="B319" s="4" t="s">
        <v>299</v>
      </c>
      <c r="C319" s="4" t="s">
        <v>300</v>
      </c>
      <c r="D319" s="4"/>
      <c r="E319" s="9">
        <f>_xll.BQL("UAL US Equity", "TOT_OPER_LEA_RT_OF_USE_ASSETS/1M", "FPT=A", "FPO=5A", "ACT_EST_MAPPING=PRECISE", "FS=MRC", "CURRENCY=USD", "XLFILL=b")</f>
        <v>4362.9603331956505</v>
      </c>
      <c r="F319" s="9">
        <f>_xll.BQL("UAL US Equity", "TOT_OPER_LEA_RT_OF_USE_ASSETS/1M", "FPT=A", "FPO=4A", "ACT_EST_MAPPING=PRECISE", "FS=MRC", "CURRENCY=USD", "XLFILL=b")</f>
        <v>4329.1715682224976</v>
      </c>
      <c r="G319" s="9">
        <f>_xll.BQL("UAL US Equity", "TOT_OPER_LEA_RT_OF_USE_ASSETS/1M", "FPT=A", "FPO=3A", "ACT_EST_MAPPING=PRECISE", "FS=MRC", "CURRENCY=USD", "XLFILL=b")</f>
        <v>4002.6038620404793</v>
      </c>
      <c r="H319" s="9">
        <f>_xll.BQL("UAL US Equity", "TOT_OPER_LEA_RT_OF_USE_ASSETS/1M", "FPT=A", "FPO=2A", "ACT_EST_MAPPING=PRECISE", "FS=MRC", "CURRENCY=USD", "XLFILL=b")</f>
        <v>3819.2437649002341</v>
      </c>
      <c r="I319" s="9">
        <f>_xll.BQL("UAL US Equity", "TOT_OPER_LEA_RT_OF_USE_ASSETS/1M", "FPT=A", "FPO=1A", "ACT_EST_MAPPING=PRECISE", "FS=MRC", "CURRENCY=USD", "XLFILL=b")</f>
        <v>3817.4767483298911</v>
      </c>
      <c r="J319" s="9">
        <f>_xll.BQL("UAL US Equity", "TOT_OPER_LEA_RT_OF_USE_ASSETS/1M", "FPT=A", "FPO=0A", "ACT_EST_MAPPING=PRECISE", "FS=MRC", "CURRENCY=USD", "XLFILL=b")</f>
        <v>3914</v>
      </c>
      <c r="K319" s="9">
        <f>_xll.BQL("UAL US Equity", "TOT_OPER_LEA_RT_OF_USE_ASSETS/1M", "FPT=A", "FPO=-1A", "ACT_EST_MAPPING=PRECISE", "FS=MRC", "CURRENCY=USD", "XLFILL=b")</f>
        <v>3889</v>
      </c>
      <c r="L319" s="9">
        <f>_xll.BQL("UAL US Equity", "TOT_OPER_LEA_RT_OF_USE_ASSETS/1M", "FPT=A", "FPO=-2A", "ACT_EST_MAPPING=PRECISE", "FS=MRC", "CURRENCY=USD", "XLFILL=b")</f>
        <v>4645</v>
      </c>
      <c r="M319" s="9">
        <f>_xll.BQL("UAL US Equity", "TOT_OPER_LEA_RT_OF_USE_ASSETS/1M", "FPT=A", "FPO=-3A", "ACT_EST_MAPPING=PRECISE", "FS=MRC", "CURRENCY=USD", "XLFILL=b")</f>
        <v>4537</v>
      </c>
      <c r="N319" s="9">
        <f>_xll.BQL("UAL US Equity", "TOT_OPER_LEA_RT_OF_USE_ASSETS/1M", "FPT=A", "FPO=-4A", "ACT_EST_MAPPING=PRECISE", "FS=MRC", "CURRENCY=USD", "XLFILL=b")</f>
        <v>4758</v>
      </c>
    </row>
    <row r="320" spans="1:14" x14ac:dyDescent="0.2">
      <c r="A320" s="8" t="s">
        <v>86</v>
      </c>
      <c r="B320" s="4" t="s">
        <v>299</v>
      </c>
      <c r="C320" s="4" t="s">
        <v>300</v>
      </c>
      <c r="D320" s="4"/>
      <c r="E320" s="9">
        <f>_xll.BQL("UAL US Equity", "FA_GROWTH(TOT_OPER_LEA_RT_OF_USE_ASSETS, YOY)", "FPT=A", "FPO=5A", "ACT_EST_MAPPING=PRECISE", "FS=MRC", "CURRENCY=USD", "XLFILL=b")</f>
        <v>0.78049031877536312</v>
      </c>
      <c r="F320" s="9">
        <f>_xll.BQL("UAL US Equity", "FA_GROWTH(TOT_OPER_LEA_RT_OF_USE_ASSETS, YOY)", "FPT=A", "FPO=4A", "ACT_EST_MAPPING=PRECISE", "FS=MRC", "CURRENCY=USD", "XLFILL=b")</f>
        <v>8.1588815040901519</v>
      </c>
      <c r="G320" s="9">
        <f>_xll.BQL("UAL US Equity", "FA_GROWTH(TOT_OPER_LEA_RT_OF_USE_ASSETS, YOY)", "FPT=A", "FPO=3A", "ACT_EST_MAPPING=PRECISE", "FS=MRC", "CURRENCY=USD", "XLFILL=b")</f>
        <v>4.8009529746534705</v>
      </c>
      <c r="H320" s="9">
        <f>_xll.BQL("UAL US Equity", "FA_GROWTH(TOT_OPER_LEA_RT_OF_USE_ASSETS, YOY)", "FPT=A", "FPO=2A", "ACT_EST_MAPPING=PRECISE", "FS=MRC", "CURRENCY=USD", "XLFILL=b")</f>
        <v>4.6287552926578268E-2</v>
      </c>
      <c r="I320" s="9">
        <f>_xll.BQL("UAL US Equity", "FA_GROWTH(TOT_OPER_LEA_RT_OF_USE_ASSETS, YOY)", "FPT=A", "FPO=1A", "ACT_EST_MAPPING=PRECISE", "FS=MRC", "CURRENCY=USD", "XLFILL=b")</f>
        <v>-2.4661024954039039</v>
      </c>
      <c r="J320" s="9">
        <f>_xll.BQL("UAL US Equity", "FA_GROWTH(TOT_OPER_LEA_RT_OF_USE_ASSETS, YOY)", "FPT=A", "FPO=0A", "ACT_EST_MAPPING=PRECISE", "FS=MRC", "CURRENCY=USD", "XLFILL=b")</f>
        <v>0.64283877603497042</v>
      </c>
      <c r="K320" s="9">
        <f>_xll.BQL("UAL US Equity", "FA_GROWTH(TOT_OPER_LEA_RT_OF_USE_ASSETS, YOY)", "FPT=A", "FPO=-1A", "ACT_EST_MAPPING=PRECISE", "FS=MRC", "CURRENCY=USD", "XLFILL=b")</f>
        <v>-16.275565123789022</v>
      </c>
      <c r="L320" s="9">
        <f>_xll.BQL("UAL US Equity", "FA_GROWTH(TOT_OPER_LEA_RT_OF_USE_ASSETS, YOY)", "FPT=A", "FPO=-2A", "ACT_EST_MAPPING=PRECISE", "FS=MRC", "CURRENCY=USD", "XLFILL=b")</f>
        <v>2.3804275953273089</v>
      </c>
      <c r="M320" s="9">
        <f>_xll.BQL("UAL US Equity", "FA_GROWTH(TOT_OPER_LEA_RT_OF_USE_ASSETS, YOY)", "FPT=A", "FPO=-3A", "ACT_EST_MAPPING=PRECISE", "FS=MRC", "CURRENCY=USD", "XLFILL=b")</f>
        <v>-4.6448087431693992</v>
      </c>
      <c r="N320" s="9">
        <f>_xll.BQL("UAL US Equity", "FA_GROWTH(TOT_OPER_LEA_RT_OF_USE_ASSETS, YOY)", "FPT=A", "FPO=-4A", "ACT_EST_MAPPING=PRECISE", "FS=MRC", "CURRENCY=USD", "XLFILL=b")</f>
        <v>-9.5781071835803875</v>
      </c>
    </row>
    <row r="321" spans="1:14" x14ac:dyDescent="0.2">
      <c r="A321" s="8" t="s">
        <v>301</v>
      </c>
      <c r="B321" s="4" t="s">
        <v>302</v>
      </c>
      <c r="C321" s="4"/>
      <c r="D321" s="4"/>
      <c r="E321" s="9" t="str">
        <f>_xll.BQL("UAL US Equity", "BS_INVEST_IN_ASSOC_CO/1M", "FPT=A", "FPO=5A", "ACT_EST_MAPPING=PRECISE", "FS=MRC", "CURRENCY=USD", "XLFILL=b")</f>
        <v/>
      </c>
      <c r="F321" s="9" t="str">
        <f>_xll.BQL("UAL US Equity", "BS_INVEST_IN_ASSOC_CO/1M", "FPT=A", "FPO=4A", "ACT_EST_MAPPING=PRECISE", "FS=MRC", "CURRENCY=USD", "XLFILL=b")</f>
        <v/>
      </c>
      <c r="G321" s="9">
        <f>_xll.BQL("UAL US Equity", "BS_INVEST_IN_ASSOC_CO/1M", "FPT=A", "FPO=3A", "ACT_EST_MAPPING=PRECISE", "FS=MRC", "CURRENCY=USD", "XLFILL=b")</f>
        <v>1343.7151628605527</v>
      </c>
      <c r="H321" s="9">
        <f>_xll.BQL("UAL US Equity", "BS_INVEST_IN_ASSOC_CO/1M", "FPT=A", "FPO=2A", "ACT_EST_MAPPING=PRECISE", "FS=MRC", "CURRENCY=USD", "XLFILL=b")</f>
        <v>1339.6806939200208</v>
      </c>
      <c r="I321" s="9">
        <f>_xll.BQL("UAL US Equity", "BS_INVEST_IN_ASSOC_CO/1M", "FPT=A", "FPO=1A", "ACT_EST_MAPPING=PRECISE", "FS=MRC", "CURRENCY=USD", "XLFILL=b")</f>
        <v>1337.891779</v>
      </c>
      <c r="J321" s="9">
        <f>_xll.BQL("UAL US Equity", "BS_INVEST_IN_ASSOC_CO/1M", "FPT=A", "FPO=0A", "ACT_EST_MAPPING=PRECISE", "FS=MRC", "CURRENCY=USD", "XLFILL=b")</f>
        <v>1391</v>
      </c>
      <c r="K321" s="9">
        <f>_xll.BQL("UAL US Equity", "BS_INVEST_IN_ASSOC_CO/1M", "FPT=A", "FPO=-1A", "ACT_EST_MAPPING=PRECISE", "FS=MRC", "CURRENCY=USD", "XLFILL=b")</f>
        <v>1373</v>
      </c>
      <c r="L321" s="9">
        <f>_xll.BQL("UAL US Equity", "BS_INVEST_IN_ASSOC_CO/1M", "FPT=A", "FPO=-2A", "ACT_EST_MAPPING=PRECISE", "FS=MRC", "CURRENCY=USD", "XLFILL=b")</f>
        <v>1344</v>
      </c>
      <c r="M321" s="9">
        <f>_xll.BQL("UAL US Equity", "BS_INVEST_IN_ASSOC_CO/1M", "FPT=A", "FPO=-3A", "ACT_EST_MAPPING=PRECISE", "FS=MRC", "CURRENCY=USD", "XLFILL=b")</f>
        <v>1000</v>
      </c>
      <c r="N321" s="9">
        <f>_xll.BQL("UAL US Equity", "BS_INVEST_IN_ASSOC_CO/1M", "FPT=A", "FPO=-4A", "ACT_EST_MAPPING=PRECISE", "FS=MRC", "CURRENCY=USD", "XLFILL=b")</f>
        <v>1180</v>
      </c>
    </row>
    <row r="322" spans="1:14" x14ac:dyDescent="0.2">
      <c r="A322" s="8" t="s">
        <v>86</v>
      </c>
      <c r="B322" s="4" t="s">
        <v>302</v>
      </c>
      <c r="C322" s="4"/>
      <c r="D322" s="4"/>
      <c r="E322" s="9" t="str">
        <f>_xll.BQL("UAL US Equity", "FA_GROWTH(BS_INVEST_IN_ASSOC_CO, YOY)", "FPT=A", "FPO=5A", "ACT_EST_MAPPING=PRECISE", "FS=MRC", "CURRENCY=USD", "XLFILL=b")</f>
        <v/>
      </c>
      <c r="F322" s="9" t="str">
        <f>_xll.BQL("UAL US Equity", "FA_GROWTH(BS_INVEST_IN_ASSOC_CO, YOY)", "FPT=A", "FPO=4A", "ACT_EST_MAPPING=PRECISE", "FS=MRC", "CURRENCY=USD", "XLFILL=b")</f>
        <v/>
      </c>
      <c r="G322" s="9">
        <f>_xll.BQL("UAL US Equity", "FA_GROWTH(BS_INVEST_IN_ASSOC_CO, YOY)", "FPT=A", "FPO=3A", "ACT_EST_MAPPING=PRECISE", "FS=MRC", "CURRENCY=USD", "XLFILL=b")</f>
        <v>0.30115153251382359</v>
      </c>
      <c r="H322" s="9">
        <f>_xll.BQL("UAL US Equity", "FA_GROWTH(BS_INVEST_IN_ASSOC_CO, YOY)", "FPT=A", "FPO=2A", "ACT_EST_MAPPING=PRECISE", "FS=MRC", "CURRENCY=USD", "XLFILL=b")</f>
        <v>0.13371148160861962</v>
      </c>
      <c r="I322" s="9">
        <f>_xll.BQL("UAL US Equity", "FA_GROWTH(BS_INVEST_IN_ASSOC_CO, YOY)", "FPT=A", "FPO=1A", "ACT_EST_MAPPING=PRECISE", "FS=MRC", "CURRENCY=USD", "XLFILL=b")</f>
        <v>-3.8179885693745508</v>
      </c>
      <c r="J322" s="9">
        <f>_xll.BQL("UAL US Equity", "FA_GROWTH(BS_INVEST_IN_ASSOC_CO, YOY)", "FPT=A", "FPO=0A", "ACT_EST_MAPPING=PRECISE", "FS=MRC", "CURRENCY=USD", "XLFILL=b")</f>
        <v>1.3109978150036417</v>
      </c>
      <c r="K322" s="9">
        <f>_xll.BQL("UAL US Equity", "FA_GROWTH(BS_INVEST_IN_ASSOC_CO, YOY)", "FPT=A", "FPO=-1A", "ACT_EST_MAPPING=PRECISE", "FS=MRC", "CURRENCY=USD", "XLFILL=b")</f>
        <v>2.1577380952380953</v>
      </c>
      <c r="L322" s="9">
        <f>_xll.BQL("UAL US Equity", "FA_GROWTH(BS_INVEST_IN_ASSOC_CO, YOY)", "FPT=A", "FPO=-2A", "ACT_EST_MAPPING=PRECISE", "FS=MRC", "CURRENCY=USD", "XLFILL=b")</f>
        <v>34.4</v>
      </c>
      <c r="M322" s="9">
        <f>_xll.BQL("UAL US Equity", "FA_GROWTH(BS_INVEST_IN_ASSOC_CO, YOY)", "FPT=A", "FPO=-3A", "ACT_EST_MAPPING=PRECISE", "FS=MRC", "CURRENCY=USD", "XLFILL=b")</f>
        <v>-15.254237288135593</v>
      </c>
      <c r="N322" s="9">
        <f>_xll.BQL("UAL US Equity", "FA_GROWTH(BS_INVEST_IN_ASSOC_CO, YOY)", "FPT=A", "FPO=-4A", "ACT_EST_MAPPING=PRECISE", "FS=MRC", "CURRENCY=USD", "XLFILL=b")</f>
        <v>22.153209109730849</v>
      </c>
    </row>
    <row r="323" spans="1:14" x14ac:dyDescent="0.2">
      <c r="A323" s="8" t="s">
        <v>303</v>
      </c>
      <c r="B323" s="4" t="s">
        <v>304</v>
      </c>
      <c r="C323" s="4"/>
      <c r="D323" s="4"/>
      <c r="E323" s="9" t="str">
        <f>_xll.BQL("UAL US Equity", "BS_DEFERRED_TAX_ASSETS_LT/1M", "FPT=A", "FPO=5A", "ACT_EST_MAPPING=PRECISE", "FS=MRC", "CURRENCY=USD", "XLFILL=b")</f>
        <v/>
      </c>
      <c r="F323" s="9" t="str">
        <f>_xll.BQL("UAL US Equity", "BS_DEFERRED_TAX_ASSETS_LT/1M", "FPT=A", "FPO=4A", "ACT_EST_MAPPING=PRECISE", "FS=MRC", "CURRENCY=USD", "XLFILL=b")</f>
        <v/>
      </c>
      <c r="G323" s="9" t="str">
        <f>_xll.BQL("UAL US Equity", "BS_DEFERRED_TAX_ASSETS_LT/1M", "FPT=A", "FPO=3A", "ACT_EST_MAPPING=PRECISE", "FS=MRC", "CURRENCY=USD", "XLFILL=b")</f>
        <v/>
      </c>
      <c r="H323" s="9" t="str">
        <f>_xll.BQL("UAL US Equity", "BS_DEFERRED_TAX_ASSETS_LT/1M", "FPT=A", "FPO=2A", "ACT_EST_MAPPING=PRECISE", "FS=MRC", "CURRENCY=USD", "XLFILL=b")</f>
        <v/>
      </c>
      <c r="I323" s="9" t="str">
        <f>_xll.BQL("UAL US Equity", "BS_DEFERRED_TAX_ASSETS_LT/1M", "FPT=A", "FPO=1A", "ACT_EST_MAPPING=PRECISE", "FS=MRC", "CURRENCY=USD", "XLFILL=b")</f>
        <v/>
      </c>
      <c r="J323" s="9">
        <f>_xll.BQL("UAL US Equity", "BS_DEFERRED_TAX_ASSETS_LT/1M", "FPT=A", "FPO=0A", "ACT_EST_MAPPING=PRECISE", "FS=MRC", "CURRENCY=USD", "XLFILL=b")</f>
        <v>0</v>
      </c>
      <c r="K323" s="9">
        <f>_xll.BQL("UAL US Equity", "BS_DEFERRED_TAX_ASSETS_LT/1M", "FPT=A", "FPO=-1A", "ACT_EST_MAPPING=PRECISE", "FS=MRC", "CURRENCY=USD", "XLFILL=b")</f>
        <v>91</v>
      </c>
      <c r="L323" s="9">
        <f>_xll.BQL("UAL US Equity", "BS_DEFERRED_TAX_ASSETS_LT/1M", "FPT=A", "FPO=-2A", "ACT_EST_MAPPING=PRECISE", "FS=MRC", "CURRENCY=USD", "XLFILL=b")</f>
        <v>659</v>
      </c>
      <c r="M323" s="9">
        <f>_xll.BQL("UAL US Equity", "BS_DEFERRED_TAX_ASSETS_LT/1M", "FPT=A", "FPO=-3A", "ACT_EST_MAPPING=PRECISE", "FS=MRC", "CURRENCY=USD", "XLFILL=b")</f>
        <v>131</v>
      </c>
      <c r="N323" s="9">
        <f>_xll.BQL("UAL US Equity", "BS_DEFERRED_TAX_ASSETS_LT/1M", "FPT=A", "FPO=-4A", "ACT_EST_MAPPING=PRECISE", "FS=MRC", "CURRENCY=USD", "XLFILL=b")</f>
        <v>0</v>
      </c>
    </row>
    <row r="324" spans="1:14" x14ac:dyDescent="0.2">
      <c r="A324" s="8" t="s">
        <v>86</v>
      </c>
      <c r="B324" s="4" t="s">
        <v>304</v>
      </c>
      <c r="C324" s="4"/>
      <c r="D324" s="4"/>
      <c r="E324" s="9" t="str">
        <f>_xll.BQL("UAL US Equity", "FA_GROWTH(BS_DEFERRED_TAX_ASSETS_LT, YOY)", "FPT=A", "FPO=5A", "ACT_EST_MAPPING=PRECISE", "FS=MRC", "CURRENCY=USD", "XLFILL=b")</f>
        <v/>
      </c>
      <c r="F324" s="9" t="str">
        <f>_xll.BQL("UAL US Equity", "FA_GROWTH(BS_DEFERRED_TAX_ASSETS_LT, YOY)", "FPT=A", "FPO=4A", "ACT_EST_MAPPING=PRECISE", "FS=MRC", "CURRENCY=USD", "XLFILL=b")</f>
        <v/>
      </c>
      <c r="G324" s="9" t="str">
        <f>_xll.BQL("UAL US Equity", "FA_GROWTH(BS_DEFERRED_TAX_ASSETS_LT, YOY)", "FPT=A", "FPO=3A", "ACT_EST_MAPPING=PRECISE", "FS=MRC", "CURRENCY=USD", "XLFILL=b")</f>
        <v/>
      </c>
      <c r="H324" s="9" t="str">
        <f>_xll.BQL("UAL US Equity", "FA_GROWTH(BS_DEFERRED_TAX_ASSETS_LT, YOY)", "FPT=A", "FPO=2A", "ACT_EST_MAPPING=PRECISE", "FS=MRC", "CURRENCY=USD", "XLFILL=b")</f>
        <v/>
      </c>
      <c r="I324" s="9" t="str">
        <f>_xll.BQL("UAL US Equity", "FA_GROWTH(BS_DEFERRED_TAX_ASSETS_LT, YOY)", "FPT=A", "FPO=1A", "ACT_EST_MAPPING=PRECISE", "FS=MRC", "CURRENCY=USD", "XLFILL=b")</f>
        <v/>
      </c>
      <c r="J324" s="9">
        <f>_xll.BQL("UAL US Equity", "FA_GROWTH(BS_DEFERRED_TAX_ASSETS_LT, YOY)", "FPT=A", "FPO=0A", "ACT_EST_MAPPING=PRECISE", "FS=MRC", "CURRENCY=USD", "XLFILL=b")</f>
        <v>-100</v>
      </c>
      <c r="K324" s="9">
        <f>_xll.BQL("UAL US Equity", "FA_GROWTH(BS_DEFERRED_TAX_ASSETS_LT, YOY)", "FPT=A", "FPO=-1A", "ACT_EST_MAPPING=PRECISE", "FS=MRC", "CURRENCY=USD", "XLFILL=b")</f>
        <v>-86.19119878603945</v>
      </c>
      <c r="L324" s="9">
        <f>_xll.BQL("UAL US Equity", "FA_GROWTH(BS_DEFERRED_TAX_ASSETS_LT, YOY)", "FPT=A", "FPO=-2A", "ACT_EST_MAPPING=PRECISE", "FS=MRC", "CURRENCY=USD", "XLFILL=b")</f>
        <v>403.05343511450383</v>
      </c>
      <c r="M324" s="9" t="str">
        <f>_xll.BQL("UAL US Equity", "FA_GROWTH(BS_DEFERRED_TAX_ASSETS_LT, YOY)", "FPT=A", "FPO=-3A", "ACT_EST_MAPPING=PRECISE", "FS=MRC", "CURRENCY=USD", "XLFILL=b")</f>
        <v/>
      </c>
      <c r="N324" s="9" t="str">
        <f>_xll.BQL("UAL US Equity", "FA_GROWTH(BS_DEFERRED_TAX_ASSETS_LT, YOY)", "FPT=A", "FPO=-4A", "ACT_EST_MAPPING=PRECISE", "FS=MRC", "CURRENCY=USD", "XLFILL=b")</f>
        <v/>
      </c>
    </row>
    <row r="325" spans="1:14" x14ac:dyDescent="0.2">
      <c r="A325" s="8" t="s">
        <v>305</v>
      </c>
      <c r="B325" s="4" t="s">
        <v>306</v>
      </c>
      <c r="C325" s="4"/>
      <c r="D325" s="4"/>
      <c r="E325" s="9">
        <f>_xll.BQL("UAL US Equity", "BS_DISCLOSED_INTANGIBLES/1M", "FPT=A", "FPO=5A", "ACT_EST_MAPPING=PRECISE", "FS=MRC", "CURRENCY=USD", "XLFILL=b")</f>
        <v>7226</v>
      </c>
      <c r="F325" s="9">
        <f>_xll.BQL("UAL US Equity", "BS_DISCLOSED_INTANGIBLES/1M", "FPT=A", "FPO=4A", "ACT_EST_MAPPING=PRECISE", "FS=MRC", "CURRENCY=USD", "XLFILL=b")</f>
        <v>7226</v>
      </c>
      <c r="G325" s="9">
        <f>_xll.BQL("UAL US Equity", "BS_DISCLOSED_INTANGIBLES/1M", "FPT=A", "FPO=3A", "ACT_EST_MAPPING=PRECISE", "FS=MRC", "CURRENCY=USD", "XLFILL=b")</f>
        <v>4962.5</v>
      </c>
      <c r="H325" s="9">
        <f>_xll.BQL("UAL US Equity", "BS_DISCLOSED_INTANGIBLES/1M", "FPT=A", "FPO=2A", "ACT_EST_MAPPING=PRECISE", "FS=MRC", "CURRENCY=USD", "XLFILL=b")</f>
        <v>4962.5</v>
      </c>
      <c r="I325" s="9">
        <f>_xll.BQL("UAL US Equity", "BS_DISCLOSED_INTANGIBLES/1M", "FPT=A", "FPO=1A", "ACT_EST_MAPPING=PRECISE", "FS=MRC", "CURRENCY=USD", "XLFILL=b")</f>
        <v>4962.5</v>
      </c>
      <c r="J325" s="9">
        <f>_xll.BQL("UAL US Equity", "BS_DISCLOSED_INTANGIBLES/1M", "FPT=A", "FPO=0A", "ACT_EST_MAPPING=PRECISE", "FS=MRC", "CURRENCY=USD", "XLFILL=b")</f>
        <v>7252</v>
      </c>
      <c r="K325" s="9">
        <f>_xll.BQL("UAL US Equity", "BS_DISCLOSED_INTANGIBLES/1M", "FPT=A", "FPO=-1A", "ACT_EST_MAPPING=PRECISE", "FS=MRC", "CURRENCY=USD", "XLFILL=b")</f>
        <v>7289</v>
      </c>
      <c r="L325" s="9">
        <f>_xll.BQL("UAL US Equity", "BS_DISCLOSED_INTANGIBLES/1M", "FPT=A", "FPO=-2A", "ACT_EST_MAPPING=PRECISE", "FS=MRC", "CURRENCY=USD", "XLFILL=b")</f>
        <v>7330</v>
      </c>
      <c r="M325" s="9">
        <f>_xll.BQL("UAL US Equity", "BS_DISCLOSED_INTANGIBLES/1M", "FPT=A", "FPO=-3A", "ACT_EST_MAPPING=PRECISE", "FS=MRC", "CURRENCY=USD", "XLFILL=b")</f>
        <v>7365</v>
      </c>
      <c r="N325" s="9">
        <f>_xll.BQL("UAL US Equity", "BS_DISCLOSED_INTANGIBLES/1M", "FPT=A", "FPO=-4A", "ACT_EST_MAPPING=PRECISE", "FS=MRC", "CURRENCY=USD", "XLFILL=b")</f>
        <v>7532</v>
      </c>
    </row>
    <row r="326" spans="1:14" x14ac:dyDescent="0.2">
      <c r="A326" s="8" t="s">
        <v>86</v>
      </c>
      <c r="B326" s="4" t="s">
        <v>306</v>
      </c>
      <c r="C326" s="4"/>
      <c r="D326" s="4"/>
      <c r="E326" s="9">
        <f>_xll.BQL("UAL US Equity", "FA_GROWTH(BS_DISCLOSED_INTANGIBLES, YOY)", "FPT=A", "FPO=5A", "ACT_EST_MAPPING=PRECISE", "FS=MRC", "CURRENCY=USD", "XLFILL=b")</f>
        <v>0</v>
      </c>
      <c r="F326" s="9">
        <f>_xll.BQL("UAL US Equity", "FA_GROWTH(BS_DISCLOSED_INTANGIBLES, YOY)", "FPT=A", "FPO=4A", "ACT_EST_MAPPING=PRECISE", "FS=MRC", "CURRENCY=USD", "XLFILL=b")</f>
        <v>45.612090680100756</v>
      </c>
      <c r="G326" s="9">
        <f>_xll.BQL("UAL US Equity", "FA_GROWTH(BS_DISCLOSED_INTANGIBLES, YOY)", "FPT=A", "FPO=3A", "ACT_EST_MAPPING=PRECISE", "FS=MRC", "CURRENCY=USD", "XLFILL=b")</f>
        <v>0</v>
      </c>
      <c r="H326" s="9">
        <f>_xll.BQL("UAL US Equity", "FA_GROWTH(BS_DISCLOSED_INTANGIBLES, YOY)", "FPT=A", "FPO=2A", "ACT_EST_MAPPING=PRECISE", "FS=MRC", "CURRENCY=USD", "XLFILL=b")</f>
        <v>0</v>
      </c>
      <c r="I326" s="9">
        <f>_xll.BQL("UAL US Equity", "FA_GROWTH(BS_DISCLOSED_INTANGIBLES, YOY)", "FPT=A", "FPO=1A", "ACT_EST_MAPPING=PRECISE", "FS=MRC", "CURRENCY=USD", "XLFILL=b")</f>
        <v>-31.570601213458357</v>
      </c>
      <c r="J326" s="9">
        <f>_xll.BQL("UAL US Equity", "FA_GROWTH(BS_DISCLOSED_INTANGIBLES, YOY)", "FPT=A", "FPO=0A", "ACT_EST_MAPPING=PRECISE", "FS=MRC", "CURRENCY=USD", "XLFILL=b")</f>
        <v>-0.50761421319796951</v>
      </c>
      <c r="K326" s="9">
        <f>_xll.BQL("UAL US Equity", "FA_GROWTH(BS_DISCLOSED_INTANGIBLES, YOY)", "FPT=A", "FPO=-1A", "ACT_EST_MAPPING=PRECISE", "FS=MRC", "CURRENCY=USD", "XLFILL=b")</f>
        <v>-0.55934515688949527</v>
      </c>
      <c r="L326" s="9">
        <f>_xll.BQL("UAL US Equity", "FA_GROWTH(BS_DISCLOSED_INTANGIBLES, YOY)", "FPT=A", "FPO=-2A", "ACT_EST_MAPPING=PRECISE", "FS=MRC", "CURRENCY=USD", "XLFILL=b")</f>
        <v>-0.47522063815342835</v>
      </c>
      <c r="M326" s="9">
        <f>_xll.BQL("UAL US Equity", "FA_GROWTH(BS_DISCLOSED_INTANGIBLES, YOY)", "FPT=A", "FPO=-3A", "ACT_EST_MAPPING=PRECISE", "FS=MRC", "CURRENCY=USD", "XLFILL=b")</f>
        <v>-2.2172065852363252</v>
      </c>
      <c r="N326" s="9">
        <f>_xll.BQL("UAL US Equity", "FA_GROWTH(BS_DISCLOSED_INTANGIBLES, YOY)", "FPT=A", "FPO=-4A", "ACT_EST_MAPPING=PRECISE", "FS=MRC", "CURRENCY=USD", "XLFILL=b")</f>
        <v>-1.9526165061181984</v>
      </c>
    </row>
    <row r="327" spans="1:14" x14ac:dyDescent="0.2">
      <c r="A327" s="8" t="s">
        <v>307</v>
      </c>
      <c r="B327" s="4" t="s">
        <v>308</v>
      </c>
      <c r="C327" s="4" t="s">
        <v>309</v>
      </c>
      <c r="D327" s="4"/>
      <c r="E327" s="9">
        <f>_xll.BQL("UAL US Equity", "BS_GOODWILL/1M", "FPT=A", "FPO=5A", "ACT_EST_MAPPING=PRECISE", "FS=MRC", "CURRENCY=USD", "XLFILL=b")</f>
        <v>4527</v>
      </c>
      <c r="F327" s="9">
        <f>_xll.BQL("UAL US Equity", "BS_GOODWILL/1M", "FPT=A", "FPO=4A", "ACT_EST_MAPPING=PRECISE", "FS=MRC", "CURRENCY=USD", "XLFILL=b")</f>
        <v>4527</v>
      </c>
      <c r="G327" s="9">
        <f>_xll.BQL("UAL US Equity", "BS_GOODWILL/1M", "FPT=A", "FPO=3A", "ACT_EST_MAPPING=PRECISE", "FS=MRC", "CURRENCY=USD", "XLFILL=b")</f>
        <v>4527</v>
      </c>
      <c r="H327" s="9">
        <f>_xll.BQL("UAL US Equity", "BS_GOODWILL/1M", "FPT=A", "FPO=2A", "ACT_EST_MAPPING=PRECISE", "FS=MRC", "CURRENCY=USD", "XLFILL=b")</f>
        <v>4527</v>
      </c>
      <c r="I327" s="9">
        <f>_xll.BQL("UAL US Equity", "BS_GOODWILL/1M", "FPT=A", "FPO=1A", "ACT_EST_MAPPING=PRECISE", "FS=MRC", "CURRENCY=USD", "XLFILL=b")</f>
        <v>4527</v>
      </c>
      <c r="J327" s="9">
        <f>_xll.BQL("UAL US Equity", "BS_GOODWILL/1M", "FPT=A", "FPO=0A", "ACT_EST_MAPPING=PRECISE", "FS=MRC", "CURRENCY=USD", "XLFILL=b")</f>
        <v>4527</v>
      </c>
      <c r="K327" s="9">
        <f>_xll.BQL("UAL US Equity", "BS_GOODWILL/1M", "FPT=A", "FPO=-1A", "ACT_EST_MAPPING=PRECISE", "FS=MRC", "CURRENCY=USD", "XLFILL=b")</f>
        <v>4527</v>
      </c>
      <c r="L327" s="9">
        <f>_xll.BQL("UAL US Equity", "BS_GOODWILL/1M", "FPT=A", "FPO=-2A", "ACT_EST_MAPPING=PRECISE", "FS=MRC", "CURRENCY=USD", "XLFILL=b")</f>
        <v>4527</v>
      </c>
      <c r="M327" s="9">
        <f>_xll.BQL("UAL US Equity", "BS_GOODWILL/1M", "FPT=A", "FPO=-3A", "ACT_EST_MAPPING=PRECISE", "FS=MRC", "CURRENCY=USD", "XLFILL=b")</f>
        <v>4527</v>
      </c>
      <c r="N327" s="9">
        <f>_xll.BQL("UAL US Equity", "BS_GOODWILL/1M", "FPT=A", "FPO=-4A", "ACT_EST_MAPPING=PRECISE", "FS=MRC", "CURRENCY=USD", "XLFILL=b")</f>
        <v>4523</v>
      </c>
    </row>
    <row r="328" spans="1:14" x14ac:dyDescent="0.2">
      <c r="A328" s="8" t="s">
        <v>91</v>
      </c>
      <c r="B328" s="4" t="s">
        <v>308</v>
      </c>
      <c r="C328" s="4" t="s">
        <v>309</v>
      </c>
      <c r="D328" s="4"/>
      <c r="E328" s="9">
        <f>_xll.BQL("UAL US Equity", "FA_GROWTH(BS_GOODWILL, YOY)", "FPT=A", "FPO=5A", "ACT_EST_MAPPING=PRECISE", "FS=MRC", "CURRENCY=USD", "XLFILL=b")</f>
        <v>0</v>
      </c>
      <c r="F328" s="9">
        <f>_xll.BQL("UAL US Equity", "FA_GROWTH(BS_GOODWILL, YOY)", "FPT=A", "FPO=4A", "ACT_EST_MAPPING=PRECISE", "FS=MRC", "CURRENCY=USD", "XLFILL=b")</f>
        <v>0</v>
      </c>
      <c r="G328" s="9">
        <f>_xll.BQL("UAL US Equity", "FA_GROWTH(BS_GOODWILL, YOY)", "FPT=A", "FPO=3A", "ACT_EST_MAPPING=PRECISE", "FS=MRC", "CURRENCY=USD", "XLFILL=b")</f>
        <v>0</v>
      </c>
      <c r="H328" s="9">
        <f>_xll.BQL("UAL US Equity", "FA_GROWTH(BS_GOODWILL, YOY)", "FPT=A", "FPO=2A", "ACT_EST_MAPPING=PRECISE", "FS=MRC", "CURRENCY=USD", "XLFILL=b")</f>
        <v>0</v>
      </c>
      <c r="I328" s="9">
        <f>_xll.BQL("UAL US Equity", "FA_GROWTH(BS_GOODWILL, YOY)", "FPT=A", "FPO=1A", "ACT_EST_MAPPING=PRECISE", "FS=MRC", "CURRENCY=USD", "XLFILL=b")</f>
        <v>0</v>
      </c>
      <c r="J328" s="9">
        <f>_xll.BQL("UAL US Equity", "FA_GROWTH(BS_GOODWILL, YOY)", "FPT=A", "FPO=0A", "ACT_EST_MAPPING=PRECISE", "FS=MRC", "CURRENCY=USD", "XLFILL=b")</f>
        <v>0</v>
      </c>
      <c r="K328" s="9">
        <f>_xll.BQL("UAL US Equity", "FA_GROWTH(BS_GOODWILL, YOY)", "FPT=A", "FPO=-1A", "ACT_EST_MAPPING=PRECISE", "FS=MRC", "CURRENCY=USD", "XLFILL=b")</f>
        <v>0</v>
      </c>
      <c r="L328" s="9">
        <f>_xll.BQL("UAL US Equity", "FA_GROWTH(BS_GOODWILL, YOY)", "FPT=A", "FPO=-2A", "ACT_EST_MAPPING=PRECISE", "FS=MRC", "CURRENCY=USD", "XLFILL=b")</f>
        <v>0</v>
      </c>
      <c r="M328" s="9">
        <f>_xll.BQL("UAL US Equity", "FA_GROWTH(BS_GOODWILL, YOY)", "FPT=A", "FPO=-3A", "ACT_EST_MAPPING=PRECISE", "FS=MRC", "CURRENCY=USD", "XLFILL=b")</f>
        <v>8.8436878178200312E-2</v>
      </c>
      <c r="N328" s="9">
        <f>_xll.BQL("UAL US Equity", "FA_GROWTH(BS_GOODWILL, YOY)", "FPT=A", "FPO=-4A", "ACT_EST_MAPPING=PRECISE", "FS=MRC", "CURRENCY=USD", "XLFILL=b")</f>
        <v>0</v>
      </c>
    </row>
    <row r="329" spans="1:14" x14ac:dyDescent="0.2">
      <c r="A329" s="8" t="s">
        <v>310</v>
      </c>
      <c r="B329" s="4" t="s">
        <v>311</v>
      </c>
      <c r="C329" s="4" t="s">
        <v>312</v>
      </c>
      <c r="D329" s="4"/>
      <c r="E329" s="9" t="str">
        <f>_xll.BQL("UAL US Equity", "BS_OTHER_INTANGIBLE_ASSETS/1M", "FPT=A", "FPO=5A", "ACT_EST_MAPPING=PRECISE", "FS=MRC", "CURRENCY=USD", "XLFILL=b")</f>
        <v/>
      </c>
      <c r="F329" s="9" t="str">
        <f>_xll.BQL("UAL US Equity", "BS_OTHER_INTANGIBLE_ASSETS/1M", "FPT=A", "FPO=4A", "ACT_EST_MAPPING=PRECISE", "FS=MRC", "CURRENCY=USD", "XLFILL=b")</f>
        <v/>
      </c>
      <c r="G329" s="9">
        <f>_xll.BQL("UAL US Equity", "BS_OTHER_INTANGIBLE_ASSETS/1M", "FPT=A", "FPO=3A", "ACT_EST_MAPPING=PRECISE", "FS=MRC", "CURRENCY=USD", "XLFILL=b")</f>
        <v>2699</v>
      </c>
      <c r="H329" s="9">
        <f>_xll.BQL("UAL US Equity", "BS_OTHER_INTANGIBLE_ASSETS/1M", "FPT=A", "FPO=2A", "ACT_EST_MAPPING=PRECISE", "FS=MRC", "CURRENCY=USD", "XLFILL=b")</f>
        <v>2709.4</v>
      </c>
      <c r="I329" s="9">
        <f>_xll.BQL("UAL US Equity", "BS_OTHER_INTANGIBLE_ASSETS/1M", "FPT=A", "FPO=1A", "ACT_EST_MAPPING=PRECISE", "FS=MRC", "CURRENCY=USD", "XLFILL=b")</f>
        <v>2709.4</v>
      </c>
      <c r="J329" s="9">
        <f>_xll.BQL("UAL US Equity", "BS_OTHER_INTANGIBLE_ASSETS/1M", "FPT=A", "FPO=0A", "ACT_EST_MAPPING=PRECISE", "FS=MRC", "CURRENCY=USD", "XLFILL=b")</f>
        <v>2725</v>
      </c>
      <c r="K329" s="9">
        <f>_xll.BQL("UAL US Equity", "BS_OTHER_INTANGIBLE_ASSETS/1M", "FPT=A", "FPO=-1A", "ACT_EST_MAPPING=PRECISE", "FS=MRC", "CURRENCY=USD", "XLFILL=b")</f>
        <v>2762</v>
      </c>
      <c r="L329" s="9">
        <f>_xll.BQL("UAL US Equity", "BS_OTHER_INTANGIBLE_ASSETS/1M", "FPT=A", "FPO=-2A", "ACT_EST_MAPPING=PRECISE", "FS=MRC", "CURRENCY=USD", "XLFILL=b")</f>
        <v>2803</v>
      </c>
      <c r="M329" s="9">
        <f>_xll.BQL("UAL US Equity", "BS_OTHER_INTANGIBLE_ASSETS/1M", "FPT=A", "FPO=-3A", "ACT_EST_MAPPING=PRECISE", "FS=MRC", "CURRENCY=USD", "XLFILL=b")</f>
        <v>2838</v>
      </c>
      <c r="N329" s="9">
        <f>_xll.BQL("UAL US Equity", "BS_OTHER_INTANGIBLE_ASSETS/1M", "FPT=A", "FPO=-4A", "ACT_EST_MAPPING=PRECISE", "FS=MRC", "CURRENCY=USD", "XLFILL=b")</f>
        <v>3009</v>
      </c>
    </row>
    <row r="330" spans="1:14" x14ac:dyDescent="0.2">
      <c r="A330" s="8" t="s">
        <v>91</v>
      </c>
      <c r="B330" s="4" t="s">
        <v>311</v>
      </c>
      <c r="C330" s="4" t="s">
        <v>312</v>
      </c>
      <c r="D330" s="4"/>
      <c r="E330" s="9" t="str">
        <f>_xll.BQL("UAL US Equity", "FA_GROWTH(BS_OTHER_INTANGIBLE_ASSETS, YOY)", "FPT=A", "FPO=5A", "ACT_EST_MAPPING=PRECISE", "FS=MRC", "CURRENCY=USD", "XLFILL=b")</f>
        <v/>
      </c>
      <c r="F330" s="9" t="str">
        <f>_xll.BQL("UAL US Equity", "FA_GROWTH(BS_OTHER_INTANGIBLE_ASSETS, YOY)", "FPT=A", "FPO=4A", "ACT_EST_MAPPING=PRECISE", "FS=MRC", "CURRENCY=USD", "XLFILL=b")</f>
        <v/>
      </c>
      <c r="G330" s="9">
        <f>_xll.BQL("UAL US Equity", "FA_GROWTH(BS_OTHER_INTANGIBLE_ASSETS, YOY)", "FPT=A", "FPO=3A", "ACT_EST_MAPPING=PRECISE", "FS=MRC", "CURRENCY=USD", "XLFILL=b")</f>
        <v>-0.38384882261755371</v>
      </c>
      <c r="H330" s="9">
        <f>_xll.BQL("UAL US Equity", "FA_GROWTH(BS_OTHER_INTANGIBLE_ASSETS, YOY)", "FPT=A", "FPO=2A", "ACT_EST_MAPPING=PRECISE", "FS=MRC", "CURRENCY=USD", "XLFILL=b")</f>
        <v>0</v>
      </c>
      <c r="I330" s="9">
        <f>_xll.BQL("UAL US Equity", "FA_GROWTH(BS_OTHER_INTANGIBLE_ASSETS, YOY)", "FPT=A", "FPO=1A", "ACT_EST_MAPPING=PRECISE", "FS=MRC", "CURRENCY=USD", "XLFILL=b")</f>
        <v>-0.57247706422018352</v>
      </c>
      <c r="J330" s="9">
        <f>_xll.BQL("UAL US Equity", "FA_GROWTH(BS_OTHER_INTANGIBLE_ASSETS, YOY)", "FPT=A", "FPO=0A", "ACT_EST_MAPPING=PRECISE", "FS=MRC", "CURRENCY=USD", "XLFILL=b")</f>
        <v>-1.3396089790007242</v>
      </c>
      <c r="K330" s="9">
        <f>_xll.BQL("UAL US Equity", "FA_GROWTH(BS_OTHER_INTANGIBLE_ASSETS, YOY)", "FPT=A", "FPO=-1A", "ACT_EST_MAPPING=PRECISE", "FS=MRC", "CURRENCY=USD", "XLFILL=b")</f>
        <v>-1.4627185158758473</v>
      </c>
      <c r="L330" s="9">
        <f>_xll.BQL("UAL US Equity", "FA_GROWTH(BS_OTHER_INTANGIBLE_ASSETS, YOY)", "FPT=A", "FPO=-2A", "ACT_EST_MAPPING=PRECISE", "FS=MRC", "CURRENCY=USD", "XLFILL=b")</f>
        <v>-1.233262861169838</v>
      </c>
      <c r="M330" s="9">
        <f>_xll.BQL("UAL US Equity", "FA_GROWTH(BS_OTHER_INTANGIBLE_ASSETS, YOY)", "FPT=A", "FPO=-3A", "ACT_EST_MAPPING=PRECISE", "FS=MRC", "CURRENCY=USD", "XLFILL=b")</f>
        <v>-5.6829511465603186</v>
      </c>
      <c r="N330" s="9">
        <f>_xll.BQL("UAL US Equity", "FA_GROWTH(BS_OTHER_INTANGIBLE_ASSETS, YOY)", "FPT=A", "FPO=-4A", "ACT_EST_MAPPING=PRECISE", "FS=MRC", "CURRENCY=USD", "XLFILL=b")</f>
        <v>-4.7483380816714149</v>
      </c>
    </row>
    <row r="331" spans="1:14" x14ac:dyDescent="0.2">
      <c r="A331" s="8" t="s">
        <v>313</v>
      </c>
      <c r="B331" s="4" t="s">
        <v>314</v>
      </c>
      <c r="C331" s="4" t="s">
        <v>315</v>
      </c>
      <c r="D331" s="4"/>
      <c r="E331" s="9" t="str">
        <f>_xll.BQL("UAL US Equity", "BS_LONG_TERM_RESTRCTD_CASH_INVT/1M", "FPT=A", "FPO=5A", "ACT_EST_MAPPING=PRECISE", "FS=MRC", "CURRENCY=USD", "XLFILL=b")</f>
        <v/>
      </c>
      <c r="F331" s="9" t="str">
        <f>_xll.BQL("UAL US Equity", "BS_LONG_TERM_RESTRCTD_CASH_INVT/1M", "FPT=A", "FPO=4A", "ACT_EST_MAPPING=PRECISE", "FS=MRC", "CURRENCY=USD", "XLFILL=b")</f>
        <v/>
      </c>
      <c r="G331" s="9">
        <f>_xll.BQL("UAL US Equity", "BS_LONG_TERM_RESTRCTD_CASH_INVT/1M", "FPT=A", "FPO=3A", "ACT_EST_MAPPING=PRECISE", "FS=MRC", "CURRENCY=USD", "XLFILL=b")</f>
        <v>220</v>
      </c>
      <c r="H331" s="9">
        <f>_xll.BQL("UAL US Equity", "BS_LONG_TERM_RESTRCTD_CASH_INVT/1M", "FPT=A", "FPO=2A", "ACT_EST_MAPPING=PRECISE", "FS=MRC", "CURRENCY=USD", "XLFILL=b")</f>
        <v>220</v>
      </c>
      <c r="I331" s="9">
        <f>_xll.BQL("UAL US Equity", "BS_LONG_TERM_RESTRCTD_CASH_INVT/1M", "FPT=A", "FPO=1A", "ACT_EST_MAPPING=PRECISE", "FS=MRC", "CURRENCY=USD", "XLFILL=b")</f>
        <v>220</v>
      </c>
      <c r="J331" s="9">
        <f>_xll.BQL("UAL US Equity", "BS_LONG_TERM_RESTRCTD_CASH_INVT/1M", "FPT=A", "FPO=0A", "ACT_EST_MAPPING=PRECISE", "FS=MRC", "CURRENCY=USD", "XLFILL=b")</f>
        <v>245</v>
      </c>
      <c r="K331" s="9">
        <f>_xll.BQL("UAL US Equity", "BS_LONG_TERM_RESTRCTD_CASH_INVT/1M", "FPT=A", "FPO=-1A", "ACT_EST_MAPPING=PRECISE", "FS=MRC", "CURRENCY=USD", "XLFILL=b")</f>
        <v>210</v>
      </c>
      <c r="L331" s="9">
        <f>_xll.BQL("UAL US Equity", "BS_LONG_TERM_RESTRCTD_CASH_INVT/1M", "FPT=A", "FPO=-2A", "ACT_EST_MAPPING=PRECISE", "FS=MRC", "CURRENCY=USD", "XLFILL=b")</f>
        <v>213</v>
      </c>
      <c r="M331" s="9">
        <f>_xll.BQL("UAL US Equity", "BS_LONG_TERM_RESTRCTD_CASH_INVT/1M", "FPT=A", "FPO=-3A", "ACT_EST_MAPPING=PRECISE", "FS=MRC", "CURRENCY=USD", "XLFILL=b")</f>
        <v>218</v>
      </c>
      <c r="N331" s="9">
        <f>_xll.BQL("UAL US Equity", "BS_LONG_TERM_RESTRCTD_CASH_INVT/1M", "FPT=A", "FPO=-4A", "ACT_EST_MAPPING=PRECISE", "FS=MRC", "CURRENCY=USD", "XLFILL=b")</f>
        <v>106</v>
      </c>
    </row>
    <row r="332" spans="1:14" x14ac:dyDescent="0.2">
      <c r="A332" s="8" t="s">
        <v>86</v>
      </c>
      <c r="B332" s="4" t="s">
        <v>314</v>
      </c>
      <c r="C332" s="4" t="s">
        <v>315</v>
      </c>
      <c r="D332" s="4"/>
      <c r="E332" s="9" t="str">
        <f>_xll.BQL("UAL US Equity", "FA_GROWTH(BS_LONG_TERM_RESTRCTD_CASH_INVT, YOY)", "FPT=A", "FPO=5A", "ACT_EST_MAPPING=PRECISE", "FS=MRC", "CURRENCY=USD", "XLFILL=b")</f>
        <v/>
      </c>
      <c r="F332" s="9" t="str">
        <f>_xll.BQL("UAL US Equity", "FA_GROWTH(BS_LONG_TERM_RESTRCTD_CASH_INVT, YOY)", "FPT=A", "FPO=4A", "ACT_EST_MAPPING=PRECISE", "FS=MRC", "CURRENCY=USD", "XLFILL=b")</f>
        <v/>
      </c>
      <c r="G332" s="9">
        <f>_xll.BQL("UAL US Equity", "FA_GROWTH(BS_LONG_TERM_RESTRCTD_CASH_INVT, YOY)", "FPT=A", "FPO=3A", "ACT_EST_MAPPING=PRECISE", "FS=MRC", "CURRENCY=USD", "XLFILL=b")</f>
        <v>0</v>
      </c>
      <c r="H332" s="9">
        <f>_xll.BQL("UAL US Equity", "FA_GROWTH(BS_LONG_TERM_RESTRCTD_CASH_INVT, YOY)", "FPT=A", "FPO=2A", "ACT_EST_MAPPING=PRECISE", "FS=MRC", "CURRENCY=USD", "XLFILL=b")</f>
        <v>0</v>
      </c>
      <c r="I332" s="9">
        <f>_xll.BQL("UAL US Equity", "FA_GROWTH(BS_LONG_TERM_RESTRCTD_CASH_INVT, YOY)", "FPT=A", "FPO=1A", "ACT_EST_MAPPING=PRECISE", "FS=MRC", "CURRENCY=USD", "XLFILL=b")</f>
        <v>-10.204081632653061</v>
      </c>
      <c r="J332" s="9">
        <f>_xll.BQL("UAL US Equity", "FA_GROWTH(BS_LONG_TERM_RESTRCTD_CASH_INVT, YOY)", "FPT=A", "FPO=0A", "ACT_EST_MAPPING=PRECISE", "FS=MRC", "CURRENCY=USD", "XLFILL=b")</f>
        <v>16.666666666666668</v>
      </c>
      <c r="K332" s="9">
        <f>_xll.BQL("UAL US Equity", "FA_GROWTH(BS_LONG_TERM_RESTRCTD_CASH_INVT, YOY)", "FPT=A", "FPO=-1A", "ACT_EST_MAPPING=PRECISE", "FS=MRC", "CURRENCY=USD", "XLFILL=b")</f>
        <v>-1.408450704225352</v>
      </c>
      <c r="L332" s="9">
        <f>_xll.BQL("UAL US Equity", "FA_GROWTH(BS_LONG_TERM_RESTRCTD_CASH_INVT, YOY)", "FPT=A", "FPO=-2A", "ACT_EST_MAPPING=PRECISE", "FS=MRC", "CURRENCY=USD", "XLFILL=b")</f>
        <v>-2.2935779816513762</v>
      </c>
      <c r="M332" s="9">
        <f>_xll.BQL("UAL US Equity", "FA_GROWTH(BS_LONG_TERM_RESTRCTD_CASH_INVT, YOY)", "FPT=A", "FPO=-3A", "ACT_EST_MAPPING=PRECISE", "FS=MRC", "CURRENCY=USD", "XLFILL=b")</f>
        <v>105.66037735849056</v>
      </c>
      <c r="N332" s="9">
        <f>_xll.BQL("UAL US Equity", "FA_GROWTH(BS_LONG_TERM_RESTRCTD_CASH_INVT, YOY)", "FPT=A", "FPO=-4A", "ACT_EST_MAPPING=PRECISE", "FS=MRC", "CURRENCY=USD", "XLFILL=b")</f>
        <v>0.95238095238095233</v>
      </c>
    </row>
    <row r="333" spans="1:14" x14ac:dyDescent="0.2">
      <c r="A333" s="8" t="s">
        <v>316</v>
      </c>
      <c r="B333" s="4" t="s">
        <v>317</v>
      </c>
      <c r="C333" s="4" t="s">
        <v>318</v>
      </c>
      <c r="D333" s="4"/>
      <c r="E333" s="9">
        <f>_xll.BQL("UAL US Equity", "BS_TOT_ASSET/1M", "FPT=A", "FPO=5A", "ACT_EST_MAPPING=PRECISE", "FS=MRC", "CURRENCY=USD", "XLFILL=b")</f>
        <v>80777.930768789724</v>
      </c>
      <c r="F333" s="9">
        <f>_xll.BQL("UAL US Equity", "BS_TOT_ASSET/1M", "FPT=A", "FPO=4A", "ACT_EST_MAPPING=PRECISE", "FS=MRC", "CURRENCY=USD", "XLFILL=b")</f>
        <v>78680.139522461803</v>
      </c>
      <c r="G333" s="9">
        <f>_xll.BQL("UAL US Equity", "BS_TOT_ASSET/1M", "FPT=A", "FPO=3A", "ACT_EST_MAPPING=PRECISE", "FS=MRC", "CURRENCY=USD", "XLFILL=b")</f>
        <v>76764.954954837565</v>
      </c>
      <c r="H333" s="9">
        <f>_xll.BQL("UAL US Equity", "BS_TOT_ASSET/1M", "FPT=A", "FPO=2A", "ACT_EST_MAPPING=PRECISE", "FS=MRC", "CURRENCY=USD", "XLFILL=b")</f>
        <v>76185.570133530869</v>
      </c>
      <c r="I333" s="9">
        <f>_xll.BQL("UAL US Equity", "BS_TOT_ASSET/1M", "FPT=A", "FPO=1A", "ACT_EST_MAPPING=PRECISE", "FS=MRC", "CURRENCY=USD", "XLFILL=b")</f>
        <v>71271.143062697229</v>
      </c>
      <c r="J333" s="9">
        <f>_xll.BQL("UAL US Equity", "BS_TOT_ASSET/1M", "FPT=A", "FPO=0A", "ACT_EST_MAPPING=PRECISE", "FS=MRC", "CURRENCY=USD", "XLFILL=b")</f>
        <v>71104</v>
      </c>
      <c r="K333" s="9">
        <f>_xll.BQL("UAL US Equity", "BS_TOT_ASSET/1M", "FPT=A", "FPO=-1A", "ACT_EST_MAPPING=PRECISE", "FS=MRC", "CURRENCY=USD", "XLFILL=b")</f>
        <v>67358</v>
      </c>
      <c r="L333" s="9">
        <f>_xll.BQL("UAL US Equity", "BS_TOT_ASSET/1M", "FPT=A", "FPO=-2A", "ACT_EST_MAPPING=PRECISE", "FS=MRC", "CURRENCY=USD", "XLFILL=b")</f>
        <v>68175</v>
      </c>
      <c r="M333" s="9">
        <f>_xll.BQL("UAL US Equity", "BS_TOT_ASSET/1M", "FPT=A", "FPO=-3A", "ACT_EST_MAPPING=PRECISE", "FS=MRC", "CURRENCY=USD", "XLFILL=b")</f>
        <v>59548</v>
      </c>
      <c r="N333" s="9">
        <f>_xll.BQL("UAL US Equity", "BS_TOT_ASSET/1M", "FPT=A", "FPO=-4A", "ACT_EST_MAPPING=PRECISE", "FS=MRC", "CURRENCY=USD", "XLFILL=b")</f>
        <v>52611</v>
      </c>
    </row>
    <row r="334" spans="1:14" x14ac:dyDescent="0.2">
      <c r="A334" s="8" t="s">
        <v>20</v>
      </c>
      <c r="B334" s="4" t="s">
        <v>317</v>
      </c>
      <c r="C334" s="4" t="s">
        <v>318</v>
      </c>
      <c r="D334" s="4"/>
      <c r="E334" s="9">
        <f>_xll.BQL("UAL US Equity", "FA_GROWTH(BS_TOT_ASSET, YOY)", "FPT=A", "FPO=5A", "ACT_EST_MAPPING=PRECISE", "FS=MRC", "CURRENCY=USD", "XLFILL=b")</f>
        <v>2.6662271560017108</v>
      </c>
      <c r="F334" s="9">
        <f>_xll.BQL("UAL US Equity", "FA_GROWTH(BS_TOT_ASSET, YOY)", "FPT=A", "FPO=4A", "ACT_EST_MAPPING=PRECISE", "FS=MRC", "CURRENCY=USD", "XLFILL=b")</f>
        <v>2.4948683533403755</v>
      </c>
      <c r="G334" s="9">
        <f>_xll.BQL("UAL US Equity", "FA_GROWTH(BS_TOT_ASSET, YOY)", "FPT=A", "FPO=3A", "ACT_EST_MAPPING=PRECISE", "FS=MRC", "CURRENCY=USD", "XLFILL=b")</f>
        <v>0.76049154753480308</v>
      </c>
      <c r="H334" s="9">
        <f>_xll.BQL("UAL US Equity", "FA_GROWTH(BS_TOT_ASSET, YOY)", "FPT=A", "FPO=2A", "ACT_EST_MAPPING=PRECISE", "FS=MRC", "CURRENCY=USD", "XLFILL=b")</f>
        <v>6.8953953306324989</v>
      </c>
      <c r="I334" s="9">
        <f>_xll.BQL("UAL US Equity", "FA_GROWTH(BS_TOT_ASSET, YOY)", "FPT=A", "FPO=1A", "ACT_EST_MAPPING=PRECISE", "FS=MRC", "CURRENCY=USD", "XLFILL=b")</f>
        <v>0.23506843876186306</v>
      </c>
      <c r="J334" s="9">
        <f>_xll.BQL("UAL US Equity", "FA_GROWTH(BS_TOT_ASSET, YOY)", "FPT=A", "FPO=0A", "ACT_EST_MAPPING=PRECISE", "FS=MRC", "CURRENCY=USD", "XLFILL=b")</f>
        <v>5.5613290180824846</v>
      </c>
      <c r="K334" s="9">
        <f>_xll.BQL("UAL US Equity", "FA_GROWTH(BS_TOT_ASSET, YOY)", "FPT=A", "FPO=-1A", "ACT_EST_MAPPING=PRECISE", "FS=MRC", "CURRENCY=USD", "XLFILL=b")</f>
        <v>-1.1983865053171985</v>
      </c>
      <c r="L334" s="9">
        <f>_xll.BQL("UAL US Equity", "FA_GROWTH(BS_TOT_ASSET, YOY)", "FPT=A", "FPO=-2A", "ACT_EST_MAPPING=PRECISE", "FS=MRC", "CURRENCY=USD", "XLFILL=b")</f>
        <v>14.487472291260831</v>
      </c>
      <c r="M334" s="9">
        <f>_xll.BQL("UAL US Equity", "FA_GROWTH(BS_TOT_ASSET, YOY)", "FPT=A", "FPO=-3A", "ACT_EST_MAPPING=PRECISE", "FS=MRC", "CURRENCY=USD", "XLFILL=b")</f>
        <v>13.185455513105625</v>
      </c>
      <c r="N334" s="9">
        <f>_xll.BQL("UAL US Equity", "FA_GROWTH(BS_TOT_ASSET, YOY)", "FPT=A", "FPO=-4A", "ACT_EST_MAPPING=PRECISE", "FS=MRC", "CURRENCY=USD", "XLFILL=b")</f>
        <v>7.3168244125326369</v>
      </c>
    </row>
    <row r="335" spans="1:14" x14ac:dyDescent="0.2">
      <c r="A335" s="8" t="s">
        <v>16</v>
      </c>
      <c r="B335" s="4"/>
      <c r="C335" s="4"/>
      <c r="D335" s="4"/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 spans="1:14" x14ac:dyDescent="0.2">
      <c r="A336" s="8" t="s">
        <v>319</v>
      </c>
      <c r="B336" s="4"/>
      <c r="C336" s="4" t="s">
        <v>320</v>
      </c>
      <c r="D336" s="4"/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 spans="1:14" x14ac:dyDescent="0.2">
      <c r="A337" s="8" t="s">
        <v>321</v>
      </c>
      <c r="B337" s="4" t="s">
        <v>322</v>
      </c>
      <c r="C337" s="4" t="s">
        <v>323</v>
      </c>
      <c r="D337" s="4"/>
      <c r="E337" s="9">
        <f>_xll.BQL("UAL US Equity", "CB_BS_CURR_LIABILITIES/1M", "FPT=A", "FPO=5A", "ACT_EST_MAPPING=PRECISE", "FS=MRC", "CURRENCY=USD", "XLFILL=b")</f>
        <v>28187.462539076962</v>
      </c>
      <c r="F337" s="9">
        <f>_xll.BQL("UAL US Equity", "CB_BS_CURR_LIABILITIES/1M", "FPT=A", "FPO=4A", "ACT_EST_MAPPING=PRECISE", "FS=MRC", "CURRENCY=USD", "XLFILL=b")</f>
        <v>27024.298208744345</v>
      </c>
      <c r="G337" s="9">
        <f>_xll.BQL("UAL US Equity", "CB_BS_CURR_LIABILITIES/1M", "FPT=A", "FPO=3A", "ACT_EST_MAPPING=PRECISE", "FS=MRC", "CURRENCY=USD", "XLFILL=b")</f>
        <v>25683.77783040599</v>
      </c>
      <c r="H337" s="9">
        <f>_xll.BQL("UAL US Equity", "CB_BS_CURR_LIABILITIES/1M", "FPT=A", "FPO=2A", "ACT_EST_MAPPING=PRECISE", "FS=MRC", "CURRENCY=USD", "XLFILL=b")</f>
        <v>23447.07482930709</v>
      </c>
      <c r="I337" s="9">
        <f>_xll.BQL("UAL US Equity", "CB_BS_CURR_LIABILITIES/1M", "FPT=A", "FPO=1A", "ACT_EST_MAPPING=PRECISE", "FS=MRC", "CURRENCY=USD", "XLFILL=b")</f>
        <v>22217.657951747831</v>
      </c>
      <c r="J337" s="9">
        <f>_xll.BQL("UAL US Equity", "CB_BS_CURR_LIABILITIES/1M", "FPT=A", "FPO=0A", "ACT_EST_MAPPING=PRECISE", "FS=MRC", "CURRENCY=USD", "XLFILL=b")</f>
        <v>22203</v>
      </c>
      <c r="K337" s="9">
        <f>_xll.BQL("UAL US Equity", "CB_BS_CURR_LIABILITIES/1M", "FPT=A", "FPO=-1A", "ACT_EST_MAPPING=PRECISE", "FS=MRC", "CURRENCY=USD", "XLFILL=b")</f>
        <v>19992</v>
      </c>
      <c r="L337" s="9">
        <f>_xll.BQL("UAL US Equity", "CB_BS_CURR_LIABILITIES/1M", "FPT=A", "FPO=-2A", "ACT_EST_MAPPING=PRECISE", "FS=MRC", "CURRENCY=USD", "XLFILL=b")</f>
        <v>18304</v>
      </c>
      <c r="M337" s="9">
        <f>_xll.BQL("UAL US Equity", "CB_BS_CURR_LIABILITIES/1M", "FPT=A", "FPO=-3A", "ACT_EST_MAPPING=PRECISE", "FS=MRC", "CURRENCY=USD", "XLFILL=b")</f>
        <v>12725</v>
      </c>
      <c r="N337" s="9">
        <f>_xll.BQL("UAL US Equity", "CB_BS_CURR_LIABILITIES/1M", "FPT=A", "FPO=-4A", "ACT_EST_MAPPING=PRECISE", "FS=MRC", "CURRENCY=USD", "XLFILL=b")</f>
        <v>14938</v>
      </c>
    </row>
    <row r="338" spans="1:14" x14ac:dyDescent="0.2">
      <c r="A338" s="8" t="s">
        <v>20</v>
      </c>
      <c r="B338" s="4" t="s">
        <v>322</v>
      </c>
      <c r="C338" s="4" t="s">
        <v>323</v>
      </c>
      <c r="D338" s="4"/>
      <c r="E338" s="9">
        <f>_xll.BQL("UAL US Equity", "FA_GROWTH(CB_BS_CURR_LIABILITIES, YOY)", "FPT=A", "FPO=5A", "ACT_EST_MAPPING=PRECISE", "FS=MRC", "CURRENCY=USD", "XLFILL=b")</f>
        <v>4.3041425954818902</v>
      </c>
      <c r="F338" s="9">
        <f>_xll.BQL("UAL US Equity", "FA_GROWTH(CB_BS_CURR_LIABILITIES, YOY)", "FPT=A", "FPO=4A", "ACT_EST_MAPPING=PRECISE", "FS=MRC", "CURRENCY=USD", "XLFILL=b")</f>
        <v>5.2193271067442728</v>
      </c>
      <c r="G338" s="9">
        <f>_xll.BQL("UAL US Equity", "FA_GROWTH(CB_BS_CURR_LIABILITIES, YOY)", "FPT=A", "FPO=3A", "ACT_EST_MAPPING=PRECISE", "FS=MRC", "CURRENCY=USD", "XLFILL=b")</f>
        <v>9.5393690572573604</v>
      </c>
      <c r="H338" s="9">
        <f>_xll.BQL("UAL US Equity", "FA_GROWTH(CB_BS_CURR_LIABILITIES, YOY)", "FPT=A", "FPO=2A", "ACT_EST_MAPPING=PRECISE", "FS=MRC", "CURRENCY=USD", "XLFILL=b")</f>
        <v>5.5335124891620042</v>
      </c>
      <c r="I338" s="9">
        <f>_xll.BQL("UAL US Equity", "FA_GROWTH(CB_BS_CURR_LIABILITIES, YOY)", "FPT=A", "FPO=1A", "ACT_EST_MAPPING=PRECISE", "FS=MRC", "CURRENCY=USD", "XLFILL=b")</f>
        <v>6.60178883386454E-2</v>
      </c>
      <c r="J338" s="9">
        <f>_xll.BQL("UAL US Equity", "FA_GROWTH(CB_BS_CURR_LIABILITIES, YOY)", "FPT=A", "FPO=0A", "ACT_EST_MAPPING=PRECISE", "FS=MRC", "CURRENCY=USD", "XLFILL=b")</f>
        <v>11.059423769507804</v>
      </c>
      <c r="K338" s="9">
        <f>_xll.BQL("UAL US Equity", "FA_GROWTH(CB_BS_CURR_LIABILITIES, YOY)", "FPT=A", "FPO=-1A", "ACT_EST_MAPPING=PRECISE", "FS=MRC", "CURRENCY=USD", "XLFILL=b")</f>
        <v>9.2220279720279716</v>
      </c>
      <c r="L338" s="9">
        <f>_xll.BQL("UAL US Equity", "FA_GROWTH(CB_BS_CURR_LIABILITIES, YOY)", "FPT=A", "FPO=-2A", "ACT_EST_MAPPING=PRECISE", "FS=MRC", "CURRENCY=USD", "XLFILL=b")</f>
        <v>43.842829076620824</v>
      </c>
      <c r="M338" s="9">
        <f>_xll.BQL("UAL US Equity", "FA_GROWTH(CB_BS_CURR_LIABILITIES, YOY)", "FPT=A", "FPO=-3A", "ACT_EST_MAPPING=PRECISE", "FS=MRC", "CURRENCY=USD", "XLFILL=b")</f>
        <v>-14.814566876422546</v>
      </c>
      <c r="N338" s="9">
        <f>_xll.BQL("UAL US Equity", "FA_GROWTH(CB_BS_CURR_LIABILITIES, YOY)", "FPT=A", "FPO=-4A", "ACT_EST_MAPPING=PRECISE", "FS=MRC", "CURRENCY=USD", "XLFILL=b")</f>
        <v>7.9413252402630246</v>
      </c>
    </row>
    <row r="339" spans="1:14" x14ac:dyDescent="0.2">
      <c r="A339" s="8" t="s">
        <v>324</v>
      </c>
      <c r="B339" s="4" t="s">
        <v>325</v>
      </c>
      <c r="C339" s="4" t="s">
        <v>326</v>
      </c>
      <c r="D339" s="4"/>
      <c r="E339" s="9">
        <f>_xll.BQL("UAL US Equity", "BS_ACCT_PAYABLE/1M", "FPT=A", "FPO=5A", "ACT_EST_MAPPING=PRECISE", "FS=MRC", "CURRENCY=USD", "XLFILL=b")</f>
        <v>5143.3661125533235</v>
      </c>
      <c r="F339" s="9">
        <f>_xll.BQL("UAL US Equity", "BS_ACCT_PAYABLE/1M", "FPT=A", "FPO=4A", "ACT_EST_MAPPING=PRECISE", "FS=MRC", "CURRENCY=USD", "XLFILL=b")</f>
        <v>4903.5038387245368</v>
      </c>
      <c r="G339" s="9">
        <f>_xll.BQL("UAL US Equity", "BS_ACCT_PAYABLE/1M", "FPT=A", "FPO=3A", "ACT_EST_MAPPING=PRECISE", "FS=MRC", "CURRENCY=USD", "XLFILL=b")</f>
        <v>4190.6778322032396</v>
      </c>
      <c r="H339" s="9">
        <f>_xll.BQL("UAL US Equity", "BS_ACCT_PAYABLE/1M", "FPT=A", "FPO=2A", "ACT_EST_MAPPING=PRECISE", "FS=MRC", "CURRENCY=USD", "XLFILL=b")</f>
        <v>4026.8146169083593</v>
      </c>
      <c r="I339" s="9">
        <f>_xll.BQL("UAL US Equity", "BS_ACCT_PAYABLE/1M", "FPT=A", "FPO=1A", "ACT_EST_MAPPING=PRECISE", "FS=MRC", "CURRENCY=USD", "XLFILL=b")</f>
        <v>3791.1843215723179</v>
      </c>
      <c r="J339" s="9">
        <f>_xll.BQL("UAL US Equity", "BS_ACCT_PAYABLE/1M", "FPT=A", "FPO=0A", "ACT_EST_MAPPING=PRECISE", "FS=MRC", "CURRENCY=USD", "XLFILL=b")</f>
        <v>3835</v>
      </c>
      <c r="K339" s="9">
        <f>_xll.BQL("UAL US Equity", "BS_ACCT_PAYABLE/1M", "FPT=A", "FPO=-1A", "ACT_EST_MAPPING=PRECISE", "FS=MRC", "CURRENCY=USD", "XLFILL=b")</f>
        <v>3395</v>
      </c>
      <c r="L339" s="9">
        <f>_xll.BQL("UAL US Equity", "BS_ACCT_PAYABLE/1M", "FPT=A", "FPO=-2A", "ACT_EST_MAPPING=PRECISE", "FS=MRC", "CURRENCY=USD", "XLFILL=b")</f>
        <v>2562</v>
      </c>
      <c r="M339" s="9">
        <f>_xll.BQL("UAL US Equity", "BS_ACCT_PAYABLE/1M", "FPT=A", "FPO=-3A", "ACT_EST_MAPPING=PRECISE", "FS=MRC", "CURRENCY=USD", "XLFILL=b")</f>
        <v>1595</v>
      </c>
      <c r="N339" s="9">
        <f>_xll.BQL("UAL US Equity", "BS_ACCT_PAYABLE/1M", "FPT=A", "FPO=-4A", "ACT_EST_MAPPING=PRECISE", "FS=MRC", "CURRENCY=USD", "XLFILL=b")</f>
        <v>2703</v>
      </c>
    </row>
    <row r="340" spans="1:14" x14ac:dyDescent="0.2">
      <c r="A340" s="8" t="s">
        <v>86</v>
      </c>
      <c r="B340" s="4" t="s">
        <v>325</v>
      </c>
      <c r="C340" s="4" t="s">
        <v>326</v>
      </c>
      <c r="D340" s="4"/>
      <c r="E340" s="9">
        <f>_xll.BQL("UAL US Equity", "FA_GROWTH(BS_ACCT_PAYABLE, YOY)", "FPT=A", "FPO=5A", "ACT_EST_MAPPING=PRECISE", "FS=MRC", "CURRENCY=USD", "XLFILL=b")</f>
        <v>4.8916505771754029</v>
      </c>
      <c r="F340" s="9">
        <f>_xll.BQL("UAL US Equity", "FA_GROWTH(BS_ACCT_PAYABLE, YOY)", "FPT=A", "FPO=4A", "ACT_EST_MAPPING=PRECISE", "FS=MRC", "CURRENCY=USD", "XLFILL=b")</f>
        <v>17.00980211467439</v>
      </c>
      <c r="G340" s="9">
        <f>_xll.BQL("UAL US Equity", "FA_GROWTH(BS_ACCT_PAYABLE, YOY)", "FPT=A", "FPO=3A", "ACT_EST_MAPPING=PRECISE", "FS=MRC", "CURRENCY=USD", "XLFILL=b")</f>
        <v>4.0693011942200625</v>
      </c>
      <c r="H340" s="9">
        <f>_xll.BQL("UAL US Equity", "FA_GROWTH(BS_ACCT_PAYABLE, YOY)", "FPT=A", "FPO=2A", "ACT_EST_MAPPING=PRECISE", "FS=MRC", "CURRENCY=USD", "XLFILL=b")</f>
        <v>6.2152160208955101</v>
      </c>
      <c r="I340" s="9">
        <f>_xll.BQL("UAL US Equity", "FA_GROWTH(BS_ACCT_PAYABLE, YOY)", "FPT=A", "FPO=1A", "ACT_EST_MAPPING=PRECISE", "FS=MRC", "CURRENCY=USD", "XLFILL=b")</f>
        <v>-1.1425209498743656</v>
      </c>
      <c r="J340" s="9">
        <f>_xll.BQL("UAL US Equity", "FA_GROWTH(BS_ACCT_PAYABLE, YOY)", "FPT=A", "FPO=0A", "ACT_EST_MAPPING=PRECISE", "FS=MRC", "CURRENCY=USD", "XLFILL=b")</f>
        <v>12.960235640648012</v>
      </c>
      <c r="K340" s="9">
        <f>_xll.BQL("UAL US Equity", "FA_GROWTH(BS_ACCT_PAYABLE, YOY)", "FPT=A", "FPO=-1A", "ACT_EST_MAPPING=PRECISE", "FS=MRC", "CURRENCY=USD", "XLFILL=b")</f>
        <v>32.513661202185794</v>
      </c>
      <c r="L340" s="9">
        <f>_xll.BQL("UAL US Equity", "FA_GROWTH(BS_ACCT_PAYABLE, YOY)", "FPT=A", "FPO=-2A", "ACT_EST_MAPPING=PRECISE", "FS=MRC", "CURRENCY=USD", "XLFILL=b")</f>
        <v>60.626959247648905</v>
      </c>
      <c r="M340" s="9">
        <f>_xll.BQL("UAL US Equity", "FA_GROWTH(BS_ACCT_PAYABLE, YOY)", "FPT=A", "FPO=-3A", "ACT_EST_MAPPING=PRECISE", "FS=MRC", "CURRENCY=USD", "XLFILL=b")</f>
        <v>-40.991490935997042</v>
      </c>
      <c r="N340" s="9">
        <f>_xll.BQL("UAL US Equity", "FA_GROWTH(BS_ACCT_PAYABLE, YOY)", "FPT=A", "FPO=-4A", "ACT_EST_MAPPING=PRECISE", "FS=MRC", "CURRENCY=USD", "XLFILL=b")</f>
        <v>14.388489208633093</v>
      </c>
    </row>
    <row r="341" spans="1:14" x14ac:dyDescent="0.2">
      <c r="A341" s="8" t="s">
        <v>327</v>
      </c>
      <c r="B341" s="4" t="s">
        <v>328</v>
      </c>
      <c r="C341" s="4" t="s">
        <v>329</v>
      </c>
      <c r="D341" s="4"/>
      <c r="E341" s="9">
        <f>_xll.BQL("UAL US Equity", "BS_ACCRUAL/1M", "FPT=A", "FPO=5A", "ACT_EST_MAPPING=PRECISE", "FS=MRC", "CURRENCY=USD", "XLFILL=b")</f>
        <v>2886.4</v>
      </c>
      <c r="F341" s="9">
        <f>_xll.BQL("UAL US Equity", "BS_ACCRUAL/1M", "FPT=A", "FPO=4A", "ACT_EST_MAPPING=PRECISE", "FS=MRC", "CURRENCY=USD", "XLFILL=b")</f>
        <v>2805.6</v>
      </c>
      <c r="G341" s="9">
        <f>_xll.BQL("UAL US Equity", "BS_ACCRUAL/1M", "FPT=A", "FPO=3A", "ACT_EST_MAPPING=PRECISE", "FS=MRC", "CURRENCY=USD", "XLFILL=b")</f>
        <v>3125.7670758936501</v>
      </c>
      <c r="H341" s="9">
        <f>_xll.BQL("UAL US Equity", "BS_ACCRUAL/1M", "FPT=A", "FPO=2A", "ACT_EST_MAPPING=PRECISE", "FS=MRC", "CURRENCY=USD", "XLFILL=b")</f>
        <v>3128.4273524756441</v>
      </c>
      <c r="I341" s="9">
        <f>_xll.BQL("UAL US Equity", "BS_ACCRUAL/1M", "FPT=A", "FPO=1A", "ACT_EST_MAPPING=PRECISE", "FS=MRC", "CURRENCY=USD", "XLFILL=b")</f>
        <v>2997.4172872745298</v>
      </c>
      <c r="J341" s="9">
        <f>_xll.BQL("UAL US Equity", "BS_ACCRUAL/1M", "FPT=A", "FPO=0A", "ACT_EST_MAPPING=PRECISE", "FS=MRC", "CURRENCY=USD", "XLFILL=b")</f>
        <v>2940</v>
      </c>
      <c r="K341" s="9">
        <f>_xll.BQL("UAL US Equity", "BS_ACCRUAL/1M", "FPT=A", "FPO=-1A", "ACT_EST_MAPPING=PRECISE", "FS=MRC", "CURRENCY=USD", "XLFILL=b")</f>
        <v>1971</v>
      </c>
      <c r="L341" s="9">
        <f>_xll.BQL("UAL US Equity", "BS_ACCRUAL/1M", "FPT=A", "FPO=-2A", "ACT_EST_MAPPING=PRECISE", "FS=MRC", "CURRENCY=USD", "XLFILL=b")</f>
        <v>2121</v>
      </c>
      <c r="M341" s="9">
        <f>_xll.BQL("UAL US Equity", "BS_ACCRUAL/1M", "FPT=A", "FPO=-3A", "ACT_EST_MAPPING=PRECISE", "FS=MRC", "CURRENCY=USD", "XLFILL=b")</f>
        <v>1960</v>
      </c>
      <c r="N341" s="9">
        <f>_xll.BQL("UAL US Equity", "BS_ACCRUAL/1M", "FPT=A", "FPO=-4A", "ACT_EST_MAPPING=PRECISE", "FS=MRC", "CURRENCY=USD", "XLFILL=b")</f>
        <v>2271</v>
      </c>
    </row>
    <row r="342" spans="1:14" x14ac:dyDescent="0.2">
      <c r="A342" s="8" t="s">
        <v>86</v>
      </c>
      <c r="B342" s="4" t="s">
        <v>328</v>
      </c>
      <c r="C342" s="4" t="s">
        <v>329</v>
      </c>
      <c r="D342" s="4"/>
      <c r="E342" s="9">
        <f>_xll.BQL("UAL US Equity", "FA_GROWTH(BS_ACCRUAL, YOY)", "FPT=A", "FPO=5A", "ACT_EST_MAPPING=PRECISE", "FS=MRC", "CURRENCY=USD", "XLFILL=b")</f>
        <v>2.8799543769603648</v>
      </c>
      <c r="F342" s="9">
        <f>_xll.BQL("UAL US Equity", "FA_GROWTH(BS_ACCRUAL, YOY)", "FPT=A", "FPO=4A", "ACT_EST_MAPPING=PRECISE", "FS=MRC", "CURRENCY=USD", "XLFILL=b")</f>
        <v>-10.242832179109666</v>
      </c>
      <c r="G342" s="9">
        <f>_xll.BQL("UAL US Equity", "FA_GROWTH(BS_ACCRUAL, YOY)", "FPT=A", "FPO=3A", "ACT_EST_MAPPING=PRECISE", "FS=MRC", "CURRENCY=USD", "XLFILL=b")</f>
        <v>-8.5035587605666416E-2</v>
      </c>
      <c r="H342" s="9">
        <f>_xll.BQL("UAL US Equity", "FA_GROWTH(BS_ACCRUAL, YOY)", "FPT=A", "FPO=2A", "ACT_EST_MAPPING=PRECISE", "FS=MRC", "CURRENCY=USD", "XLFILL=b")</f>
        <v>4.3707649834847677</v>
      </c>
      <c r="I342" s="9">
        <f>_xll.BQL("UAL US Equity", "FA_GROWTH(BS_ACCRUAL, YOY)", "FPT=A", "FPO=1A", "ACT_EST_MAPPING=PRECISE", "FS=MRC", "CURRENCY=USD", "XLFILL=b")</f>
        <v>1.9529689549159841</v>
      </c>
      <c r="J342" s="9">
        <f>_xll.BQL("UAL US Equity", "FA_GROWTH(BS_ACCRUAL, YOY)", "FPT=A", "FPO=0A", "ACT_EST_MAPPING=PRECISE", "FS=MRC", "CURRENCY=USD", "XLFILL=b")</f>
        <v>49.162861491628618</v>
      </c>
      <c r="K342" s="9">
        <f>_xll.BQL("UAL US Equity", "FA_GROWTH(BS_ACCRUAL, YOY)", "FPT=A", "FPO=-1A", "ACT_EST_MAPPING=PRECISE", "FS=MRC", "CURRENCY=USD", "XLFILL=b")</f>
        <v>-7.0721357850070721</v>
      </c>
      <c r="L342" s="9">
        <f>_xll.BQL("UAL US Equity", "FA_GROWTH(BS_ACCRUAL, YOY)", "FPT=A", "FPO=-2A", "ACT_EST_MAPPING=PRECISE", "FS=MRC", "CURRENCY=USD", "XLFILL=b")</f>
        <v>8.2142857142857135</v>
      </c>
      <c r="M342" s="9">
        <f>_xll.BQL("UAL US Equity", "FA_GROWTH(BS_ACCRUAL, YOY)", "FPT=A", "FPO=-3A", "ACT_EST_MAPPING=PRECISE", "FS=MRC", "CURRENCY=USD", "XLFILL=b")</f>
        <v>-13.694407749889915</v>
      </c>
      <c r="N342" s="9">
        <f>_xll.BQL("UAL US Equity", "FA_GROWTH(BS_ACCRUAL, YOY)", "FPT=A", "FPO=-4A", "ACT_EST_MAPPING=PRECISE", "FS=MRC", "CURRENCY=USD", "XLFILL=b")</f>
        <v>3.9835164835164836</v>
      </c>
    </row>
    <row r="343" spans="1:14" x14ac:dyDescent="0.2">
      <c r="A343" s="8" t="s">
        <v>330</v>
      </c>
      <c r="B343" s="4" t="s">
        <v>331</v>
      </c>
      <c r="C343" s="4" t="s">
        <v>332</v>
      </c>
      <c r="D343" s="4"/>
      <c r="E343" s="9" t="str">
        <f>_xll.BQL("UAL US Equity", "BS_ST_PORTION_OF_LT_DEBT/1M", "FPT=A", "FPO=5A", "ACT_EST_MAPPING=PRECISE", "FS=MRC", "CURRENCY=USD", "XLFILL=b")</f>
        <v/>
      </c>
      <c r="F343" s="9" t="str">
        <f>_xll.BQL("UAL US Equity", "BS_ST_PORTION_OF_LT_DEBT/1M", "FPT=A", "FPO=4A", "ACT_EST_MAPPING=PRECISE", "FS=MRC", "CURRENCY=USD", "XLFILL=b")</f>
        <v/>
      </c>
      <c r="G343" s="9">
        <f>_xll.BQL("UAL US Equity", "BS_ST_PORTION_OF_LT_DEBT/1M", "FPT=A", "FPO=3A", "ACT_EST_MAPPING=PRECISE", "FS=MRC", "CURRENCY=USD", "XLFILL=b")</f>
        <v>5415</v>
      </c>
      <c r="H343" s="9">
        <f>_xll.BQL("UAL US Equity", "BS_ST_PORTION_OF_LT_DEBT/1M", "FPT=A", "FPO=2A", "ACT_EST_MAPPING=PRECISE", "FS=MRC", "CURRENCY=USD", "XLFILL=b")</f>
        <v>5415</v>
      </c>
      <c r="I343" s="9">
        <f>_xll.BQL("UAL US Equity", "BS_ST_PORTION_OF_LT_DEBT/1M", "FPT=A", "FPO=1A", "ACT_EST_MAPPING=PRECISE", "FS=MRC", "CURRENCY=USD", "XLFILL=b")</f>
        <v>5415</v>
      </c>
      <c r="J343" s="9">
        <f>_xll.BQL("UAL US Equity", "BS_ST_PORTION_OF_LT_DEBT/1M", "FPT=A", "FPO=0A", "ACT_EST_MAPPING=PRECISE", "FS=MRC", "CURRENCY=USD", "XLFILL=b")</f>
        <v>4766</v>
      </c>
      <c r="K343" s="9">
        <f>_xll.BQL("UAL US Equity", "BS_ST_PORTION_OF_LT_DEBT/1M", "FPT=A", "FPO=-1A", "ACT_EST_MAPPING=PRECISE", "FS=MRC", "CURRENCY=USD", "XLFILL=b")</f>
        <v>3576</v>
      </c>
      <c r="L343" s="9">
        <f>_xll.BQL("UAL US Equity", "BS_ST_PORTION_OF_LT_DEBT/1M", "FPT=A", "FPO=-2A", "ACT_EST_MAPPING=PRECISE", "FS=MRC", "CURRENCY=USD", "XLFILL=b")</f>
        <v>3634</v>
      </c>
      <c r="M343" s="9">
        <f>_xll.BQL("UAL US Equity", "BS_ST_PORTION_OF_LT_DEBT/1M", "FPT=A", "FPO=-3A", "ACT_EST_MAPPING=PRECISE", "FS=MRC", "CURRENCY=USD", "XLFILL=b")</f>
        <v>2705</v>
      </c>
      <c r="N343" s="9">
        <f>_xll.BQL("UAL US Equity", "BS_ST_PORTION_OF_LT_DEBT/1M", "FPT=A", "FPO=-4A", "ACT_EST_MAPPING=PRECISE", "FS=MRC", "CURRENCY=USD", "XLFILL=b")</f>
        <v>2139</v>
      </c>
    </row>
    <row r="344" spans="1:14" x14ac:dyDescent="0.2">
      <c r="A344" s="8" t="s">
        <v>86</v>
      </c>
      <c r="B344" s="4" t="s">
        <v>331</v>
      </c>
      <c r="C344" s="4" t="s">
        <v>332</v>
      </c>
      <c r="D344" s="4"/>
      <c r="E344" s="9" t="str">
        <f>_xll.BQL("UAL US Equity", "FA_GROWTH(BS_ST_PORTION_OF_LT_DEBT, YOY)", "FPT=A", "FPO=5A", "ACT_EST_MAPPING=PRECISE", "FS=MRC", "CURRENCY=USD", "XLFILL=b")</f>
        <v/>
      </c>
      <c r="F344" s="9" t="str">
        <f>_xll.BQL("UAL US Equity", "FA_GROWTH(BS_ST_PORTION_OF_LT_DEBT, YOY)", "FPT=A", "FPO=4A", "ACT_EST_MAPPING=PRECISE", "FS=MRC", "CURRENCY=USD", "XLFILL=b")</f>
        <v/>
      </c>
      <c r="G344" s="9">
        <f>_xll.BQL("UAL US Equity", "FA_GROWTH(BS_ST_PORTION_OF_LT_DEBT, YOY)", "FPT=A", "FPO=3A", "ACT_EST_MAPPING=PRECISE", "FS=MRC", "CURRENCY=USD", "XLFILL=b")</f>
        <v>0</v>
      </c>
      <c r="H344" s="9">
        <f>_xll.BQL("UAL US Equity", "FA_GROWTH(BS_ST_PORTION_OF_LT_DEBT, YOY)", "FPT=A", "FPO=2A", "ACT_EST_MAPPING=PRECISE", "FS=MRC", "CURRENCY=USD", "XLFILL=b")</f>
        <v>0</v>
      </c>
      <c r="I344" s="9">
        <f>_xll.BQL("UAL US Equity", "FA_GROWTH(BS_ST_PORTION_OF_LT_DEBT, YOY)", "FPT=A", "FPO=1A", "ACT_EST_MAPPING=PRECISE", "FS=MRC", "CURRENCY=USD", "XLFILL=b")</f>
        <v>13.617289131347041</v>
      </c>
      <c r="J344" s="9">
        <f>_xll.BQL("UAL US Equity", "FA_GROWTH(BS_ST_PORTION_OF_LT_DEBT, YOY)", "FPT=A", "FPO=0A", "ACT_EST_MAPPING=PRECISE", "FS=MRC", "CURRENCY=USD", "XLFILL=b")</f>
        <v>33.277404921700224</v>
      </c>
      <c r="K344" s="9">
        <f>_xll.BQL("UAL US Equity", "FA_GROWTH(BS_ST_PORTION_OF_LT_DEBT, YOY)", "FPT=A", "FPO=-1A", "ACT_EST_MAPPING=PRECISE", "FS=MRC", "CURRENCY=USD", "XLFILL=b")</f>
        <v>-1.5960374243258117</v>
      </c>
      <c r="L344" s="9">
        <f>_xll.BQL("UAL US Equity", "FA_GROWTH(BS_ST_PORTION_OF_LT_DEBT, YOY)", "FPT=A", "FPO=-2A", "ACT_EST_MAPPING=PRECISE", "FS=MRC", "CURRENCY=USD", "XLFILL=b")</f>
        <v>34.343807763401109</v>
      </c>
      <c r="M344" s="9">
        <f>_xll.BQL("UAL US Equity", "FA_GROWTH(BS_ST_PORTION_OF_LT_DEBT, YOY)", "FPT=A", "FPO=-3A", "ACT_EST_MAPPING=PRECISE", "FS=MRC", "CURRENCY=USD", "XLFILL=b")</f>
        <v>26.460963066853669</v>
      </c>
      <c r="N344" s="9">
        <f>_xll.BQL("UAL US Equity", "FA_GROWTH(BS_ST_PORTION_OF_LT_DEBT, YOY)", "FPT=A", "FPO=-4A", "ACT_EST_MAPPING=PRECISE", "FS=MRC", "CURRENCY=USD", "XLFILL=b")</f>
        <v>3.2335907335907335</v>
      </c>
    </row>
    <row r="345" spans="1:14" x14ac:dyDescent="0.2">
      <c r="A345" s="8" t="s">
        <v>333</v>
      </c>
      <c r="B345" s="4" t="s">
        <v>334</v>
      </c>
      <c r="C345" s="4" t="s">
        <v>335</v>
      </c>
      <c r="D345" s="4"/>
      <c r="E345" s="9">
        <f>_xll.BQL("UAL US Equity", "BS_ST_BORROW/1M", "FPT=A", "FPO=5A", "ACT_EST_MAPPING=PRECISE", "FS=MRC", "CURRENCY=USD", "XLFILL=b")</f>
        <v>4557</v>
      </c>
      <c r="F345" s="9">
        <f>_xll.BQL("UAL US Equity", "BS_ST_BORROW/1M", "FPT=A", "FPO=4A", "ACT_EST_MAPPING=PRECISE", "FS=MRC", "CURRENCY=USD", "XLFILL=b")</f>
        <v>4557</v>
      </c>
      <c r="G345" s="9">
        <f>_xll.BQL("UAL US Equity", "BS_ST_BORROW/1M", "FPT=A", "FPO=3A", "ACT_EST_MAPPING=PRECISE", "FS=MRC", "CURRENCY=USD", "XLFILL=b")</f>
        <v>4773.1136660297889</v>
      </c>
      <c r="H345" s="9">
        <f>_xll.BQL("UAL US Equity", "BS_ST_BORROW/1M", "FPT=A", "FPO=2A", "ACT_EST_MAPPING=PRECISE", "FS=MRC", "CURRENCY=USD", "XLFILL=b")</f>
        <v>4050.0132243925082</v>
      </c>
      <c r="I345" s="9">
        <f>_xll.BQL("UAL US Equity", "BS_ST_BORROW/1M", "FPT=A", "FPO=1A", "ACT_EST_MAPPING=PRECISE", "FS=MRC", "CURRENCY=USD", "XLFILL=b")</f>
        <v>4037.5511605810898</v>
      </c>
      <c r="J345" s="9">
        <f>_xll.BQL("UAL US Equity", "BS_ST_BORROW/1M", "FPT=A", "FPO=0A", "ACT_EST_MAPPING=PRECISE", "FS=MRC", "CURRENCY=USD", "XLFILL=b")</f>
        <v>4766</v>
      </c>
      <c r="K345" s="9">
        <f>_xll.BQL("UAL US Equity", "BS_ST_BORROW/1M", "FPT=A", "FPO=-1A", "ACT_EST_MAPPING=PRECISE", "FS=MRC", "CURRENCY=USD", "XLFILL=b")</f>
        <v>3576</v>
      </c>
      <c r="L345" s="9">
        <f>_xll.BQL("UAL US Equity", "BS_ST_BORROW/1M", "FPT=A", "FPO=-2A", "ACT_EST_MAPPING=PRECISE", "FS=MRC", "CURRENCY=USD", "XLFILL=b")</f>
        <v>3634</v>
      </c>
      <c r="M345" s="9">
        <f>_xll.BQL("UAL US Equity", "BS_ST_BORROW/1M", "FPT=A", "FPO=-3A", "ACT_EST_MAPPING=PRECISE", "FS=MRC", "CURRENCY=USD", "XLFILL=b")</f>
        <v>2705</v>
      </c>
      <c r="N345" s="9">
        <f>_xll.BQL("UAL US Equity", "BS_ST_BORROW/1M", "FPT=A", "FPO=-4A", "ACT_EST_MAPPING=PRECISE", "FS=MRC", "CURRENCY=USD", "XLFILL=b")</f>
        <v>2139</v>
      </c>
    </row>
    <row r="346" spans="1:14" x14ac:dyDescent="0.2">
      <c r="A346" s="8" t="s">
        <v>91</v>
      </c>
      <c r="B346" s="4" t="s">
        <v>334</v>
      </c>
      <c r="C346" s="4" t="s">
        <v>335</v>
      </c>
      <c r="D346" s="4"/>
      <c r="E346" s="9">
        <f>_xll.BQL("UAL US Equity", "FA_GROWTH(BS_ST_BORROW, YOY)", "FPT=A", "FPO=5A", "ACT_EST_MAPPING=PRECISE", "FS=MRC", "CURRENCY=USD", "XLFILL=b")</f>
        <v>0</v>
      </c>
      <c r="F346" s="9">
        <f>_xll.BQL("UAL US Equity", "FA_GROWTH(BS_ST_BORROW, YOY)", "FPT=A", "FPO=4A", "ACT_EST_MAPPING=PRECISE", "FS=MRC", "CURRENCY=USD", "XLFILL=b")</f>
        <v>-4.5277293010612372</v>
      </c>
      <c r="G346" s="9">
        <f>_xll.BQL("UAL US Equity", "FA_GROWTH(BS_ST_BORROW, YOY)", "FPT=A", "FPO=3A", "ACT_EST_MAPPING=PRECISE", "FS=MRC", "CURRENCY=USD", "XLFILL=b")</f>
        <v>17.854273593038556</v>
      </c>
      <c r="H346" s="9">
        <f>_xll.BQL("UAL US Equity", "FA_GROWTH(BS_ST_BORROW, YOY)", "FPT=A", "FPO=2A", "ACT_EST_MAPPING=PRECISE", "FS=MRC", "CURRENCY=USD", "XLFILL=b")</f>
        <v>0.30865401615429933</v>
      </c>
      <c r="I346" s="9">
        <f>_xll.BQL("UAL US Equity", "FA_GROWTH(BS_ST_BORROW, YOY)", "FPT=A", "FPO=1A", "ACT_EST_MAPPING=PRECISE", "FS=MRC", "CURRENCY=USD", "XLFILL=b")</f>
        <v>-15.284281146011541</v>
      </c>
      <c r="J346" s="9">
        <f>_xll.BQL("UAL US Equity", "FA_GROWTH(BS_ST_BORROW, YOY)", "FPT=A", "FPO=0A", "ACT_EST_MAPPING=PRECISE", "FS=MRC", "CURRENCY=USD", "XLFILL=b")</f>
        <v>33.277404921700224</v>
      </c>
      <c r="K346" s="9">
        <f>_xll.BQL("UAL US Equity", "FA_GROWTH(BS_ST_BORROW, YOY)", "FPT=A", "FPO=-1A", "ACT_EST_MAPPING=PRECISE", "FS=MRC", "CURRENCY=USD", "XLFILL=b")</f>
        <v>-1.5960374243258117</v>
      </c>
      <c r="L346" s="9">
        <f>_xll.BQL("UAL US Equity", "FA_GROWTH(BS_ST_BORROW, YOY)", "FPT=A", "FPO=-2A", "ACT_EST_MAPPING=PRECISE", "FS=MRC", "CURRENCY=USD", "XLFILL=b")</f>
        <v>34.343807763401109</v>
      </c>
      <c r="M346" s="9">
        <f>_xll.BQL("UAL US Equity", "FA_GROWTH(BS_ST_BORROW, YOY)", "FPT=A", "FPO=-3A", "ACT_EST_MAPPING=PRECISE", "FS=MRC", "CURRENCY=USD", "XLFILL=b")</f>
        <v>26.460963066853669</v>
      </c>
      <c r="N346" s="9">
        <f>_xll.BQL("UAL US Equity", "FA_GROWTH(BS_ST_BORROW, YOY)", "FPT=A", "FPO=-4A", "ACT_EST_MAPPING=PRECISE", "FS=MRC", "CURRENCY=USD", "XLFILL=b")</f>
        <v>3.2335907335907335</v>
      </c>
    </row>
    <row r="347" spans="1:14" x14ac:dyDescent="0.2">
      <c r="A347" s="8" t="s">
        <v>336</v>
      </c>
      <c r="B347" s="4" t="s">
        <v>337</v>
      </c>
      <c r="C347" s="4" t="s">
        <v>338</v>
      </c>
      <c r="D347" s="4"/>
      <c r="E347" s="9">
        <f>_xll.BQL("UAL US Equity", "BS_CURR_PORTION_LT_DEBT/1M", "FPT=A", "FPO=5A", "ACT_EST_MAPPING=PRECISE", "FS=MRC", "CURRENCY=USD", "XLFILL=b")</f>
        <v>5100</v>
      </c>
      <c r="F347" s="9">
        <f>_xll.BQL("UAL US Equity", "BS_CURR_PORTION_LT_DEBT/1M", "FPT=A", "FPO=4A", "ACT_EST_MAPPING=PRECISE", "FS=MRC", "CURRENCY=USD", "XLFILL=b")</f>
        <v>5100</v>
      </c>
      <c r="G347" s="9">
        <f>_xll.BQL("UAL US Equity", "BS_CURR_PORTION_LT_DEBT/1M", "FPT=A", "FPO=3A", "ACT_EST_MAPPING=PRECISE", "FS=MRC", "CURRENCY=USD", "XLFILL=b")</f>
        <v>4485.6000000000004</v>
      </c>
      <c r="H347" s="9">
        <f>_xll.BQL("UAL US Equity", "BS_CURR_PORTION_LT_DEBT/1M", "FPT=A", "FPO=2A", "ACT_EST_MAPPING=PRECISE", "FS=MRC", "CURRENCY=USD", "XLFILL=b")</f>
        <v>4585.6000000000004</v>
      </c>
      <c r="I347" s="9">
        <f>_xll.BQL("UAL US Equity", "BS_CURR_PORTION_LT_DEBT/1M", "FPT=A", "FPO=1A", "ACT_EST_MAPPING=PRECISE", "FS=MRC", "CURRENCY=USD", "XLFILL=b")</f>
        <v>4535.3999999999996</v>
      </c>
      <c r="J347" s="9">
        <f>_xll.BQL("UAL US Equity", "BS_CURR_PORTION_LT_DEBT/1M", "FPT=A", "FPO=0A", "ACT_EST_MAPPING=PRECISE", "FS=MRC", "CURRENCY=USD", "XLFILL=b")</f>
        <v>4018</v>
      </c>
      <c r="K347" s="9">
        <f>_xll.BQL("UAL US Equity", "BS_CURR_PORTION_LT_DEBT/1M", "FPT=A", "FPO=-1A", "ACT_EST_MAPPING=PRECISE", "FS=MRC", "CURRENCY=USD", "XLFILL=b")</f>
        <v>2911</v>
      </c>
      <c r="L347" s="9">
        <f>_xll.BQL("UAL US Equity", "BS_CURR_PORTION_LT_DEBT/1M", "FPT=A", "FPO=-2A", "ACT_EST_MAPPING=PRECISE", "FS=MRC", "CURRENCY=USD", "XLFILL=b")</f>
        <v>3002</v>
      </c>
      <c r="M347" s="9">
        <f>_xll.BQL("UAL US Equity", "BS_CURR_PORTION_LT_DEBT/1M", "FPT=A", "FPO=-3A", "ACT_EST_MAPPING=PRECISE", "FS=MRC", "CURRENCY=USD", "XLFILL=b")</f>
        <v>1911</v>
      </c>
      <c r="N347" s="9">
        <f>_xll.BQL("UAL US Equity", "BS_CURR_PORTION_LT_DEBT/1M", "FPT=A", "FPO=-4A", "ACT_EST_MAPPING=PRECISE", "FS=MRC", "CURRENCY=USD", "XLFILL=b")</f>
        <v>1407</v>
      </c>
    </row>
    <row r="348" spans="1:14" x14ac:dyDescent="0.2">
      <c r="A348" s="8" t="s">
        <v>91</v>
      </c>
      <c r="B348" s="4" t="s">
        <v>337</v>
      </c>
      <c r="C348" s="4" t="s">
        <v>338</v>
      </c>
      <c r="D348" s="4"/>
      <c r="E348" s="9">
        <f>_xll.BQL("UAL US Equity", "FA_GROWTH(BS_CURR_PORTION_LT_DEBT, YOY)", "FPT=A", "FPO=5A", "ACT_EST_MAPPING=PRECISE", "FS=MRC", "CURRENCY=USD", "XLFILL=b")</f>
        <v>0</v>
      </c>
      <c r="F348" s="9">
        <f>_xll.BQL("UAL US Equity", "FA_GROWTH(BS_CURR_PORTION_LT_DEBT, YOY)", "FPT=A", "FPO=4A", "ACT_EST_MAPPING=PRECISE", "FS=MRC", "CURRENCY=USD", "XLFILL=b")</f>
        <v>13.697164258962012</v>
      </c>
      <c r="G348" s="9">
        <f>_xll.BQL("UAL US Equity", "FA_GROWTH(BS_CURR_PORTION_LT_DEBT, YOY)", "FPT=A", "FPO=3A", "ACT_EST_MAPPING=PRECISE", "FS=MRC", "CURRENCY=USD", "XLFILL=b")</f>
        <v>-2.1807397069085832</v>
      </c>
      <c r="H348" s="9">
        <f>_xll.BQL("UAL US Equity", "FA_GROWTH(BS_CURR_PORTION_LT_DEBT, YOY)", "FPT=A", "FPO=2A", "ACT_EST_MAPPING=PRECISE", "FS=MRC", "CURRENCY=USD", "XLFILL=b")</f>
        <v>1.106848348546986</v>
      </c>
      <c r="I348" s="9">
        <f>_xll.BQL("UAL US Equity", "FA_GROWTH(BS_CURR_PORTION_LT_DEBT, YOY)", "FPT=A", "FPO=1A", "ACT_EST_MAPPING=PRECISE", "FS=MRC", "CURRENCY=USD", "XLFILL=b")</f>
        <v>12.877053260328521</v>
      </c>
      <c r="J348" s="9">
        <f>_xll.BQL("UAL US Equity", "FA_GROWTH(BS_CURR_PORTION_LT_DEBT, YOY)", "FPT=A", "FPO=0A", "ACT_EST_MAPPING=PRECISE", "FS=MRC", "CURRENCY=USD", "XLFILL=b")</f>
        <v>38.028169014084504</v>
      </c>
      <c r="K348" s="9">
        <f>_xll.BQL("UAL US Equity", "FA_GROWTH(BS_CURR_PORTION_LT_DEBT, YOY)", "FPT=A", "FPO=-1A", "ACT_EST_MAPPING=PRECISE", "FS=MRC", "CURRENCY=USD", "XLFILL=b")</f>
        <v>-3.0313124583610924</v>
      </c>
      <c r="L348" s="9">
        <f>_xll.BQL("UAL US Equity", "FA_GROWTH(BS_CURR_PORTION_LT_DEBT, YOY)", "FPT=A", "FPO=-2A", "ACT_EST_MAPPING=PRECISE", "FS=MRC", "CURRENCY=USD", "XLFILL=b")</f>
        <v>57.090528519099948</v>
      </c>
      <c r="M348" s="9">
        <f>_xll.BQL("UAL US Equity", "FA_GROWTH(BS_CURR_PORTION_LT_DEBT, YOY)", "FPT=A", "FPO=-3A", "ACT_EST_MAPPING=PRECISE", "FS=MRC", "CURRENCY=USD", "XLFILL=b")</f>
        <v>35.820895522388057</v>
      </c>
      <c r="N348" s="9">
        <f>_xll.BQL("UAL US Equity", "FA_GROWTH(BS_CURR_PORTION_LT_DEBT, YOY)", "FPT=A", "FPO=-4A", "ACT_EST_MAPPING=PRECISE", "FS=MRC", "CURRENCY=USD", "XLFILL=b")</f>
        <v>14.390243902439025</v>
      </c>
    </row>
    <row r="349" spans="1:14" x14ac:dyDescent="0.2">
      <c r="A349" s="8" t="s">
        <v>339</v>
      </c>
      <c r="B349" s="4" t="s">
        <v>340</v>
      </c>
      <c r="C349" s="4" t="s">
        <v>341</v>
      </c>
      <c r="D349" s="4"/>
      <c r="E349" s="9">
        <f>_xll.BQL("UAL US Equity", "BS_ST_OPERATING_LEASE_LIABS/1M", "FPT=A", "FPO=5A", "ACT_EST_MAPPING=PRECISE", "FS=MRC", "CURRENCY=USD", "XLFILL=b")</f>
        <v>636.23841387856271</v>
      </c>
      <c r="F349" s="9">
        <f>_xll.BQL("UAL US Equity", "BS_ST_OPERATING_LEASE_LIABS/1M", "FPT=A", "FPO=4A", "ACT_EST_MAPPING=PRECISE", "FS=MRC", "CURRENCY=USD", "XLFILL=b")</f>
        <v>631.26592317224288</v>
      </c>
      <c r="G349" s="9">
        <f>_xll.BQL("UAL US Equity", "BS_ST_OPERATING_LEASE_LIABS/1M", "FPT=A", "FPO=3A", "ACT_EST_MAPPING=PRECISE", "FS=MRC", "CURRENCY=USD", "XLFILL=b")</f>
        <v>601.80280025792615</v>
      </c>
      <c r="H349" s="9">
        <f>_xll.BQL("UAL US Equity", "BS_ST_OPERATING_LEASE_LIABS/1M", "FPT=A", "FPO=2A", "ACT_EST_MAPPING=PRECISE", "FS=MRC", "CURRENCY=USD", "XLFILL=b")</f>
        <v>527.61327161681606</v>
      </c>
      <c r="I349" s="9">
        <f>_xll.BQL("UAL US Equity", "BS_ST_OPERATING_LEASE_LIABS/1M", "FPT=A", "FPO=1A", "ACT_EST_MAPPING=PRECISE", "FS=MRC", "CURRENCY=USD", "XLFILL=b")</f>
        <v>570.14126370108931</v>
      </c>
      <c r="J349" s="9">
        <f>_xll.BQL("UAL US Equity", "BS_ST_OPERATING_LEASE_LIABS/1M", "FPT=A", "FPO=0A", "ACT_EST_MAPPING=PRECISE", "FS=MRC", "CURRENCY=USD", "XLFILL=b")</f>
        <v>576</v>
      </c>
      <c r="K349" s="9">
        <f>_xll.BQL("UAL US Equity", "BS_ST_OPERATING_LEASE_LIABS/1M", "FPT=A", "FPO=-1A", "ACT_EST_MAPPING=PRECISE", "FS=MRC", "CURRENCY=USD", "XLFILL=b")</f>
        <v>561</v>
      </c>
      <c r="L349" s="9">
        <f>_xll.BQL("UAL US Equity", "BS_ST_OPERATING_LEASE_LIABS/1M", "FPT=A", "FPO=-2A", "ACT_EST_MAPPING=PRECISE", "FS=MRC", "CURRENCY=USD", "XLFILL=b")</f>
        <v>556</v>
      </c>
      <c r="M349" s="9">
        <f>_xll.BQL("UAL US Equity", "BS_ST_OPERATING_LEASE_LIABS/1M", "FPT=A", "FPO=-3A", "ACT_EST_MAPPING=PRECISE", "FS=MRC", "CURRENCY=USD", "XLFILL=b")</f>
        <v>612</v>
      </c>
      <c r="N349" s="9">
        <f>_xll.BQL("UAL US Equity", "BS_ST_OPERATING_LEASE_LIABS/1M", "FPT=A", "FPO=-4A", "ACT_EST_MAPPING=PRECISE", "FS=MRC", "CURRENCY=USD", "XLFILL=b")</f>
        <v>686</v>
      </c>
    </row>
    <row r="350" spans="1:14" x14ac:dyDescent="0.2">
      <c r="A350" s="8" t="s">
        <v>91</v>
      </c>
      <c r="B350" s="4" t="s">
        <v>340</v>
      </c>
      <c r="C350" s="4" t="s">
        <v>341</v>
      </c>
      <c r="D350" s="4"/>
      <c r="E350" s="9">
        <f>_xll.BQL("UAL US Equity", "FA_GROWTH(BS_ST_OPERATING_LEASE_LIABS, YOY)", "FPT=A", "FPO=5A", "ACT_EST_MAPPING=PRECISE", "FS=MRC", "CURRENCY=USD", "XLFILL=b")</f>
        <v>0.78770143037850138</v>
      </c>
      <c r="F350" s="9">
        <f>_xll.BQL("UAL US Equity", "FA_GROWTH(BS_ST_OPERATING_LEASE_LIABS, YOY)", "FPT=A", "FPO=4A", "ACT_EST_MAPPING=PRECISE", "FS=MRC", "CURRENCY=USD", "XLFILL=b")</f>
        <v>4.895810205882924</v>
      </c>
      <c r="G350" s="9">
        <f>_xll.BQL("UAL US Equity", "FA_GROWTH(BS_ST_OPERATING_LEASE_LIABS, YOY)", "FPT=A", "FPO=3A", "ACT_EST_MAPPING=PRECISE", "FS=MRC", "CURRENCY=USD", "XLFILL=b")</f>
        <v>14.061346185201892</v>
      </c>
      <c r="H350" s="9">
        <f>_xll.BQL("UAL US Equity", "FA_GROWTH(BS_ST_OPERATING_LEASE_LIABS, YOY)", "FPT=A", "FPO=2A", "ACT_EST_MAPPING=PRECISE", "FS=MRC", "CURRENCY=USD", "XLFILL=b")</f>
        <v>-7.4592026208033904</v>
      </c>
      <c r="I350" s="9">
        <f>_xll.BQL("UAL US Equity", "FA_GROWTH(BS_ST_OPERATING_LEASE_LIABS, YOY)", "FPT=A", "FPO=1A", "ACT_EST_MAPPING=PRECISE", "FS=MRC", "CURRENCY=USD", "XLFILL=b")</f>
        <v>-1.0171417185608917</v>
      </c>
      <c r="J350" s="9">
        <f>_xll.BQL("UAL US Equity", "FA_GROWTH(BS_ST_OPERATING_LEASE_LIABS, YOY)", "FPT=A", "FPO=0A", "ACT_EST_MAPPING=PRECISE", "FS=MRC", "CURRENCY=USD", "XLFILL=b")</f>
        <v>2.6737967914438503</v>
      </c>
      <c r="K350" s="9">
        <f>_xll.BQL("UAL US Equity", "FA_GROWTH(BS_ST_OPERATING_LEASE_LIABS, YOY)", "FPT=A", "FPO=-1A", "ACT_EST_MAPPING=PRECISE", "FS=MRC", "CURRENCY=USD", "XLFILL=b")</f>
        <v>0.89928057553956831</v>
      </c>
      <c r="L350" s="9">
        <f>_xll.BQL("UAL US Equity", "FA_GROWTH(BS_ST_OPERATING_LEASE_LIABS, YOY)", "FPT=A", "FPO=-2A", "ACT_EST_MAPPING=PRECISE", "FS=MRC", "CURRENCY=USD", "XLFILL=b")</f>
        <v>-9.1503267973856204</v>
      </c>
      <c r="M350" s="9">
        <f>_xll.BQL("UAL US Equity", "FA_GROWTH(BS_ST_OPERATING_LEASE_LIABS, YOY)", "FPT=A", "FPO=-3A", "ACT_EST_MAPPING=PRECISE", "FS=MRC", "CURRENCY=USD", "XLFILL=b")</f>
        <v>-10.787172011661808</v>
      </c>
      <c r="N350" s="9">
        <f>_xll.BQL("UAL US Equity", "FA_GROWTH(BS_ST_OPERATING_LEASE_LIABS, YOY)", "FPT=A", "FPO=-4A", "ACT_EST_MAPPING=PRECISE", "FS=MRC", "CURRENCY=USD", "XLFILL=b")</f>
        <v>-4.5897079276773294</v>
      </c>
    </row>
    <row r="351" spans="1:14" x14ac:dyDescent="0.2">
      <c r="A351" s="8" t="s">
        <v>342</v>
      </c>
      <c r="B351" s="4" t="s">
        <v>343</v>
      </c>
      <c r="C351" s="4" t="s">
        <v>344</v>
      </c>
      <c r="D351" s="4"/>
      <c r="E351" s="9" t="str">
        <f>_xll.BQL("UAL US Equity", "ST_CAPITAL_LEASE_OBLIGATIONS/1M", "FPT=A", "FPO=5A", "ACT_EST_MAPPING=PRECISE", "FS=MRC", "CURRENCY=USD", "XLFILL=b")</f>
        <v/>
      </c>
      <c r="F351" s="9" t="str">
        <f>_xll.BQL("UAL US Equity", "ST_CAPITAL_LEASE_OBLIGATIONS/1M", "FPT=A", "FPO=4A", "ACT_EST_MAPPING=PRECISE", "FS=MRC", "CURRENCY=USD", "XLFILL=b")</f>
        <v/>
      </c>
      <c r="G351" s="9">
        <f>_xll.BQL("UAL US Equity", "ST_CAPITAL_LEASE_OBLIGATIONS/1M", "FPT=A", "FPO=3A", "ACT_EST_MAPPING=PRECISE", "FS=MRC", "CURRENCY=USD", "XLFILL=b")</f>
        <v>171.11366602978916</v>
      </c>
      <c r="H351" s="9">
        <f>_xll.BQL("UAL US Equity", "ST_CAPITAL_LEASE_OBLIGATIONS/1M", "FPT=A", "FPO=2A", "ACT_EST_MAPPING=PRECISE", "FS=MRC", "CURRENCY=USD", "XLFILL=b")</f>
        <v>150.41322439250808</v>
      </c>
      <c r="I351" s="9">
        <f>_xll.BQL("UAL US Equity", "ST_CAPITAL_LEASE_OBLIGATIONS/1M", "FPT=A", "FPO=1A", "ACT_EST_MAPPING=PRECISE", "FS=MRC", "CURRENCY=USD", "XLFILL=b")</f>
        <v>137.95116058108979</v>
      </c>
      <c r="J351" s="9">
        <f>_xll.BQL("UAL US Equity", "ST_CAPITAL_LEASE_OBLIGATIONS/1M", "FPT=A", "FPO=0A", "ACT_EST_MAPPING=PRECISE", "FS=MRC", "CURRENCY=USD", "XLFILL=b")</f>
        <v>172</v>
      </c>
      <c r="K351" s="9">
        <f>_xll.BQL("UAL US Equity", "ST_CAPITAL_LEASE_OBLIGATIONS/1M", "FPT=A", "FPO=-1A", "ACT_EST_MAPPING=PRECISE", "FS=MRC", "CURRENCY=USD", "XLFILL=b")</f>
        <v>104</v>
      </c>
      <c r="L351" s="9">
        <f>_xll.BQL("UAL US Equity", "ST_CAPITAL_LEASE_OBLIGATIONS/1M", "FPT=A", "FPO=-2A", "ACT_EST_MAPPING=PRECISE", "FS=MRC", "CURRENCY=USD", "XLFILL=b")</f>
        <v>76</v>
      </c>
      <c r="M351" s="9">
        <f>_xll.BQL("UAL US Equity", "ST_CAPITAL_LEASE_OBLIGATIONS/1M", "FPT=A", "FPO=-3A", "ACT_EST_MAPPING=PRECISE", "FS=MRC", "CURRENCY=USD", "XLFILL=b")</f>
        <v>182</v>
      </c>
      <c r="N351" s="9">
        <f>_xll.BQL("UAL US Equity", "ST_CAPITAL_LEASE_OBLIGATIONS/1M", "FPT=A", "FPO=-4A", "ACT_EST_MAPPING=PRECISE", "FS=MRC", "CURRENCY=USD", "XLFILL=b")</f>
        <v>46</v>
      </c>
    </row>
    <row r="352" spans="1:14" x14ac:dyDescent="0.2">
      <c r="A352" s="8" t="s">
        <v>91</v>
      </c>
      <c r="B352" s="4" t="s">
        <v>343</v>
      </c>
      <c r="C352" s="4" t="s">
        <v>344</v>
      </c>
      <c r="D352" s="4"/>
      <c r="E352" s="9" t="str">
        <f>_xll.BQL("UAL US Equity", "FA_GROWTH(ST_CAPITAL_LEASE_OBLIGATIONS, YOY)", "FPT=A", "FPO=5A", "ACT_EST_MAPPING=PRECISE", "FS=MRC", "CURRENCY=USD", "XLFILL=b")</f>
        <v/>
      </c>
      <c r="F352" s="9" t="str">
        <f>_xll.BQL("UAL US Equity", "FA_GROWTH(ST_CAPITAL_LEASE_OBLIGATIONS, YOY)", "FPT=A", "FPO=4A", "ACT_EST_MAPPING=PRECISE", "FS=MRC", "CURRENCY=USD", "XLFILL=b")</f>
        <v/>
      </c>
      <c r="G352" s="9">
        <f>_xll.BQL("UAL US Equity", "FA_GROWTH(ST_CAPITAL_LEASE_OBLIGATIONS, YOY)", "FPT=A", "FPO=3A", "ACT_EST_MAPPING=PRECISE", "FS=MRC", "CURRENCY=USD", "XLFILL=b")</f>
        <v>13.762381413526912</v>
      </c>
      <c r="H352" s="9">
        <f>_xll.BQL("UAL US Equity", "FA_GROWTH(ST_CAPITAL_LEASE_OBLIGATIONS, YOY)", "FPT=A", "FPO=2A", "ACT_EST_MAPPING=PRECISE", "FS=MRC", "CURRENCY=USD", "XLFILL=b")</f>
        <v>9.0336781212456003</v>
      </c>
      <c r="I352" s="9">
        <f>_xll.BQL("UAL US Equity", "FA_GROWTH(ST_CAPITAL_LEASE_OBLIGATIONS, YOY)", "FPT=A", "FPO=1A", "ACT_EST_MAPPING=PRECISE", "FS=MRC", "CURRENCY=USD", "XLFILL=b")</f>
        <v>-19.795836871459422</v>
      </c>
      <c r="J352" s="9">
        <f>_xll.BQL("UAL US Equity", "FA_GROWTH(ST_CAPITAL_LEASE_OBLIGATIONS, YOY)", "FPT=A", "FPO=0A", "ACT_EST_MAPPING=PRECISE", "FS=MRC", "CURRENCY=USD", "XLFILL=b")</f>
        <v>65.384615384615387</v>
      </c>
      <c r="K352" s="9">
        <f>_xll.BQL("UAL US Equity", "FA_GROWTH(ST_CAPITAL_LEASE_OBLIGATIONS, YOY)", "FPT=A", "FPO=-1A", "ACT_EST_MAPPING=PRECISE", "FS=MRC", "CURRENCY=USD", "XLFILL=b")</f>
        <v>36.842105263157897</v>
      </c>
      <c r="L352" s="9">
        <f>_xll.BQL("UAL US Equity", "FA_GROWTH(ST_CAPITAL_LEASE_OBLIGATIONS, YOY)", "FPT=A", "FPO=-2A", "ACT_EST_MAPPING=PRECISE", "FS=MRC", "CURRENCY=USD", "XLFILL=b")</f>
        <v>-58.241758241758241</v>
      </c>
      <c r="M352" s="9">
        <f>_xll.BQL("UAL US Equity", "FA_GROWTH(ST_CAPITAL_LEASE_OBLIGATIONS, YOY)", "FPT=A", "FPO=-3A", "ACT_EST_MAPPING=PRECISE", "FS=MRC", "CURRENCY=USD", "XLFILL=b")</f>
        <v>295.6521739130435</v>
      </c>
      <c r="N352" s="9">
        <f>_xll.BQL("UAL US Equity", "FA_GROWTH(ST_CAPITAL_LEASE_OBLIGATIONS, YOY)", "FPT=A", "FPO=-4A", "ACT_EST_MAPPING=PRECISE", "FS=MRC", "CURRENCY=USD", "XLFILL=b")</f>
        <v>-62.601626016260163</v>
      </c>
    </row>
    <row r="353" spans="1:14" x14ac:dyDescent="0.2">
      <c r="A353" s="8" t="s">
        <v>345</v>
      </c>
      <c r="B353" s="4" t="s">
        <v>346</v>
      </c>
      <c r="C353" s="4" t="s">
        <v>347</v>
      </c>
      <c r="D353" s="4"/>
      <c r="E353" s="9" t="str">
        <f>_xll.BQL("UAL US Equity", "CB_BS_ST_DEFER_REVENUE/1M", "FPT=A", "FPO=5A", "ACT_EST_MAPPING=PRECISE", "FS=MRC", "CURRENCY=USD", "XLFILL=b")</f>
        <v/>
      </c>
      <c r="F353" s="9" t="str">
        <f>_xll.BQL("UAL US Equity", "CB_BS_ST_DEFER_REVENUE/1M", "FPT=A", "FPO=4A", "ACT_EST_MAPPING=PRECISE", "FS=MRC", "CURRENCY=USD", "XLFILL=b")</f>
        <v/>
      </c>
      <c r="G353" s="9">
        <f>_xll.BQL("UAL US Equity", "CB_BS_ST_DEFER_REVENUE/1M", "FPT=A", "FPO=3A", "ACT_EST_MAPPING=PRECISE", "FS=MRC", "CURRENCY=USD", "XLFILL=b")</f>
        <v>3657.075636904442</v>
      </c>
      <c r="H353" s="9">
        <f>_xll.BQL("UAL US Equity", "CB_BS_ST_DEFER_REVENUE/1M", "FPT=A", "FPO=2A", "ACT_EST_MAPPING=PRECISE", "FS=MRC", "CURRENCY=USD", "XLFILL=b")</f>
        <v>3437.2629953664987</v>
      </c>
      <c r="I353" s="9">
        <f>_xll.BQL("UAL US Equity", "CB_BS_ST_DEFER_REVENUE/1M", "FPT=A", "FPO=1A", "ACT_EST_MAPPING=PRECISE", "FS=MRC", "CURRENCY=USD", "XLFILL=b")</f>
        <v>3282.305538225452</v>
      </c>
      <c r="J353" s="9">
        <f>_xll.BQL("UAL US Equity", "CB_BS_ST_DEFER_REVENUE/1M", "FPT=A", "FPO=0A", "ACT_EST_MAPPING=PRECISE", "FS=MRC", "CURRENCY=USD", "XLFILL=b")</f>
        <v>3095</v>
      </c>
      <c r="K353" s="9">
        <f>_xll.BQL("UAL US Equity", "CB_BS_ST_DEFER_REVENUE/1M", "FPT=A", "FPO=-1A", "ACT_EST_MAPPING=PRECISE", "FS=MRC", "CURRENCY=USD", "XLFILL=b")</f>
        <v>2693</v>
      </c>
      <c r="L353" s="9">
        <f>_xll.BQL("UAL US Equity", "CB_BS_ST_DEFER_REVENUE/1M", "FPT=A", "FPO=-2A", "ACT_EST_MAPPING=PRECISE", "FS=MRC", "CURRENCY=USD", "XLFILL=b")</f>
        <v>2239</v>
      </c>
      <c r="M353" s="9">
        <f>_xll.BQL("UAL US Equity", "CB_BS_ST_DEFER_REVENUE/1M", "FPT=A", "FPO=-3A", "ACT_EST_MAPPING=PRECISE", "FS=MRC", "CURRENCY=USD", "XLFILL=b")</f>
        <v>908</v>
      </c>
      <c r="N353" s="9">
        <f>_xll.BQL("UAL US Equity", "CB_BS_ST_DEFER_REVENUE/1M", "FPT=A", "FPO=-4A", "ACT_EST_MAPPING=PRECISE", "FS=MRC", "CURRENCY=USD", "XLFILL=b")</f>
        <v>2440</v>
      </c>
    </row>
    <row r="354" spans="1:14" x14ac:dyDescent="0.2">
      <c r="A354" s="8" t="s">
        <v>86</v>
      </c>
      <c r="B354" s="4" t="s">
        <v>346</v>
      </c>
      <c r="C354" s="4" t="s">
        <v>347</v>
      </c>
      <c r="D354" s="4"/>
      <c r="E354" s="9" t="str">
        <f>_xll.BQL("UAL US Equity", "FA_GROWTH(CB_BS_ST_DEFER_REVENUE, YOY)", "FPT=A", "FPO=5A", "ACT_EST_MAPPING=PRECISE", "FS=MRC", "CURRENCY=USD", "XLFILL=b")</f>
        <v/>
      </c>
      <c r="F354" s="9" t="str">
        <f>_xll.BQL("UAL US Equity", "FA_GROWTH(CB_BS_ST_DEFER_REVENUE, YOY)", "FPT=A", "FPO=4A", "ACT_EST_MAPPING=PRECISE", "FS=MRC", "CURRENCY=USD", "XLFILL=b")</f>
        <v/>
      </c>
      <c r="G354" s="9">
        <f>_xll.BQL("UAL US Equity", "FA_GROWTH(CB_BS_ST_DEFER_REVENUE, YOY)", "FPT=A", "FPO=3A", "ACT_EST_MAPPING=PRECISE", "FS=MRC", "CURRENCY=USD", "XLFILL=b")</f>
        <v>6.3949904861587639</v>
      </c>
      <c r="H354" s="9">
        <f>_xll.BQL("UAL US Equity", "FA_GROWTH(CB_BS_ST_DEFER_REVENUE, YOY)", "FPT=A", "FPO=2A", "ACT_EST_MAPPING=PRECISE", "FS=MRC", "CURRENCY=USD", "XLFILL=b")</f>
        <v>4.7209942930792126</v>
      </c>
      <c r="I354" s="9">
        <f>_xll.BQL("UAL US Equity", "FA_GROWTH(CB_BS_ST_DEFER_REVENUE, YOY)", "FPT=A", "FPO=1A", "ACT_EST_MAPPING=PRECISE", "FS=MRC", "CURRENCY=USD", "XLFILL=b")</f>
        <v>6.051875225378093</v>
      </c>
      <c r="J354" s="9">
        <f>_xll.BQL("UAL US Equity", "FA_GROWTH(CB_BS_ST_DEFER_REVENUE, YOY)", "FPT=A", "FPO=0A", "ACT_EST_MAPPING=PRECISE", "FS=MRC", "CURRENCY=USD", "XLFILL=b")</f>
        <v>14.9275900482733</v>
      </c>
      <c r="K354" s="9">
        <f>_xll.BQL("UAL US Equity", "FA_GROWTH(CB_BS_ST_DEFER_REVENUE, YOY)", "FPT=A", "FPO=-1A", "ACT_EST_MAPPING=PRECISE", "FS=MRC", "CURRENCY=USD", "XLFILL=b")</f>
        <v>20.276909334524341</v>
      </c>
      <c r="L354" s="9">
        <f>_xll.BQL("UAL US Equity", "FA_GROWTH(CB_BS_ST_DEFER_REVENUE, YOY)", "FPT=A", "FPO=-2A", "ACT_EST_MAPPING=PRECISE", "FS=MRC", "CURRENCY=USD", "XLFILL=b")</f>
        <v>146.58590308370043</v>
      </c>
      <c r="M354" s="9">
        <f>_xll.BQL("UAL US Equity", "FA_GROWTH(CB_BS_ST_DEFER_REVENUE, YOY)", "FPT=A", "FPO=-3A", "ACT_EST_MAPPING=PRECISE", "FS=MRC", "CURRENCY=USD", "XLFILL=b")</f>
        <v>-62.786885245901637</v>
      </c>
      <c r="N354" s="9">
        <f>_xll.BQL("UAL US Equity", "FA_GROWTH(CB_BS_ST_DEFER_REVENUE, YOY)", "FPT=A", "FPO=-4A", "ACT_EST_MAPPING=PRECISE", "FS=MRC", "CURRENCY=USD", "XLFILL=b")</f>
        <v>6.7366579177602803</v>
      </c>
    </row>
    <row r="355" spans="1:14" x14ac:dyDescent="0.2">
      <c r="A355" s="8" t="s">
        <v>348</v>
      </c>
      <c r="B355" s="4" t="s">
        <v>349</v>
      </c>
      <c r="C355" s="4" t="s">
        <v>350</v>
      </c>
      <c r="D355" s="4"/>
      <c r="E355" s="9" t="str">
        <f>_xll.BQL("UAL US Equity", "BS_ST_AIR_TRAFFC_LIBLTS/1M", "FPT=A", "FPO=5A", "ACT_EST_MAPPING=PRECISE", "FS=MRC", "CURRENCY=USD", "XLFILL=b")</f>
        <v/>
      </c>
      <c r="F355" s="9" t="str">
        <f>_xll.BQL("UAL US Equity", "BS_ST_AIR_TRAFFC_LIBLTS/1M", "FPT=A", "FPO=4A", "ACT_EST_MAPPING=PRECISE", "FS=MRC", "CURRENCY=USD", "XLFILL=b")</f>
        <v/>
      </c>
      <c r="G355" s="9">
        <f>_xll.BQL("UAL US Equity", "BS_ST_AIR_TRAFFC_LIBLTS/1M", "FPT=A", "FPO=3A", "ACT_EST_MAPPING=PRECISE", "FS=MRC", "CURRENCY=USD", "XLFILL=b")</f>
        <v>8479.8578032225432</v>
      </c>
      <c r="H355" s="9">
        <f>_xll.BQL("UAL US Equity", "BS_ST_AIR_TRAFFC_LIBLTS/1M", "FPT=A", "FPO=2A", "ACT_EST_MAPPING=PRECISE", "FS=MRC", "CURRENCY=USD", "XLFILL=b")</f>
        <v>7874.8486540856084</v>
      </c>
      <c r="I355" s="9">
        <f>_xll.BQL("UAL US Equity", "BS_ST_AIR_TRAFFC_LIBLTS/1M", "FPT=A", "FPO=1A", "ACT_EST_MAPPING=PRECISE", "FS=MRC", "CURRENCY=USD", "XLFILL=b")</f>
        <v>7245.6374837315452</v>
      </c>
      <c r="J355" s="9">
        <f>_xll.BQL("UAL US Equity", "BS_ST_AIR_TRAFFC_LIBLTS/1M", "FPT=A", "FPO=0A", "ACT_EST_MAPPING=PRECISE", "FS=MRC", "CURRENCY=USD", "XLFILL=b")</f>
        <v>6704</v>
      </c>
      <c r="K355" s="9">
        <f>_xll.BQL("UAL US Equity", "BS_ST_AIR_TRAFFC_LIBLTS/1M", "FPT=A", "FPO=-1A", "ACT_EST_MAPPING=PRECISE", "FS=MRC", "CURRENCY=USD", "XLFILL=b")</f>
        <v>7555</v>
      </c>
      <c r="L355" s="9">
        <f>_xll.BQL("UAL US Equity", "BS_ST_AIR_TRAFFC_LIBLTS/1M", "FPT=A", "FPO=-2A", "ACT_EST_MAPPING=PRECISE", "FS=MRC", "CURRENCY=USD", "XLFILL=b")</f>
        <v>6354</v>
      </c>
      <c r="M355" s="9">
        <f>_xll.BQL("UAL US Equity", "BS_ST_AIR_TRAFFC_LIBLTS/1M", "FPT=A", "FPO=-3A", "ACT_EST_MAPPING=PRECISE", "FS=MRC", "CURRENCY=USD", "XLFILL=b")</f>
        <v>4833</v>
      </c>
      <c r="N355" s="9">
        <f>_xll.BQL("UAL US Equity", "BS_ST_AIR_TRAFFC_LIBLTS/1M", "FPT=A", "FPO=-4A", "ACT_EST_MAPPING=PRECISE", "FS=MRC", "CURRENCY=USD", "XLFILL=b")</f>
        <v>4819</v>
      </c>
    </row>
    <row r="356" spans="1:14" x14ac:dyDescent="0.2">
      <c r="A356" s="8" t="s">
        <v>86</v>
      </c>
      <c r="B356" s="4" t="s">
        <v>349</v>
      </c>
      <c r="C356" s="4" t="s">
        <v>350</v>
      </c>
      <c r="D356" s="4"/>
      <c r="E356" s="9" t="str">
        <f>_xll.BQL("UAL US Equity", "FA_GROWTH(BS_ST_AIR_TRAFFC_LIBLTS, YOY)", "FPT=A", "FPO=5A", "ACT_EST_MAPPING=PRECISE", "FS=MRC", "CURRENCY=USD", "XLFILL=b")</f>
        <v/>
      </c>
      <c r="F356" s="9" t="str">
        <f>_xll.BQL("UAL US Equity", "FA_GROWTH(BS_ST_AIR_TRAFFC_LIBLTS, YOY)", "FPT=A", "FPO=4A", "ACT_EST_MAPPING=PRECISE", "FS=MRC", "CURRENCY=USD", "XLFILL=b")</f>
        <v/>
      </c>
      <c r="G356" s="9">
        <f>_xll.BQL("UAL US Equity", "FA_GROWTH(BS_ST_AIR_TRAFFC_LIBLTS, YOY)", "FPT=A", "FPO=3A", "ACT_EST_MAPPING=PRECISE", "FS=MRC", "CURRENCY=USD", "XLFILL=b")</f>
        <v>7.6828035142370137</v>
      </c>
      <c r="H356" s="9">
        <f>_xll.BQL("UAL US Equity", "FA_GROWTH(BS_ST_AIR_TRAFFC_LIBLTS, YOY)", "FPT=A", "FPO=2A", "ACT_EST_MAPPING=PRECISE", "FS=MRC", "CURRENCY=USD", "XLFILL=b")</f>
        <v>8.6840001554979214</v>
      </c>
      <c r="I356" s="9">
        <f>_xll.BQL("UAL US Equity", "FA_GROWTH(BS_ST_AIR_TRAFFC_LIBLTS, YOY)", "FPT=A", "FPO=1A", "ACT_EST_MAPPING=PRECISE", "FS=MRC", "CURRENCY=USD", "XLFILL=b")</f>
        <v>8.0793180747545552</v>
      </c>
      <c r="J356" s="9">
        <f>_xll.BQL("UAL US Equity", "FA_GROWTH(BS_ST_AIR_TRAFFC_LIBLTS, YOY)", "FPT=A", "FPO=0A", "ACT_EST_MAPPING=PRECISE", "FS=MRC", "CURRENCY=USD", "XLFILL=b")</f>
        <v>-11.264063534083389</v>
      </c>
      <c r="K356" s="9">
        <f>_xll.BQL("UAL US Equity", "FA_GROWTH(BS_ST_AIR_TRAFFC_LIBLTS, YOY)", "FPT=A", "FPO=-1A", "ACT_EST_MAPPING=PRECISE", "FS=MRC", "CURRENCY=USD", "XLFILL=b")</f>
        <v>18.901479383065784</v>
      </c>
      <c r="L356" s="9">
        <f>_xll.BQL("UAL US Equity", "FA_GROWTH(BS_ST_AIR_TRAFFC_LIBLTS, YOY)", "FPT=A", "FPO=-2A", "ACT_EST_MAPPING=PRECISE", "FS=MRC", "CURRENCY=USD", "XLFILL=b")</f>
        <v>31.471135940409685</v>
      </c>
      <c r="M356" s="9">
        <f>_xll.BQL("UAL US Equity", "FA_GROWTH(BS_ST_AIR_TRAFFC_LIBLTS, YOY)", "FPT=A", "FPO=-3A", "ACT_EST_MAPPING=PRECISE", "FS=MRC", "CURRENCY=USD", "XLFILL=b")</f>
        <v>0.29051670471052088</v>
      </c>
      <c r="N356" s="9">
        <f>_xll.BQL("UAL US Equity", "FA_GROWTH(BS_ST_AIR_TRAFFC_LIBLTS, YOY)", "FPT=A", "FPO=-4A", "ACT_EST_MAPPING=PRECISE", "FS=MRC", "CURRENCY=USD", "XLFILL=b")</f>
        <v>9.9977174161150426</v>
      </c>
    </row>
    <row r="357" spans="1:14" x14ac:dyDescent="0.2">
      <c r="A357" s="8" t="s">
        <v>351</v>
      </c>
      <c r="B357" s="4" t="s">
        <v>352</v>
      </c>
      <c r="C357" s="4" t="s">
        <v>353</v>
      </c>
      <c r="D357" s="4"/>
      <c r="E357" s="9">
        <f>_xll.BQL("UAL US Equity", "BS_OTHER_CUR_LIAB/1M", "FPT=A", "FPO=5A", "ACT_EST_MAPPING=PRECISE", "FS=MRC", "CURRENCY=USD", "XLFILL=b")</f>
        <v>910</v>
      </c>
      <c r="F357" s="9">
        <f>_xll.BQL("UAL US Equity", "BS_OTHER_CUR_LIAB/1M", "FPT=A", "FPO=4A", "ACT_EST_MAPPING=PRECISE", "FS=MRC", "CURRENCY=USD", "XLFILL=b")</f>
        <v>910</v>
      </c>
      <c r="G357" s="9">
        <f>_xll.BQL("UAL US Equity", "BS_OTHER_CUR_LIAB/1M", "FPT=A", "FPO=3A", "ACT_EST_MAPPING=PRECISE", "FS=MRC", "CURRENCY=USD", "XLFILL=b")</f>
        <v>886.61715519304425</v>
      </c>
      <c r="H357" s="9">
        <f>_xll.BQL("UAL US Equity", "BS_OTHER_CUR_LIAB/1M", "FPT=A", "FPO=2A", "ACT_EST_MAPPING=PRECISE", "FS=MRC", "CURRENCY=USD", "XLFILL=b")</f>
        <v>891.39895697712063</v>
      </c>
      <c r="I357" s="9">
        <f>_xll.BQL("UAL US Equity", "BS_OTHER_CUR_LIAB/1M", "FPT=A", "FPO=1A", "ACT_EST_MAPPING=PRECISE", "FS=MRC", "CURRENCY=USD", "XLFILL=b")</f>
        <v>858.88535962102833</v>
      </c>
      <c r="J357" s="9">
        <f>_xll.BQL("UAL US Equity", "BS_OTHER_CUR_LIAB/1M", "FPT=A", "FPO=0A", "ACT_EST_MAPPING=PRECISE", "FS=MRC", "CURRENCY=USD", "XLFILL=b")</f>
        <v>863</v>
      </c>
      <c r="K357" s="9">
        <f>_xll.BQL("UAL US Equity", "BS_OTHER_CUR_LIAB/1M", "FPT=A", "FPO=-1A", "ACT_EST_MAPPING=PRECISE", "FS=MRC", "CURRENCY=USD", "XLFILL=b")</f>
        <v>802</v>
      </c>
      <c r="L357" s="9">
        <f>_xll.BQL("UAL US Equity", "BS_OTHER_CUR_LIAB/1M", "FPT=A", "FPO=-2A", "ACT_EST_MAPPING=PRECISE", "FS=MRC", "CURRENCY=USD", "XLFILL=b")</f>
        <v>1394</v>
      </c>
      <c r="M357" s="9">
        <f>_xll.BQL("UAL US Equity", "BS_OTHER_CUR_LIAB/1M", "FPT=A", "FPO=-3A", "ACT_EST_MAPPING=PRECISE", "FS=MRC", "CURRENCY=USD", "XLFILL=b")</f>
        <v>724</v>
      </c>
      <c r="N357" s="9">
        <f>_xll.BQL("UAL US Equity", "BS_OTHER_CUR_LIAB/1M", "FPT=A", "FPO=-4A", "ACT_EST_MAPPING=PRECISE", "FS=MRC", "CURRENCY=USD", "XLFILL=b")</f>
        <v>566</v>
      </c>
    </row>
    <row r="358" spans="1:14" x14ac:dyDescent="0.2">
      <c r="A358" s="8" t="s">
        <v>86</v>
      </c>
      <c r="B358" s="4" t="s">
        <v>352</v>
      </c>
      <c r="C358" s="4" t="s">
        <v>353</v>
      </c>
      <c r="D358" s="4"/>
      <c r="E358" s="9">
        <f>_xll.BQL("UAL US Equity", "FA_GROWTH(BS_OTHER_CUR_LIAB, YOY)", "FPT=A", "FPO=5A", "ACT_EST_MAPPING=PRECISE", "FS=MRC", "CURRENCY=USD", "XLFILL=b")</f>
        <v>0</v>
      </c>
      <c r="F358" s="9">
        <f>_xll.BQL("UAL US Equity", "FA_GROWTH(BS_OTHER_CUR_LIAB, YOY)", "FPT=A", "FPO=4A", "ACT_EST_MAPPING=PRECISE", "FS=MRC", "CURRENCY=USD", "XLFILL=b")</f>
        <v>2.6373102155760249</v>
      </c>
      <c r="G358" s="9">
        <f>_xll.BQL("UAL US Equity", "FA_GROWTH(BS_OTHER_CUR_LIAB, YOY)", "FPT=A", "FPO=3A", "ACT_EST_MAPPING=PRECISE", "FS=MRC", "CURRENCY=USD", "XLFILL=b")</f>
        <v>-0.53643789311715184</v>
      </c>
      <c r="H358" s="9">
        <f>_xll.BQL("UAL US Equity", "FA_GROWTH(BS_OTHER_CUR_LIAB, YOY)", "FPT=A", "FPO=2A", "ACT_EST_MAPPING=PRECISE", "FS=MRC", "CURRENCY=USD", "XLFILL=b")</f>
        <v>3.785557291422283</v>
      </c>
      <c r="I358" s="9">
        <f>_xll.BQL("UAL US Equity", "FA_GROWTH(BS_OTHER_CUR_LIAB, YOY)", "FPT=A", "FPO=1A", "ACT_EST_MAPPING=PRECISE", "FS=MRC", "CURRENCY=USD", "XLFILL=b")</f>
        <v>-0.47678335793414783</v>
      </c>
      <c r="J358" s="9">
        <f>_xll.BQL("UAL US Equity", "FA_GROWTH(BS_OTHER_CUR_LIAB, YOY)", "FPT=A", "FPO=0A", "ACT_EST_MAPPING=PRECISE", "FS=MRC", "CURRENCY=USD", "XLFILL=b")</f>
        <v>7.6059850374064837</v>
      </c>
      <c r="K358" s="9">
        <f>_xll.BQL("UAL US Equity", "FA_GROWTH(BS_OTHER_CUR_LIAB, YOY)", "FPT=A", "FPO=-1A", "ACT_EST_MAPPING=PRECISE", "FS=MRC", "CURRENCY=USD", "XLFILL=b")</f>
        <v>-42.467718794835008</v>
      </c>
      <c r="L358" s="9">
        <f>_xll.BQL("UAL US Equity", "FA_GROWTH(BS_OTHER_CUR_LIAB, YOY)", "FPT=A", "FPO=-2A", "ACT_EST_MAPPING=PRECISE", "FS=MRC", "CURRENCY=USD", "XLFILL=b")</f>
        <v>92.541436464088392</v>
      </c>
      <c r="M358" s="9">
        <f>_xll.BQL("UAL US Equity", "FA_GROWTH(BS_OTHER_CUR_LIAB, YOY)", "FPT=A", "FPO=-3A", "ACT_EST_MAPPING=PRECISE", "FS=MRC", "CURRENCY=USD", "XLFILL=b")</f>
        <v>27.915194346289752</v>
      </c>
      <c r="N358" s="9">
        <f>_xll.BQL("UAL US Equity", "FA_GROWTH(BS_OTHER_CUR_LIAB, YOY)", "FPT=A", "FPO=-4A", "ACT_EST_MAPPING=PRECISE", "FS=MRC", "CURRENCY=USD", "XLFILL=b")</f>
        <v>2.3508137432188065</v>
      </c>
    </row>
    <row r="359" spans="1:14" x14ac:dyDescent="0.2">
      <c r="A359" s="8" t="s">
        <v>354</v>
      </c>
      <c r="B359" s="4" t="s">
        <v>355</v>
      </c>
      <c r="C359" s="4" t="s">
        <v>356</v>
      </c>
      <c r="D359" s="4"/>
      <c r="E359" s="9">
        <f>_xll.BQL("UAL US Equity", "BS_ADJ_TOTAL_LT_LIABILITIES/1M", "FPT=A", "FPO=5A", "ACT_EST_MAPPING=PRECISE", "FS=MRC", "CURRENCY=USD", "XLFILL=b")</f>
        <v>25987.748533663776</v>
      </c>
      <c r="F359" s="9">
        <f>_xll.BQL("UAL US Equity", "BS_ADJ_TOTAL_LT_LIABILITIES/1M", "FPT=A", "FPO=4A", "ACT_EST_MAPPING=PRECISE", "FS=MRC", "CURRENCY=USD", "XLFILL=b")</f>
        <v>28910.001569599339</v>
      </c>
      <c r="G359" s="9">
        <f>_xll.BQL("UAL US Equity", "BS_ADJ_TOTAL_LT_LIABILITIES/1M", "FPT=A", "FPO=3A", "ACT_EST_MAPPING=PRECISE", "FS=MRC", "CURRENCY=USD", "XLFILL=b")</f>
        <v>31617.861462205699</v>
      </c>
      <c r="H359" s="9">
        <f>_xll.BQL("UAL US Equity", "BS_ADJ_TOTAL_LT_LIABILITIES/1M", "FPT=A", "FPO=2A", "ACT_EST_MAPPING=PRECISE", "FS=MRC", "CURRENCY=USD", "XLFILL=b")</f>
        <v>42236.654151195056</v>
      </c>
      <c r="I359" s="9">
        <f>_xll.BQL("UAL US Equity", "BS_ADJ_TOTAL_LT_LIABILITIES/1M", "FPT=A", "FPO=1A", "ACT_EST_MAPPING=PRECISE", "FS=MRC", "CURRENCY=USD", "XLFILL=b")</f>
        <v>40855.01830805435</v>
      </c>
      <c r="J359" s="9">
        <f>_xll.BQL("UAL US Equity", "BS_ADJ_TOTAL_LT_LIABILITIES/1M", "FPT=A", "FPO=0A", "ACT_EST_MAPPING=PRECISE", "FS=MRC", "CURRENCY=USD", "XLFILL=b")</f>
        <v>39577</v>
      </c>
      <c r="K359" s="9">
        <f>_xll.BQL("UAL US Equity", "BS_ADJ_TOTAL_LT_LIABILITIES/1M", "FPT=A", "FPO=-1A", "ACT_EST_MAPPING=PRECISE", "FS=MRC", "CURRENCY=USD", "XLFILL=b")</f>
        <v>40470</v>
      </c>
      <c r="L359" s="9">
        <f>_xll.BQL("UAL US Equity", "BS_ADJ_TOTAL_LT_LIABILITIES/1M", "FPT=A", "FPO=-2A", "ACT_EST_MAPPING=PRECISE", "FS=MRC", "CURRENCY=USD", "XLFILL=b")</f>
        <v>44842</v>
      </c>
      <c r="M359" s="9">
        <f>_xll.BQL("UAL US Equity", "BS_ADJ_TOTAL_LT_LIABILITIES/1M", "FPT=A", "FPO=-3A", "ACT_EST_MAPPING=PRECISE", "FS=MRC", "CURRENCY=USD", "XLFILL=b")</f>
        <v>40863</v>
      </c>
      <c r="N359" s="9">
        <f>_xll.BQL("UAL US Equity", "BS_ADJ_TOTAL_LT_LIABILITIES/1M", "FPT=A", "FPO=-4A", "ACT_EST_MAPPING=PRECISE", "FS=MRC", "CURRENCY=USD", "XLFILL=b")</f>
        <v>26142</v>
      </c>
    </row>
    <row r="360" spans="1:14" x14ac:dyDescent="0.2">
      <c r="A360" s="8" t="s">
        <v>20</v>
      </c>
      <c r="B360" s="4" t="s">
        <v>355</v>
      </c>
      <c r="C360" s="4" t="s">
        <v>356</v>
      </c>
      <c r="D360" s="4"/>
      <c r="E360" s="9">
        <f>_xll.BQL("UAL US Equity", "FA_GROWTH(BS_ADJ_TOTAL_LT_LIABILITIES, YOY)", "FPT=A", "FPO=5A", "ACT_EST_MAPPING=PRECISE", "FS=MRC", "CURRENCY=USD", "XLFILL=b")</f>
        <v>-10.108104037629984</v>
      </c>
      <c r="F360" s="9">
        <f>_xll.BQL("UAL US Equity", "FA_GROWTH(BS_ADJ_TOTAL_LT_LIABILITIES, YOY)", "FPT=A", "FPO=4A", "ACT_EST_MAPPING=PRECISE", "FS=MRC", "CURRENCY=USD", "XLFILL=b")</f>
        <v>-8.5643360030633069</v>
      </c>
      <c r="G360" s="9">
        <f>_xll.BQL("UAL US Equity", "FA_GROWTH(BS_ADJ_TOTAL_LT_LIABILITIES, YOY)", "FPT=A", "FPO=3A", "ACT_EST_MAPPING=PRECISE", "FS=MRC", "CURRENCY=USD", "XLFILL=b")</f>
        <v>-25.141178680908613</v>
      </c>
      <c r="H360" s="9">
        <f>_xll.BQL("UAL US Equity", "FA_GROWTH(BS_ADJ_TOTAL_LT_LIABILITIES, YOY)", "FPT=A", "FPO=2A", "ACT_EST_MAPPING=PRECISE", "FS=MRC", "CURRENCY=USD", "XLFILL=b")</f>
        <v>3.3818020413622456</v>
      </c>
      <c r="I360" s="9">
        <f>_xll.BQL("UAL US Equity", "FA_GROWTH(BS_ADJ_TOTAL_LT_LIABILITIES, YOY)", "FPT=A", "FPO=1A", "ACT_EST_MAPPING=PRECISE", "FS=MRC", "CURRENCY=USD", "XLFILL=b")</f>
        <v>3.229194501994471</v>
      </c>
      <c r="J360" s="9">
        <f>_xll.BQL("UAL US Equity", "FA_GROWTH(BS_ADJ_TOTAL_LT_LIABILITIES, YOY)", "FPT=A", "FPO=0A", "ACT_EST_MAPPING=PRECISE", "FS=MRC", "CURRENCY=USD", "XLFILL=b")</f>
        <v>-2.2065727699530515</v>
      </c>
      <c r="K360" s="9">
        <f>_xll.BQL("UAL US Equity", "FA_GROWTH(BS_ADJ_TOTAL_LT_LIABILITIES, YOY)", "FPT=A", "FPO=-1A", "ACT_EST_MAPPING=PRECISE", "FS=MRC", "CURRENCY=USD", "XLFILL=b")</f>
        <v>-9.7497881450425936</v>
      </c>
      <c r="L360" s="9">
        <f>_xll.BQL("UAL US Equity", "FA_GROWTH(BS_ADJ_TOTAL_LT_LIABILITIES, YOY)", "FPT=A", "FPO=-2A", "ACT_EST_MAPPING=PRECISE", "FS=MRC", "CURRENCY=USD", "XLFILL=b")</f>
        <v>9.7374152656437367</v>
      </c>
      <c r="M360" s="9">
        <f>_xll.BQL("UAL US Equity", "FA_GROWTH(BS_ADJ_TOTAL_LT_LIABILITIES, YOY)", "FPT=A", "FPO=-3A", "ACT_EST_MAPPING=PRECISE", "FS=MRC", "CURRENCY=USD", "XLFILL=b")</f>
        <v>56.311682350240993</v>
      </c>
      <c r="N360" s="9">
        <f>_xll.BQL("UAL US Equity", "FA_GROWTH(BS_ADJ_TOTAL_LT_LIABILITIES, YOY)", "FPT=A", "FPO=-4A", "ACT_EST_MAPPING=PRECISE", "FS=MRC", "CURRENCY=USD", "XLFILL=b")</f>
        <v>3.9732728791313687</v>
      </c>
    </row>
    <row r="361" spans="1:14" x14ac:dyDescent="0.2">
      <c r="A361" s="8" t="s">
        <v>357</v>
      </c>
      <c r="B361" s="4" t="s">
        <v>358</v>
      </c>
      <c r="C361" s="4" t="s">
        <v>359</v>
      </c>
      <c r="D361" s="4"/>
      <c r="E361" s="9">
        <f>_xll.BQL("UAL US Equity", "BS_LT_BORROW/1M", "FPT=A", "FPO=5A", "ACT_EST_MAPPING=PRECISE", "FS=MRC", "CURRENCY=USD", "XLFILL=b")</f>
        <v>15984.734266831889</v>
      </c>
      <c r="F361" s="9">
        <f>_xll.BQL("UAL US Equity", "BS_LT_BORROW/1M", "FPT=A", "FPO=4A", "ACT_EST_MAPPING=PRECISE", "FS=MRC", "CURRENCY=USD", "XLFILL=b")</f>
        <v>19143.000784799668</v>
      </c>
      <c r="G361" s="9">
        <f>_xll.BQL("UAL US Equity", "BS_LT_BORROW/1M", "FPT=A", "FPO=3A", "ACT_EST_MAPPING=PRECISE", "FS=MRC", "CURRENCY=USD", "XLFILL=b")</f>
        <v>17038.090365551427</v>
      </c>
      <c r="H361" s="9">
        <f>_xll.BQL("UAL US Equity", "BS_LT_BORROW/1M", "FPT=A", "FPO=2A", "ACT_EST_MAPPING=PRECISE", "FS=MRC", "CURRENCY=USD", "XLFILL=b")</f>
        <v>21124.732333746386</v>
      </c>
      <c r="I361" s="9">
        <f>_xll.BQL("UAL US Equity", "BS_LT_BORROW/1M", "FPT=A", "FPO=1A", "ACT_EST_MAPPING=PRECISE", "FS=MRC", "CURRENCY=USD", "XLFILL=b")</f>
        <v>22555.466856670799</v>
      </c>
      <c r="J361" s="9">
        <f>_xll.BQL("UAL US Equity", "BS_LT_BORROW/1M", "FPT=A", "FPO=0A", "ACT_EST_MAPPING=PRECISE", "FS=MRC", "CURRENCY=USD", "XLFILL=b")</f>
        <v>29651</v>
      </c>
      <c r="K361" s="9">
        <f>_xll.BQL("UAL US Equity", "BS_LT_BORROW/1M", "FPT=A", "FPO=-1A", "ACT_EST_MAPPING=PRECISE", "FS=MRC", "CURRENCY=USD", "XLFILL=b")</f>
        <v>32857</v>
      </c>
      <c r="L361" s="9">
        <f>_xll.BQL("UAL US Equity", "BS_LT_BORROW/1M", "FPT=A", "FPO=-2A", "ACT_EST_MAPPING=PRECISE", "FS=MRC", "CURRENCY=USD", "XLFILL=b")</f>
        <v>35732</v>
      </c>
      <c r="M361" s="9">
        <f>_xll.BQL("UAL US Equity", "BS_LT_BORROW/1M", "FPT=A", "FPO=-3A", "ACT_EST_MAPPING=PRECISE", "FS=MRC", "CURRENCY=USD", "XLFILL=b")</f>
        <v>30046</v>
      </c>
      <c r="N361" s="9">
        <f>_xll.BQL("UAL US Equity", "BS_LT_BORROW/1M", "FPT=A", "FPO=-4A", "ACT_EST_MAPPING=PRECISE", "FS=MRC", "CURRENCY=USD", "XLFILL=b")</f>
        <v>18311</v>
      </c>
    </row>
    <row r="362" spans="1:14" x14ac:dyDescent="0.2">
      <c r="A362" s="8" t="s">
        <v>86</v>
      </c>
      <c r="B362" s="4" t="s">
        <v>358</v>
      </c>
      <c r="C362" s="4" t="s">
        <v>359</v>
      </c>
      <c r="D362" s="4"/>
      <c r="E362" s="9">
        <f>_xll.BQL("UAL US Equity", "FA_GROWTH(BS_LT_BORROW, YOY)", "FPT=A", "FPO=5A", "ACT_EST_MAPPING=PRECISE", "FS=MRC", "CURRENCY=USD", "XLFILL=b")</f>
        <v>-16.498283385515883</v>
      </c>
      <c r="F362" s="9">
        <f>_xll.BQL("UAL US Equity", "FA_GROWTH(BS_LT_BORROW, YOY)", "FPT=A", "FPO=4A", "ACT_EST_MAPPING=PRECISE", "FS=MRC", "CURRENCY=USD", "XLFILL=b")</f>
        <v>12.354145177584387</v>
      </c>
      <c r="G362" s="9">
        <f>_xll.BQL("UAL US Equity", "FA_GROWTH(BS_LT_BORROW, YOY)", "FPT=A", "FPO=3A", "ACT_EST_MAPPING=PRECISE", "FS=MRC", "CURRENCY=USD", "XLFILL=b")</f>
        <v>-19.34529585336626</v>
      </c>
      <c r="H362" s="9">
        <f>_xll.BQL("UAL US Equity", "FA_GROWTH(BS_LT_BORROW, YOY)", "FPT=A", "FPO=2A", "ACT_EST_MAPPING=PRECISE", "FS=MRC", "CURRENCY=USD", "XLFILL=b")</f>
        <v>-6.3431829277400684</v>
      </c>
      <c r="I362" s="9">
        <f>_xll.BQL("UAL US Equity", "FA_GROWTH(BS_LT_BORROW, YOY)", "FPT=A", "FPO=1A", "ACT_EST_MAPPING=PRECISE", "FS=MRC", "CURRENCY=USD", "XLFILL=b")</f>
        <v>-23.930164727426394</v>
      </c>
      <c r="J362" s="9">
        <f>_xll.BQL("UAL US Equity", "FA_GROWTH(BS_LT_BORROW, YOY)", "FPT=A", "FPO=0A", "ACT_EST_MAPPING=PRECISE", "FS=MRC", "CURRENCY=USD", "XLFILL=b")</f>
        <v>-9.7574337279727299</v>
      </c>
      <c r="K362" s="9">
        <f>_xll.BQL("UAL US Equity", "FA_GROWTH(BS_LT_BORROW, YOY)", "FPT=A", "FPO=-1A", "ACT_EST_MAPPING=PRECISE", "FS=MRC", "CURRENCY=USD", "XLFILL=b")</f>
        <v>-8.0460091794469939</v>
      </c>
      <c r="L362" s="9">
        <f>_xll.BQL("UAL US Equity", "FA_GROWTH(BS_LT_BORROW, YOY)", "FPT=A", "FPO=-2A", "ACT_EST_MAPPING=PRECISE", "FS=MRC", "CURRENCY=USD", "XLFILL=b")</f>
        <v>18.924316048725288</v>
      </c>
      <c r="M362" s="9">
        <f>_xll.BQL("UAL US Equity", "FA_GROWTH(BS_LT_BORROW, YOY)", "FPT=A", "FPO=-3A", "ACT_EST_MAPPING=PRECISE", "FS=MRC", "CURRENCY=USD", "XLFILL=b")</f>
        <v>64.087160723062638</v>
      </c>
      <c r="N362" s="9">
        <f>_xll.BQL("UAL US Equity", "FA_GROWTH(BS_LT_BORROW, YOY)", "FPT=A", "FPO=-4A", "ACT_EST_MAPPING=PRECISE", "FS=MRC", "CURRENCY=USD", "XLFILL=b")</f>
        <v>3.3643804685294949</v>
      </c>
    </row>
    <row r="363" spans="1:14" x14ac:dyDescent="0.2">
      <c r="A363" s="8" t="s">
        <v>360</v>
      </c>
      <c r="B363" s="4" t="s">
        <v>361</v>
      </c>
      <c r="C363" s="4" t="s">
        <v>362</v>
      </c>
      <c r="D363" s="4"/>
      <c r="E363" s="9">
        <f>_xll.BQL("UAL US Equity", "CB_BS_LT_BORROWING/1M", "FPT=A", "FPO=5A", "ACT_EST_MAPPING=PRECISE", "FS=MRC", "CURRENCY=USD", "XLFILL=b")</f>
        <v>22408</v>
      </c>
      <c r="F363" s="9">
        <f>_xll.BQL("UAL US Equity", "CB_BS_LT_BORROWING/1M", "FPT=A", "FPO=4A", "ACT_EST_MAPPING=PRECISE", "FS=MRC", "CURRENCY=USD", "XLFILL=b")</f>
        <v>23008</v>
      </c>
      <c r="G363" s="9">
        <f>_xll.BQL("UAL US Equity", "CB_BS_LT_BORROWING/1M", "FPT=A", "FPO=3A", "ACT_EST_MAPPING=PRECISE", "FS=MRC", "CURRENCY=USD", "XLFILL=b")</f>
        <v>17360.900000000001</v>
      </c>
      <c r="H363" s="9">
        <f>_xll.BQL("UAL US Equity", "CB_BS_LT_BORROWING/1M", "FPT=A", "FPO=2A", "ACT_EST_MAPPING=PRECISE", "FS=MRC", "CURRENCY=USD", "XLFILL=b")</f>
        <v>21937.916666666668</v>
      </c>
      <c r="I363" s="9">
        <f>_xll.BQL("UAL US Equity", "CB_BS_LT_BORROWING/1M", "FPT=A", "FPO=1A", "ACT_EST_MAPPING=PRECISE", "FS=MRC", "CURRENCY=USD", "XLFILL=b")</f>
        <v>21078.916666666668</v>
      </c>
      <c r="J363" s="9">
        <f>_xll.BQL("UAL US Equity", "CB_BS_LT_BORROWING/1M", "FPT=A", "FPO=0A", "ACT_EST_MAPPING=PRECISE", "FS=MRC", "CURRENCY=USD", "XLFILL=b")</f>
        <v>25057</v>
      </c>
      <c r="K363" s="9">
        <f>_xll.BQL("UAL US Equity", "CB_BS_LT_BORROWING/1M", "FPT=A", "FPO=-1A", "ACT_EST_MAPPING=PRECISE", "FS=MRC", "CURRENCY=USD", "XLFILL=b")</f>
        <v>28283</v>
      </c>
      <c r="L363" s="9">
        <f>_xll.BQL("UAL US Equity", "CB_BS_LT_BORROWING/1M", "FPT=A", "FPO=-2A", "ACT_EST_MAPPING=PRECISE", "FS=MRC", "CURRENCY=USD", "XLFILL=b")</f>
        <v>30361</v>
      </c>
      <c r="M363" s="9">
        <f>_xll.BQL("UAL US Equity", "CB_BS_LT_BORROWING/1M", "FPT=A", "FPO=-3A", "ACT_EST_MAPPING=PRECISE", "FS=MRC", "CURRENCY=USD", "XLFILL=b")</f>
        <v>24836</v>
      </c>
      <c r="N363" s="9">
        <f>_xll.BQL("UAL US Equity", "CB_BS_LT_BORROWING/1M", "FPT=A", "FPO=-4A", "ACT_EST_MAPPING=PRECISE", "FS=MRC", "CURRENCY=USD", "XLFILL=b")</f>
        <v>13145</v>
      </c>
    </row>
    <row r="364" spans="1:14" x14ac:dyDescent="0.2">
      <c r="A364" s="8" t="s">
        <v>91</v>
      </c>
      <c r="B364" s="4" t="s">
        <v>361</v>
      </c>
      <c r="C364" s="4" t="s">
        <v>362</v>
      </c>
      <c r="D364" s="4"/>
      <c r="E364" s="9">
        <f>_xll.BQL("UAL US Equity", "FA_GROWTH(CB_BS_LT_BORROWING, YOY)", "FPT=A", "FPO=5A", "ACT_EST_MAPPING=PRECISE", "FS=MRC", "CURRENCY=USD", "XLFILL=b")</f>
        <v>-2.6077885952712099</v>
      </c>
      <c r="F364" s="9">
        <f>_xll.BQL("UAL US Equity", "FA_GROWTH(CB_BS_LT_BORROWING, YOY)", "FPT=A", "FPO=4A", "ACT_EST_MAPPING=PRECISE", "FS=MRC", "CURRENCY=USD", "XLFILL=b")</f>
        <v>32.527691536729087</v>
      </c>
      <c r="G364" s="9">
        <f>_xll.BQL("UAL US Equity", "FA_GROWTH(CB_BS_LT_BORROWING, YOY)", "FPT=A", "FPO=3A", "ACT_EST_MAPPING=PRECISE", "FS=MRC", "CURRENCY=USD", "XLFILL=b")</f>
        <v>-20.863497369470672</v>
      </c>
      <c r="H364" s="9">
        <f>_xll.BQL("UAL US Equity", "FA_GROWTH(CB_BS_LT_BORROWING, YOY)", "FPT=A", "FPO=2A", "ACT_EST_MAPPING=PRECISE", "FS=MRC", "CURRENCY=USD", "XLFILL=b")</f>
        <v>4.0751619904564986</v>
      </c>
      <c r="I364" s="9">
        <f>_xll.BQL("UAL US Equity", "FA_GROWTH(CB_BS_LT_BORROWING, YOY)", "FPT=A", "FPO=1A", "ACT_EST_MAPPING=PRECISE", "FS=MRC", "CURRENCY=USD", "XLFILL=b")</f>
        <v>-15.876135743837379</v>
      </c>
      <c r="J364" s="9">
        <f>_xll.BQL("UAL US Equity", "FA_GROWTH(CB_BS_LT_BORROWING, YOY)", "FPT=A", "FPO=0A", "ACT_EST_MAPPING=PRECISE", "FS=MRC", "CURRENCY=USD", "XLFILL=b")</f>
        <v>-11.406145034119437</v>
      </c>
      <c r="K364" s="9">
        <f>_xll.BQL("UAL US Equity", "FA_GROWTH(CB_BS_LT_BORROWING, YOY)", "FPT=A", "FPO=-1A", "ACT_EST_MAPPING=PRECISE", "FS=MRC", "CURRENCY=USD", "XLFILL=b")</f>
        <v>-6.8443068410131422</v>
      </c>
      <c r="L364" s="9">
        <f>_xll.BQL("UAL US Equity", "FA_GROWTH(CB_BS_LT_BORROWING, YOY)", "FPT=A", "FPO=-2A", "ACT_EST_MAPPING=PRECISE", "FS=MRC", "CURRENCY=USD", "XLFILL=b")</f>
        <v>22.24593332259623</v>
      </c>
      <c r="M364" s="9">
        <f>_xll.BQL("UAL US Equity", "FA_GROWTH(CB_BS_LT_BORROWING, YOY)", "FPT=A", "FPO=-3A", "ACT_EST_MAPPING=PRECISE", "FS=MRC", "CURRENCY=USD", "XLFILL=b")</f>
        <v>88.938759984785094</v>
      </c>
      <c r="N364" s="9">
        <f>_xll.BQL("UAL US Equity", "FA_GROWTH(CB_BS_LT_BORROWING, YOY)", "FPT=A", "FPO=-4A", "ACT_EST_MAPPING=PRECISE", "FS=MRC", "CURRENCY=USD", "XLFILL=b")</f>
        <v>7.6135898485468685</v>
      </c>
    </row>
    <row r="365" spans="1:14" x14ac:dyDescent="0.2">
      <c r="A365" s="8" t="s">
        <v>363</v>
      </c>
      <c r="B365" s="4" t="s">
        <v>364</v>
      </c>
      <c r="C365" s="4" t="s">
        <v>365</v>
      </c>
      <c r="D365" s="4"/>
      <c r="E365" s="9">
        <f>_xll.BQL("UAL US Equity", "BS_LT_OPERATING_LEASE_LIABS/1M", "FPT=A", "FPO=5A", "ACT_EST_MAPPING=PRECISE", "FS=MRC", "CURRENCY=USD", "XLFILL=b")</f>
        <v>5053.3742668318882</v>
      </c>
      <c r="F365" s="9">
        <f>_xll.BQL("UAL US Equity", "BS_LT_OPERATING_LEASE_LIABS/1M", "FPT=A", "FPO=4A", "ACT_EST_MAPPING=PRECISE", "FS=MRC", "CURRENCY=USD", "XLFILL=b")</f>
        <v>5014.5007847996694</v>
      </c>
      <c r="G365" s="9">
        <f>_xll.BQL("UAL US Equity", "BS_LT_OPERATING_LEASE_LIABS/1M", "FPT=A", "FPO=3A", "ACT_EST_MAPPING=PRECISE", "FS=MRC", "CURRENCY=USD", "XLFILL=b")</f>
        <v>4584.8102437009493</v>
      </c>
      <c r="H365" s="9">
        <f>_xll.BQL("UAL US Equity", "BS_LT_OPERATING_LEASE_LIABS/1M", "FPT=A", "FPO=2A", "ACT_EST_MAPPING=PRECISE", "FS=MRC", "CURRENCY=USD", "XLFILL=b")</f>
        <v>4452.7317865914911</v>
      </c>
      <c r="I365" s="9">
        <f>_xll.BQL("UAL US Equity", "BS_LT_OPERATING_LEASE_LIABS/1M", "FPT=A", "FPO=1A", "ACT_EST_MAPPING=PRECISE", "FS=MRC", "CURRENCY=USD", "XLFILL=b")</f>
        <v>4452.1114354192487</v>
      </c>
      <c r="J365" s="9">
        <f>_xll.BQL("UAL US Equity", "BS_LT_OPERATING_LEASE_LIABS/1M", "FPT=A", "FPO=0A", "ACT_EST_MAPPING=PRECISE", "FS=MRC", "CURRENCY=USD", "XLFILL=b")</f>
        <v>4503</v>
      </c>
      <c r="K365" s="9">
        <f>_xll.BQL("UAL US Equity", "BS_LT_OPERATING_LEASE_LIABS/1M", "FPT=A", "FPO=-1A", "ACT_EST_MAPPING=PRECISE", "FS=MRC", "CURRENCY=USD", "XLFILL=b")</f>
        <v>4459</v>
      </c>
      <c r="L365" s="9">
        <f>_xll.BQL("UAL US Equity", "BS_LT_OPERATING_LEASE_LIABS/1M", "FPT=A", "FPO=-2A", "ACT_EST_MAPPING=PRECISE", "FS=MRC", "CURRENCY=USD", "XLFILL=b")</f>
        <v>5152</v>
      </c>
      <c r="M365" s="9">
        <f>_xll.BQL("UAL US Equity", "BS_LT_OPERATING_LEASE_LIABS/1M", "FPT=A", "FPO=-3A", "ACT_EST_MAPPING=PRECISE", "FS=MRC", "CURRENCY=USD", "XLFILL=b")</f>
        <v>4986</v>
      </c>
      <c r="N365" s="9">
        <f>_xll.BQL("UAL US Equity", "BS_LT_OPERATING_LEASE_LIABS/1M", "FPT=A", "FPO=-4A", "ACT_EST_MAPPING=PRECISE", "FS=MRC", "CURRENCY=USD", "XLFILL=b")</f>
        <v>4946</v>
      </c>
    </row>
    <row r="366" spans="1:14" x14ac:dyDescent="0.2">
      <c r="A366" s="8" t="s">
        <v>91</v>
      </c>
      <c r="B366" s="4" t="s">
        <v>364</v>
      </c>
      <c r="C366" s="4" t="s">
        <v>365</v>
      </c>
      <c r="D366" s="4"/>
      <c r="E366" s="9">
        <f>_xll.BQL("UAL US Equity", "FA_GROWTH(BS_LT_OPERATING_LEASE_LIABS, YOY)", "FPT=A", "FPO=5A", "ACT_EST_MAPPING=PRECISE", "FS=MRC", "CURRENCY=USD", "XLFILL=b")</f>
        <v>0.77522137697246252</v>
      </c>
      <c r="F366" s="9">
        <f>_xll.BQL("UAL US Equity", "FA_GROWTH(BS_LT_OPERATING_LEASE_LIABS, YOY)", "FPT=A", "FPO=4A", "ACT_EST_MAPPING=PRECISE", "FS=MRC", "CURRENCY=USD", "XLFILL=b")</f>
        <v>9.3720463499895015</v>
      </c>
      <c r="G366" s="9">
        <f>_xll.BQL("UAL US Equity", "FA_GROWTH(BS_LT_OPERATING_LEASE_LIABS, YOY)", "FPT=A", "FPO=3A", "ACT_EST_MAPPING=PRECISE", "FS=MRC", "CURRENCY=USD", "XLFILL=b")</f>
        <v>2.9662342903111014</v>
      </c>
      <c r="H366" s="9">
        <f>_xll.BQL("UAL US Equity", "FA_GROWTH(BS_LT_OPERATING_LEASE_LIABS, YOY)", "FPT=A", "FPO=2A", "ACT_EST_MAPPING=PRECISE", "FS=MRC", "CURRENCY=USD", "XLFILL=b")</f>
        <v>1.3933864442540555E-2</v>
      </c>
      <c r="I366" s="9">
        <f>_xll.BQL("UAL US Equity", "FA_GROWTH(BS_LT_OPERATING_LEASE_LIABS, YOY)", "FPT=A", "FPO=1A", "ACT_EST_MAPPING=PRECISE", "FS=MRC", "CURRENCY=USD", "XLFILL=b")</f>
        <v>-1.1301035882911707</v>
      </c>
      <c r="J366" s="9">
        <f>_xll.BQL("UAL US Equity", "FA_GROWTH(BS_LT_OPERATING_LEASE_LIABS, YOY)", "FPT=A", "FPO=0A", "ACT_EST_MAPPING=PRECISE", "FS=MRC", "CURRENCY=USD", "XLFILL=b")</f>
        <v>0.98676833370710926</v>
      </c>
      <c r="K366" s="9">
        <f>_xll.BQL("UAL US Equity", "FA_GROWTH(BS_LT_OPERATING_LEASE_LIABS, YOY)", "FPT=A", "FPO=-1A", "ACT_EST_MAPPING=PRECISE", "FS=MRC", "CURRENCY=USD", "XLFILL=b")</f>
        <v>-13.451086956521738</v>
      </c>
      <c r="L366" s="9">
        <f>_xll.BQL("UAL US Equity", "FA_GROWTH(BS_LT_OPERATING_LEASE_LIABS, YOY)", "FPT=A", "FPO=-2A", "ACT_EST_MAPPING=PRECISE", "FS=MRC", "CURRENCY=USD", "XLFILL=b")</f>
        <v>3.3293221018852788</v>
      </c>
      <c r="M366" s="9">
        <f>_xll.BQL("UAL US Equity", "FA_GROWTH(BS_LT_OPERATING_LEASE_LIABS, YOY)", "FPT=A", "FPO=-3A", "ACT_EST_MAPPING=PRECISE", "FS=MRC", "CURRENCY=USD", "XLFILL=b")</f>
        <v>0.80873433077234125</v>
      </c>
      <c r="N366" s="9">
        <f>_xll.BQL("UAL US Equity", "FA_GROWTH(BS_LT_OPERATING_LEASE_LIABS, YOY)", "FPT=A", "FPO=-4A", "ACT_EST_MAPPING=PRECISE", "FS=MRC", "CURRENCY=USD", "XLFILL=b")</f>
        <v>-6.254738438210766</v>
      </c>
    </row>
    <row r="367" spans="1:14" x14ac:dyDescent="0.2">
      <c r="A367" s="8" t="s">
        <v>366</v>
      </c>
      <c r="B367" s="4" t="s">
        <v>367</v>
      </c>
      <c r="C367" s="4"/>
      <c r="D367" s="4"/>
      <c r="E367" s="9" t="str">
        <f>_xll.BQL("UAL US Equity", "LT_CAPITAL_LEASE_OBLIGATIONS/1M", "FPT=A", "FPO=5A", "ACT_EST_MAPPING=PRECISE", "FS=MRC", "CURRENCY=USD", "XLFILL=b")</f>
        <v/>
      </c>
      <c r="F367" s="9" t="str">
        <f>_xll.BQL("UAL US Equity", "LT_CAPITAL_LEASE_OBLIGATIONS/1M", "FPT=A", "FPO=4A", "ACT_EST_MAPPING=PRECISE", "FS=MRC", "CURRENCY=USD", "XLFILL=b")</f>
        <v/>
      </c>
      <c r="G367" s="9">
        <f>_xll.BQL("UAL US Equity", "LT_CAPITAL_LEASE_OBLIGATIONS/1M", "FPT=A", "FPO=3A", "ACT_EST_MAPPING=PRECISE", "FS=MRC", "CURRENCY=USD", "XLFILL=b")</f>
        <v>65</v>
      </c>
      <c r="H367" s="9">
        <f>_xll.BQL("UAL US Equity", "LT_CAPITAL_LEASE_OBLIGATIONS/1M", "FPT=A", "FPO=2A", "ACT_EST_MAPPING=PRECISE", "FS=MRC", "CURRENCY=USD", "XLFILL=b")</f>
        <v>65</v>
      </c>
      <c r="I367" s="9">
        <f>_xll.BQL("UAL US Equity", "LT_CAPITAL_LEASE_OBLIGATIONS/1M", "FPT=A", "FPO=1A", "ACT_EST_MAPPING=PRECISE", "FS=MRC", "CURRENCY=USD", "XLFILL=b")</f>
        <v>65</v>
      </c>
      <c r="J367" s="9">
        <f>_xll.BQL("UAL US Equity", "LT_CAPITAL_LEASE_OBLIGATIONS/1M", "FPT=A", "FPO=0A", "ACT_EST_MAPPING=PRECISE", "FS=MRC", "CURRENCY=USD", "XLFILL=b")</f>
        <v>91</v>
      </c>
      <c r="K367" s="9">
        <f>_xll.BQL("UAL US Equity", "LT_CAPITAL_LEASE_OBLIGATIONS/1M", "FPT=A", "FPO=-1A", "ACT_EST_MAPPING=PRECISE", "FS=MRC", "CURRENCY=USD", "XLFILL=b")</f>
        <v>115</v>
      </c>
      <c r="L367" s="9">
        <f>_xll.BQL("UAL US Equity", "LT_CAPITAL_LEASE_OBLIGATIONS/1M", "FPT=A", "FPO=-2A", "ACT_EST_MAPPING=PRECISE", "FS=MRC", "CURRENCY=USD", "XLFILL=b")</f>
        <v>219</v>
      </c>
      <c r="M367" s="9">
        <f>_xll.BQL("UAL US Equity", "LT_CAPITAL_LEASE_OBLIGATIONS/1M", "FPT=A", "FPO=-3A", "ACT_EST_MAPPING=PRECISE", "FS=MRC", "CURRENCY=USD", "XLFILL=b")</f>
        <v>224</v>
      </c>
      <c r="N367" s="9">
        <f>_xll.BQL("UAL US Equity", "LT_CAPITAL_LEASE_OBLIGATIONS/1M", "FPT=A", "FPO=-4A", "ACT_EST_MAPPING=PRECISE", "FS=MRC", "CURRENCY=USD", "XLFILL=b")</f>
        <v>220</v>
      </c>
    </row>
    <row r="368" spans="1:14" x14ac:dyDescent="0.2">
      <c r="A368" s="8" t="s">
        <v>91</v>
      </c>
      <c r="B368" s="4" t="s">
        <v>367</v>
      </c>
      <c r="C368" s="4"/>
      <c r="D368" s="4"/>
      <c r="E368" s="9" t="str">
        <f>_xll.BQL("UAL US Equity", "FA_GROWTH(LT_CAPITAL_LEASE_OBLIGATIONS, YOY)", "FPT=A", "FPO=5A", "ACT_EST_MAPPING=PRECISE", "FS=MRC", "CURRENCY=USD", "XLFILL=b")</f>
        <v/>
      </c>
      <c r="F368" s="9" t="str">
        <f>_xll.BQL("UAL US Equity", "FA_GROWTH(LT_CAPITAL_LEASE_OBLIGATIONS, YOY)", "FPT=A", "FPO=4A", "ACT_EST_MAPPING=PRECISE", "FS=MRC", "CURRENCY=USD", "XLFILL=b")</f>
        <v/>
      </c>
      <c r="G368" s="9">
        <f>_xll.BQL("UAL US Equity", "FA_GROWTH(LT_CAPITAL_LEASE_OBLIGATIONS, YOY)", "FPT=A", "FPO=3A", "ACT_EST_MAPPING=PRECISE", "FS=MRC", "CURRENCY=USD", "XLFILL=b")</f>
        <v>0</v>
      </c>
      <c r="H368" s="9">
        <f>_xll.BQL("UAL US Equity", "FA_GROWTH(LT_CAPITAL_LEASE_OBLIGATIONS, YOY)", "FPT=A", "FPO=2A", "ACT_EST_MAPPING=PRECISE", "FS=MRC", "CURRENCY=USD", "XLFILL=b")</f>
        <v>0</v>
      </c>
      <c r="I368" s="9">
        <f>_xll.BQL("UAL US Equity", "FA_GROWTH(LT_CAPITAL_LEASE_OBLIGATIONS, YOY)", "FPT=A", "FPO=1A", "ACT_EST_MAPPING=PRECISE", "FS=MRC", "CURRENCY=USD", "XLFILL=b")</f>
        <v>-28.571428571428573</v>
      </c>
      <c r="J368" s="9">
        <f>_xll.BQL("UAL US Equity", "FA_GROWTH(LT_CAPITAL_LEASE_OBLIGATIONS, YOY)", "FPT=A", "FPO=0A", "ACT_EST_MAPPING=PRECISE", "FS=MRC", "CURRENCY=USD", "XLFILL=b")</f>
        <v>-20.869565217391305</v>
      </c>
      <c r="K368" s="9">
        <f>_xll.BQL("UAL US Equity", "FA_GROWTH(LT_CAPITAL_LEASE_OBLIGATIONS, YOY)", "FPT=A", "FPO=-1A", "ACT_EST_MAPPING=PRECISE", "FS=MRC", "CURRENCY=USD", "XLFILL=b")</f>
        <v>-47.488584474885847</v>
      </c>
      <c r="L368" s="9">
        <f>_xll.BQL("UAL US Equity", "FA_GROWTH(LT_CAPITAL_LEASE_OBLIGATIONS, YOY)", "FPT=A", "FPO=-2A", "ACT_EST_MAPPING=PRECISE", "FS=MRC", "CURRENCY=USD", "XLFILL=b")</f>
        <v>-2.2321428571428572</v>
      </c>
      <c r="M368" s="9">
        <f>_xll.BQL("UAL US Equity", "FA_GROWTH(LT_CAPITAL_LEASE_OBLIGATIONS, YOY)", "FPT=A", "FPO=-3A", "ACT_EST_MAPPING=PRECISE", "FS=MRC", "CURRENCY=USD", "XLFILL=b")</f>
        <v>1.8181818181818181</v>
      </c>
      <c r="N368" s="9">
        <f>_xll.BQL("UAL US Equity", "FA_GROWTH(LT_CAPITAL_LEASE_OBLIGATIONS, YOY)", "FPT=A", "FPO=-4A", "ACT_EST_MAPPING=PRECISE", "FS=MRC", "CURRENCY=USD", "XLFILL=b")</f>
        <v>-1.7857142857142858</v>
      </c>
    </row>
    <row r="369" spans="1:14" x14ac:dyDescent="0.2">
      <c r="A369" s="8" t="s">
        <v>368</v>
      </c>
      <c r="B369" s="4" t="s">
        <v>369</v>
      </c>
      <c r="C369" s="4" t="s">
        <v>370</v>
      </c>
      <c r="D369" s="4"/>
      <c r="E369" s="9">
        <f>_xll.BQL("UAL US Equity", "PENSION_LIABILITIES/1M", "FPT=A", "FPO=5A", "ACT_EST_MAPPING=PRECISE", "FS=MRC", "CURRENCY=USD", "XLFILL=b")</f>
        <v>1605</v>
      </c>
      <c r="F369" s="9">
        <f>_xll.BQL("UAL US Equity", "PENSION_LIABILITIES/1M", "FPT=A", "FPO=4A", "ACT_EST_MAPPING=PRECISE", "FS=MRC", "CURRENCY=USD", "XLFILL=b")</f>
        <v>1605</v>
      </c>
      <c r="G369" s="9">
        <f>_xll.BQL("UAL US Equity", "PENSION_LIABILITIES/1M", "FPT=A", "FPO=3A", "ACT_EST_MAPPING=PRECISE", "FS=MRC", "CURRENCY=USD", "XLFILL=b")</f>
        <v>1614.9253747906318</v>
      </c>
      <c r="H369" s="9">
        <f>_xll.BQL("UAL US Equity", "PENSION_LIABILITIES/1M", "FPT=A", "FPO=2A", "ACT_EST_MAPPING=PRECISE", "FS=MRC", "CURRENCY=USD", "XLFILL=b")</f>
        <v>1610.9523272267991</v>
      </c>
      <c r="I369" s="9">
        <f>_xll.BQL("UAL US Equity", "PENSION_LIABILITIES/1M", "FPT=A", "FPO=1A", "ACT_EST_MAPPING=PRECISE", "FS=MRC", "CURRENCY=USD", "XLFILL=b")</f>
        <v>1608.9801792000001</v>
      </c>
      <c r="J369" s="9">
        <f>_xll.BQL("UAL US Equity", "PENSION_LIABILITIES/1M", "FPT=A", "FPO=0A", "ACT_EST_MAPPING=PRECISE", "FS=MRC", "CURRENCY=USD", "XLFILL=b")</f>
        <v>1605</v>
      </c>
      <c r="K369" s="9">
        <f>_xll.BQL("UAL US Equity", "PENSION_LIABILITIES/1M", "FPT=A", "FPO=-1A", "ACT_EST_MAPPING=PRECISE", "FS=MRC", "CURRENCY=USD", "XLFILL=b")</f>
        <v>1418</v>
      </c>
      <c r="L369" s="9">
        <f>_xll.BQL("UAL US Equity", "PENSION_LIABILITIES/1M", "FPT=A", "FPO=-2A", "ACT_EST_MAPPING=PRECISE", "FS=MRC", "CURRENCY=USD", "XLFILL=b")</f>
        <v>2920</v>
      </c>
      <c r="M369" s="9">
        <f>_xll.BQL("UAL US Equity", "PENSION_LIABILITIES/1M", "FPT=A", "FPO=-3A", "ACT_EST_MAPPING=PRECISE", "FS=MRC", "CURRENCY=USD", "XLFILL=b")</f>
        <v>3454</v>
      </c>
      <c r="N369" s="9">
        <f>_xll.BQL("UAL US Equity", "PENSION_LIABILITIES/1M", "FPT=A", "FPO=-4A", "ACT_EST_MAPPING=PRECISE", "FS=MRC", "CURRENCY=USD", "XLFILL=b")</f>
        <v>2235</v>
      </c>
    </row>
    <row r="370" spans="1:14" x14ac:dyDescent="0.2">
      <c r="A370" s="8" t="s">
        <v>86</v>
      </c>
      <c r="B370" s="4" t="s">
        <v>369</v>
      </c>
      <c r="C370" s="4" t="s">
        <v>370</v>
      </c>
      <c r="D370" s="4"/>
      <c r="E370" s="9">
        <f>_xll.BQL("UAL US Equity", "FA_GROWTH(PENSION_LIABILITIES, YOY)", "FPT=A", "FPO=5A", "ACT_EST_MAPPING=PRECISE", "FS=MRC", "CURRENCY=USD", "XLFILL=b")</f>
        <v>0</v>
      </c>
      <c r="F370" s="9">
        <f>_xll.BQL("UAL US Equity", "FA_GROWTH(PENSION_LIABILITIES, YOY)", "FPT=A", "FPO=4A", "ACT_EST_MAPPING=PRECISE", "FS=MRC", "CURRENCY=USD", "XLFILL=b")</f>
        <v>-0.61460268973224563</v>
      </c>
      <c r="G370" s="9">
        <f>_xll.BQL("UAL US Equity", "FA_GROWTH(PENSION_LIABILITIES, YOY)", "FPT=A", "FPO=3A", "ACT_EST_MAPPING=PRECISE", "FS=MRC", "CURRENCY=USD", "XLFILL=b")</f>
        <v>0.24662725871424324</v>
      </c>
      <c r="H370" s="9">
        <f>_xll.BQL("UAL US Equity", "FA_GROWTH(PENSION_LIABILITIES, YOY)", "FPT=A", "FPO=2A", "ACT_EST_MAPPING=PRECISE", "FS=MRC", "CURRENCY=USD", "XLFILL=b")</f>
        <v>0.12257130648927782</v>
      </c>
      <c r="I370" s="9">
        <f>_xll.BQL("UAL US Equity", "FA_GROWTH(PENSION_LIABILITIES, YOY)", "FPT=A", "FPO=1A", "ACT_EST_MAPPING=PRECISE", "FS=MRC", "CURRENCY=USD", "XLFILL=b")</f>
        <v>0.24798624299065716</v>
      </c>
      <c r="J370" s="9">
        <f>_xll.BQL("UAL US Equity", "FA_GROWTH(PENSION_LIABILITIES, YOY)", "FPT=A", "FPO=0A", "ACT_EST_MAPPING=PRECISE", "FS=MRC", "CURRENCY=USD", "XLFILL=b")</f>
        <v>13.187588152327221</v>
      </c>
      <c r="K370" s="9">
        <f>_xll.BQL("UAL US Equity", "FA_GROWTH(PENSION_LIABILITIES, YOY)", "FPT=A", "FPO=-1A", "ACT_EST_MAPPING=PRECISE", "FS=MRC", "CURRENCY=USD", "XLFILL=b")</f>
        <v>-51.438356164383563</v>
      </c>
      <c r="L370" s="9">
        <f>_xll.BQL("UAL US Equity", "FA_GROWTH(PENSION_LIABILITIES, YOY)", "FPT=A", "FPO=-2A", "ACT_EST_MAPPING=PRECISE", "FS=MRC", "CURRENCY=USD", "XLFILL=b")</f>
        <v>-15.460335842501447</v>
      </c>
      <c r="M370" s="9">
        <f>_xll.BQL("UAL US Equity", "FA_GROWTH(PENSION_LIABILITIES, YOY)", "FPT=A", "FPO=-3A", "ACT_EST_MAPPING=PRECISE", "FS=MRC", "CURRENCY=USD", "XLFILL=b")</f>
        <v>54.541387024608504</v>
      </c>
      <c r="N370" s="9">
        <f>_xll.BQL("UAL US Equity", "FA_GROWTH(PENSION_LIABILITIES, YOY)", "FPT=A", "FPO=-4A", "ACT_EST_MAPPING=PRECISE", "FS=MRC", "CURRENCY=USD", "XLFILL=b")</f>
        <v>-22.152560083594565</v>
      </c>
    </row>
    <row r="371" spans="1:14" x14ac:dyDescent="0.2">
      <c r="A371" s="8" t="s">
        <v>371</v>
      </c>
      <c r="B371" s="4" t="s">
        <v>372</v>
      </c>
      <c r="C371" s="4" t="s">
        <v>373</v>
      </c>
      <c r="D371" s="4"/>
      <c r="E371" s="9" t="str">
        <f>_xll.BQL("UAL US Equity", "BS_OPRB_LT_LIABS/1M", "FPT=A", "FPO=5A", "ACT_EST_MAPPING=PRECISE", "FS=MRC", "CURRENCY=USD", "XLFILL=b")</f>
        <v/>
      </c>
      <c r="F371" s="9" t="str">
        <f>_xll.BQL("UAL US Equity", "BS_OPRB_LT_LIABS/1M", "FPT=A", "FPO=4A", "ACT_EST_MAPPING=PRECISE", "FS=MRC", "CURRENCY=USD", "XLFILL=b")</f>
        <v/>
      </c>
      <c r="G371" s="9">
        <f>_xll.BQL("UAL US Equity", "BS_OPRB_LT_LIABS/1M", "FPT=A", "FPO=3A", "ACT_EST_MAPPING=PRECISE", "FS=MRC", "CURRENCY=USD", "XLFILL=b")</f>
        <v>624.35074958126347</v>
      </c>
      <c r="H371" s="9">
        <f>_xll.BQL("UAL US Equity", "BS_OPRB_LT_LIABS/1M", "FPT=A", "FPO=2A", "ACT_EST_MAPPING=PRECISE", "FS=MRC", "CURRENCY=USD", "XLFILL=b")</f>
        <v>621.94040903349878</v>
      </c>
      <c r="I371" s="9">
        <f>_xll.BQL("UAL US Equity", "BS_OPRB_LT_LIABS/1M", "FPT=A", "FPO=1A", "ACT_EST_MAPPING=PRECISE", "FS=MRC", "CURRENCY=USD", "XLFILL=b")</f>
        <v>619.47522400000003</v>
      </c>
      <c r="J371" s="9">
        <f>_xll.BQL("UAL US Equity", "BS_OPRB_LT_LIABS/1M", "FPT=A", "FPO=0A", "ACT_EST_MAPPING=PRECISE", "FS=MRC", "CURRENCY=USD", "XLFILL=b")</f>
        <v>637</v>
      </c>
      <c r="K371" s="9">
        <f>_xll.BQL("UAL US Equity", "BS_OPRB_LT_LIABS/1M", "FPT=A", "FPO=-1A", "ACT_EST_MAPPING=PRECISE", "FS=MRC", "CURRENCY=USD", "XLFILL=b")</f>
        <v>671</v>
      </c>
      <c r="L371" s="9">
        <f>_xll.BQL("UAL US Equity", "BS_OPRB_LT_LIABS/1M", "FPT=A", "FPO=-2A", "ACT_EST_MAPPING=PRECISE", "FS=MRC", "CURRENCY=USD", "XLFILL=b")</f>
        <v>1000</v>
      </c>
      <c r="M371" s="9">
        <f>_xll.BQL("UAL US Equity", "BS_OPRB_LT_LIABS/1M", "FPT=A", "FPO=-3A", "ACT_EST_MAPPING=PRECISE", "FS=MRC", "CURRENCY=USD", "XLFILL=b")</f>
        <v>994</v>
      </c>
      <c r="N371" s="9">
        <f>_xll.BQL("UAL US Equity", "BS_OPRB_LT_LIABS/1M", "FPT=A", "FPO=-4A", "ACT_EST_MAPPING=PRECISE", "FS=MRC", "CURRENCY=USD", "XLFILL=b")</f>
        <v>789</v>
      </c>
    </row>
    <row r="372" spans="1:14" x14ac:dyDescent="0.2">
      <c r="A372" s="8" t="s">
        <v>91</v>
      </c>
      <c r="B372" s="4" t="s">
        <v>372</v>
      </c>
      <c r="C372" s="4" t="s">
        <v>373</v>
      </c>
      <c r="D372" s="4"/>
      <c r="E372" s="9" t="str">
        <f>_xll.BQL("UAL US Equity", "FA_GROWTH(BS_OPRB_LT_LIABS, YOY)", "FPT=A", "FPO=5A", "ACT_EST_MAPPING=PRECISE", "FS=MRC", "CURRENCY=USD", "XLFILL=b")</f>
        <v/>
      </c>
      <c r="F372" s="9" t="str">
        <f>_xll.BQL("UAL US Equity", "FA_GROWTH(BS_OPRB_LT_LIABS, YOY)", "FPT=A", "FPO=4A", "ACT_EST_MAPPING=PRECISE", "FS=MRC", "CURRENCY=USD", "XLFILL=b")</f>
        <v/>
      </c>
      <c r="G372" s="9">
        <f>_xll.BQL("UAL US Equity", "FA_GROWTH(BS_OPRB_LT_LIABS, YOY)", "FPT=A", "FPO=3A", "ACT_EST_MAPPING=PRECISE", "FS=MRC", "CURRENCY=USD", "XLFILL=b")</f>
        <v>0.38755168706763254</v>
      </c>
      <c r="H372" s="9">
        <f>_xll.BQL("UAL US Equity", "FA_GROWTH(BS_OPRB_LT_LIABS, YOY)", "FPT=A", "FPO=2A", "ACT_EST_MAPPING=PRECISE", "FS=MRC", "CURRENCY=USD", "XLFILL=b")</f>
        <v>0.39794731701792224</v>
      </c>
      <c r="I372" s="9">
        <f>_xll.BQL("UAL US Equity", "FA_GROWTH(BS_OPRB_LT_LIABS, YOY)", "FPT=A", "FPO=1A", "ACT_EST_MAPPING=PRECISE", "FS=MRC", "CURRENCY=USD", "XLFILL=b")</f>
        <v>-2.7511422291993721</v>
      </c>
      <c r="J372" s="9">
        <f>_xll.BQL("UAL US Equity", "FA_GROWTH(BS_OPRB_LT_LIABS, YOY)", "FPT=A", "FPO=0A", "ACT_EST_MAPPING=PRECISE", "FS=MRC", "CURRENCY=USD", "XLFILL=b")</f>
        <v>-5.0670640834575265</v>
      </c>
      <c r="K372" s="9">
        <f>_xll.BQL("UAL US Equity", "FA_GROWTH(BS_OPRB_LT_LIABS, YOY)", "FPT=A", "FPO=-1A", "ACT_EST_MAPPING=PRECISE", "FS=MRC", "CURRENCY=USD", "XLFILL=b")</f>
        <v>-32.9</v>
      </c>
      <c r="L372" s="9">
        <f>_xll.BQL("UAL US Equity", "FA_GROWTH(BS_OPRB_LT_LIABS, YOY)", "FPT=A", "FPO=-2A", "ACT_EST_MAPPING=PRECISE", "FS=MRC", "CURRENCY=USD", "XLFILL=b")</f>
        <v>0.60362173038229372</v>
      </c>
      <c r="M372" s="9">
        <f>_xll.BQL("UAL US Equity", "FA_GROWTH(BS_OPRB_LT_LIABS, YOY)", "FPT=A", "FPO=-3A", "ACT_EST_MAPPING=PRECISE", "FS=MRC", "CURRENCY=USD", "XLFILL=b")</f>
        <v>25.982256020278832</v>
      </c>
      <c r="N372" s="9">
        <f>_xll.BQL("UAL US Equity", "FA_GROWTH(BS_OPRB_LT_LIABS, YOY)", "FPT=A", "FPO=-4A", "ACT_EST_MAPPING=PRECISE", "FS=MRC", "CURRENCY=USD", "XLFILL=b")</f>
        <v>-39.073359073359072</v>
      </c>
    </row>
    <row r="373" spans="1:14" x14ac:dyDescent="0.2">
      <c r="A373" s="8" t="s">
        <v>374</v>
      </c>
      <c r="B373" s="4" t="s">
        <v>375</v>
      </c>
      <c r="C373" s="4" t="s">
        <v>376</v>
      </c>
      <c r="D373" s="4"/>
      <c r="E373" s="9" t="str">
        <f>_xll.BQL("UAL US Equity", "BS_PENSIONS_LT_LIABS/1M", "FPT=A", "FPO=5A", "ACT_EST_MAPPING=PRECISE", "FS=MRC", "CURRENCY=USD", "XLFILL=b")</f>
        <v/>
      </c>
      <c r="F373" s="9" t="str">
        <f>_xll.BQL("UAL US Equity", "BS_PENSIONS_LT_LIABS/1M", "FPT=A", "FPO=4A", "ACT_EST_MAPPING=PRECISE", "FS=MRC", "CURRENCY=USD", "XLFILL=b")</f>
        <v/>
      </c>
      <c r="G373" s="9">
        <f>_xll.BQL("UAL US Equity", "BS_PENSIONS_LT_LIABS/1M", "FPT=A", "FPO=3A", "ACT_EST_MAPPING=PRECISE", "FS=MRC", "CURRENCY=USD", "XLFILL=b")</f>
        <v>998</v>
      </c>
      <c r="H373" s="9">
        <f>_xll.BQL("UAL US Equity", "BS_PENSIONS_LT_LIABS/1M", "FPT=A", "FPO=2A", "ACT_EST_MAPPING=PRECISE", "FS=MRC", "CURRENCY=USD", "XLFILL=b")</f>
        <v>990.5</v>
      </c>
      <c r="I373" s="9">
        <f>_xll.BQL("UAL US Equity", "BS_PENSIONS_LT_LIABS/1M", "FPT=A", "FPO=1A", "ACT_EST_MAPPING=PRECISE", "FS=MRC", "CURRENCY=USD", "XLFILL=b")</f>
        <v>990.5</v>
      </c>
      <c r="J373" s="9">
        <f>_xll.BQL("UAL US Equity", "BS_PENSIONS_LT_LIABS/1M", "FPT=A", "FPO=0A", "ACT_EST_MAPPING=PRECISE", "FS=MRC", "CURRENCY=USD", "XLFILL=b")</f>
        <v>968</v>
      </c>
      <c r="K373" s="9">
        <f>_xll.BQL("UAL US Equity", "BS_PENSIONS_LT_LIABS/1M", "FPT=A", "FPO=-1A", "ACT_EST_MAPPING=PRECISE", "FS=MRC", "CURRENCY=USD", "XLFILL=b")</f>
        <v>747</v>
      </c>
      <c r="L373" s="9">
        <f>_xll.BQL("UAL US Equity", "BS_PENSIONS_LT_LIABS/1M", "FPT=A", "FPO=-2A", "ACT_EST_MAPPING=PRECISE", "FS=MRC", "CURRENCY=USD", "XLFILL=b")</f>
        <v>1920</v>
      </c>
      <c r="M373" s="9">
        <f>_xll.BQL("UAL US Equity", "BS_PENSIONS_LT_LIABS/1M", "FPT=A", "FPO=-3A", "ACT_EST_MAPPING=PRECISE", "FS=MRC", "CURRENCY=USD", "XLFILL=b")</f>
        <v>2460</v>
      </c>
      <c r="N373" s="9">
        <f>_xll.BQL("UAL US Equity", "BS_PENSIONS_LT_LIABS/1M", "FPT=A", "FPO=-4A", "ACT_EST_MAPPING=PRECISE", "FS=MRC", "CURRENCY=USD", "XLFILL=b")</f>
        <v>1446</v>
      </c>
    </row>
    <row r="374" spans="1:14" x14ac:dyDescent="0.2">
      <c r="A374" s="8" t="s">
        <v>91</v>
      </c>
      <c r="B374" s="4" t="s">
        <v>375</v>
      </c>
      <c r="C374" s="4" t="s">
        <v>376</v>
      </c>
      <c r="D374" s="4"/>
      <c r="E374" s="9" t="str">
        <f>_xll.BQL("UAL US Equity", "FA_GROWTH(BS_PENSIONS_LT_LIABS, YOY)", "FPT=A", "FPO=5A", "ACT_EST_MAPPING=PRECISE", "FS=MRC", "CURRENCY=USD", "XLFILL=b")</f>
        <v/>
      </c>
      <c r="F374" s="9" t="str">
        <f>_xll.BQL("UAL US Equity", "FA_GROWTH(BS_PENSIONS_LT_LIABS, YOY)", "FPT=A", "FPO=4A", "ACT_EST_MAPPING=PRECISE", "FS=MRC", "CURRENCY=USD", "XLFILL=b")</f>
        <v/>
      </c>
      <c r="G374" s="9">
        <f>_xll.BQL("UAL US Equity", "FA_GROWTH(BS_PENSIONS_LT_LIABS, YOY)", "FPT=A", "FPO=3A", "ACT_EST_MAPPING=PRECISE", "FS=MRC", "CURRENCY=USD", "XLFILL=b")</f>
        <v>0.75719333669863709</v>
      </c>
      <c r="H374" s="9">
        <f>_xll.BQL("UAL US Equity", "FA_GROWTH(BS_PENSIONS_LT_LIABS, YOY)", "FPT=A", "FPO=2A", "ACT_EST_MAPPING=PRECISE", "FS=MRC", "CURRENCY=USD", "XLFILL=b")</f>
        <v>0</v>
      </c>
      <c r="I374" s="9">
        <f>_xll.BQL("UAL US Equity", "FA_GROWTH(BS_PENSIONS_LT_LIABS, YOY)", "FPT=A", "FPO=1A", "ACT_EST_MAPPING=PRECISE", "FS=MRC", "CURRENCY=USD", "XLFILL=b")</f>
        <v>2.3243801652892562</v>
      </c>
      <c r="J374" s="9">
        <f>_xll.BQL("UAL US Equity", "FA_GROWTH(BS_PENSIONS_LT_LIABS, YOY)", "FPT=A", "FPO=0A", "ACT_EST_MAPPING=PRECISE", "FS=MRC", "CURRENCY=USD", "XLFILL=b")</f>
        <v>29.585006693440427</v>
      </c>
      <c r="K374" s="9">
        <f>_xll.BQL("UAL US Equity", "FA_GROWTH(BS_PENSIONS_LT_LIABS, YOY)", "FPT=A", "FPO=-1A", "ACT_EST_MAPPING=PRECISE", "FS=MRC", "CURRENCY=USD", "XLFILL=b")</f>
        <v>-61.09375</v>
      </c>
      <c r="L374" s="9">
        <f>_xll.BQL("UAL US Equity", "FA_GROWTH(BS_PENSIONS_LT_LIABS, YOY)", "FPT=A", "FPO=-2A", "ACT_EST_MAPPING=PRECISE", "FS=MRC", "CURRENCY=USD", "XLFILL=b")</f>
        <v>-21.951219512195124</v>
      </c>
      <c r="M374" s="9">
        <f>_xll.BQL("UAL US Equity", "FA_GROWTH(BS_PENSIONS_LT_LIABS, YOY)", "FPT=A", "FPO=-3A", "ACT_EST_MAPPING=PRECISE", "FS=MRC", "CURRENCY=USD", "XLFILL=b")</f>
        <v>70.124481327800837</v>
      </c>
      <c r="N374" s="9">
        <f>_xll.BQL("UAL US Equity", "FA_GROWTH(BS_PENSIONS_LT_LIABS, YOY)", "FPT=A", "FPO=-4A", "ACT_EST_MAPPING=PRECISE", "FS=MRC", "CURRENCY=USD", "XLFILL=b")</f>
        <v>-8.2487309644670059</v>
      </c>
    </row>
    <row r="375" spans="1:14" x14ac:dyDescent="0.2">
      <c r="A375" s="8" t="s">
        <v>377</v>
      </c>
      <c r="B375" s="4" t="s">
        <v>378</v>
      </c>
      <c r="C375" s="4"/>
      <c r="D375" s="4"/>
      <c r="E375" s="9" t="str">
        <f>_xll.BQL("UAL US Equity", "BS_DEFERRED_TAX_LIABILITIES_LT/1M", "FPT=A", "FPO=5A", "ACT_EST_MAPPING=PRECISE", "FS=MRC", "CURRENCY=USD", "XLFILL=b")</f>
        <v/>
      </c>
      <c r="F375" s="9" t="str">
        <f>_xll.BQL("UAL US Equity", "BS_DEFERRED_TAX_LIABILITIES_LT/1M", "FPT=A", "FPO=4A", "ACT_EST_MAPPING=PRECISE", "FS=MRC", "CURRENCY=USD", "XLFILL=b")</f>
        <v/>
      </c>
      <c r="G375" s="9">
        <f>_xll.BQL("UAL US Equity", "BS_DEFERRED_TAX_LIABILITIES_LT/1M", "FPT=A", "FPO=3A", "ACT_EST_MAPPING=PRECISE", "FS=MRC", "CURRENCY=USD", "XLFILL=b")</f>
        <v>983.42284371386052</v>
      </c>
      <c r="H375" s="9">
        <f>_xll.BQL("UAL US Equity", "BS_DEFERRED_TAX_LIABILITIES_LT/1M", "FPT=A", "FPO=2A", "ACT_EST_MAPPING=PRECISE", "FS=MRC", "CURRENCY=USD", "XLFILL=b")</f>
        <v>1223.7757979183602</v>
      </c>
      <c r="I375" s="9">
        <f>_xll.BQL("UAL US Equity", "BS_DEFERRED_TAX_LIABILITIES_LT/1M", "FPT=A", "FPO=1A", "ACT_EST_MAPPING=PRECISE", "FS=MRC", "CURRENCY=USD", "XLFILL=b")</f>
        <v>1001.726984868646</v>
      </c>
      <c r="J375" s="9">
        <f>_xll.BQL("UAL US Equity", "BS_DEFERRED_TAX_LIABILITIES_LT/1M", "FPT=A", "FPO=0A", "ACT_EST_MAPPING=PRECISE", "FS=MRC", "CURRENCY=USD", "XLFILL=b")</f>
        <v>594</v>
      </c>
      <c r="K375" s="9">
        <f>_xll.BQL("UAL US Equity", "BS_DEFERRED_TAX_LIABILITIES_LT/1M", "FPT=A", "FPO=-1A", "ACT_EST_MAPPING=PRECISE", "FS=MRC", "CURRENCY=USD", "XLFILL=b")</f>
        <v>0</v>
      </c>
      <c r="L375" s="9">
        <f>_xll.BQL("UAL US Equity", "BS_DEFERRED_TAX_LIABILITIES_LT/1M", "FPT=A", "FPO=-2A", "ACT_EST_MAPPING=PRECISE", "FS=MRC", "CURRENCY=USD", "XLFILL=b")</f>
        <v>0</v>
      </c>
      <c r="M375" s="9">
        <f>_xll.BQL("UAL US Equity", "BS_DEFERRED_TAX_LIABILITIES_LT/1M", "FPT=A", "FPO=-3A", "ACT_EST_MAPPING=PRECISE", "FS=MRC", "CURRENCY=USD", "XLFILL=b")</f>
        <v>0</v>
      </c>
      <c r="N375" s="9">
        <f>_xll.BQL("UAL US Equity", "BS_DEFERRED_TAX_LIABILITIES_LT/1M", "FPT=A", "FPO=-4A", "ACT_EST_MAPPING=PRECISE", "FS=MRC", "CURRENCY=USD", "XLFILL=b")</f>
        <v>1736</v>
      </c>
    </row>
    <row r="376" spans="1:14" x14ac:dyDescent="0.2">
      <c r="A376" s="8" t="s">
        <v>86</v>
      </c>
      <c r="B376" s="4" t="s">
        <v>378</v>
      </c>
      <c r="C376" s="4"/>
      <c r="D376" s="4"/>
      <c r="E376" s="9" t="str">
        <f>_xll.BQL("UAL US Equity", "FA_GROWTH(BS_DEFERRED_TAX_LIABILITIES_LT, YOY)", "FPT=A", "FPO=5A", "ACT_EST_MAPPING=PRECISE", "FS=MRC", "CURRENCY=USD", "XLFILL=b")</f>
        <v/>
      </c>
      <c r="F376" s="9" t="str">
        <f>_xll.BQL("UAL US Equity", "FA_GROWTH(BS_DEFERRED_TAX_LIABILITIES_LT, YOY)", "FPT=A", "FPO=4A", "ACT_EST_MAPPING=PRECISE", "FS=MRC", "CURRENCY=USD", "XLFILL=b")</f>
        <v/>
      </c>
      <c r="G376" s="9">
        <f>_xll.BQL("UAL US Equity", "FA_GROWTH(BS_DEFERRED_TAX_LIABILITIES_LT, YOY)", "FPT=A", "FPO=3A", "ACT_EST_MAPPING=PRECISE", "FS=MRC", "CURRENCY=USD", "XLFILL=b")</f>
        <v>-19.640276806694459</v>
      </c>
      <c r="H376" s="9">
        <f>_xll.BQL("UAL US Equity", "FA_GROWTH(BS_DEFERRED_TAX_LIABILITIES_LT, YOY)", "FPT=A", "FPO=2A", "ACT_EST_MAPPING=PRECISE", "FS=MRC", "CURRENCY=USD", "XLFILL=b")</f>
        <v>22.166599922316252</v>
      </c>
      <c r="I376" s="9">
        <f>_xll.BQL("UAL US Equity", "FA_GROWTH(BS_DEFERRED_TAX_LIABILITIES_LT, YOY)", "FPT=A", "FPO=1A", "ACT_EST_MAPPING=PRECISE", "FS=MRC", "CURRENCY=USD", "XLFILL=b")</f>
        <v>68.640906543543096</v>
      </c>
      <c r="J376" s="9" t="str">
        <f>_xll.BQL("UAL US Equity", "FA_GROWTH(BS_DEFERRED_TAX_LIABILITIES_LT, YOY)", "FPT=A", "FPO=0A", "ACT_EST_MAPPING=PRECISE", "FS=MRC", "CURRENCY=USD", "XLFILL=b")</f>
        <v/>
      </c>
      <c r="K376" s="9" t="str">
        <f>_xll.BQL("UAL US Equity", "FA_GROWTH(BS_DEFERRED_TAX_LIABILITIES_LT, YOY)", "FPT=A", "FPO=-1A", "ACT_EST_MAPPING=PRECISE", "FS=MRC", "CURRENCY=USD", "XLFILL=b")</f>
        <v/>
      </c>
      <c r="L376" s="9" t="str">
        <f>_xll.BQL("UAL US Equity", "FA_GROWTH(BS_DEFERRED_TAX_LIABILITIES_LT, YOY)", "FPT=A", "FPO=-2A", "ACT_EST_MAPPING=PRECISE", "FS=MRC", "CURRENCY=USD", "XLFILL=b")</f>
        <v/>
      </c>
      <c r="M376" s="9">
        <f>_xll.BQL("UAL US Equity", "FA_GROWTH(BS_DEFERRED_TAX_LIABILITIES_LT, YOY)", "FPT=A", "FPO=-3A", "ACT_EST_MAPPING=PRECISE", "FS=MRC", "CURRENCY=USD", "XLFILL=b")</f>
        <v>-100</v>
      </c>
      <c r="N376" s="9">
        <f>_xll.BQL("UAL US Equity", "FA_GROWTH(BS_DEFERRED_TAX_LIABILITIES_LT, YOY)", "FPT=A", "FPO=-4A", "ACT_EST_MAPPING=PRECISE", "FS=MRC", "CURRENCY=USD", "XLFILL=b")</f>
        <v>109.66183574879227</v>
      </c>
    </row>
    <row r="377" spans="1:14" x14ac:dyDescent="0.2">
      <c r="A377" s="8" t="s">
        <v>379</v>
      </c>
      <c r="B377" s="4" t="s">
        <v>380</v>
      </c>
      <c r="C377" s="4" t="s">
        <v>381</v>
      </c>
      <c r="D377" s="4"/>
      <c r="E377" s="9">
        <f>_xll.BQL("UAL US Equity", "LT_DEFERRED_REVENUE/1M", "FPT=A", "FPO=5A", "ACT_EST_MAPPING=PRECISE", "FS=MRC", "CURRENCY=USD", "XLFILL=b")</f>
        <v>4298</v>
      </c>
      <c r="F377" s="9">
        <f>_xll.BQL("UAL US Equity", "LT_DEFERRED_REVENUE/1M", "FPT=A", "FPO=4A", "ACT_EST_MAPPING=PRECISE", "FS=MRC", "CURRENCY=USD", "XLFILL=b")</f>
        <v>4298</v>
      </c>
      <c r="G377" s="9">
        <f>_xll.BQL("UAL US Equity", "LT_DEFERRED_REVENUE/1M", "FPT=A", "FPO=3A", "ACT_EST_MAPPING=PRECISE", "FS=MRC", "CURRENCY=USD", "XLFILL=b")</f>
        <v>4306.4837876661832</v>
      </c>
      <c r="H377" s="9">
        <f>_xll.BQL("UAL US Equity", "LT_DEFERRED_REVENUE/1M", "FPT=A", "FPO=2A", "ACT_EST_MAPPING=PRECISE", "FS=MRC", "CURRENCY=USD", "XLFILL=b")</f>
        <v>4527.5054549915621</v>
      </c>
      <c r="I377" s="9">
        <f>_xll.BQL("UAL US Equity", "LT_DEFERRED_REVENUE/1M", "FPT=A", "FPO=1A", "ACT_EST_MAPPING=PRECISE", "FS=MRC", "CURRENCY=USD", "XLFILL=b")</f>
        <v>4229.9537262632575</v>
      </c>
      <c r="J377" s="9">
        <f>_xll.BQL("UAL US Equity", "LT_DEFERRED_REVENUE/1M", "FPT=A", "FPO=0A", "ACT_EST_MAPPING=PRECISE", "FS=MRC", "CURRENCY=USD", "XLFILL=b")</f>
        <v>4048</v>
      </c>
      <c r="K377" s="9">
        <f>_xll.BQL("UAL US Equity", "LT_DEFERRED_REVENUE/1M", "FPT=A", "FPO=-1A", "ACT_EST_MAPPING=PRECISE", "FS=MRC", "CURRENCY=USD", "XLFILL=b")</f>
        <v>3982</v>
      </c>
      <c r="L377" s="9">
        <f>_xll.BQL("UAL US Equity", "LT_DEFERRED_REVENUE/1M", "FPT=A", "FPO=-2A", "ACT_EST_MAPPING=PRECISE", "FS=MRC", "CURRENCY=USD", "XLFILL=b")</f>
        <v>4043</v>
      </c>
      <c r="M377" s="9">
        <f>_xll.BQL("UAL US Equity", "LT_DEFERRED_REVENUE/1M", "FPT=A", "FPO=-3A", "ACT_EST_MAPPING=PRECISE", "FS=MRC", "CURRENCY=USD", "XLFILL=b")</f>
        <v>5067</v>
      </c>
      <c r="N377" s="9">
        <f>_xll.BQL("UAL US Equity", "LT_DEFERRED_REVENUE/1M", "FPT=A", "FPO=-4A", "ACT_EST_MAPPING=PRECISE", "FS=MRC", "CURRENCY=USD", "XLFILL=b")</f>
        <v>2836</v>
      </c>
    </row>
    <row r="378" spans="1:14" x14ac:dyDescent="0.2">
      <c r="A378" s="8" t="s">
        <v>86</v>
      </c>
      <c r="B378" s="4" t="s">
        <v>380</v>
      </c>
      <c r="C378" s="4" t="s">
        <v>381</v>
      </c>
      <c r="D378" s="4"/>
      <c r="E378" s="9">
        <f>_xll.BQL("UAL US Equity", "FA_GROWTH(LT_DEFERRED_REVENUE, YOY)", "FPT=A", "FPO=5A", "ACT_EST_MAPPING=PRECISE", "FS=MRC", "CURRENCY=USD", "XLFILL=b")</f>
        <v>0</v>
      </c>
      <c r="F378" s="9">
        <f>_xll.BQL("UAL US Equity", "FA_GROWTH(LT_DEFERRED_REVENUE, YOY)", "FPT=A", "FPO=4A", "ACT_EST_MAPPING=PRECISE", "FS=MRC", "CURRENCY=USD", "XLFILL=b")</f>
        <v>-0.19700033912773879</v>
      </c>
      <c r="G378" s="9">
        <f>_xll.BQL("UAL US Equity", "FA_GROWTH(LT_DEFERRED_REVENUE, YOY)", "FPT=A", "FPO=3A", "ACT_EST_MAPPING=PRECISE", "FS=MRC", "CURRENCY=USD", "XLFILL=b")</f>
        <v>-4.8817537498867649</v>
      </c>
      <c r="H378" s="9">
        <f>_xll.BQL("UAL US Equity", "FA_GROWTH(LT_DEFERRED_REVENUE, YOY)", "FPT=A", "FPO=2A", "ACT_EST_MAPPING=PRECISE", "FS=MRC", "CURRENCY=USD", "XLFILL=b")</f>
        <v>7.0343967802967358</v>
      </c>
      <c r="I378" s="9">
        <f>_xll.BQL("UAL US Equity", "FA_GROWTH(LT_DEFERRED_REVENUE, YOY)", "FPT=A", "FPO=1A", "ACT_EST_MAPPING=PRECISE", "FS=MRC", "CURRENCY=USD", "XLFILL=b")</f>
        <v>4.49490430492237</v>
      </c>
      <c r="J378" s="9">
        <f>_xll.BQL("UAL US Equity", "FA_GROWTH(LT_DEFERRED_REVENUE, YOY)", "FPT=A", "FPO=0A", "ACT_EST_MAPPING=PRECISE", "FS=MRC", "CURRENCY=USD", "XLFILL=b")</f>
        <v>1.6574585635359116</v>
      </c>
      <c r="K378" s="9">
        <f>_xll.BQL("UAL US Equity", "FA_GROWTH(LT_DEFERRED_REVENUE, YOY)", "FPT=A", "FPO=-1A", "ACT_EST_MAPPING=PRECISE", "FS=MRC", "CURRENCY=USD", "XLFILL=b")</f>
        <v>-1.5087806084590651</v>
      </c>
      <c r="L378" s="9">
        <f>_xll.BQL("UAL US Equity", "FA_GROWTH(LT_DEFERRED_REVENUE, YOY)", "FPT=A", "FPO=-2A", "ACT_EST_MAPPING=PRECISE", "FS=MRC", "CURRENCY=USD", "XLFILL=b")</f>
        <v>-20.20919676337083</v>
      </c>
      <c r="M378" s="9">
        <f>_xll.BQL("UAL US Equity", "FA_GROWTH(LT_DEFERRED_REVENUE, YOY)", "FPT=A", "FPO=-3A", "ACT_EST_MAPPING=PRECISE", "FS=MRC", "CURRENCY=USD", "XLFILL=b")</f>
        <v>78.667136812411854</v>
      </c>
      <c r="N378" s="9">
        <f>_xll.BQL("UAL US Equity", "FA_GROWTH(LT_DEFERRED_REVENUE, YOY)", "FPT=A", "FPO=-4A", "ACT_EST_MAPPING=PRECISE", "FS=MRC", "CURRENCY=USD", "XLFILL=b")</f>
        <v>4.3030525928650238</v>
      </c>
    </row>
    <row r="379" spans="1:14" x14ac:dyDescent="0.2">
      <c r="A379" s="8" t="s">
        <v>382</v>
      </c>
      <c r="B379" s="4" t="s">
        <v>383</v>
      </c>
      <c r="C379" s="4"/>
      <c r="D379" s="4"/>
      <c r="E379" s="9" t="str">
        <f>_xll.BQL("UAL US Equity", "BS_OTHER_LT_LIABILITIES/1M", "FPT=A", "FPO=5A", "ACT_EST_MAPPING=PRECISE", "FS=MRC", "CURRENCY=USD", "XLFILL=b")</f>
        <v/>
      </c>
      <c r="F379" s="9">
        <f>_xll.BQL("UAL US Equity", "BS_OTHER_LT_LIABILITIES/1M", "FPT=A", "FPO=4A", "ACT_EST_MAPPING=PRECISE", "FS=MRC", "CURRENCY=USD", "XLFILL=b")</f>
        <v>10176</v>
      </c>
      <c r="G379" s="9">
        <f>_xll.BQL("UAL US Equity", "BS_OTHER_LT_LIABILITIES/1M", "FPT=A", "FPO=3A", "ACT_EST_MAPPING=PRECISE", "FS=MRC", "CURRENCY=USD", "XLFILL=b")</f>
        <v>10462.252420601028</v>
      </c>
      <c r="H379" s="9">
        <f>_xll.BQL("UAL US Equity", "BS_OTHER_LT_LIABILITIES/1M", "FPT=A", "FPO=2A", "ACT_EST_MAPPING=PRECISE", "FS=MRC", "CURRENCY=USD", "XLFILL=b")</f>
        <v>10461.096244361017</v>
      </c>
      <c r="I379" s="9">
        <f>_xll.BQL("UAL US Equity", "BS_OTHER_LT_LIABILITIES/1M", "FPT=A", "FPO=1A", "ACT_EST_MAPPING=PRECISE", "FS=MRC", "CURRENCY=USD", "XLFILL=b")</f>
        <v>10534.926114134809</v>
      </c>
      <c r="J379" s="9">
        <f>_xll.BQL("UAL US Equity", "BS_OTHER_LT_LIABILITIES/1M", "FPT=A", "FPO=0A", "ACT_EST_MAPPING=PRECISE", "FS=MRC", "CURRENCY=USD", "XLFILL=b")</f>
        <v>9926</v>
      </c>
      <c r="K379" s="9">
        <f>_xll.BQL("UAL US Equity", "BS_OTHER_LT_LIABILITIES/1M", "FPT=A", "FPO=-1A", "ACT_EST_MAPPING=PRECISE", "FS=MRC", "CURRENCY=USD", "XLFILL=b")</f>
        <v>7613</v>
      </c>
      <c r="L379" s="9">
        <f>_xll.BQL("UAL US Equity", "BS_OTHER_LT_LIABILITIES/1M", "FPT=A", "FPO=-2A", "ACT_EST_MAPPING=PRECISE", "FS=MRC", "CURRENCY=USD", "XLFILL=b")</f>
        <v>9110</v>
      </c>
      <c r="M379" s="9">
        <f>_xll.BQL("UAL US Equity", "BS_OTHER_LT_LIABILITIES/1M", "FPT=A", "FPO=-3A", "ACT_EST_MAPPING=PRECISE", "FS=MRC", "CURRENCY=USD", "XLFILL=b")</f>
        <v>10817</v>
      </c>
      <c r="N379" s="9">
        <f>_xll.BQL("UAL US Equity", "BS_OTHER_LT_LIABILITIES/1M", "FPT=A", "FPO=-4A", "ACT_EST_MAPPING=PRECISE", "FS=MRC", "CURRENCY=USD", "XLFILL=b")</f>
        <v>7831</v>
      </c>
    </row>
    <row r="380" spans="1:14" x14ac:dyDescent="0.2">
      <c r="A380" s="8" t="s">
        <v>86</v>
      </c>
      <c r="B380" s="4" t="s">
        <v>383</v>
      </c>
      <c r="C380" s="4"/>
      <c r="D380" s="4"/>
      <c r="E380" s="9" t="str">
        <f>_xll.BQL("UAL US Equity", "FA_GROWTH(BS_OTHER_LT_LIABILITIES, YOY)", "FPT=A", "FPO=5A", "ACT_EST_MAPPING=PRECISE", "FS=MRC", "CURRENCY=USD", "XLFILL=b")</f>
        <v/>
      </c>
      <c r="F380" s="9">
        <f>_xll.BQL("UAL US Equity", "FA_GROWTH(BS_OTHER_LT_LIABILITIES, YOY)", "FPT=A", "FPO=4A", "ACT_EST_MAPPING=PRECISE", "FS=MRC", "CURRENCY=USD", "XLFILL=b")</f>
        <v>-2.7360496487101962</v>
      </c>
      <c r="G380" s="9">
        <f>_xll.BQL("UAL US Equity", "FA_GROWTH(BS_OTHER_LT_LIABILITIES, YOY)", "FPT=A", "FPO=3A", "ACT_EST_MAPPING=PRECISE", "FS=MRC", "CURRENCY=USD", "XLFILL=b")</f>
        <v>1.1052151830019192E-2</v>
      </c>
      <c r="H380" s="9">
        <f>_xll.BQL("UAL US Equity", "FA_GROWTH(BS_OTHER_LT_LIABILITIES, YOY)", "FPT=A", "FPO=2A", "ACT_EST_MAPPING=PRECISE", "FS=MRC", "CURRENCY=USD", "XLFILL=b")</f>
        <v>-0.7008105132767285</v>
      </c>
      <c r="I380" s="9">
        <f>_xll.BQL("UAL US Equity", "FA_GROWTH(BS_OTHER_LT_LIABILITIES, YOY)", "FPT=A", "FPO=1A", "ACT_EST_MAPPING=PRECISE", "FS=MRC", "CURRENCY=USD", "XLFILL=b")</f>
        <v>6.1346576076446651</v>
      </c>
      <c r="J380" s="9">
        <f>_xll.BQL("UAL US Equity", "FA_GROWTH(BS_OTHER_LT_LIABILITIES, YOY)", "FPT=A", "FPO=0A", "ACT_EST_MAPPING=PRECISE", "FS=MRC", "CURRENCY=USD", "XLFILL=b")</f>
        <v>30.382240903717324</v>
      </c>
      <c r="K380" s="9">
        <f>_xll.BQL("UAL US Equity", "FA_GROWTH(BS_OTHER_LT_LIABILITIES, YOY)", "FPT=A", "FPO=-1A", "ACT_EST_MAPPING=PRECISE", "FS=MRC", "CURRENCY=USD", "XLFILL=b")</f>
        <v>-16.432491767288695</v>
      </c>
      <c r="L380" s="9">
        <f>_xll.BQL("UAL US Equity", "FA_GROWTH(BS_OTHER_LT_LIABILITIES, YOY)", "FPT=A", "FPO=-2A", "ACT_EST_MAPPING=PRECISE", "FS=MRC", "CURRENCY=USD", "XLFILL=b")</f>
        <v>-15.780715540353148</v>
      </c>
      <c r="M380" s="9">
        <f>_xll.BQL("UAL US Equity", "FA_GROWTH(BS_OTHER_LT_LIABILITIES, YOY)", "FPT=A", "FPO=-3A", "ACT_EST_MAPPING=PRECISE", "FS=MRC", "CURRENCY=USD", "XLFILL=b")</f>
        <v>38.130506959519856</v>
      </c>
      <c r="N380" s="9">
        <f>_xll.BQL("UAL US Equity", "FA_GROWTH(BS_OTHER_LT_LIABILITIES, YOY)", "FPT=A", "FPO=-4A", "ACT_EST_MAPPING=PRECISE", "FS=MRC", "CURRENCY=USD", "XLFILL=b")</f>
        <v>5.4254173397953691</v>
      </c>
    </row>
    <row r="381" spans="1:14" x14ac:dyDescent="0.2">
      <c r="A381" s="8" t="s">
        <v>384</v>
      </c>
      <c r="B381" s="4" t="s">
        <v>385</v>
      </c>
      <c r="C381" s="4" t="s">
        <v>386</v>
      </c>
      <c r="D381" s="4"/>
      <c r="E381" s="9">
        <f>_xll.BQL("UAL US Equity", "BS_OTHER_NONCURRENT_LIABILITIES/1M", "FPT=A", "FPO=5A", "ACT_EST_MAPPING=PRECISE", "FS=MRC", "CURRENCY=USD", "XLFILL=b")</f>
        <v>2285.5000000000005</v>
      </c>
      <c r="F381" s="9">
        <f>_xll.BQL("UAL US Equity", "BS_OTHER_NONCURRENT_LIABILITIES/1M", "FPT=A", "FPO=4A", "ACT_EST_MAPPING=PRECISE", "FS=MRC", "CURRENCY=USD", "XLFILL=b")</f>
        <v>2854.7</v>
      </c>
      <c r="G381" s="9">
        <f>_xll.BQL("UAL US Equity", "BS_OTHER_NONCURRENT_LIABILITIES/1M", "FPT=A", "FPO=3A", "ACT_EST_MAPPING=PRECISE", "FS=MRC", "CURRENCY=USD", "XLFILL=b")</f>
        <v>3423.9</v>
      </c>
      <c r="H381" s="9">
        <f>_xll.BQL("UAL US Equity", "BS_OTHER_NONCURRENT_LIABILITIES/1M", "FPT=A", "FPO=2A", "ACT_EST_MAPPING=PRECISE", "FS=MRC", "CURRENCY=USD", "XLFILL=b")</f>
        <v>4097.1937659368314</v>
      </c>
      <c r="I381" s="9">
        <f>_xll.BQL("UAL US Equity", "BS_OTHER_NONCURRENT_LIABILITIES/1M", "FPT=A", "FPO=1A", "ACT_EST_MAPPING=PRECISE", "FS=MRC", "CURRENCY=USD", "XLFILL=b")</f>
        <v>4224.102106864857</v>
      </c>
      <c r="J381" s="9">
        <f>_xll.BQL("UAL US Equity", "BS_OTHER_NONCURRENT_LIABILITIES/1M", "FPT=A", "FPO=0A", "ACT_EST_MAPPING=PRECISE", "FS=MRC", "CURRENCY=USD", "XLFILL=b")</f>
        <v>3679</v>
      </c>
      <c r="K381" s="9">
        <f>_xll.BQL("UAL US Equity", "BS_OTHER_NONCURRENT_LIABILITIES/1M", "FPT=A", "FPO=-1A", "ACT_EST_MAPPING=PRECISE", "FS=MRC", "CURRENCY=USD", "XLFILL=b")</f>
        <v>2213</v>
      </c>
      <c r="L381" s="9">
        <f>_xll.BQL("UAL US Equity", "BS_OTHER_NONCURRENT_LIABILITIES/1M", "FPT=A", "FPO=-2A", "ACT_EST_MAPPING=PRECISE", "FS=MRC", "CURRENCY=USD", "XLFILL=b")</f>
        <v>2147</v>
      </c>
      <c r="M381" s="9">
        <f>_xll.BQL("UAL US Equity", "BS_OTHER_NONCURRENT_LIABILITIES/1M", "FPT=A", "FPO=-3A", "ACT_EST_MAPPING=PRECISE", "FS=MRC", "CURRENCY=USD", "XLFILL=b")</f>
        <v>2296</v>
      </c>
      <c r="N381" s="9">
        <f>_xll.BQL("UAL US Equity", "BS_OTHER_NONCURRENT_LIABILITIES/1M", "FPT=A", "FPO=-4A", "ACT_EST_MAPPING=PRECISE", "FS=MRC", "CURRENCY=USD", "XLFILL=b")</f>
        <v>1024</v>
      </c>
    </row>
    <row r="382" spans="1:14" x14ac:dyDescent="0.2">
      <c r="A382" s="8" t="s">
        <v>86</v>
      </c>
      <c r="B382" s="4" t="s">
        <v>385</v>
      </c>
      <c r="C382" s="4" t="s">
        <v>386</v>
      </c>
      <c r="D382" s="4"/>
      <c r="E382" s="9">
        <f>_xll.BQL("UAL US Equity", "FA_GROWTH(BS_OTHER_NONCURRENT_LIABILITIES, YOY)", "FPT=A", "FPO=5A", "ACT_EST_MAPPING=PRECISE", "FS=MRC", "CURRENCY=USD", "XLFILL=b")</f>
        <v>-19.939047885942465</v>
      </c>
      <c r="F382" s="9">
        <f>_xll.BQL("UAL US Equity", "FA_GROWTH(BS_OTHER_NONCURRENT_LIABILITIES, YOY)", "FPT=A", "FPO=4A", "ACT_EST_MAPPING=PRECISE", "FS=MRC", "CURRENCY=USD", "XLFILL=b")</f>
        <v>-16.624317298986536</v>
      </c>
      <c r="G382" s="9">
        <f>_xll.BQL("UAL US Equity", "FA_GROWTH(BS_OTHER_NONCURRENT_LIABILITIES, YOY)", "FPT=A", "FPO=3A", "ACT_EST_MAPPING=PRECISE", "FS=MRC", "CURRENCY=USD", "XLFILL=b")</f>
        <v>-16.433046724185903</v>
      </c>
      <c r="H382" s="9">
        <f>_xll.BQL("UAL US Equity", "FA_GROWTH(BS_OTHER_NONCURRENT_LIABILITIES, YOY)", "FPT=A", "FPO=2A", "ACT_EST_MAPPING=PRECISE", "FS=MRC", "CURRENCY=USD", "XLFILL=b")</f>
        <v>-3.0043862036805149</v>
      </c>
      <c r="I382" s="9">
        <f>_xll.BQL("UAL US Equity", "FA_GROWTH(BS_OTHER_NONCURRENT_LIABILITIES, YOY)", "FPT=A", "FPO=1A", "ACT_EST_MAPPING=PRECISE", "FS=MRC", "CURRENCY=USD", "XLFILL=b")</f>
        <v>14.816583497277987</v>
      </c>
      <c r="J382" s="9">
        <f>_xll.BQL("UAL US Equity", "FA_GROWTH(BS_OTHER_NONCURRENT_LIABILITIES, YOY)", "FPT=A", "FPO=0A", "ACT_EST_MAPPING=PRECISE", "FS=MRC", "CURRENCY=USD", "XLFILL=b")</f>
        <v>66.24491640307275</v>
      </c>
      <c r="K382" s="9">
        <f>_xll.BQL("UAL US Equity", "FA_GROWTH(BS_OTHER_NONCURRENT_LIABILITIES, YOY)", "FPT=A", "FPO=-1A", "ACT_EST_MAPPING=PRECISE", "FS=MRC", "CURRENCY=USD", "XLFILL=b")</f>
        <v>3.0740568234746157</v>
      </c>
      <c r="L382" s="9">
        <f>_xll.BQL("UAL US Equity", "FA_GROWTH(BS_OTHER_NONCURRENT_LIABILITIES, YOY)", "FPT=A", "FPO=-2A", "ACT_EST_MAPPING=PRECISE", "FS=MRC", "CURRENCY=USD", "XLFILL=b")</f>
        <v>-6.489547038327526</v>
      </c>
      <c r="M382" s="9">
        <f>_xll.BQL("UAL US Equity", "FA_GROWTH(BS_OTHER_NONCURRENT_LIABILITIES, YOY)", "FPT=A", "FPO=-3A", "ACT_EST_MAPPING=PRECISE", "FS=MRC", "CURRENCY=USD", "XLFILL=b")</f>
        <v>124.21875</v>
      </c>
      <c r="N382" s="9">
        <f>_xll.BQL("UAL US Equity", "FA_GROWTH(BS_OTHER_NONCURRENT_LIABILITIES, YOY)", "FPT=A", "FPO=-4A", "ACT_EST_MAPPING=PRECISE", "FS=MRC", "CURRENCY=USD", "XLFILL=b")</f>
        <v>1.386138613861386</v>
      </c>
    </row>
    <row r="383" spans="1:14" x14ac:dyDescent="0.2">
      <c r="A383" s="8" t="s">
        <v>387</v>
      </c>
      <c r="B383" s="4" t="s">
        <v>388</v>
      </c>
      <c r="C383" s="4"/>
      <c r="D383" s="4"/>
      <c r="E383" s="9">
        <f>_xll.BQL("UAL US Equity", "ST_DEFERRED_REVENUE/1M", "FPT=A", "FPO=5A", "ACT_EST_MAPPING=PRECISE", "FS=MRC", "CURRENCY=USD", "XLFILL=b")</f>
        <v>14079.658012645079</v>
      </c>
      <c r="F383" s="9">
        <f>_xll.BQL("UAL US Equity", "ST_DEFERRED_REVENUE/1M", "FPT=A", "FPO=4A", "ACT_EST_MAPPING=PRECISE", "FS=MRC", "CURRENCY=USD", "XLFILL=b")</f>
        <v>13201.728446847568</v>
      </c>
      <c r="G383" s="9">
        <f>_xll.BQL("UAL US Equity", "ST_DEFERRED_REVENUE/1M", "FPT=A", "FPO=3A", "ACT_EST_MAPPING=PRECISE", "FS=MRC", "CURRENCY=USD", "XLFILL=b")</f>
        <v>12335.554235407166</v>
      </c>
      <c r="H383" s="9">
        <f>_xll.BQL("UAL US Equity", "ST_DEFERRED_REVENUE/1M", "FPT=A", "FPO=2A", "ACT_EST_MAPPING=PRECISE", "FS=MRC", "CURRENCY=USD", "XLFILL=b")</f>
        <v>11428.198185650002</v>
      </c>
      <c r="I383" s="9">
        <f>_xll.BQL("UAL US Equity", "ST_DEFERRED_REVENUE/1M", "FPT=A", "FPO=1A", "ACT_EST_MAPPING=PRECISE", "FS=MRC", "CURRENCY=USD", "XLFILL=b")</f>
        <v>10462.53025</v>
      </c>
      <c r="J383" s="9">
        <f>_xll.BQL("UAL US Equity", "ST_DEFERRED_REVENUE/1M", "FPT=A", "FPO=0A", "ACT_EST_MAPPING=PRECISE", "FS=MRC", "CURRENCY=USD", "XLFILL=b")</f>
        <v>9799</v>
      </c>
      <c r="K383" s="9">
        <f>_xll.BQL("UAL US Equity", "ST_DEFERRED_REVENUE/1M", "FPT=A", "FPO=-1A", "ACT_EST_MAPPING=PRECISE", "FS=MRC", "CURRENCY=USD", "XLFILL=b")</f>
        <v>10248</v>
      </c>
      <c r="L383" s="9">
        <f>_xll.BQL("UAL US Equity", "ST_DEFERRED_REVENUE/1M", "FPT=A", "FPO=-2A", "ACT_EST_MAPPING=PRECISE", "FS=MRC", "CURRENCY=USD", "XLFILL=b")</f>
        <v>8593</v>
      </c>
      <c r="M383" s="9">
        <f>_xll.BQL("UAL US Equity", "ST_DEFERRED_REVENUE/1M", "FPT=A", "FPO=-3A", "ACT_EST_MAPPING=PRECISE", "FS=MRC", "CURRENCY=USD", "XLFILL=b")</f>
        <v>5741</v>
      </c>
      <c r="N383" s="9">
        <f>_xll.BQL("UAL US Equity", "ST_DEFERRED_REVENUE/1M", "FPT=A", "FPO=-4A", "ACT_EST_MAPPING=PRECISE", "FS=MRC", "CURRENCY=USD", "XLFILL=b")</f>
        <v>7259</v>
      </c>
    </row>
    <row r="384" spans="1:14" x14ac:dyDescent="0.2">
      <c r="A384" s="8" t="s">
        <v>20</v>
      </c>
      <c r="B384" s="4" t="s">
        <v>388</v>
      </c>
      <c r="C384" s="4"/>
      <c r="D384" s="4"/>
      <c r="E384" s="9">
        <f>_xll.BQL("UAL US Equity", "FA_GROWTH(ST_DEFERRED_REVENUE, YOY)", "FPT=A", "FPO=5A", "ACT_EST_MAPPING=PRECISE", "FS=MRC", "CURRENCY=USD", "XLFILL=b")</f>
        <v>6.6501107739960386</v>
      </c>
      <c r="F384" s="9">
        <f>_xll.BQL("UAL US Equity", "FA_GROWTH(ST_DEFERRED_REVENUE, YOY)", "FPT=A", "FPO=4A", "ACT_EST_MAPPING=PRECISE", "FS=MRC", "CURRENCY=USD", "XLFILL=b")</f>
        <v>7.0217697146853224</v>
      </c>
      <c r="G384" s="9">
        <f>_xll.BQL("UAL US Equity", "FA_GROWTH(ST_DEFERRED_REVENUE, YOY)", "FPT=A", "FPO=3A", "ACT_EST_MAPPING=PRECISE", "FS=MRC", "CURRENCY=USD", "XLFILL=b")</f>
        <v>7.9396247336391141</v>
      </c>
      <c r="H384" s="9">
        <f>_xll.BQL("UAL US Equity", "FA_GROWTH(ST_DEFERRED_REVENUE, YOY)", "FPT=A", "FPO=2A", "ACT_EST_MAPPING=PRECISE", "FS=MRC", "CURRENCY=USD", "XLFILL=b")</f>
        <v>9.2297743717395857</v>
      </c>
      <c r="I384" s="9">
        <f>_xll.BQL("UAL US Equity", "FA_GROWTH(ST_DEFERRED_REVENUE, YOY)", "FPT=A", "FPO=1A", "ACT_EST_MAPPING=PRECISE", "FS=MRC", "CURRENCY=USD", "XLFILL=b")</f>
        <v>6.7714077967139508</v>
      </c>
      <c r="J384" s="9">
        <f>_xll.BQL("UAL US Equity", "FA_GROWTH(ST_DEFERRED_REVENUE, YOY)", "FPT=A", "FPO=0A", "ACT_EST_MAPPING=PRECISE", "FS=MRC", "CURRENCY=USD", "XLFILL=b")</f>
        <v>-4.381342701014832</v>
      </c>
      <c r="K384" s="9">
        <f>_xll.BQL("UAL US Equity", "FA_GROWTH(ST_DEFERRED_REVENUE, YOY)", "FPT=A", "FPO=-1A", "ACT_EST_MAPPING=PRECISE", "FS=MRC", "CURRENCY=USD", "XLFILL=b")</f>
        <v>19.259862678924705</v>
      </c>
      <c r="L384" s="9">
        <f>_xll.BQL("UAL US Equity", "FA_GROWTH(ST_DEFERRED_REVENUE, YOY)", "FPT=A", "FPO=-2A", "ACT_EST_MAPPING=PRECISE", "FS=MRC", "CURRENCY=USD", "XLFILL=b")</f>
        <v>49.677756488416655</v>
      </c>
      <c r="M384" s="9">
        <f>_xll.BQL("UAL US Equity", "FA_GROWTH(ST_DEFERRED_REVENUE, YOY)", "FPT=A", "FPO=-3A", "ACT_EST_MAPPING=PRECISE", "FS=MRC", "CURRENCY=USD", "XLFILL=b")</f>
        <v>-20.911971345915415</v>
      </c>
      <c r="N384" s="9">
        <f>_xll.BQL("UAL US Equity", "FA_GROWTH(ST_DEFERRED_REVENUE, YOY)", "FPT=A", "FPO=-4A", "ACT_EST_MAPPING=PRECISE", "FS=MRC", "CURRENCY=USD", "XLFILL=b")</f>
        <v>8.8795560221988907</v>
      </c>
    </row>
    <row r="385" spans="1:14" x14ac:dyDescent="0.2">
      <c r="A385" s="8" t="s">
        <v>389</v>
      </c>
      <c r="B385" s="4" t="s">
        <v>390</v>
      </c>
      <c r="C385" s="4" t="s">
        <v>391</v>
      </c>
      <c r="D385" s="4"/>
      <c r="E385" s="9">
        <f>_xll.BQL("UAL US Equity", "BS_TOTAL_LIABILITIES/1M", "FPT=A", "FPO=5A", "ACT_EST_MAPPING=PRECISE", "FS=MRC", "CURRENCY=USD", "XLFILL=b")</f>
        <v>53772.191553966622</v>
      </c>
      <c r="F385" s="9">
        <f>_xll.BQL("UAL US Equity", "BS_TOTAL_LIABILITIES/1M", "FPT=A", "FPO=4A", "ACT_EST_MAPPING=PRECISE", "FS=MRC", "CURRENCY=USD", "XLFILL=b")</f>
        <v>56427.033266235449</v>
      </c>
      <c r="G385" s="9">
        <f>_xll.BQL("UAL US Equity", "BS_TOTAL_LIABILITIES/1M", "FPT=A", "FPO=3A", "ACT_EST_MAPPING=PRECISE", "FS=MRC", "CURRENCY=USD", "XLFILL=b")</f>
        <v>55316.839600111911</v>
      </c>
      <c r="H385" s="9">
        <f>_xll.BQL("UAL US Equity", "BS_TOTAL_LIABILITIES/1M", "FPT=A", "FPO=2A", "ACT_EST_MAPPING=PRECISE", "FS=MRC", "CURRENCY=USD", "XLFILL=b")</f>
        <v>57987.348430652892</v>
      </c>
      <c r="I385" s="9">
        <f>_xll.BQL("UAL US Equity", "BS_TOTAL_LIABILITIES/1M", "FPT=A", "FPO=1A", "ACT_EST_MAPPING=PRECISE", "FS=MRC", "CURRENCY=USD", "XLFILL=b")</f>
        <v>58000.650464219689</v>
      </c>
      <c r="J385" s="9">
        <f>_xll.BQL("UAL US Equity", "BS_TOTAL_LIABILITIES/1M", "FPT=A", "FPO=0A", "ACT_EST_MAPPING=PRECISE", "FS=MRC", "CURRENCY=USD", "XLFILL=b")</f>
        <v>61780</v>
      </c>
      <c r="K385" s="9">
        <f>_xll.BQL("UAL US Equity", "BS_TOTAL_LIABILITIES/1M", "FPT=A", "FPO=-1A", "ACT_EST_MAPPING=PRECISE", "FS=MRC", "CURRENCY=USD", "XLFILL=b")</f>
        <v>60462</v>
      </c>
      <c r="L385" s="9">
        <f>_xll.BQL("UAL US Equity", "BS_TOTAL_LIABILITIES/1M", "FPT=A", "FPO=-2A", "ACT_EST_MAPPING=PRECISE", "FS=MRC", "CURRENCY=USD", "XLFILL=b")</f>
        <v>63146</v>
      </c>
      <c r="M385" s="9">
        <f>_xll.BQL("UAL US Equity", "BS_TOTAL_LIABILITIES/1M", "FPT=A", "FPO=-3A", "ACT_EST_MAPPING=PRECISE", "FS=MRC", "CURRENCY=USD", "XLFILL=b")</f>
        <v>53588</v>
      </c>
      <c r="N385" s="9">
        <f>_xll.BQL("UAL US Equity", "BS_TOTAL_LIABILITIES/1M", "FPT=A", "FPO=-4A", "ACT_EST_MAPPING=PRECISE", "FS=MRC", "CURRENCY=USD", "XLFILL=b")</f>
        <v>41080</v>
      </c>
    </row>
    <row r="386" spans="1:14" x14ac:dyDescent="0.2">
      <c r="A386" s="8" t="s">
        <v>20</v>
      </c>
      <c r="B386" s="4" t="s">
        <v>390</v>
      </c>
      <c r="C386" s="4" t="s">
        <v>391</v>
      </c>
      <c r="D386" s="4"/>
      <c r="E386" s="9">
        <f>_xll.BQL("UAL US Equity", "FA_GROWTH(BS_TOTAL_LIABILITIES, YOY)", "FPT=A", "FPO=5A", "ACT_EST_MAPPING=PRECISE", "FS=MRC", "CURRENCY=USD", "XLFILL=b")</f>
        <v>-4.7049110303968815</v>
      </c>
      <c r="F386" s="9">
        <f>_xll.BQL("UAL US Equity", "FA_GROWTH(BS_TOTAL_LIABILITIES, YOY)", "FPT=A", "FPO=4A", "ACT_EST_MAPPING=PRECISE", "FS=MRC", "CURRENCY=USD", "XLFILL=b")</f>
        <v>2.0069723327456632</v>
      </c>
      <c r="G386" s="9">
        <f>_xll.BQL("UAL US Equity", "FA_GROWTH(BS_TOTAL_LIABILITIES, YOY)", "FPT=A", "FPO=3A", "ACT_EST_MAPPING=PRECISE", "FS=MRC", "CURRENCY=USD", "XLFILL=b")</f>
        <v>-4.605330132890364</v>
      </c>
      <c r="H386" s="9">
        <f>_xll.BQL("UAL US Equity", "FA_GROWTH(BS_TOTAL_LIABILITIES, YOY)", "FPT=A", "FPO=2A", "ACT_EST_MAPPING=PRECISE", "FS=MRC", "CURRENCY=USD", "XLFILL=b")</f>
        <v>-2.2934283426702787E-2</v>
      </c>
      <c r="I386" s="9">
        <f>_xll.BQL("UAL US Equity", "FA_GROWTH(BS_TOTAL_LIABILITIES, YOY)", "FPT=A", "FPO=1A", "ACT_EST_MAPPING=PRECISE", "FS=MRC", "CURRENCY=USD", "XLFILL=b")</f>
        <v>-6.1174320747496136</v>
      </c>
      <c r="J386" s="9">
        <f>_xll.BQL("UAL US Equity", "FA_GROWTH(BS_TOTAL_LIABILITIES, YOY)", "FPT=A", "FPO=0A", "ACT_EST_MAPPING=PRECISE", "FS=MRC", "CURRENCY=USD", "XLFILL=b")</f>
        <v>2.1798815785121235</v>
      </c>
      <c r="K386" s="9">
        <f>_xll.BQL("UAL US Equity", "FA_GROWTH(BS_TOTAL_LIABILITIES, YOY)", "FPT=A", "FPO=-1A", "ACT_EST_MAPPING=PRECISE", "FS=MRC", "CURRENCY=USD", "XLFILL=b")</f>
        <v>-4.2504671713172648</v>
      </c>
      <c r="L386" s="9">
        <f>_xll.BQL("UAL US Equity", "FA_GROWTH(BS_TOTAL_LIABILITIES, YOY)", "FPT=A", "FPO=-2A", "ACT_EST_MAPPING=PRECISE", "FS=MRC", "CURRENCY=USD", "XLFILL=b")</f>
        <v>17.836082705083228</v>
      </c>
      <c r="M386" s="9">
        <f>_xll.BQL("UAL US Equity", "FA_GROWTH(BS_TOTAL_LIABILITIES, YOY)", "FPT=A", "FPO=-3A", "ACT_EST_MAPPING=PRECISE", "FS=MRC", "CURRENCY=USD", "XLFILL=b")</f>
        <v>30.447906523855892</v>
      </c>
      <c r="N386" s="9">
        <f>_xll.BQL("UAL US Equity", "FA_GROWTH(BS_TOTAL_LIABILITIES, YOY)", "FPT=A", "FPO=-4A", "ACT_EST_MAPPING=PRECISE", "FS=MRC", "CURRENCY=USD", "XLFILL=b")</f>
        <v>5.3819711661792624</v>
      </c>
    </row>
    <row r="387" spans="1:14" x14ac:dyDescent="0.2">
      <c r="A387" s="8" t="s">
        <v>392</v>
      </c>
      <c r="B387" s="4" t="s">
        <v>393</v>
      </c>
      <c r="C387" s="4" t="s">
        <v>394</v>
      </c>
      <c r="D387" s="4"/>
      <c r="E387" s="9">
        <f>_xll.BQL("UAL US Equity", "HEADLINE_NAV/1M", "FPT=A", "FPO=5A", "ACT_EST_MAPPING=PRECISE", "FS=MRC", "CURRENCY=USD", "XLFILL=b")</f>
        <v>30543</v>
      </c>
      <c r="F387" s="9">
        <f>_xll.BQL("UAL US Equity", "HEADLINE_NAV/1M", "FPT=A", "FPO=4A", "ACT_EST_MAPPING=PRECISE", "FS=MRC", "CURRENCY=USD", "XLFILL=b")</f>
        <v>23461.666666666668</v>
      </c>
      <c r="G387" s="9">
        <f>_xll.BQL("UAL US Equity", "HEADLINE_NAV/1M", "FPT=A", "FPO=3A", "ACT_EST_MAPPING=PRECISE", "FS=MRC", "CURRENCY=USD", "XLFILL=b")</f>
        <v>21406.75</v>
      </c>
      <c r="H387" s="9">
        <f>_xll.BQL("UAL US Equity", "HEADLINE_NAV/1M", "FPT=A", "FPO=2A", "ACT_EST_MAPPING=PRECISE", "FS=MRC", "CURRENCY=USD", "XLFILL=b")</f>
        <v>16226.833333333334</v>
      </c>
      <c r="I387" s="9">
        <f>_xll.BQL("UAL US Equity", "HEADLINE_NAV/1M", "FPT=A", "FPO=1A", "ACT_EST_MAPPING=PRECISE", "FS=MRC", "CURRENCY=USD", "XLFILL=b")</f>
        <v>12315</v>
      </c>
      <c r="J387" s="9">
        <f>_xll.BQL("UAL US Equity", "HEADLINE_NAV/1M", "FPT=A", "FPO=0A", "ACT_EST_MAPPING=PRECISE", "FS=MRC", "CURRENCY=USD", "XLFILL=b")</f>
        <v>9324</v>
      </c>
      <c r="K387" s="9">
        <f>_xll.BQL("UAL US Equity", "HEADLINE_NAV/1M", "FPT=A", "FPO=-1A", "ACT_EST_MAPPING=PRECISE", "FS=MRC", "CURRENCY=USD", "XLFILL=b")</f>
        <v>6896</v>
      </c>
      <c r="L387" s="9">
        <f>_xll.BQL("UAL US Equity", "HEADLINE_NAV/1M", "FPT=A", "FPO=-2A", "ACT_EST_MAPPING=PRECISE", "FS=MRC", "CURRENCY=USD", "XLFILL=b")</f>
        <v>5029</v>
      </c>
      <c r="M387" s="9">
        <f>_xll.BQL("UAL US Equity", "HEADLINE_NAV/1M", "FPT=A", "FPO=-3A", "ACT_EST_MAPPING=PRECISE", "FS=MRC", "CURRENCY=USD", "XLFILL=b")</f>
        <v>5960</v>
      </c>
      <c r="N387" s="9">
        <f>_xll.BQL("UAL US Equity", "HEADLINE_NAV/1M", "FPT=A", "FPO=-4A", "ACT_EST_MAPPING=PRECISE", "FS=MRC", "CURRENCY=USD", "XLFILL=b")</f>
        <v>11531</v>
      </c>
    </row>
    <row r="388" spans="1:14" x14ac:dyDescent="0.2">
      <c r="A388" s="8" t="s">
        <v>20</v>
      </c>
      <c r="B388" s="4" t="s">
        <v>393</v>
      </c>
      <c r="C388" s="4" t="s">
        <v>394</v>
      </c>
      <c r="D388" s="4"/>
      <c r="E388" s="9">
        <f>_xll.BQL("UAL US Equity", "FA_GROWTH(HEADLINE_NAV, YOY)", "FPT=A", "FPO=5A", "ACT_EST_MAPPING=PRECISE", "FS=MRC", "CURRENCY=USD", "XLFILL=b")</f>
        <v>30.182567308375358</v>
      </c>
      <c r="F388" s="9">
        <f>_xll.BQL("UAL US Equity", "FA_GROWTH(HEADLINE_NAV, YOY)", "FPT=A", "FPO=4A", "ACT_EST_MAPPING=PRECISE", "FS=MRC", "CURRENCY=USD", "XLFILL=b")</f>
        <v>9.5993864863497169</v>
      </c>
      <c r="G388" s="9">
        <f>_xll.BQL("UAL US Equity", "FA_GROWTH(HEADLINE_NAV, YOY)", "FPT=A", "FPO=3A", "ACT_EST_MAPPING=PRECISE", "FS=MRC", "CURRENCY=USD", "XLFILL=b")</f>
        <v>31.921919454401657</v>
      </c>
      <c r="H388" s="9">
        <f>_xll.BQL("UAL US Equity", "FA_GROWTH(HEADLINE_NAV, YOY)", "FPT=A", "FPO=2A", "ACT_EST_MAPPING=PRECISE", "FS=MRC", "CURRENCY=USD", "XLFILL=b")</f>
        <v>31.764785491947492</v>
      </c>
      <c r="I388" s="9">
        <f>_xll.BQL("UAL US Equity", "FA_GROWTH(HEADLINE_NAV, YOY)", "FPT=A", "FPO=1A", "ACT_EST_MAPPING=PRECISE", "FS=MRC", "CURRENCY=USD", "XLFILL=b")</f>
        <v>32.07850707850708</v>
      </c>
      <c r="J388" s="9">
        <f>_xll.BQL("UAL US Equity", "FA_GROWTH(HEADLINE_NAV, YOY)", "FPT=A", "FPO=0A", "ACT_EST_MAPPING=PRECISE", "FS=MRC", "CURRENCY=USD", "XLFILL=b")</f>
        <v>35.208816705336424</v>
      </c>
      <c r="K388" s="9">
        <f>_xll.BQL("UAL US Equity", "FA_GROWTH(HEADLINE_NAV, YOY)", "FPT=A", "FPO=-1A", "ACT_EST_MAPPING=PRECISE", "FS=MRC", "CURRENCY=USD", "XLFILL=b")</f>
        <v>37.124676874130046</v>
      </c>
      <c r="L388" s="9">
        <f>_xll.BQL("UAL US Equity", "FA_GROWTH(HEADLINE_NAV, YOY)", "FPT=A", "FPO=-2A", "ACT_EST_MAPPING=PRECISE", "FS=MRC", "CURRENCY=USD", "XLFILL=b")</f>
        <v>-15.620805369127517</v>
      </c>
      <c r="M388" s="9">
        <f>_xll.BQL("UAL US Equity", "FA_GROWTH(HEADLINE_NAV, YOY)", "FPT=A", "FPO=-3A", "ACT_EST_MAPPING=PRECISE", "FS=MRC", "CURRENCY=USD", "XLFILL=b")</f>
        <v>-48.313242563524412</v>
      </c>
      <c r="N388" s="9">
        <f>_xll.BQL("UAL US Equity", "FA_GROWTH(HEADLINE_NAV, YOY)", "FPT=A", "FPO=-4A", "ACT_EST_MAPPING=PRECISE", "FS=MRC", "CURRENCY=USD", "XLFILL=b")</f>
        <v>14.827723561043618</v>
      </c>
    </row>
    <row r="389" spans="1:14" x14ac:dyDescent="0.2">
      <c r="A389" s="8" t="s">
        <v>395</v>
      </c>
      <c r="B389" s="4" t="s">
        <v>396</v>
      </c>
      <c r="C389" s="4" t="s">
        <v>397</v>
      </c>
      <c r="D389" s="4"/>
      <c r="E389" s="9" t="str">
        <f>_xll.BQL("UAL US Equity", "BS_COMMON_STOCK/1M", "FPT=A", "FPO=5A", "ACT_EST_MAPPING=PRECISE", "FS=MRC", "CURRENCY=USD", "XLFILL=b")</f>
        <v/>
      </c>
      <c r="F389" s="9" t="str">
        <f>_xll.BQL("UAL US Equity", "BS_COMMON_STOCK/1M", "FPT=A", "FPO=4A", "ACT_EST_MAPPING=PRECISE", "FS=MRC", "CURRENCY=USD", "XLFILL=b")</f>
        <v/>
      </c>
      <c r="G389" s="9">
        <f>_xll.BQL("UAL US Equity", "BS_COMMON_STOCK/1M", "FPT=A", "FPO=3A", "ACT_EST_MAPPING=PRECISE", "FS=MRC", "CURRENCY=USD", "XLFILL=b")</f>
        <v>4</v>
      </c>
      <c r="H389" s="9">
        <f>_xll.BQL("UAL US Equity", "BS_COMMON_STOCK/1M", "FPT=A", "FPO=2A", "ACT_EST_MAPPING=PRECISE", "FS=MRC", "CURRENCY=USD", "XLFILL=b")</f>
        <v>4</v>
      </c>
      <c r="I389" s="9">
        <f>_xll.BQL("UAL US Equity", "BS_COMMON_STOCK/1M", "FPT=A", "FPO=1A", "ACT_EST_MAPPING=PRECISE", "FS=MRC", "CURRENCY=USD", "XLFILL=b")</f>
        <v>4</v>
      </c>
      <c r="J389" s="9">
        <f>_xll.BQL("UAL US Equity", "BS_COMMON_STOCK/1M", "FPT=A", "FPO=0A", "ACT_EST_MAPPING=PRECISE", "FS=MRC", "CURRENCY=USD", "XLFILL=b")</f>
        <v>4</v>
      </c>
      <c r="K389" s="9">
        <f>_xll.BQL("UAL US Equity", "BS_COMMON_STOCK/1M", "FPT=A", "FPO=-1A", "ACT_EST_MAPPING=PRECISE", "FS=MRC", "CURRENCY=USD", "XLFILL=b")</f>
        <v>4</v>
      </c>
      <c r="L389" s="9">
        <f>_xll.BQL("UAL US Equity", "BS_COMMON_STOCK/1M", "FPT=A", "FPO=-2A", "ACT_EST_MAPPING=PRECISE", "FS=MRC", "CURRENCY=USD", "XLFILL=b")</f>
        <v>4</v>
      </c>
      <c r="M389" s="9">
        <f>_xll.BQL("UAL US Equity", "BS_COMMON_STOCK/1M", "FPT=A", "FPO=-3A", "ACT_EST_MAPPING=PRECISE", "FS=MRC", "CURRENCY=USD", "XLFILL=b")</f>
        <v>4</v>
      </c>
      <c r="N389" s="9">
        <f>_xll.BQL("UAL US Equity", "BS_COMMON_STOCK/1M", "FPT=A", "FPO=-4A", "ACT_EST_MAPPING=PRECISE", "FS=MRC", "CURRENCY=USD", "XLFILL=b")</f>
        <v>3</v>
      </c>
    </row>
    <row r="390" spans="1:14" x14ac:dyDescent="0.2">
      <c r="A390" s="8" t="s">
        <v>86</v>
      </c>
      <c r="B390" s="4" t="s">
        <v>396</v>
      </c>
      <c r="C390" s="4" t="s">
        <v>397</v>
      </c>
      <c r="D390" s="4"/>
      <c r="E390" s="9" t="str">
        <f>_xll.BQL("UAL US Equity", "FA_GROWTH(BS_COMMON_STOCK, YOY)", "FPT=A", "FPO=5A", "ACT_EST_MAPPING=PRECISE", "FS=MRC", "CURRENCY=USD", "XLFILL=b")</f>
        <v/>
      </c>
      <c r="F390" s="9" t="str">
        <f>_xll.BQL("UAL US Equity", "FA_GROWTH(BS_COMMON_STOCK, YOY)", "FPT=A", "FPO=4A", "ACT_EST_MAPPING=PRECISE", "FS=MRC", "CURRENCY=USD", "XLFILL=b")</f>
        <v/>
      </c>
      <c r="G390" s="9">
        <f>_xll.BQL("UAL US Equity", "FA_GROWTH(BS_COMMON_STOCK, YOY)", "FPT=A", "FPO=3A", "ACT_EST_MAPPING=PRECISE", "FS=MRC", "CURRENCY=USD", "XLFILL=b")</f>
        <v>0</v>
      </c>
      <c r="H390" s="9">
        <f>_xll.BQL("UAL US Equity", "FA_GROWTH(BS_COMMON_STOCK, YOY)", "FPT=A", "FPO=2A", "ACT_EST_MAPPING=PRECISE", "FS=MRC", "CURRENCY=USD", "XLFILL=b")</f>
        <v>0</v>
      </c>
      <c r="I390" s="9">
        <f>_xll.BQL("UAL US Equity", "FA_GROWTH(BS_COMMON_STOCK, YOY)", "FPT=A", "FPO=1A", "ACT_EST_MAPPING=PRECISE", "FS=MRC", "CURRENCY=USD", "XLFILL=b")</f>
        <v>0</v>
      </c>
      <c r="J390" s="9">
        <f>_xll.BQL("UAL US Equity", "FA_GROWTH(BS_COMMON_STOCK, YOY)", "FPT=A", "FPO=0A", "ACT_EST_MAPPING=PRECISE", "FS=MRC", "CURRENCY=USD", "XLFILL=b")</f>
        <v>0</v>
      </c>
      <c r="K390" s="9">
        <f>_xll.BQL("UAL US Equity", "FA_GROWTH(BS_COMMON_STOCK, YOY)", "FPT=A", "FPO=-1A", "ACT_EST_MAPPING=PRECISE", "FS=MRC", "CURRENCY=USD", "XLFILL=b")</f>
        <v>0</v>
      </c>
      <c r="L390" s="9">
        <f>_xll.BQL("UAL US Equity", "FA_GROWTH(BS_COMMON_STOCK, YOY)", "FPT=A", "FPO=-2A", "ACT_EST_MAPPING=PRECISE", "FS=MRC", "CURRENCY=USD", "XLFILL=b")</f>
        <v>0</v>
      </c>
      <c r="M390" s="9">
        <f>_xll.BQL("UAL US Equity", "FA_GROWTH(BS_COMMON_STOCK, YOY)", "FPT=A", "FPO=-3A", "ACT_EST_MAPPING=PRECISE", "FS=MRC", "CURRENCY=USD", "XLFILL=b")</f>
        <v>33.333333333333336</v>
      </c>
      <c r="N390" s="9">
        <f>_xll.BQL("UAL US Equity", "FA_GROWTH(BS_COMMON_STOCK, YOY)", "FPT=A", "FPO=-4A", "ACT_EST_MAPPING=PRECISE", "FS=MRC", "CURRENCY=USD", "XLFILL=b")</f>
        <v>0</v>
      </c>
    </row>
    <row r="391" spans="1:14" x14ac:dyDescent="0.2">
      <c r="A391" s="8" t="s">
        <v>398</v>
      </c>
      <c r="B391" s="4" t="s">
        <v>399</v>
      </c>
      <c r="C391" s="4" t="s">
        <v>400</v>
      </c>
      <c r="D391" s="4"/>
      <c r="E391" s="9" t="str">
        <f>_xll.BQL("UAL US Equity", "BS_ADD_PAID_IN_CAP/1M", "FPT=A", "FPO=5A", "ACT_EST_MAPPING=PRECISE", "FS=MRC", "CURRENCY=USD", "XLFILL=b")</f>
        <v/>
      </c>
      <c r="F391" s="9" t="str">
        <f>_xll.BQL("UAL US Equity", "BS_ADD_PAID_IN_CAP/1M", "FPT=A", "FPO=4A", "ACT_EST_MAPPING=PRECISE", "FS=MRC", "CURRENCY=USD", "XLFILL=b")</f>
        <v/>
      </c>
      <c r="G391" s="9">
        <f>_xll.BQL("UAL US Equity", "BS_ADD_PAID_IN_CAP/1M", "FPT=A", "FPO=3A", "ACT_EST_MAPPING=PRECISE", "FS=MRC", "CURRENCY=USD", "XLFILL=b")</f>
        <v>9636.6392838754055</v>
      </c>
      <c r="H391" s="9">
        <f>_xll.BQL("UAL US Equity", "BS_ADD_PAID_IN_CAP/1M", "FPT=A", "FPO=2A", "ACT_EST_MAPPING=PRECISE", "FS=MRC", "CURRENCY=USD", "XLFILL=b")</f>
        <v>9324.9502258621214</v>
      </c>
      <c r="I391" s="9">
        <f>_xll.BQL("UAL US Equity", "BS_ADD_PAID_IN_CAP/1M", "FPT=A", "FPO=1A", "ACT_EST_MAPPING=PRECISE", "FS=MRC", "CURRENCY=USD", "XLFILL=b")</f>
        <v>9060.8049521647627</v>
      </c>
      <c r="J391" s="9">
        <f>_xll.BQL("UAL US Equity", "BS_ADD_PAID_IN_CAP/1M", "FPT=A", "FPO=0A", "ACT_EST_MAPPING=PRECISE", "FS=MRC", "CURRENCY=USD", "XLFILL=b")</f>
        <v>8992</v>
      </c>
      <c r="K391" s="9">
        <f>_xll.BQL("UAL US Equity", "BS_ADD_PAID_IN_CAP/1M", "FPT=A", "FPO=-1A", "ACT_EST_MAPPING=PRECISE", "FS=MRC", "CURRENCY=USD", "XLFILL=b")</f>
        <v>8986</v>
      </c>
      <c r="L391" s="9">
        <f>_xll.BQL("UAL US Equity", "BS_ADD_PAID_IN_CAP/1M", "FPT=A", "FPO=-2A", "ACT_EST_MAPPING=PRECISE", "FS=MRC", "CURRENCY=USD", "XLFILL=b")</f>
        <v>9156</v>
      </c>
      <c r="M391" s="9">
        <f>_xll.BQL("UAL US Equity", "BS_ADD_PAID_IN_CAP/1M", "FPT=A", "FPO=-3A", "ACT_EST_MAPPING=PRECISE", "FS=MRC", "CURRENCY=USD", "XLFILL=b")</f>
        <v>8366</v>
      </c>
      <c r="N391" s="9">
        <f>_xll.BQL("UAL US Equity", "BS_ADD_PAID_IN_CAP/1M", "FPT=A", "FPO=-4A", "ACT_EST_MAPPING=PRECISE", "FS=MRC", "CURRENCY=USD", "XLFILL=b")</f>
        <v>6129</v>
      </c>
    </row>
    <row r="392" spans="1:14" x14ac:dyDescent="0.2">
      <c r="A392" s="8" t="s">
        <v>86</v>
      </c>
      <c r="B392" s="4" t="s">
        <v>399</v>
      </c>
      <c r="C392" s="4" t="s">
        <v>400</v>
      </c>
      <c r="D392" s="4"/>
      <c r="E392" s="9" t="str">
        <f>_xll.BQL("UAL US Equity", "FA_GROWTH(BS_ADD_PAID_IN_CAP, YOY)", "FPT=A", "FPO=5A", "ACT_EST_MAPPING=PRECISE", "FS=MRC", "CURRENCY=USD", "XLFILL=b")</f>
        <v/>
      </c>
      <c r="F392" s="9" t="str">
        <f>_xll.BQL("UAL US Equity", "FA_GROWTH(BS_ADD_PAID_IN_CAP, YOY)", "FPT=A", "FPO=4A", "ACT_EST_MAPPING=PRECISE", "FS=MRC", "CURRENCY=USD", "XLFILL=b")</f>
        <v/>
      </c>
      <c r="G392" s="9">
        <f>_xll.BQL("UAL US Equity", "FA_GROWTH(BS_ADD_PAID_IN_CAP, YOY)", "FPT=A", "FPO=3A", "ACT_EST_MAPPING=PRECISE", "FS=MRC", "CURRENCY=USD", "XLFILL=b")</f>
        <v>3.3425278469458859</v>
      </c>
      <c r="H392" s="9">
        <f>_xll.BQL("UAL US Equity", "FA_GROWTH(BS_ADD_PAID_IN_CAP, YOY)", "FPT=A", "FPO=2A", "ACT_EST_MAPPING=PRECISE", "FS=MRC", "CURRENCY=USD", "XLFILL=b")</f>
        <v>2.9152517363730559</v>
      </c>
      <c r="I392" s="9">
        <f>_xll.BQL("UAL US Equity", "FA_GROWTH(BS_ADD_PAID_IN_CAP, YOY)", "FPT=A", "FPO=1A", "ACT_EST_MAPPING=PRECISE", "FS=MRC", "CURRENCY=USD", "XLFILL=b")</f>
        <v>0.76517962816684271</v>
      </c>
      <c r="J392" s="9">
        <f>_xll.BQL("UAL US Equity", "FA_GROWTH(BS_ADD_PAID_IN_CAP, YOY)", "FPT=A", "FPO=0A", "ACT_EST_MAPPING=PRECISE", "FS=MRC", "CURRENCY=USD", "XLFILL=b")</f>
        <v>6.6770531938571104E-2</v>
      </c>
      <c r="K392" s="9">
        <f>_xll.BQL("UAL US Equity", "FA_GROWTH(BS_ADD_PAID_IN_CAP, YOY)", "FPT=A", "FPO=-1A", "ACT_EST_MAPPING=PRECISE", "FS=MRC", "CURRENCY=USD", "XLFILL=b")</f>
        <v>-1.8567059851463521</v>
      </c>
      <c r="L392" s="9">
        <f>_xll.BQL("UAL US Equity", "FA_GROWTH(BS_ADD_PAID_IN_CAP, YOY)", "FPT=A", "FPO=-2A", "ACT_EST_MAPPING=PRECISE", "FS=MRC", "CURRENCY=USD", "XLFILL=b")</f>
        <v>9.4429835046617256</v>
      </c>
      <c r="M392" s="9">
        <f>_xll.BQL("UAL US Equity", "FA_GROWTH(BS_ADD_PAID_IN_CAP, YOY)", "FPT=A", "FPO=-3A", "ACT_EST_MAPPING=PRECISE", "FS=MRC", "CURRENCY=USD", "XLFILL=b")</f>
        <v>36.498613150595531</v>
      </c>
      <c r="N392" s="9">
        <f>_xll.BQL("UAL US Equity", "FA_GROWTH(BS_ADD_PAID_IN_CAP, YOY)", "FPT=A", "FPO=-4A", "ACT_EST_MAPPING=PRECISE", "FS=MRC", "CURRENCY=USD", "XLFILL=b")</f>
        <v>0.14705882352941177</v>
      </c>
    </row>
    <row r="393" spans="1:14" x14ac:dyDescent="0.2">
      <c r="A393" s="8" t="s">
        <v>401</v>
      </c>
      <c r="B393" s="4" t="s">
        <v>402</v>
      </c>
      <c r="C393" s="4" t="s">
        <v>403</v>
      </c>
      <c r="D393" s="4"/>
      <c r="E393" s="9" t="str">
        <f>_xll.BQL("UAL US Equity", "BS_PURE_RETAINED_EARNINGS/1M", "FPT=A", "FPO=5A", "ACT_EST_MAPPING=PRECISE", "FS=MRC", "CURRENCY=USD", "XLFILL=b")</f>
        <v/>
      </c>
      <c r="F393" s="9" t="str">
        <f>_xll.BQL("UAL US Equity", "BS_PURE_RETAINED_EARNINGS/1M", "FPT=A", "FPO=4A", "ACT_EST_MAPPING=PRECISE", "FS=MRC", "CURRENCY=USD", "XLFILL=b")</f>
        <v/>
      </c>
      <c r="G393" s="9">
        <f>_xll.BQL("UAL US Equity", "BS_PURE_RETAINED_EARNINGS/1M", "FPT=A", "FPO=3A", "ACT_EST_MAPPING=PRECISE", "FS=MRC", "CURRENCY=USD", "XLFILL=b")</f>
        <v>14650.966755786507</v>
      </c>
      <c r="H393" s="9">
        <f>_xll.BQL("UAL US Equity", "BS_PURE_RETAINED_EARNINGS/1M", "FPT=A", "FPO=2A", "ACT_EST_MAPPING=PRECISE", "FS=MRC", "CURRENCY=USD", "XLFILL=b")</f>
        <v>10437.82239596145</v>
      </c>
      <c r="I393" s="9">
        <f>_xll.BQL("UAL US Equity", "BS_PURE_RETAINED_EARNINGS/1M", "FPT=A", "FPO=1A", "ACT_EST_MAPPING=PRECISE", "FS=MRC", "CURRENCY=USD", "XLFILL=b")</f>
        <v>6739.5453292266011</v>
      </c>
      <c r="J393" s="9">
        <f>_xll.BQL("UAL US Equity", "BS_PURE_RETAINED_EARNINGS/1M", "FPT=A", "FPO=0A", "ACT_EST_MAPPING=PRECISE", "FS=MRC", "CURRENCY=USD", "XLFILL=b")</f>
        <v>3831</v>
      </c>
      <c r="K393" s="9">
        <f>_xll.BQL("UAL US Equity", "BS_PURE_RETAINED_EARNINGS/1M", "FPT=A", "FPO=-1A", "ACT_EST_MAPPING=PRECISE", "FS=MRC", "CURRENCY=USD", "XLFILL=b")</f>
        <v>1265</v>
      </c>
      <c r="L393" s="9">
        <f>_xll.BQL("UAL US Equity", "BS_PURE_RETAINED_EARNINGS/1M", "FPT=A", "FPO=-2A", "ACT_EST_MAPPING=PRECISE", "FS=MRC", "CURRENCY=USD", "XLFILL=b")</f>
        <v>625</v>
      </c>
      <c r="M393" s="9">
        <f>_xll.BQL("UAL US Equity", "BS_PURE_RETAINED_EARNINGS/1M", "FPT=A", "FPO=-3A", "ACT_EST_MAPPING=PRECISE", "FS=MRC", "CURRENCY=USD", "XLFILL=b")</f>
        <v>2626</v>
      </c>
      <c r="N393" s="9">
        <f>_xll.BQL("UAL US Equity", "BS_PURE_RETAINED_EARNINGS/1M", "FPT=A", "FPO=-4A", "ACT_EST_MAPPING=PRECISE", "FS=MRC", "CURRENCY=USD", "XLFILL=b")</f>
        <v>9716</v>
      </c>
    </row>
    <row r="394" spans="1:14" x14ac:dyDescent="0.2">
      <c r="A394" s="8" t="s">
        <v>86</v>
      </c>
      <c r="B394" s="4" t="s">
        <v>402</v>
      </c>
      <c r="C394" s="4" t="s">
        <v>403</v>
      </c>
      <c r="D394" s="4"/>
      <c r="E394" s="9" t="str">
        <f>_xll.BQL("UAL US Equity", "FA_GROWTH(BS_PURE_RETAINED_EARNINGS, YOY)", "FPT=A", "FPO=5A", "ACT_EST_MAPPING=PRECISE", "FS=MRC", "CURRENCY=USD", "XLFILL=b")</f>
        <v/>
      </c>
      <c r="F394" s="9" t="str">
        <f>_xll.BQL("UAL US Equity", "FA_GROWTH(BS_PURE_RETAINED_EARNINGS, YOY)", "FPT=A", "FPO=4A", "ACT_EST_MAPPING=PRECISE", "FS=MRC", "CURRENCY=USD", "XLFILL=b")</f>
        <v/>
      </c>
      <c r="G394" s="9">
        <f>_xll.BQL("UAL US Equity", "FA_GROWTH(BS_PURE_RETAINED_EARNINGS, YOY)", "FPT=A", "FPO=3A", "ACT_EST_MAPPING=PRECISE", "FS=MRC", "CURRENCY=USD", "XLFILL=b")</f>
        <v>40.364208165250872</v>
      </c>
      <c r="H394" s="9">
        <f>_xll.BQL("UAL US Equity", "FA_GROWTH(BS_PURE_RETAINED_EARNINGS, YOY)", "FPT=A", "FPO=2A", "ACT_EST_MAPPING=PRECISE", "FS=MRC", "CURRENCY=USD", "XLFILL=b")</f>
        <v>54.87428136579129</v>
      </c>
      <c r="I394" s="9">
        <f>_xll.BQL("UAL US Equity", "FA_GROWTH(BS_PURE_RETAINED_EARNINGS, YOY)", "FPT=A", "FPO=1A", "ACT_EST_MAPPING=PRECISE", "FS=MRC", "CURRENCY=USD", "XLFILL=b")</f>
        <v>75.921308515442448</v>
      </c>
      <c r="J394" s="9">
        <f>_xll.BQL("UAL US Equity", "FA_GROWTH(BS_PURE_RETAINED_EARNINGS, YOY)", "FPT=A", "FPO=0A", "ACT_EST_MAPPING=PRECISE", "FS=MRC", "CURRENCY=USD", "XLFILL=b")</f>
        <v>202.84584980237153</v>
      </c>
      <c r="K394" s="9">
        <f>_xll.BQL("UAL US Equity", "FA_GROWTH(BS_PURE_RETAINED_EARNINGS, YOY)", "FPT=A", "FPO=-1A", "ACT_EST_MAPPING=PRECISE", "FS=MRC", "CURRENCY=USD", "XLFILL=b")</f>
        <v>102.4</v>
      </c>
      <c r="L394" s="9">
        <f>_xll.BQL("UAL US Equity", "FA_GROWTH(BS_PURE_RETAINED_EARNINGS, YOY)", "FPT=A", "FPO=-2A", "ACT_EST_MAPPING=PRECISE", "FS=MRC", "CURRENCY=USD", "XLFILL=b")</f>
        <v>-76.199543031226199</v>
      </c>
      <c r="M394" s="9">
        <f>_xll.BQL("UAL US Equity", "FA_GROWTH(BS_PURE_RETAINED_EARNINGS, YOY)", "FPT=A", "FPO=-3A", "ACT_EST_MAPPING=PRECISE", "FS=MRC", "CURRENCY=USD", "XLFILL=b")</f>
        <v>-72.972416632359</v>
      </c>
      <c r="N394" s="9">
        <f>_xll.BQL("UAL US Equity", "FA_GROWTH(BS_PURE_RETAINED_EARNINGS, YOY)", "FPT=A", "FPO=-4A", "ACT_EST_MAPPING=PRECISE", "FS=MRC", "CURRENCY=USD", "XLFILL=b")</f>
        <v>44.690990320178706</v>
      </c>
    </row>
    <row r="395" spans="1:14" x14ac:dyDescent="0.2">
      <c r="A395" s="8" t="s">
        <v>404</v>
      </c>
      <c r="B395" s="4" t="s">
        <v>405</v>
      </c>
      <c r="C395" s="4" t="s">
        <v>406</v>
      </c>
      <c r="D395" s="4"/>
      <c r="E395" s="9" t="str">
        <f>_xll.BQL("UAL US Equity", "BS_AMT_OF_TSY_STOCK/1M", "FPT=A", "FPO=5A", "ACT_EST_MAPPING=PRECISE", "FS=MRC", "CURRENCY=USD", "XLFILL=b")</f>
        <v/>
      </c>
      <c r="F395" s="9" t="str">
        <f>_xll.BQL("UAL US Equity", "BS_AMT_OF_TSY_STOCK/1M", "FPT=A", "FPO=4A", "ACT_EST_MAPPING=PRECISE", "FS=MRC", "CURRENCY=USD", "XLFILL=b")</f>
        <v/>
      </c>
      <c r="G395" s="9">
        <f>_xll.BQL("UAL US Equity", "BS_AMT_OF_TSY_STOCK/1M", "FPT=A", "FPO=3A", "ACT_EST_MAPPING=PRECISE", "FS=MRC", "CURRENCY=USD", "XLFILL=b")</f>
        <v>3368</v>
      </c>
      <c r="H395" s="9">
        <f>_xll.BQL("UAL US Equity", "BS_AMT_OF_TSY_STOCK/1M", "FPT=A", "FPO=2A", "ACT_EST_MAPPING=PRECISE", "FS=MRC", "CURRENCY=USD", "XLFILL=b")</f>
        <v>3368</v>
      </c>
      <c r="I395" s="9">
        <f>_xll.BQL("UAL US Equity", "BS_AMT_OF_TSY_STOCK/1M", "FPT=A", "FPO=1A", "ACT_EST_MAPPING=PRECISE", "FS=MRC", "CURRENCY=USD", "XLFILL=b")</f>
        <v>3368</v>
      </c>
      <c r="J395" s="9">
        <f>_xll.BQL("UAL US Equity", "BS_AMT_OF_TSY_STOCK/1M", "FPT=A", "FPO=0A", "ACT_EST_MAPPING=PRECISE", "FS=MRC", "CURRENCY=USD", "XLFILL=b")</f>
        <v>3441</v>
      </c>
      <c r="K395" s="9">
        <f>_xll.BQL("UAL US Equity", "BS_AMT_OF_TSY_STOCK/1M", "FPT=A", "FPO=-1A", "ACT_EST_MAPPING=PRECISE", "FS=MRC", "CURRENCY=USD", "XLFILL=b")</f>
        <v>3534</v>
      </c>
      <c r="L395" s="9">
        <f>_xll.BQL("UAL US Equity", "BS_AMT_OF_TSY_STOCK/1M", "FPT=A", "FPO=-2A", "ACT_EST_MAPPING=PRECISE", "FS=MRC", "CURRENCY=USD", "XLFILL=b")</f>
        <v>3814</v>
      </c>
      <c r="M395" s="9">
        <f>_xll.BQL("UAL US Equity", "BS_AMT_OF_TSY_STOCK/1M", "FPT=A", "FPO=-3A", "ACT_EST_MAPPING=PRECISE", "FS=MRC", "CURRENCY=USD", "XLFILL=b")</f>
        <v>3897</v>
      </c>
      <c r="N395" s="9">
        <f>_xll.BQL("UAL US Equity", "BS_AMT_OF_TSY_STOCK/1M", "FPT=A", "FPO=-4A", "ACT_EST_MAPPING=PRECISE", "FS=MRC", "CURRENCY=USD", "XLFILL=b")</f>
        <v>3599</v>
      </c>
    </row>
    <row r="396" spans="1:14" x14ac:dyDescent="0.2">
      <c r="A396" s="8" t="s">
        <v>86</v>
      </c>
      <c r="B396" s="4" t="s">
        <v>405</v>
      </c>
      <c r="C396" s="4" t="s">
        <v>406</v>
      </c>
      <c r="D396" s="4"/>
      <c r="E396" s="9" t="str">
        <f>_xll.BQL("UAL US Equity", "FA_GROWTH(BS_AMT_OF_TSY_STOCK, YOY)", "FPT=A", "FPO=5A", "ACT_EST_MAPPING=PRECISE", "FS=MRC", "CURRENCY=USD", "XLFILL=b")</f>
        <v/>
      </c>
      <c r="F396" s="9" t="str">
        <f>_xll.BQL("UAL US Equity", "FA_GROWTH(BS_AMT_OF_TSY_STOCK, YOY)", "FPT=A", "FPO=4A", "ACT_EST_MAPPING=PRECISE", "FS=MRC", "CURRENCY=USD", "XLFILL=b")</f>
        <v/>
      </c>
      <c r="G396" s="9">
        <f>_xll.BQL("UAL US Equity", "FA_GROWTH(BS_AMT_OF_TSY_STOCK, YOY)", "FPT=A", "FPO=3A", "ACT_EST_MAPPING=PRECISE", "FS=MRC", "CURRENCY=USD", "XLFILL=b")</f>
        <v>0</v>
      </c>
      <c r="H396" s="9">
        <f>_xll.BQL("UAL US Equity", "FA_GROWTH(BS_AMT_OF_TSY_STOCK, YOY)", "FPT=A", "FPO=2A", "ACT_EST_MAPPING=PRECISE", "FS=MRC", "CURRENCY=USD", "XLFILL=b")</f>
        <v>0</v>
      </c>
      <c r="I396" s="9">
        <f>_xll.BQL("UAL US Equity", "FA_GROWTH(BS_AMT_OF_TSY_STOCK, YOY)", "FPT=A", "FPO=1A", "ACT_EST_MAPPING=PRECISE", "FS=MRC", "CURRENCY=USD", "XLFILL=b")</f>
        <v>-2.1214763150247022</v>
      </c>
      <c r="J396" s="9">
        <f>_xll.BQL("UAL US Equity", "FA_GROWTH(BS_AMT_OF_TSY_STOCK, YOY)", "FPT=A", "FPO=0A", "ACT_EST_MAPPING=PRECISE", "FS=MRC", "CURRENCY=USD", "XLFILL=b")</f>
        <v>-2.6315789473684212</v>
      </c>
      <c r="K396" s="9">
        <f>_xll.BQL("UAL US Equity", "FA_GROWTH(BS_AMT_OF_TSY_STOCK, YOY)", "FPT=A", "FPO=-1A", "ACT_EST_MAPPING=PRECISE", "FS=MRC", "CURRENCY=USD", "XLFILL=b")</f>
        <v>-7.3413738856843214</v>
      </c>
      <c r="L396" s="9">
        <f>_xll.BQL("UAL US Equity", "FA_GROWTH(BS_AMT_OF_TSY_STOCK, YOY)", "FPT=A", "FPO=-2A", "ACT_EST_MAPPING=PRECISE", "FS=MRC", "CURRENCY=USD", "XLFILL=b")</f>
        <v>-2.1298434693353863</v>
      </c>
      <c r="M396" s="9">
        <f>_xll.BQL("UAL US Equity", "FA_GROWTH(BS_AMT_OF_TSY_STOCK, YOY)", "FPT=A", "FPO=-3A", "ACT_EST_MAPPING=PRECISE", "FS=MRC", "CURRENCY=USD", "XLFILL=b")</f>
        <v>8.2800777993887191</v>
      </c>
      <c r="N396" s="9">
        <f>_xll.BQL("UAL US Equity", "FA_GROWTH(BS_AMT_OF_TSY_STOCK, YOY)", "FPT=A", "FPO=-4A", "ACT_EST_MAPPING=PRECISE", "FS=MRC", "CURRENCY=USD", "XLFILL=b")</f>
        <v>80.582037129954841</v>
      </c>
    </row>
    <row r="397" spans="1:14" x14ac:dyDescent="0.2">
      <c r="A397" s="8" t="s">
        <v>407</v>
      </c>
      <c r="B397" s="4" t="s">
        <v>408</v>
      </c>
      <c r="C397" s="4" t="s">
        <v>409</v>
      </c>
      <c r="D397" s="4"/>
      <c r="E397" s="9" t="str">
        <f>_xll.BQL("UAL US Equity", "BS_ACCUMULATED_OTHER_COMP_INC/1M", "FPT=A", "FPO=5A", "ACT_EST_MAPPING=PRECISE", "FS=MRC", "CURRENCY=USD", "XLFILL=b")</f>
        <v/>
      </c>
      <c r="F397" s="9" t="str">
        <f>_xll.BQL("UAL US Equity", "BS_ACCUMULATED_OTHER_COMP_INC/1M", "FPT=A", "FPO=4A", "ACT_EST_MAPPING=PRECISE", "FS=MRC", "CURRENCY=USD", "XLFILL=b")</f>
        <v/>
      </c>
      <c r="G397" s="9">
        <f>_xll.BQL("UAL US Equity", "BS_ACCUMULATED_OTHER_COMP_INC/1M", "FPT=A", "FPO=3A", "ACT_EST_MAPPING=PRECISE", "FS=MRC", "CURRENCY=USD", "XLFILL=b")</f>
        <v>-118.24245873949147</v>
      </c>
      <c r="H397" s="9">
        <f>_xll.BQL("UAL US Equity", "BS_ACCUMULATED_OTHER_COMP_INC/1M", "FPT=A", "FPO=2A", "ACT_EST_MAPPING=PRECISE", "FS=MRC", "CURRENCY=USD", "XLFILL=b")</f>
        <v>-109.23775466860802</v>
      </c>
      <c r="I397" s="9">
        <f>_xll.BQL("UAL US Equity", "BS_ACCUMULATED_OTHER_COMP_INC/1M", "FPT=A", "FPO=1A", "ACT_EST_MAPPING=PRECISE", "FS=MRC", "CURRENCY=USD", "XLFILL=b")</f>
        <v>-100.9188</v>
      </c>
      <c r="J397" s="9">
        <f>_xll.BQL("UAL US Equity", "BS_ACCUMULATED_OTHER_COMP_INC/1M", "FPT=A", "FPO=0A", "ACT_EST_MAPPING=PRECISE", "FS=MRC", "CURRENCY=USD", "XLFILL=b")</f>
        <v>-62</v>
      </c>
      <c r="K397" s="9">
        <f>_xll.BQL("UAL US Equity", "BS_ACCUMULATED_OTHER_COMP_INC/1M", "FPT=A", "FPO=-1A", "ACT_EST_MAPPING=PRECISE", "FS=MRC", "CURRENCY=USD", "XLFILL=b")</f>
        <v>175</v>
      </c>
      <c r="L397" s="9">
        <f>_xll.BQL("UAL US Equity", "BS_ACCUMULATED_OTHER_COMP_INC/1M", "FPT=A", "FPO=-2A", "ACT_EST_MAPPING=PRECISE", "FS=MRC", "CURRENCY=USD", "XLFILL=b")</f>
        <v>-942</v>
      </c>
      <c r="M397" s="9">
        <f>_xll.BQL("UAL US Equity", "BS_ACCUMULATED_OTHER_COMP_INC/1M", "FPT=A", "FPO=-3A", "ACT_EST_MAPPING=PRECISE", "FS=MRC", "CURRENCY=USD", "XLFILL=b")</f>
        <v>-1139</v>
      </c>
      <c r="N397" s="9">
        <f>_xll.BQL("UAL US Equity", "BS_ACCUMULATED_OTHER_COMP_INC/1M", "FPT=A", "FPO=-4A", "ACT_EST_MAPPING=PRECISE", "FS=MRC", "CURRENCY=USD", "XLFILL=b")</f>
        <v>-718</v>
      </c>
    </row>
    <row r="398" spans="1:14" x14ac:dyDescent="0.2">
      <c r="A398" s="8" t="s">
        <v>86</v>
      </c>
      <c r="B398" s="4" t="s">
        <v>408</v>
      </c>
      <c r="C398" s="4" t="s">
        <v>409</v>
      </c>
      <c r="D398" s="4"/>
      <c r="E398" s="9" t="str">
        <f>_xll.BQL("UAL US Equity", "FA_GROWTH(BS_ACCUMULATED_OTHER_COMP_INC, YOY)", "FPT=A", "FPO=5A", "ACT_EST_MAPPING=PRECISE", "FS=MRC", "CURRENCY=USD", "XLFILL=b")</f>
        <v/>
      </c>
      <c r="F398" s="9" t="str">
        <f>_xll.BQL("UAL US Equity", "FA_GROWTH(BS_ACCUMULATED_OTHER_COMP_INC, YOY)", "FPT=A", "FPO=4A", "ACT_EST_MAPPING=PRECISE", "FS=MRC", "CURRENCY=USD", "XLFILL=b")</f>
        <v/>
      </c>
      <c r="G398" s="9">
        <f>_xll.BQL("UAL US Equity", "FA_GROWTH(BS_ACCUMULATED_OTHER_COMP_INC, YOY)", "FPT=A", "FPO=3A", "ACT_EST_MAPPING=PRECISE", "FS=MRC", "CURRENCY=USD", "XLFILL=b")</f>
        <v>-8.243215999999995</v>
      </c>
      <c r="H398" s="9">
        <f>_xll.BQL("UAL US Equity", "FA_GROWTH(BS_ACCUMULATED_OTHER_COMP_INC, YOY)", "FPT=A", "FPO=2A", "ACT_EST_MAPPING=PRECISE", "FS=MRC", "CURRENCY=USD", "XLFILL=b")</f>
        <v>-8.2432160000000234</v>
      </c>
      <c r="I398" s="9">
        <f>_xll.BQL("UAL US Equity", "FA_GROWTH(BS_ACCUMULATED_OTHER_COMP_INC, YOY)", "FPT=A", "FPO=1A", "ACT_EST_MAPPING=PRECISE", "FS=MRC", "CURRENCY=USD", "XLFILL=b")</f>
        <v>-62.77225806451613</v>
      </c>
      <c r="J398" s="9">
        <f>_xll.BQL("UAL US Equity", "FA_GROWTH(BS_ACCUMULATED_OTHER_COMP_INC, YOY)", "FPT=A", "FPO=0A", "ACT_EST_MAPPING=PRECISE", "FS=MRC", "CURRENCY=USD", "XLFILL=b")</f>
        <v>-135.42857142857142</v>
      </c>
      <c r="K398" s="9">
        <f>_xll.BQL("UAL US Equity", "FA_GROWTH(BS_ACCUMULATED_OTHER_COMP_INC, YOY)", "FPT=A", "FPO=-1A", "ACT_EST_MAPPING=PRECISE", "FS=MRC", "CURRENCY=USD", "XLFILL=b")</f>
        <v>118.57749469214437</v>
      </c>
      <c r="L398" s="9">
        <f>_xll.BQL("UAL US Equity", "FA_GROWTH(BS_ACCUMULATED_OTHER_COMP_INC, YOY)", "FPT=A", "FPO=-2A", "ACT_EST_MAPPING=PRECISE", "FS=MRC", "CURRENCY=USD", "XLFILL=b")</f>
        <v>17.295873573309922</v>
      </c>
      <c r="M398" s="9">
        <f>_xll.BQL("UAL US Equity", "FA_GROWTH(BS_ACCUMULATED_OTHER_COMP_INC, YOY)", "FPT=A", "FPO=-3A", "ACT_EST_MAPPING=PRECISE", "FS=MRC", "CURRENCY=USD", "XLFILL=b")</f>
        <v>-58.635097493036213</v>
      </c>
      <c r="N398" s="9">
        <f>_xll.BQL("UAL US Equity", "FA_GROWTH(BS_ACCUMULATED_OTHER_COMP_INC, YOY)", "FPT=A", "FPO=-4A", "ACT_EST_MAPPING=PRECISE", "FS=MRC", "CURRENCY=USD", "XLFILL=b")</f>
        <v>10.585305105853051</v>
      </c>
    </row>
    <row r="399" spans="1:14" x14ac:dyDescent="0.2">
      <c r="A399" s="8" t="s">
        <v>410</v>
      </c>
      <c r="B399" s="4" t="s">
        <v>317</v>
      </c>
      <c r="C399" s="4" t="s">
        <v>411</v>
      </c>
      <c r="D399" s="4"/>
      <c r="E399" s="9">
        <f>_xll.BQL("UAL US Equity", "BS_TOT_ASSET/1M", "FPT=A", "FPO=5A", "ACT_EST_MAPPING=PRECISE", "FS=MRC", "CURRENCY=USD", "XLFILL=b")</f>
        <v>80777.930768789724</v>
      </c>
      <c r="F399" s="9">
        <f>_xll.BQL("UAL US Equity", "BS_TOT_ASSET/1M", "FPT=A", "FPO=4A", "ACT_EST_MAPPING=PRECISE", "FS=MRC", "CURRENCY=USD", "XLFILL=b")</f>
        <v>78680.139522461803</v>
      </c>
      <c r="G399" s="9">
        <f>_xll.BQL("UAL US Equity", "BS_TOT_ASSET/1M", "FPT=A", "FPO=3A", "ACT_EST_MAPPING=PRECISE", "FS=MRC", "CURRENCY=USD", "XLFILL=b")</f>
        <v>76764.954954837565</v>
      </c>
      <c r="H399" s="9">
        <f>_xll.BQL("UAL US Equity", "BS_TOT_ASSET/1M", "FPT=A", "FPO=2A", "ACT_EST_MAPPING=PRECISE", "FS=MRC", "CURRENCY=USD", "XLFILL=b")</f>
        <v>76185.570133530869</v>
      </c>
      <c r="I399" s="9">
        <f>_xll.BQL("UAL US Equity", "BS_TOT_ASSET/1M", "FPT=A", "FPO=1A", "ACT_EST_MAPPING=PRECISE", "FS=MRC", "CURRENCY=USD", "XLFILL=b")</f>
        <v>71271.143062697229</v>
      </c>
      <c r="J399" s="9">
        <f>_xll.BQL("UAL US Equity", "BS_TOT_ASSET/1M", "FPT=A", "FPO=0A", "ACT_EST_MAPPING=PRECISE", "FS=MRC", "CURRENCY=USD", "XLFILL=b")</f>
        <v>71104</v>
      </c>
      <c r="K399" s="9">
        <f>_xll.BQL("UAL US Equity", "BS_TOT_ASSET/1M", "FPT=A", "FPO=-1A", "ACT_EST_MAPPING=PRECISE", "FS=MRC", "CURRENCY=USD", "XLFILL=b")</f>
        <v>67358</v>
      </c>
      <c r="L399" s="9">
        <f>_xll.BQL("UAL US Equity", "BS_TOT_ASSET/1M", "FPT=A", "FPO=-2A", "ACT_EST_MAPPING=PRECISE", "FS=MRC", "CURRENCY=USD", "XLFILL=b")</f>
        <v>68175</v>
      </c>
      <c r="M399" s="9">
        <f>_xll.BQL("UAL US Equity", "BS_TOT_ASSET/1M", "FPT=A", "FPO=-3A", "ACT_EST_MAPPING=PRECISE", "FS=MRC", "CURRENCY=USD", "XLFILL=b")</f>
        <v>59548</v>
      </c>
      <c r="N399" s="9">
        <f>_xll.BQL("UAL US Equity", "BS_TOT_ASSET/1M", "FPT=A", "FPO=-4A", "ACT_EST_MAPPING=PRECISE", "FS=MRC", "CURRENCY=USD", "XLFILL=b")</f>
        <v>52611</v>
      </c>
    </row>
    <row r="400" spans="1:14" x14ac:dyDescent="0.2">
      <c r="A400" s="8" t="s">
        <v>20</v>
      </c>
      <c r="B400" s="4" t="s">
        <v>317</v>
      </c>
      <c r="C400" s="4" t="s">
        <v>411</v>
      </c>
      <c r="D400" s="4"/>
      <c r="E400" s="9">
        <f>_xll.BQL("UAL US Equity", "FA_GROWTH(BS_TOT_ASSET, YOY)", "FPT=A", "FPO=5A", "ACT_EST_MAPPING=PRECISE", "FS=MRC", "CURRENCY=USD", "XLFILL=b")</f>
        <v>2.6662271560017108</v>
      </c>
      <c r="F400" s="9">
        <f>_xll.BQL("UAL US Equity", "FA_GROWTH(BS_TOT_ASSET, YOY)", "FPT=A", "FPO=4A", "ACT_EST_MAPPING=PRECISE", "FS=MRC", "CURRENCY=USD", "XLFILL=b")</f>
        <v>2.4948683533403755</v>
      </c>
      <c r="G400" s="9">
        <f>_xll.BQL("UAL US Equity", "FA_GROWTH(BS_TOT_ASSET, YOY)", "FPT=A", "FPO=3A", "ACT_EST_MAPPING=PRECISE", "FS=MRC", "CURRENCY=USD", "XLFILL=b")</f>
        <v>0.76049154753480308</v>
      </c>
      <c r="H400" s="9">
        <f>_xll.BQL("UAL US Equity", "FA_GROWTH(BS_TOT_ASSET, YOY)", "FPT=A", "FPO=2A", "ACT_EST_MAPPING=PRECISE", "FS=MRC", "CURRENCY=USD", "XLFILL=b")</f>
        <v>6.8953953306324989</v>
      </c>
      <c r="I400" s="9">
        <f>_xll.BQL("UAL US Equity", "FA_GROWTH(BS_TOT_ASSET, YOY)", "FPT=A", "FPO=1A", "ACT_EST_MAPPING=PRECISE", "FS=MRC", "CURRENCY=USD", "XLFILL=b")</f>
        <v>0.23506843876186306</v>
      </c>
      <c r="J400" s="9">
        <f>_xll.BQL("UAL US Equity", "FA_GROWTH(BS_TOT_ASSET, YOY)", "FPT=A", "FPO=0A", "ACT_EST_MAPPING=PRECISE", "FS=MRC", "CURRENCY=USD", "XLFILL=b")</f>
        <v>5.5613290180824846</v>
      </c>
      <c r="K400" s="9">
        <f>_xll.BQL("UAL US Equity", "FA_GROWTH(BS_TOT_ASSET, YOY)", "FPT=A", "FPO=-1A", "ACT_EST_MAPPING=PRECISE", "FS=MRC", "CURRENCY=USD", "XLFILL=b")</f>
        <v>-1.1983865053171985</v>
      </c>
      <c r="L400" s="9">
        <f>_xll.BQL("UAL US Equity", "FA_GROWTH(BS_TOT_ASSET, YOY)", "FPT=A", "FPO=-2A", "ACT_EST_MAPPING=PRECISE", "FS=MRC", "CURRENCY=USD", "XLFILL=b")</f>
        <v>14.487472291260831</v>
      </c>
      <c r="M400" s="9">
        <f>_xll.BQL("UAL US Equity", "FA_GROWTH(BS_TOT_ASSET, YOY)", "FPT=A", "FPO=-3A", "ACT_EST_MAPPING=PRECISE", "FS=MRC", "CURRENCY=USD", "XLFILL=b")</f>
        <v>13.185455513105625</v>
      </c>
      <c r="N400" s="9">
        <f>_xll.BQL("UAL US Equity", "FA_GROWTH(BS_TOT_ASSET, YOY)", "FPT=A", "FPO=-4A", "ACT_EST_MAPPING=PRECISE", "FS=MRC", "CURRENCY=USD", "XLFILL=b")</f>
        <v>7.3168244125326369</v>
      </c>
    </row>
    <row r="401" spans="1:14" x14ac:dyDescent="0.2">
      <c r="A401" s="8" t="s">
        <v>16</v>
      </c>
      <c r="B401" s="4"/>
      <c r="C401" s="4"/>
      <c r="D401" s="4"/>
      <c r="E401" s="9"/>
      <c r="F401" s="9"/>
      <c r="G401" s="9"/>
      <c r="H401" s="9"/>
      <c r="I401" s="9"/>
      <c r="J401" s="9"/>
      <c r="K401" s="9"/>
      <c r="L401" s="9"/>
      <c r="M401" s="9"/>
      <c r="N401" s="9"/>
    </row>
    <row r="402" spans="1:14" x14ac:dyDescent="0.2">
      <c r="A402" s="8" t="s">
        <v>412</v>
      </c>
      <c r="B402" s="4"/>
      <c r="C402" s="4" t="s">
        <v>413</v>
      </c>
      <c r="D402" s="4"/>
      <c r="E402" s="9"/>
      <c r="F402" s="9"/>
      <c r="G402" s="9"/>
      <c r="H402" s="9"/>
      <c r="I402" s="9"/>
      <c r="J402" s="9"/>
      <c r="K402" s="9"/>
      <c r="L402" s="9"/>
      <c r="M402" s="9"/>
      <c r="N402" s="9"/>
    </row>
    <row r="403" spans="1:14" x14ac:dyDescent="0.2">
      <c r="A403" s="8" t="s">
        <v>414</v>
      </c>
      <c r="B403" s="4" t="s">
        <v>415</v>
      </c>
      <c r="C403" s="4" t="s">
        <v>416</v>
      </c>
      <c r="D403" s="4"/>
      <c r="E403" s="9">
        <f>_xll.BQL("UAL US Equity", "NET_DEBT/1M", "FPT=A", "FPO=5A", "ACT_EST_MAPPING=PRECISE", "FS=MRC", "CURRENCY=USD", "XLFILL=b")</f>
        <v>17419.799894668293</v>
      </c>
      <c r="F403" s="9">
        <f>_xll.BQL("UAL US Equity", "NET_DEBT/1M", "FPT=A", "FPO=4A", "ACT_EST_MAPPING=PRECISE", "FS=MRC", "CURRENCY=USD", "XLFILL=b")</f>
        <v>18580.581598238819</v>
      </c>
      <c r="G403" s="9">
        <f>_xll.BQL("UAL US Equity", "NET_DEBT/1M", "FPT=A", "FPO=3A", "ACT_EST_MAPPING=PRECISE", "FS=MRC", "CURRENCY=USD", "XLFILL=b")</f>
        <v>15538.13015098798</v>
      </c>
      <c r="H403" s="9">
        <f>_xll.BQL("UAL US Equity", "NET_DEBT/1M", "FPT=A", "FPO=2A", "ACT_EST_MAPPING=PRECISE", "FS=MRC", "CURRENCY=USD", "XLFILL=b")</f>
        <v>17844.351842435935</v>
      </c>
      <c r="I403" s="9">
        <f>_xll.BQL("UAL US Equity", "NET_DEBT/1M", "FPT=A", "FPO=1A", "ACT_EST_MAPPING=PRECISE", "FS=MRC", "CURRENCY=USD", "XLFILL=b")</f>
        <v>18230.076421428108</v>
      </c>
      <c r="J403" s="9">
        <f>_xll.BQL("UAL US Equity", "NET_DEBT/1M", "FPT=A", "FPO=0A", "ACT_EST_MAPPING=PRECISE", "FS=MRC", "CURRENCY=USD", "XLFILL=b")</f>
        <v>20029</v>
      </c>
      <c r="K403" s="9">
        <f>_xll.BQL("UAL US Equity", "NET_DEBT/1M", "FPT=A", "FPO=-1A", "ACT_EST_MAPPING=PRECISE", "FS=MRC", "CURRENCY=USD", "XLFILL=b")</f>
        <v>20019</v>
      </c>
      <c r="L403" s="9">
        <f>_xll.BQL("UAL US Equity", "NET_DEBT/1M", "FPT=A", "FPO=-2A", "ACT_EST_MAPPING=PRECISE", "FS=MRC", "CURRENCY=USD", "XLFILL=b")</f>
        <v>20960</v>
      </c>
      <c r="M403" s="9">
        <f>_xll.BQL("UAL US Equity", "NET_DEBT/1M", "FPT=A", "FPO=-3A", "ACT_EST_MAPPING=PRECISE", "FS=MRC", "CURRENCY=USD", "XLFILL=b")</f>
        <v>21068</v>
      </c>
      <c r="N403" s="9">
        <f>_xll.BQL("UAL US Equity", "NET_DEBT/1M", "FPT=A", "FPO=-4A", "ACT_EST_MAPPING=PRECISE", "FS=MRC", "CURRENCY=USD", "XLFILL=b")</f>
        <v>15506</v>
      </c>
    </row>
    <row r="404" spans="1:14" x14ac:dyDescent="0.2">
      <c r="A404" s="8" t="s">
        <v>20</v>
      </c>
      <c r="B404" s="4" t="s">
        <v>415</v>
      </c>
      <c r="C404" s="4" t="s">
        <v>416</v>
      </c>
      <c r="D404" s="4"/>
      <c r="E404" s="9">
        <f>_xll.BQL("UAL US Equity", "FA_GROWTH(NET_DEBT, YOY)", "FPT=A", "FPO=5A", "ACT_EST_MAPPING=PRECISE", "FS=MRC", "CURRENCY=USD", "XLFILL=b")</f>
        <v>-6.2472840122536963</v>
      </c>
      <c r="F404" s="9">
        <f>_xll.BQL("UAL US Equity", "FA_GROWTH(NET_DEBT, YOY)", "FPT=A", "FPO=4A", "ACT_EST_MAPPING=PRECISE", "FS=MRC", "CURRENCY=USD", "XLFILL=b")</f>
        <v>19.580550669138187</v>
      </c>
      <c r="G404" s="9">
        <f>_xll.BQL("UAL US Equity", "FA_GROWTH(NET_DEBT, YOY)", "FPT=A", "FPO=3A", "ACT_EST_MAPPING=PRECISE", "FS=MRC", "CURRENCY=USD", "XLFILL=b")</f>
        <v>-12.924098963143585</v>
      </c>
      <c r="H404" s="9">
        <f>_xll.BQL("UAL US Equity", "FA_GROWTH(NET_DEBT, YOY)", "FPT=A", "FPO=2A", "ACT_EST_MAPPING=PRECISE", "FS=MRC", "CURRENCY=USD", "XLFILL=b")</f>
        <v>-2.1158692376011188</v>
      </c>
      <c r="I404" s="9">
        <f>_xll.BQL("UAL US Equity", "FA_GROWTH(NET_DEBT, YOY)", "FPT=A", "FPO=1A", "ACT_EST_MAPPING=PRECISE", "FS=MRC", "CURRENCY=USD", "XLFILL=b")</f>
        <v>-8.9815945807174185</v>
      </c>
      <c r="J404" s="9">
        <f>_xll.BQL("UAL US Equity", "FA_GROWTH(NET_DEBT, YOY)", "FPT=A", "FPO=0A", "ACT_EST_MAPPING=PRECISE", "FS=MRC", "CURRENCY=USD", "XLFILL=b")</f>
        <v>4.9952545082171937E-2</v>
      </c>
      <c r="K404" s="9">
        <f>_xll.BQL("UAL US Equity", "FA_GROWTH(NET_DEBT, YOY)", "FPT=A", "FPO=-1A", "ACT_EST_MAPPING=PRECISE", "FS=MRC", "CURRENCY=USD", "XLFILL=b")</f>
        <v>-4.489503816793893</v>
      </c>
      <c r="L404" s="9">
        <f>_xll.BQL("UAL US Equity", "FA_GROWTH(NET_DEBT, YOY)", "FPT=A", "FPO=-2A", "ACT_EST_MAPPING=PRECISE", "FS=MRC", "CURRENCY=USD", "XLFILL=b")</f>
        <v>-0.51262578317827989</v>
      </c>
      <c r="M404" s="9">
        <f>_xll.BQL("UAL US Equity", "FA_GROWTH(NET_DEBT, YOY)", "FPT=A", "FPO=-3A", "ACT_EST_MAPPING=PRECISE", "FS=MRC", "CURRENCY=USD", "XLFILL=b")</f>
        <v>35.869985811943764</v>
      </c>
      <c r="N404" s="9">
        <f>_xll.BQL("UAL US Equity", "FA_GROWTH(NET_DEBT, YOY)", "FPT=A", "FPO=-4A", "ACT_EST_MAPPING=PRECISE", "FS=MRC", "CURRENCY=USD", "XLFILL=b")</f>
        <v>-1.6366404465871607</v>
      </c>
    </row>
    <row r="405" spans="1:14" x14ac:dyDescent="0.2">
      <c r="A405" s="8" t="s">
        <v>417</v>
      </c>
      <c r="B405" s="4" t="s">
        <v>418</v>
      </c>
      <c r="C405" s="4"/>
      <c r="D405" s="4"/>
      <c r="E405" s="9">
        <f>_xll.BQL("UAL US Equity", "SHORT_AND_LONG_TERM_DEBT/1M", "FPT=A", "FPO=5A", "ACT_EST_MAPPING=PRECISE", "FS=MRC", "CURRENCY=USD", "XLFILL=b")</f>
        <v>27157.86</v>
      </c>
      <c r="F405" s="9">
        <f>_xll.BQL("UAL US Equity", "SHORT_AND_LONG_TERM_DEBT/1M", "FPT=A", "FPO=4A", "ACT_EST_MAPPING=PRECISE", "FS=MRC", "CURRENCY=USD", "XLFILL=b")</f>
        <v>30355</v>
      </c>
      <c r="G405" s="9">
        <f>_xll.BQL("UAL US Equity", "SHORT_AND_LONG_TERM_DEBT/1M", "FPT=A", "FPO=3A", "ACT_EST_MAPPING=PRECISE", "FS=MRC", "CURRENCY=USD", "XLFILL=b")</f>
        <v>29369.121728077582</v>
      </c>
      <c r="H405" s="9">
        <f>_xll.BQL("UAL US Equity", "SHORT_AND_LONG_TERM_DEBT/1M", "FPT=A", "FPO=2A", "ACT_EST_MAPPING=PRECISE", "FS=MRC", "CURRENCY=USD", "XLFILL=b")</f>
        <v>33378.743450860391</v>
      </c>
      <c r="I405" s="9">
        <f>_xll.BQL("UAL US Equity", "SHORT_AND_LONG_TERM_DEBT/1M", "FPT=A", "FPO=1A", "ACT_EST_MAPPING=PRECISE", "FS=MRC", "CURRENCY=USD", "XLFILL=b")</f>
        <v>32285.680089706464</v>
      </c>
      <c r="J405" s="9">
        <f>_xll.BQL("UAL US Equity", "SHORT_AND_LONG_TERM_DEBT/1M", "FPT=A", "FPO=0A", "ACT_EST_MAPPING=PRECISE", "FS=MRC", "CURRENCY=USD", "XLFILL=b")</f>
        <v>34417</v>
      </c>
      <c r="K405" s="9">
        <f>_xll.BQL("UAL US Equity", "SHORT_AND_LONG_TERM_DEBT/1M", "FPT=A", "FPO=-1A", "ACT_EST_MAPPING=PRECISE", "FS=MRC", "CURRENCY=USD", "XLFILL=b")</f>
        <v>36433</v>
      </c>
      <c r="L405" s="9">
        <f>_xll.BQL("UAL US Equity", "SHORT_AND_LONG_TERM_DEBT/1M", "FPT=A", "FPO=-2A", "ACT_EST_MAPPING=PRECISE", "FS=MRC", "CURRENCY=USD", "XLFILL=b")</f>
        <v>39366</v>
      </c>
      <c r="M405" s="9">
        <f>_xll.BQL("UAL US Equity", "SHORT_AND_LONG_TERM_DEBT/1M", "FPT=A", "FPO=-3A", "ACT_EST_MAPPING=PRECISE", "FS=MRC", "CURRENCY=USD", "XLFILL=b")</f>
        <v>32751</v>
      </c>
      <c r="N405" s="9">
        <f>_xll.BQL("UAL US Equity", "SHORT_AND_LONG_TERM_DEBT/1M", "FPT=A", "FPO=-4A", "ACT_EST_MAPPING=PRECISE", "FS=MRC", "CURRENCY=USD", "XLFILL=b")</f>
        <v>20450</v>
      </c>
    </row>
    <row r="406" spans="1:14" x14ac:dyDescent="0.2">
      <c r="A406" s="8" t="s">
        <v>20</v>
      </c>
      <c r="B406" s="4" t="s">
        <v>418</v>
      </c>
      <c r="C406" s="4"/>
      <c r="D406" s="4"/>
      <c r="E406" s="9">
        <f>_xll.BQL("UAL US Equity", "FA_GROWTH(SHORT_AND_LONG_TERM_DEBT, YOY)", "FPT=A", "FPO=5A", "ACT_EST_MAPPING=PRECISE", "FS=MRC", "CURRENCY=USD", "XLFILL=b")</f>
        <v>-10.53249876461868</v>
      </c>
      <c r="F406" s="9">
        <f>_xll.BQL("UAL US Equity", "FA_GROWTH(SHORT_AND_LONG_TERM_DEBT, YOY)", "FPT=A", "FPO=4A", "ACT_EST_MAPPING=PRECISE", "FS=MRC", "CURRENCY=USD", "XLFILL=b")</f>
        <v>3.3568530957461129</v>
      </c>
      <c r="G406" s="9">
        <f>_xll.BQL("UAL US Equity", "FA_GROWTH(SHORT_AND_LONG_TERM_DEBT, YOY)", "FPT=A", "FPO=3A", "ACT_EST_MAPPING=PRECISE", "FS=MRC", "CURRENCY=USD", "XLFILL=b")</f>
        <v>-12.012500496568139</v>
      </c>
      <c r="H406" s="9">
        <f>_xll.BQL("UAL US Equity", "FA_GROWTH(SHORT_AND_LONG_TERM_DEBT, YOY)", "FPT=A", "FPO=2A", "ACT_EST_MAPPING=PRECISE", "FS=MRC", "CURRENCY=USD", "XLFILL=b")</f>
        <v>3.3855980673686612</v>
      </c>
      <c r="I406" s="9">
        <f>_xll.BQL("UAL US Equity", "FA_GROWTH(SHORT_AND_LONG_TERM_DEBT, YOY)", "FPT=A", "FPO=1A", "ACT_EST_MAPPING=PRECISE", "FS=MRC", "CURRENCY=USD", "XLFILL=b")</f>
        <v>-6.1926370987986665</v>
      </c>
      <c r="J406" s="9">
        <f>_xll.BQL("UAL US Equity", "FA_GROWTH(SHORT_AND_LONG_TERM_DEBT, YOY)", "FPT=A", "FPO=0A", "ACT_EST_MAPPING=PRECISE", "FS=MRC", "CURRENCY=USD", "XLFILL=b")</f>
        <v>-5.5334449537507204</v>
      </c>
      <c r="K406" s="9">
        <f>_xll.BQL("UAL US Equity", "FA_GROWTH(SHORT_AND_LONG_TERM_DEBT, YOY)", "FPT=A", "FPO=-1A", "ACT_EST_MAPPING=PRECISE", "FS=MRC", "CURRENCY=USD", "XLFILL=b")</f>
        <v>-7.4505918813189043</v>
      </c>
      <c r="L406" s="9">
        <f>_xll.BQL("UAL US Equity", "FA_GROWTH(SHORT_AND_LONG_TERM_DEBT, YOY)", "FPT=A", "FPO=-2A", "ACT_EST_MAPPING=PRECISE", "FS=MRC", "CURRENCY=USD", "XLFILL=b")</f>
        <v>20.197856553998353</v>
      </c>
      <c r="M406" s="9">
        <f>_xll.BQL("UAL US Equity", "FA_GROWTH(SHORT_AND_LONG_TERM_DEBT, YOY)", "FPT=A", "FPO=-3A", "ACT_EST_MAPPING=PRECISE", "FS=MRC", "CURRENCY=USD", "XLFILL=b")</f>
        <v>60.151589242053788</v>
      </c>
      <c r="N406" s="9">
        <f>_xll.BQL("UAL US Equity", "FA_GROWTH(SHORT_AND_LONG_TERM_DEBT, YOY)", "FPT=A", "FPO=-4A", "ACT_EST_MAPPING=PRECISE", "FS=MRC", "CURRENCY=USD", "XLFILL=b")</f>
        <v>3.3506847930459394</v>
      </c>
    </row>
    <row r="407" spans="1:14" x14ac:dyDescent="0.2">
      <c r="A407" s="8" t="s">
        <v>419</v>
      </c>
      <c r="B407" s="4"/>
      <c r="C407" s="4"/>
      <c r="D407" s="4"/>
      <c r="E407" s="9"/>
      <c r="F407" s="9"/>
      <c r="G407" s="9"/>
      <c r="H407" s="9"/>
      <c r="I407" s="9"/>
      <c r="J407" s="9"/>
      <c r="K407" s="9"/>
      <c r="L407" s="9"/>
      <c r="M407" s="9"/>
      <c r="N407" s="9"/>
    </row>
    <row r="408" spans="1:14" x14ac:dyDescent="0.2">
      <c r="A408" s="8" t="s">
        <v>420</v>
      </c>
      <c r="B408" s="4" t="s">
        <v>421</v>
      </c>
      <c r="C408" s="4" t="s">
        <v>422</v>
      </c>
      <c r="D408" s="4"/>
      <c r="E408" s="9">
        <f>_xll.BQL("UAL US Equity", "HEADLINE_ROA", "FPT=A", "FPO=5A", "ACT_EST_MAPPING=PRECISE", "FS=MRC", "CURRENCY=USD", "XLFILL=b")</f>
        <v>5.0999999999999996</v>
      </c>
      <c r="F408" s="9">
        <f>_xll.BQL("UAL US Equity", "HEADLINE_ROA", "FPT=A", "FPO=4A", "ACT_EST_MAPPING=PRECISE", "FS=MRC", "CURRENCY=USD", "XLFILL=b")</f>
        <v>3.8</v>
      </c>
      <c r="G408" s="9">
        <f>_xll.BQL("UAL US Equity", "HEADLINE_ROA", "FPT=A", "FPO=3A", "ACT_EST_MAPPING=PRECISE", "FS=MRC", "CURRENCY=USD", "XLFILL=b")</f>
        <v>4.41</v>
      </c>
      <c r="H408" s="9">
        <f>_xll.BQL("UAL US Equity", "HEADLINE_ROA", "FPT=A", "FPO=2A", "ACT_EST_MAPPING=PRECISE", "FS=MRC", "CURRENCY=USD", "XLFILL=b")</f>
        <v>4.3599999999999994</v>
      </c>
      <c r="I408" s="9">
        <f>_xll.BQL("UAL US Equity", "HEADLINE_ROA", "FPT=A", "FPO=1A", "ACT_EST_MAPPING=PRECISE", "FS=MRC", "CURRENCY=USD", "XLFILL=b")</f>
        <v>4.2733333333333334</v>
      </c>
      <c r="J408" s="9">
        <f>_xll.BQL("UAL US Equity", "HEADLINE_ROA", "FPT=A", "FPO=0A", "ACT_EST_MAPPING=PRECISE", "FS=MRC", "CURRENCY=USD", "XLFILL=b")</f>
        <v>3.7815429504123874</v>
      </c>
      <c r="K408" s="9">
        <f>_xll.BQL("UAL US Equity", "HEADLINE_ROA", "FPT=A", "FPO=-1A", "ACT_EST_MAPPING=PRECISE", "FS=MRC", "CURRENCY=USD", "XLFILL=b")</f>
        <v>1.0875580117019472</v>
      </c>
      <c r="L408" s="9">
        <f>_xll.BQL("UAL US Equity", "HEADLINE_ROA", "FPT=A", "FPO=-2A", "ACT_EST_MAPPING=PRECISE", "FS=MRC", "CURRENCY=USD", "XLFILL=b")</f>
        <v>-3.0754053694322869</v>
      </c>
      <c r="M408" s="9">
        <f>_xll.BQL("UAL US Equity", "HEADLINE_ROA", "FPT=A", "FPO=-3A", "ACT_EST_MAPPING=PRECISE", "FS=MRC", "CURRENCY=USD", "XLFILL=b")</f>
        <v>-12.605319234301305</v>
      </c>
      <c r="N408" s="9">
        <f>_xll.BQL("UAL US Equity", "HEADLINE_ROA", "FPT=A", "FPO=-4A", "ACT_EST_MAPPING=PRECISE", "FS=MRC", "CURRENCY=USD", "XLFILL=b")</f>
        <v>5.9211885669306827</v>
      </c>
    </row>
    <row r="409" spans="1:14" x14ac:dyDescent="0.2">
      <c r="A409" s="8" t="s">
        <v>20</v>
      </c>
      <c r="B409" s="4" t="s">
        <v>421</v>
      </c>
      <c r="C409" s="4" t="s">
        <v>422</v>
      </c>
      <c r="D409" s="4"/>
      <c r="E409" s="9">
        <f>_xll.BQL("UAL US Equity", "FA_GROWTH(HEADLINE_ROA, YOY)", "FPT=A", "FPO=5A", "ACT_EST_MAPPING=PRECISE", "FS=MRC", "CURRENCY=USD", "XLFILL=b")</f>
        <v>34.210526315789465</v>
      </c>
      <c r="F409" s="9">
        <f>_xll.BQL("UAL US Equity", "FA_GROWTH(HEADLINE_ROA, YOY)", "FPT=A", "FPO=4A", "ACT_EST_MAPPING=PRECISE", "FS=MRC", "CURRENCY=USD", "XLFILL=b")</f>
        <v>-13.832199546485267</v>
      </c>
      <c r="G409" s="9">
        <f>_xll.BQL("UAL US Equity", "FA_GROWTH(HEADLINE_ROA, YOY)", "FPT=A", "FPO=3A", "ACT_EST_MAPPING=PRECISE", "FS=MRC", "CURRENCY=USD", "XLFILL=b")</f>
        <v>1.1467889908257045</v>
      </c>
      <c r="H409" s="9">
        <f>_xll.BQL("UAL US Equity", "FA_GROWTH(HEADLINE_ROA, YOY)", "FPT=A", "FPO=2A", "ACT_EST_MAPPING=PRECISE", "FS=MRC", "CURRENCY=USD", "XLFILL=b")</f>
        <v>2.0280811232449141</v>
      </c>
      <c r="I409" s="9" t="str">
        <f>_xll.BQL("UAL US Equity", "FA_GROWTH(HEADLINE_ROA, YOY)", "FPT=A", "FPO=1A", "ACT_EST_MAPPING=PRECISE", "FS=MRC", "CURRENCY=USD", "XLFILL=b")</f>
        <v/>
      </c>
      <c r="J409" s="9">
        <f>_xll.BQL("UAL US Equity", "FA_GROWTH(HEADLINE_ROA, YOY)", "FPT=A", "FPO=0A", "ACT_EST_MAPPING=PRECISE", "FS=MRC", "CURRENCY=USD", "XLFILL=b")</f>
        <v>247.70953914399055</v>
      </c>
      <c r="K409" s="9">
        <f>_xll.BQL("UAL US Equity", "FA_GROWTH(HEADLINE_ROA, YOY)", "FPT=A", "FPO=-1A", "ACT_EST_MAPPING=PRECISE", "FS=MRC", "CURRENCY=USD", "XLFILL=b")</f>
        <v>135.3630783932301</v>
      </c>
      <c r="L409" s="9">
        <f>_xll.BQL("UAL US Equity", "FA_GROWTH(HEADLINE_ROA, YOY)", "FPT=A", "FPO=-2A", "ACT_EST_MAPPING=PRECISE", "FS=MRC", "CURRENCY=USD", "XLFILL=b")</f>
        <v>75.602320637278552</v>
      </c>
      <c r="M409" s="9">
        <f>_xll.BQL("UAL US Equity", "FA_GROWTH(HEADLINE_ROA, YOY)", "FPT=A", "FPO=-3A", "ACT_EST_MAPPING=PRECISE", "FS=MRC", "CURRENCY=USD", "XLFILL=b")</f>
        <v>-312.88494855071673</v>
      </c>
      <c r="N409" s="9">
        <f>_xll.BQL("UAL US Equity", "FA_GROWTH(HEADLINE_ROA, YOY)", "FPT=A", "FPO=-4A", "ACT_EST_MAPPING=PRECISE", "FS=MRC", "CURRENCY=USD", "XLFILL=b")</f>
        <v>27.478557813491157</v>
      </c>
    </row>
    <row r="410" spans="1:14" x14ac:dyDescent="0.2">
      <c r="A410" s="8" t="s">
        <v>423</v>
      </c>
      <c r="B410" s="4" t="s">
        <v>424</v>
      </c>
      <c r="C410" s="4" t="s">
        <v>425</v>
      </c>
      <c r="D410" s="4"/>
      <c r="E410" s="9">
        <f>_xll.BQL("UAL US Equity", "HEADLINE_ROE", "FPT=A", "FPO=5A", "ACT_EST_MAPPING=PRECISE", "FS=MRC", "CURRENCY=USD", "XLFILL=b")</f>
        <v>18.2</v>
      </c>
      <c r="F410" s="9">
        <f>_xll.BQL("UAL US Equity", "HEADLINE_ROE", "FPT=A", "FPO=4A", "ACT_EST_MAPPING=PRECISE", "FS=MRC", "CURRENCY=USD", "XLFILL=b")</f>
        <v>16.7</v>
      </c>
      <c r="G410" s="9">
        <f>_xll.BQL("UAL US Equity", "HEADLINE_ROE", "FPT=A", "FPO=3A", "ACT_EST_MAPPING=PRECISE", "FS=MRC", "CURRENCY=USD", "XLFILL=b")</f>
        <v>22.491666666666664</v>
      </c>
      <c r="H410" s="9">
        <f>_xll.BQL("UAL US Equity", "HEADLINE_ROE", "FPT=A", "FPO=2A", "ACT_EST_MAPPING=PRECISE", "FS=MRC", "CURRENCY=USD", "XLFILL=b")</f>
        <v>25.34375</v>
      </c>
      <c r="I410" s="9">
        <f>_xll.BQL("UAL US Equity", "HEADLINE_ROE", "FPT=A", "FPO=1A", "ACT_EST_MAPPING=PRECISE", "FS=MRC", "CURRENCY=USD", "XLFILL=b")</f>
        <v>28.722222222222221</v>
      </c>
      <c r="J410" s="9">
        <f>_xll.BQL("UAL US Equity", "HEADLINE_ROE", "FPT=A", "FPO=0A", "ACT_EST_MAPPING=PRECISE", "FS=MRC", "CURRENCY=USD", "XLFILL=b")</f>
        <v>32.281134401972871</v>
      </c>
      <c r="K410" s="9">
        <f>_xll.BQL("UAL US Equity", "HEADLINE_ROE", "FPT=A", "FPO=-1A", "ACT_EST_MAPPING=PRECISE", "FS=MRC", "CURRENCY=USD", "XLFILL=b")</f>
        <v>12.360587002096436</v>
      </c>
      <c r="L410" s="9">
        <f>_xll.BQL("UAL US Equity", "HEADLINE_ROE", "FPT=A", "FPO=-2A", "ACT_EST_MAPPING=PRECISE", "FS=MRC", "CURRENCY=USD", "XLFILL=b")</f>
        <v>-35.744835744835747</v>
      </c>
      <c r="M410" s="9">
        <f>_xll.BQL("UAL US Equity", "HEADLINE_ROE", "FPT=A", "FPO=-3A", "ACT_EST_MAPPING=PRECISE", "FS=MRC", "CURRENCY=USD", "XLFILL=b")</f>
        <v>-80.830141215482243</v>
      </c>
      <c r="N410" s="9">
        <f>_xll.BQL("UAL US Equity", "HEADLINE_ROE", "FPT=A", "FPO=-4A", "ACT_EST_MAPPING=PRECISE", "FS=MRC", "CURRENCY=USD", "XLFILL=b")</f>
        <v>27.895981087470449</v>
      </c>
    </row>
    <row r="411" spans="1:14" x14ac:dyDescent="0.2">
      <c r="A411" s="8" t="s">
        <v>20</v>
      </c>
      <c r="B411" s="4" t="s">
        <v>424</v>
      </c>
      <c r="C411" s="4" t="s">
        <v>425</v>
      </c>
      <c r="D411" s="4"/>
      <c r="E411" s="9">
        <f>_xll.BQL("UAL US Equity", "FA_GROWTH(HEADLINE_ROE, YOY)", "FPT=A", "FPO=5A", "ACT_EST_MAPPING=PRECISE", "FS=MRC", "CURRENCY=USD", "XLFILL=b")</f>
        <v>8.9820359281437128</v>
      </c>
      <c r="F411" s="9">
        <f>_xll.BQL("UAL US Equity", "FA_GROWTH(HEADLINE_ROE, YOY)", "FPT=A", "FPO=4A", "ACT_EST_MAPPING=PRECISE", "FS=MRC", "CURRENCY=USD", "XLFILL=b")</f>
        <v>-25.750277880696547</v>
      </c>
      <c r="G411" s="9">
        <f>_xll.BQL("UAL US Equity", "FA_GROWTH(HEADLINE_ROE, YOY)", "FPT=A", "FPO=3A", "ACT_EST_MAPPING=PRECISE", "FS=MRC", "CURRENCY=USD", "XLFILL=b")</f>
        <v>-11.253596383066187</v>
      </c>
      <c r="H411" s="9">
        <f>_xll.BQL("UAL US Equity", "FA_GROWTH(HEADLINE_ROE, YOY)", "FPT=A", "FPO=2A", "ACT_EST_MAPPING=PRECISE", "FS=MRC", "CURRENCY=USD", "XLFILL=b")</f>
        <v>-11.762572533849129</v>
      </c>
      <c r="I411" s="9" t="str">
        <f>_xll.BQL("UAL US Equity", "FA_GROWTH(HEADLINE_ROE, YOY)", "FPT=A", "FPO=1A", "ACT_EST_MAPPING=PRECISE", "FS=MRC", "CURRENCY=USD", "XLFILL=b")</f>
        <v/>
      </c>
      <c r="J411" s="9">
        <f>_xll.BQL("UAL US Equity", "FA_GROWTH(HEADLINE_ROE, YOY)", "FPT=A", "FPO=0A", "ACT_EST_MAPPING=PRECISE", "FS=MRC", "CURRENCY=USD", "XLFILL=b")</f>
        <v>161.16182343522829</v>
      </c>
      <c r="K411" s="9">
        <f>_xll.BQL("UAL US Equity", "FA_GROWTH(HEADLINE_ROE, YOY)", "FPT=A", "FPO=-1A", "ACT_EST_MAPPING=PRECISE", "FS=MRC", "CURRENCY=USD", "XLFILL=b")</f>
        <v>134.58006378972448</v>
      </c>
      <c r="L411" s="9">
        <f>_xll.BQL("UAL US Equity", "FA_GROWTH(HEADLINE_ROE, YOY)", "FPT=A", "FPO=-2A", "ACT_EST_MAPPING=PRECISE", "FS=MRC", "CURRENCY=USD", "XLFILL=b")</f>
        <v>55.777838307191821</v>
      </c>
      <c r="M411" s="9">
        <f>_xll.BQL("UAL US Equity", "FA_GROWTH(HEADLINE_ROE, YOY)", "FPT=A", "FPO=-3A", "ACT_EST_MAPPING=PRECISE", "FS=MRC", "CURRENCY=USD", "XLFILL=b")</f>
        <v>-389.75550622160154</v>
      </c>
      <c r="N411" s="9">
        <f>_xll.BQL("UAL US Equity", "FA_GROWTH(HEADLINE_ROE, YOY)", "FPT=A", "FPO=-4A", "ACT_EST_MAPPING=PRECISE", "FS=MRC", "CURRENCY=USD", "XLFILL=b")</f>
        <v>23.415396064643062</v>
      </c>
    </row>
    <row r="412" spans="1:14" x14ac:dyDescent="0.2">
      <c r="A412" s="8" t="s">
        <v>426</v>
      </c>
      <c r="B412" s="4" t="s">
        <v>427</v>
      </c>
      <c r="C412" s="4"/>
      <c r="D412" s="4"/>
      <c r="E412" s="9" t="str">
        <f>_xll.BQL("UAL US Equity", "CASH_RATIO", "FPT=A", "FPO=5A", "ACT_EST_MAPPING=PRECISE", "FS=MRC", "CURRENCY=USD", "XLFILL=b")</f>
        <v/>
      </c>
      <c r="F412" s="9" t="str">
        <f>_xll.BQL("UAL US Equity", "CASH_RATIO", "FPT=A", "FPO=4A", "ACT_EST_MAPPING=PRECISE", "FS=MRC", "CURRENCY=USD", "XLFILL=b")</f>
        <v/>
      </c>
      <c r="G412" s="9">
        <f>_xll.BQL("UAL US Equity", "CASH_RATIO", "FPT=A", "FPO=3A", "ACT_EST_MAPPING=PRECISE", "FS=MRC", "CURRENCY=USD", "XLFILL=b")</f>
        <v>0.28471828384585868</v>
      </c>
      <c r="H412" s="9">
        <f>_xll.BQL("UAL US Equity", "CASH_RATIO", "FPT=A", "FPO=2A", "ACT_EST_MAPPING=PRECISE", "FS=MRC", "CURRENCY=USD", "XLFILL=b")</f>
        <v>0.46888295327580193</v>
      </c>
      <c r="I412" s="9">
        <f>_xll.BQL("UAL US Equity", "CASH_RATIO", "FPT=A", "FPO=1A", "ACT_EST_MAPPING=PRECISE", "FS=MRC", "CURRENCY=USD", "XLFILL=b")</f>
        <v>0.49007777942312547</v>
      </c>
      <c r="J412" s="9">
        <f>_xll.BQL("UAL US Equity", "CASH_RATIO", "FPT=A", "FPO=0A", "ACT_EST_MAPPING=PRECISE", "FS=MRC", "CURRENCY=USD", "XLFILL=b")</f>
        <v>0.64802053776516688</v>
      </c>
      <c r="K412" s="9">
        <f>_xll.BQL("UAL US Equity", "CASH_RATIO", "FPT=A", "FPO=-1A", "ACT_EST_MAPPING=PRECISE", "FS=MRC", "CURRENCY=USD", "XLFILL=b")</f>
        <v>0.82102841136454585</v>
      </c>
      <c r="L412" s="9">
        <f>_xll.BQL("UAL US Equity", "CASH_RATIO", "FPT=A", "FPO=-2A", "ACT_EST_MAPPING=PRECISE", "FS=MRC", "CURRENCY=USD", "XLFILL=b")</f>
        <v>1.0055725524475525</v>
      </c>
      <c r="M412" s="9">
        <f>_xll.BQL("UAL US Equity", "CASH_RATIO", "FPT=A", "FPO=-3A", "ACT_EST_MAPPING=PRECISE", "FS=MRC", "CURRENCY=USD", "XLFILL=b")</f>
        <v>0.91811394891944986</v>
      </c>
      <c r="N412" s="9">
        <f>_xll.BQL("UAL US Equity", "CASH_RATIO", "FPT=A", "FPO=-4A", "ACT_EST_MAPPING=PRECISE", "FS=MRC", "CURRENCY=USD", "XLFILL=b")</f>
        <v>0.33096800107109386</v>
      </c>
    </row>
    <row r="413" spans="1:14" x14ac:dyDescent="0.2">
      <c r="A413" s="8" t="s">
        <v>20</v>
      </c>
      <c r="B413" s="4" t="s">
        <v>427</v>
      </c>
      <c r="C413" s="4"/>
      <c r="D413" s="4"/>
      <c r="E413" s="9" t="str">
        <f>_xll.BQL("UAL US Equity", "FA_GROWTH(CASH_RATIO, YOY)", "FPT=A", "FPO=5A", "ACT_EST_MAPPING=PRECISE", "FS=MRC", "CURRENCY=USD", "XLFILL=b")</f>
        <v/>
      </c>
      <c r="F413" s="9" t="str">
        <f>_xll.BQL("UAL US Equity", "FA_GROWTH(CASH_RATIO, YOY)", "FPT=A", "FPO=4A", "ACT_EST_MAPPING=PRECISE", "FS=MRC", "CURRENCY=USD", "XLFILL=b")</f>
        <v/>
      </c>
      <c r="G413" s="9">
        <f>_xll.BQL("UAL US Equity", "FA_GROWTH(CASH_RATIO, YOY)", "FPT=A", "FPO=3A", "ACT_EST_MAPPING=PRECISE", "FS=MRC", "CURRENCY=USD", "XLFILL=b")</f>
        <v>-39.277322441196887</v>
      </c>
      <c r="H413" s="9">
        <f>_xll.BQL("UAL US Equity", "FA_GROWTH(CASH_RATIO, YOY)", "FPT=A", "FPO=2A", "ACT_EST_MAPPING=PRECISE", "FS=MRC", "CURRENCY=USD", "XLFILL=b")</f>
        <v>-4.3247882350985485</v>
      </c>
      <c r="I413" s="9">
        <f>_xll.BQL("UAL US Equity", "FA_GROWTH(CASH_RATIO, YOY)", "FPT=A", "FPO=1A", "ACT_EST_MAPPING=PRECISE", "FS=MRC", "CURRENCY=USD", "XLFILL=b")</f>
        <v>-24.373109976844212</v>
      </c>
      <c r="J413" s="9">
        <f>_xll.BQL("UAL US Equity", "FA_GROWTH(CASH_RATIO, YOY)", "FPT=A", "FPO=0A", "ACT_EST_MAPPING=PRECISE", "FS=MRC", "CURRENCY=USD", "XLFILL=b")</f>
        <v>-21.072093389781795</v>
      </c>
      <c r="K413" s="9">
        <f>_xll.BQL("UAL US Equity", "FA_GROWTH(CASH_RATIO, YOY)", "FPT=A", "FPO=-1A", "ACT_EST_MAPPING=PRECISE", "FS=MRC", "CURRENCY=USD", "XLFILL=b")</f>
        <v>-18.352145813231303</v>
      </c>
      <c r="L413" s="9">
        <f>_xll.BQL("UAL US Equity", "FA_GROWTH(CASH_RATIO, YOY)", "FPT=A", "FPO=-2A", "ACT_EST_MAPPING=PRECISE", "FS=MRC", "CURRENCY=USD", "XLFILL=b")</f>
        <v>9.5258985696747942</v>
      </c>
      <c r="M413" s="9">
        <f>_xll.BQL("UAL US Equity", "FA_GROWTH(CASH_RATIO, YOY)", "FPT=A", "FPO=-3A", "ACT_EST_MAPPING=PRECISE", "FS=MRC", "CURRENCY=USD", "XLFILL=b")</f>
        <v>177.40263286728847</v>
      </c>
      <c r="N413" s="9">
        <f>_xll.BQL("UAL US Equity", "FA_GROWTH(CASH_RATIO, YOY)", "FPT=A", "FPO=-4A", "ACT_EST_MAPPING=PRECISE", "FS=MRC", "CURRENCY=USD", "XLFILL=b")</f>
        <v>15.956105489186536</v>
      </c>
    </row>
    <row r="414" spans="1:14" x14ac:dyDescent="0.2">
      <c r="A414" s="8" t="s">
        <v>428</v>
      </c>
      <c r="B414" s="4" t="s">
        <v>429</v>
      </c>
      <c r="C414" s="4"/>
      <c r="D414" s="4"/>
      <c r="E414" s="9">
        <f>_xll.BQL("UAL US Equity", "CAPITALIZATION_RATIO", "FPT=A", "FPO=5A", "ACT_EST_MAPPING=PRECISE", "FS=MRC", "CURRENCY=USD", "XLFILL=b")</f>
        <v>48.888914083539404</v>
      </c>
      <c r="F414" s="9">
        <f>_xll.BQL("UAL US Equity", "CAPITALIZATION_RATIO", "FPT=A", "FPO=4A", "ACT_EST_MAPPING=PRECISE", "FS=MRC", "CURRENCY=USD", "XLFILL=b")</f>
        <v>55.772242593235603</v>
      </c>
      <c r="G414" s="9">
        <f>_xll.BQL("UAL US Equity", "CAPITALIZATION_RATIO", "FPT=A", "FPO=3A", "ACT_EST_MAPPING=PRECISE", "FS=MRC", "CURRENCY=USD", "XLFILL=b")</f>
        <v>59.886430449682699</v>
      </c>
      <c r="H414" s="9">
        <f>_xll.BQL("UAL US Equity", "CAPITALIZATION_RATIO", "FPT=A", "FPO=2A", "ACT_EST_MAPPING=PRECISE", "FS=MRC", "CURRENCY=USD", "XLFILL=b")</f>
        <v>64.023874455683796</v>
      </c>
      <c r="I414" s="9">
        <f>_xll.BQL("UAL US Equity", "CAPITALIZATION_RATIO", "FPT=A", "FPO=1A", "ACT_EST_MAPPING=PRECISE", "FS=MRC", "CURRENCY=USD", "XLFILL=b")</f>
        <v>69.458900421544698</v>
      </c>
      <c r="J414" s="9">
        <f>_xll.BQL("UAL US Equity", "CAPITALIZATION_RATIO", "FPT=A", "FPO=0A", "ACT_EST_MAPPING=PRECISE", "FS=MRC", "CURRENCY=USD", "XLFILL=b")</f>
        <v>76.076972418216812</v>
      </c>
      <c r="K414" s="9">
        <f>_xll.BQL("UAL US Equity", "CAPITALIZATION_RATIO", "FPT=A", "FPO=-1A", "ACT_EST_MAPPING=PRECISE", "FS=MRC", "CURRENCY=USD", "XLFILL=b")</f>
        <v>82.652881543531308</v>
      </c>
      <c r="L414" s="9">
        <f>_xll.BQL("UAL US Equity", "CAPITALIZATION_RATIO", "FPT=A", "FPO=-2A", "ACT_EST_MAPPING=PRECISE", "FS=MRC", "CURRENCY=USD", "XLFILL=b")</f>
        <v>87.662226147542995</v>
      </c>
      <c r="M414" s="9">
        <f>_xll.BQL("UAL US Equity", "CAPITALIZATION_RATIO", "FPT=A", "FPO=-3A", "ACT_EST_MAPPING=PRECISE", "FS=MRC", "CURRENCY=USD", "XLFILL=b")</f>
        <v>83.4472032439038</v>
      </c>
      <c r="N414" s="9">
        <f>_xll.BQL("UAL US Equity", "CAPITALIZATION_RATIO", "FPT=A", "FPO=-4A", "ACT_EST_MAPPING=PRECISE", "FS=MRC", "CURRENCY=USD", "XLFILL=b")</f>
        <v>61.359828429729909</v>
      </c>
    </row>
    <row r="415" spans="1:14" x14ac:dyDescent="0.2">
      <c r="A415" s="8" t="s">
        <v>20</v>
      </c>
      <c r="B415" s="4" t="s">
        <v>429</v>
      </c>
      <c r="C415" s="4"/>
      <c r="D415" s="4"/>
      <c r="E415" s="9">
        <f>_xll.BQL("UAL US Equity", "FA_GROWTH(CAPITALIZATION_RATIO, YOY)", "FPT=A", "FPO=5A", "ACT_EST_MAPPING=PRECISE", "FS=MRC", "CURRENCY=USD", "XLFILL=b")</f>
        <v>-12.341853563068037</v>
      </c>
      <c r="F415" s="9">
        <f>_xll.BQL("UAL US Equity", "FA_GROWTH(CAPITALIZATION_RATIO, YOY)", "FPT=A", "FPO=4A", "ACT_EST_MAPPING=PRECISE", "FS=MRC", "CURRENCY=USD", "XLFILL=b")</f>
        <v>-6.8699834429168165</v>
      </c>
      <c r="G415" s="9">
        <f>_xll.BQL("UAL US Equity", "FA_GROWTH(CAPITALIZATION_RATIO, YOY)", "FPT=A", "FPO=3A", "ACT_EST_MAPPING=PRECISE", "FS=MRC", "CURRENCY=USD", "XLFILL=b")</f>
        <v>-6.4623455565235481</v>
      </c>
      <c r="H415" s="9">
        <f>_xll.BQL("UAL US Equity", "FA_GROWTH(CAPITALIZATION_RATIO, YOY)", "FPT=A", "FPO=2A", "ACT_EST_MAPPING=PRECISE", "FS=MRC", "CURRENCY=USD", "XLFILL=b")</f>
        <v>-7.824808531197351</v>
      </c>
      <c r="I415" s="9">
        <f>_xll.BQL("UAL US Equity", "FA_GROWTH(CAPITALIZATION_RATIO, YOY)", "FPT=A", "FPO=1A", "ACT_EST_MAPPING=PRECISE", "FS=MRC", "CURRENCY=USD", "XLFILL=b")</f>
        <v>-8.699178984529885</v>
      </c>
      <c r="J415" s="9">
        <f>_xll.BQL("UAL US Equity", "FA_GROWTH(CAPITALIZATION_RATIO, YOY)", "FPT=A", "FPO=0A", "ACT_EST_MAPPING=PRECISE", "FS=MRC", "CURRENCY=USD", "XLFILL=b")</f>
        <v>-7.9560554968082036</v>
      </c>
      <c r="K415" s="9">
        <f>_xll.BQL("UAL US Equity", "FA_GROWTH(CAPITALIZATION_RATIO, YOY)", "FPT=A", "FPO=-1A", "ACT_EST_MAPPING=PRECISE", "FS=MRC", "CURRENCY=USD", "XLFILL=b")</f>
        <v>-5.7143707434266311</v>
      </c>
      <c r="L415" s="9">
        <f>_xll.BQL("UAL US Equity", "FA_GROWTH(CAPITALIZATION_RATIO, YOY)", "FPT=A", "FPO=-2A", "ACT_EST_MAPPING=PRECISE", "FS=MRC", "CURRENCY=USD", "XLFILL=b")</f>
        <v>5.0511254299551638</v>
      </c>
      <c r="M415" s="9">
        <f>_xll.BQL("UAL US Equity", "FA_GROWTH(CAPITALIZATION_RATIO, YOY)", "FPT=A", "FPO=-3A", "ACT_EST_MAPPING=PRECISE", "FS=MRC", "CURRENCY=USD", "XLFILL=b")</f>
        <v>35.996474207010934</v>
      </c>
      <c r="N415" s="9">
        <f>_xll.BQL("UAL US Equity", "FA_GROWTH(CAPITALIZATION_RATIO, YOY)", "FPT=A", "FPO=-4A", "ACT_EST_MAPPING=PRECISE", "FS=MRC", "CURRENCY=USD", "XLFILL=b")</f>
        <v>-3.85747910110002</v>
      </c>
    </row>
    <row r="416" spans="1:14" x14ac:dyDescent="0.2">
      <c r="A416" s="8" t="s">
        <v>430</v>
      </c>
      <c r="B416" s="4" t="s">
        <v>431</v>
      </c>
      <c r="C416" s="4" t="s">
        <v>432</v>
      </c>
      <c r="D416" s="4"/>
      <c r="E416" s="9" t="str">
        <f>_xll.BQL("UAL US Equity", "HEADLINE_BVPS", "FPT=A", "FPO=5A", "ACT_EST_MAPPING=PRECISE", "FS=MRC", "CURRENCY=USD", "XLFILL=b")</f>
        <v/>
      </c>
      <c r="F416" s="9" t="str">
        <f>_xll.BQL("UAL US Equity", "HEADLINE_BVPS", "FPT=A", "FPO=4A", "ACT_EST_MAPPING=PRECISE", "FS=MRC", "CURRENCY=USD", "XLFILL=b")</f>
        <v/>
      </c>
      <c r="G416" s="9">
        <f>_xll.BQL("UAL US Equity", "HEADLINE_BVPS", "FPT=A", "FPO=3A", "ACT_EST_MAPPING=PRECISE", "FS=MRC", "CURRENCY=USD", "XLFILL=b")</f>
        <v>70.862499999999997</v>
      </c>
      <c r="H416" s="9">
        <f>_xll.BQL("UAL US Equity", "HEADLINE_BVPS", "FPT=A", "FPO=2A", "ACT_EST_MAPPING=PRECISE", "FS=MRC", "CURRENCY=USD", "XLFILL=b")</f>
        <v>51.23571428571428</v>
      </c>
      <c r="I416" s="9">
        <f>_xll.BQL("UAL US Equity", "HEADLINE_BVPS", "FPT=A", "FPO=1A", "ACT_EST_MAPPING=PRECISE", "FS=MRC", "CURRENCY=USD", "XLFILL=b")</f>
        <v>37.875714285714288</v>
      </c>
      <c r="J416" s="9">
        <f>_xll.BQL("UAL US Equity", "HEADLINE_BVPS", "FPT=A", "FPO=0A", "ACT_EST_MAPPING=PRECISE", "FS=MRC", "CURRENCY=USD", "XLFILL=b")</f>
        <v>28.425205305115206</v>
      </c>
      <c r="K416" s="9">
        <f>_xll.BQL("UAL US Equity", "HEADLINE_BVPS", "FPT=A", "FPO=-1A", "ACT_EST_MAPPING=PRECISE", "FS=MRC", "CURRENCY=USD", "XLFILL=b")</f>
        <v>21.09317966870378</v>
      </c>
      <c r="L416" s="9">
        <f>_xll.BQL("UAL US Equity", "HEADLINE_BVPS", "FPT=A", "FPO=-2A", "ACT_EST_MAPPING=PRECISE", "FS=MRC", "CURRENCY=USD", "XLFILL=b")</f>
        <v>15.530672885935791</v>
      </c>
      <c r="M416" s="9">
        <f>_xll.BQL("UAL US Equity", "HEADLINE_BVPS", "FPT=A", "FPO=-3A", "ACT_EST_MAPPING=PRECISE", "FS=MRC", "CURRENCY=USD", "XLFILL=b")</f>
        <v>19.112044656818739</v>
      </c>
      <c r="N416" s="9">
        <f>_xll.BQL("UAL US Equity", "HEADLINE_BVPS", "FPT=A", "FPO=-4A", "ACT_EST_MAPPING=PRECISE", "FS=MRC", "CURRENCY=USD", "XLFILL=b")</f>
        <v>45.900669192428175</v>
      </c>
    </row>
    <row r="417" spans="1:14" x14ac:dyDescent="0.2">
      <c r="A417" s="8" t="s">
        <v>20</v>
      </c>
      <c r="B417" s="4" t="s">
        <v>431</v>
      </c>
      <c r="C417" s="4" t="s">
        <v>432</v>
      </c>
      <c r="D417" s="4"/>
      <c r="E417" s="9" t="str">
        <f>_xll.BQL("UAL US Equity", "FA_GROWTH(HEADLINE_BVPS, YOY)", "FPT=A", "FPO=5A", "ACT_EST_MAPPING=PRECISE", "FS=MRC", "CURRENCY=USD", "XLFILL=b")</f>
        <v/>
      </c>
      <c r="F417" s="9" t="str">
        <f>_xll.BQL("UAL US Equity", "FA_GROWTH(HEADLINE_BVPS, YOY)", "FPT=A", "FPO=4A", "ACT_EST_MAPPING=PRECISE", "FS=MRC", "CURRENCY=USD", "XLFILL=b")</f>
        <v/>
      </c>
      <c r="G417" s="9">
        <f>_xll.BQL("UAL US Equity", "FA_GROWTH(HEADLINE_BVPS, YOY)", "FPT=A", "FPO=3A", "ACT_EST_MAPPING=PRECISE", "FS=MRC", "CURRENCY=USD", "XLFILL=b")</f>
        <v>38.306845113620525</v>
      </c>
      <c r="H417" s="9">
        <f>_xll.BQL("UAL US Equity", "FA_GROWTH(HEADLINE_BVPS, YOY)", "FPT=A", "FPO=2A", "ACT_EST_MAPPING=PRECISE", "FS=MRC", "CURRENCY=USD", "XLFILL=b")</f>
        <v>35.273262173273466</v>
      </c>
      <c r="I417" s="9">
        <f>_xll.BQL("UAL US Equity", "FA_GROWTH(HEADLINE_BVPS, YOY)", "FPT=A", "FPO=1A", "ACT_EST_MAPPING=PRECISE", "FS=MRC", "CURRENCY=USD", "XLFILL=b")</f>
        <v>33.246933062251031</v>
      </c>
      <c r="J417" s="9">
        <f>_xll.BQL("UAL US Equity", "FA_GROWTH(HEADLINE_BVPS, YOY)", "FPT=A", "FPO=0A", "ACT_EST_MAPPING=PRECISE", "FS=MRC", "CURRENCY=USD", "XLFILL=b")</f>
        <v>34.760172489736327</v>
      </c>
      <c r="K417" s="9">
        <f>_xll.BQL("UAL US Equity", "FA_GROWTH(HEADLINE_BVPS, YOY)", "FPT=A", "FPO=-1A", "ACT_EST_MAPPING=PRECISE", "FS=MRC", "CURRENCY=USD", "XLFILL=b")</f>
        <v>35.816263877434842</v>
      </c>
      <c r="L417" s="9">
        <f>_xll.BQL("UAL US Equity", "FA_GROWTH(HEADLINE_BVPS, YOY)", "FPT=A", "FPO=-2A", "ACT_EST_MAPPING=PRECISE", "FS=MRC", "CURRENCY=USD", "XLFILL=b")</f>
        <v>-18.738820650490666</v>
      </c>
      <c r="M417" s="9">
        <f>_xll.BQL("UAL US Equity", "FA_GROWTH(HEADLINE_BVPS, YOY)", "FPT=A", "FPO=-3A", "ACT_EST_MAPPING=PRECISE", "FS=MRC", "CURRENCY=USD", "XLFILL=b")</f>
        <v>-58.36216553467704</v>
      </c>
      <c r="N417" s="9">
        <f>_xll.BQL("UAL US Equity", "FA_GROWTH(HEADLINE_BVPS, YOY)", "FPT=A", "FPO=-4A", "ACT_EST_MAPPING=PRECISE", "FS=MRC", "CURRENCY=USD", "XLFILL=b")</f>
        <v>23.374512268668258</v>
      </c>
    </row>
    <row r="418" spans="1:14" x14ac:dyDescent="0.2">
      <c r="A418" s="8" t="s">
        <v>433</v>
      </c>
      <c r="B418" s="4" t="s">
        <v>434</v>
      </c>
      <c r="C418" s="4"/>
      <c r="D418" s="4"/>
      <c r="E418" s="9">
        <f>_xll.BQL("UAL US Equity", "BS_TOTAL_OPERATING_LEASE_LIABS/1M", "FPT=A", "FPO=5A", "ACT_EST_MAPPING=PRECISE", "FS=MRC", "CURRENCY=USD", "XLFILL=b")</f>
        <v>6388.2253614209012</v>
      </c>
      <c r="F418" s="9">
        <f>_xll.BQL("UAL US Equity", "BS_TOTAL_OPERATING_LEASE_LIABS/1M", "FPT=A", "FPO=4A", "ACT_EST_MAPPING=PRECISE", "FS=MRC", "CURRENCY=USD", "XLFILL=b")</f>
        <v>6300.5334159438253</v>
      </c>
      <c r="G418" s="9">
        <f>_xll.BQL("UAL US Equity", "BS_TOTAL_OPERATING_LEASE_LIABS/1M", "FPT=A", "FPO=3A", "ACT_EST_MAPPING=PRECISE", "FS=MRC", "CURRENCY=USD", "XLFILL=b")</f>
        <v>5382.226087917752</v>
      </c>
      <c r="H418" s="9">
        <f>_xll.BQL("UAL US Equity", "BS_TOTAL_OPERATING_LEASE_LIABS/1M", "FPT=A", "FPO=2A", "ACT_EST_MAPPING=PRECISE", "FS=MRC", "CURRENCY=USD", "XLFILL=b")</f>
        <v>4973.9520931332909</v>
      </c>
      <c r="I418" s="9">
        <f>_xll.BQL("UAL US Equity", "BS_TOTAL_OPERATING_LEASE_LIABS/1M", "FPT=A", "FPO=1A", "ACT_EST_MAPPING=PRECISE", "FS=MRC", "CURRENCY=USD", "XLFILL=b")</f>
        <v>5041.0043185925397</v>
      </c>
      <c r="J418" s="9">
        <f>_xll.BQL("UAL US Equity", "BS_TOTAL_OPERATING_LEASE_LIABS/1M", "FPT=A", "FPO=0A", "ACT_EST_MAPPING=PRECISE", "FS=MRC", "CURRENCY=USD", "XLFILL=b")</f>
        <v>5079</v>
      </c>
      <c r="K418" s="9">
        <f>_xll.BQL("UAL US Equity", "BS_TOTAL_OPERATING_LEASE_LIABS/1M", "FPT=A", "FPO=-1A", "ACT_EST_MAPPING=PRECISE", "FS=MRC", "CURRENCY=USD", "XLFILL=b")</f>
        <v>5020</v>
      </c>
      <c r="L418" s="9">
        <f>_xll.BQL("UAL US Equity", "BS_TOTAL_OPERATING_LEASE_LIABS/1M", "FPT=A", "FPO=-2A", "ACT_EST_MAPPING=PRECISE", "FS=MRC", "CURRENCY=USD", "XLFILL=b")</f>
        <v>5708</v>
      </c>
      <c r="M418" s="9">
        <f>_xll.BQL("UAL US Equity", "BS_TOTAL_OPERATING_LEASE_LIABS/1M", "FPT=A", "FPO=-3A", "ACT_EST_MAPPING=PRECISE", "FS=MRC", "CURRENCY=USD", "XLFILL=b")</f>
        <v>5598</v>
      </c>
      <c r="N418" s="9">
        <f>_xll.BQL("UAL US Equity", "BS_TOTAL_OPERATING_LEASE_LIABS/1M", "FPT=A", "FPO=-4A", "ACT_EST_MAPPING=PRECISE", "FS=MRC", "CURRENCY=USD", "XLFILL=b")</f>
        <v>5632</v>
      </c>
    </row>
    <row r="419" spans="1:14" x14ac:dyDescent="0.2">
      <c r="A419" s="8" t="s">
        <v>20</v>
      </c>
      <c r="B419" s="4" t="s">
        <v>434</v>
      </c>
      <c r="C419" s="4"/>
      <c r="D419" s="4"/>
      <c r="E419" s="9">
        <f>_xll.BQL("UAL US Equity", "FA_GROWTH(BS_TOTAL_OPERATING_LEASE_LIABS, YOY)", "FPT=A", "FPO=5A", "ACT_EST_MAPPING=PRECISE", "FS=MRC", "CURRENCY=USD", "XLFILL=b")</f>
        <v>1.3918177983973004</v>
      </c>
      <c r="F419" s="9">
        <f>_xll.BQL("UAL US Equity", "FA_GROWTH(BS_TOTAL_OPERATING_LEASE_LIABS, YOY)", "FPT=A", "FPO=4A", "ACT_EST_MAPPING=PRECISE", "FS=MRC", "CURRENCY=USD", "XLFILL=b")</f>
        <v>17.061849744430624</v>
      </c>
      <c r="G419" s="9">
        <f>_xll.BQL("UAL US Equity", "FA_GROWTH(BS_TOTAL_OPERATING_LEASE_LIABS, YOY)", "FPT=A", "FPO=3A", "ACT_EST_MAPPING=PRECISE", "FS=MRC", "CURRENCY=USD", "XLFILL=b")</f>
        <v>8.2082413971798616</v>
      </c>
      <c r="H419" s="9">
        <f>_xll.BQL("UAL US Equity", "FA_GROWTH(BS_TOTAL_OPERATING_LEASE_LIABS, YOY)", "FPT=A", "FPO=2A", "ACT_EST_MAPPING=PRECISE", "FS=MRC", "CURRENCY=USD", "XLFILL=b")</f>
        <v>-1.3301362431280297</v>
      </c>
      <c r="I419" s="9">
        <f>_xll.BQL("UAL US Equity", "FA_GROWTH(BS_TOTAL_OPERATING_LEASE_LIABS, YOY)", "FPT=A", "FPO=1A", "ACT_EST_MAPPING=PRECISE", "FS=MRC", "CURRENCY=USD", "XLFILL=b")</f>
        <v>-0.7480937469474348</v>
      </c>
      <c r="J419" s="9">
        <f>_xll.BQL("UAL US Equity", "FA_GROWTH(BS_TOTAL_OPERATING_LEASE_LIABS, YOY)", "FPT=A", "FPO=0A", "ACT_EST_MAPPING=PRECISE", "FS=MRC", "CURRENCY=USD", "XLFILL=b")</f>
        <v>1.1752988047808766</v>
      </c>
      <c r="K419" s="9">
        <f>_xll.BQL("UAL US Equity", "FA_GROWTH(BS_TOTAL_OPERATING_LEASE_LIABS, YOY)", "FPT=A", "FPO=-1A", "ACT_EST_MAPPING=PRECISE", "FS=MRC", "CURRENCY=USD", "XLFILL=b")</f>
        <v>-12.053258584442887</v>
      </c>
      <c r="L419" s="9">
        <f>_xll.BQL("UAL US Equity", "FA_GROWTH(BS_TOTAL_OPERATING_LEASE_LIABS, YOY)", "FPT=A", "FPO=-2A", "ACT_EST_MAPPING=PRECISE", "FS=MRC", "CURRENCY=USD", "XLFILL=b")</f>
        <v>1.9649874955341193</v>
      </c>
      <c r="M419" s="9">
        <f>_xll.BQL("UAL US Equity", "FA_GROWTH(BS_TOTAL_OPERATING_LEASE_LIABS, YOY)", "FPT=A", "FPO=-3A", "ACT_EST_MAPPING=PRECISE", "FS=MRC", "CURRENCY=USD", "XLFILL=b")</f>
        <v>-0.60369318181818177</v>
      </c>
      <c r="N419" s="9">
        <f>_xll.BQL("UAL US Equity", "FA_GROWTH(BS_TOTAL_OPERATING_LEASE_LIABS, YOY)", "FPT=A", "FPO=-4A", "ACT_EST_MAPPING=PRECISE", "FS=MRC", "CURRENCY=USD", "XLFILL=b")</f>
        <v>-6.0550458715596331</v>
      </c>
    </row>
    <row r="420" spans="1:14" x14ac:dyDescent="0.2">
      <c r="A420" s="8" t="s">
        <v>435</v>
      </c>
      <c r="B420" s="4" t="s">
        <v>436</v>
      </c>
      <c r="C420" s="4"/>
      <c r="D420" s="4"/>
      <c r="E420" s="9">
        <f>_xll.BQL("UAL US Equity", "ANNUALIZED_DAYS_SALES_OUTSTDG", "FPT=A", "FPO=5A", "ACT_EST_MAPPING=PRECISE", "FS=MRC", "CURRENCY=USD", "XLFILL=b")</f>
        <v>12.769267874770978</v>
      </c>
      <c r="F420" s="9">
        <f>_xll.BQL("UAL US Equity", "ANNUALIZED_DAYS_SALES_OUTSTDG", "FPT=A", "FPO=4A", "ACT_EST_MAPPING=PRECISE", "FS=MRC", "CURRENCY=USD", "XLFILL=b")</f>
        <v>12.742356345796281</v>
      </c>
      <c r="G420" s="9">
        <f>_xll.BQL("UAL US Equity", "ANNUALIZED_DAYS_SALES_OUTSTDG", "FPT=A", "FPO=3A", "ACT_EST_MAPPING=PRECISE", "FS=MRC", "CURRENCY=USD", "XLFILL=b")</f>
        <v>12.708547420492756</v>
      </c>
      <c r="H420" s="9">
        <f>_xll.BQL("UAL US Equity", "ANNUALIZED_DAYS_SALES_OUTSTDG", "FPT=A", "FPO=2A", "ACT_EST_MAPPING=PRECISE", "FS=MRC", "CURRENCY=USD", "XLFILL=b")</f>
        <v>12.874078967636889</v>
      </c>
      <c r="I420" s="9">
        <f>_xll.BQL("UAL US Equity", "ANNUALIZED_DAYS_SALES_OUTSTDG", "FPT=A", "FPO=1A", "ACT_EST_MAPPING=PRECISE", "FS=MRC", "CURRENCY=USD", "XLFILL=b")</f>
        <v>13.09541956885281</v>
      </c>
      <c r="J420" s="9">
        <f>_xll.BQL("UAL US Equity", "ANNUALIZED_DAYS_SALES_OUTSTDG", "FPT=A", "FPO=0A", "ACT_EST_MAPPING=PRECISE", "FS=MRC", "CURRENCY=USD", "XLFILL=b")</f>
        <v>12.896662136753728</v>
      </c>
      <c r="K420" s="9">
        <f>_xll.BQL("UAL US Equity", "ANNUALIZED_DAYS_SALES_OUTSTDG", "FPT=A", "FPO=-1A", "ACT_EST_MAPPING=PRECISE", "FS=MRC", "CURRENCY=USD", "XLFILL=b")</f>
        <v>14.622733844956068</v>
      </c>
      <c r="L420" s="9">
        <f>_xll.BQL("UAL US Equity", "ANNUALIZED_DAYS_SALES_OUTSTDG", "FPT=A", "FPO=-2A", "ACT_EST_MAPPING=PRECISE", "FS=MRC", "CURRENCY=USD", "XLFILL=b")</f>
        <v>24.640537468539417</v>
      </c>
      <c r="M420" s="9">
        <f>_xll.BQL("UAL US Equity", "ANNUALIZED_DAYS_SALES_OUTSTDG", "FPT=A", "FPO=-3A", "ACT_EST_MAPPING=PRECISE", "FS=MRC", "CURRENCY=USD", "XLFILL=b")</f>
        <v>30.867469879518069</v>
      </c>
      <c r="N420" s="9">
        <f>_xll.BQL("UAL US Equity", "ANNUALIZED_DAYS_SALES_OUTSTDG", "FPT=A", "FPO=-4A", "ACT_EST_MAPPING=PRECISE", "FS=MRC", "CURRENCY=USD", "XLFILL=b")</f>
        <v>11.508818974086317</v>
      </c>
    </row>
    <row r="421" spans="1:14" x14ac:dyDescent="0.2">
      <c r="A421" s="8" t="s">
        <v>20</v>
      </c>
      <c r="B421" s="4" t="s">
        <v>436</v>
      </c>
      <c r="C421" s="4"/>
      <c r="D421" s="4"/>
      <c r="E421" s="9">
        <f>_xll.BQL("UAL US Equity", "FA_GROWTH(ANNUALIZED_DAYS_SALES_OUTSTDG, YOY)", "FPT=A", "FPO=5A", "ACT_EST_MAPPING=PRECISE", "FS=MRC", "CURRENCY=USD", "XLFILL=b")</f>
        <v>0.21119742883014889</v>
      </c>
      <c r="F421" s="9">
        <f>_xll.BQL("UAL US Equity", "FA_GROWTH(ANNUALIZED_DAYS_SALES_OUTSTDG, YOY)", "FPT=A", "FPO=4A", "ACT_EST_MAPPING=PRECISE", "FS=MRC", "CURRENCY=USD", "XLFILL=b")</f>
        <v>0.26603296336611598</v>
      </c>
      <c r="G421" s="9">
        <f>_xll.BQL("UAL US Equity", "FA_GROWTH(ANNUALIZED_DAYS_SALES_OUTSTDG, YOY)", "FPT=A", "FPO=3A", "ACT_EST_MAPPING=PRECISE", "FS=MRC", "CURRENCY=USD", "XLFILL=b")</f>
        <v>-1.2857738993231962</v>
      </c>
      <c r="H421" s="9">
        <f>_xll.BQL("UAL US Equity", "FA_GROWTH(ANNUALIZED_DAYS_SALES_OUTSTDG, YOY)", "FPT=A", "FPO=2A", "ACT_EST_MAPPING=PRECISE", "FS=MRC", "CURRENCY=USD", "XLFILL=b")</f>
        <v>-1.6902138954171066</v>
      </c>
      <c r="I421" s="9">
        <f>_xll.BQL("UAL US Equity", "FA_GROWTH(ANNUALIZED_DAYS_SALES_OUTSTDG, YOY)", "FPT=A", "FPO=1A", "ACT_EST_MAPPING=PRECISE", "FS=MRC", "CURRENCY=USD", "XLFILL=b")</f>
        <v>1.5411540597985489</v>
      </c>
      <c r="J421" s="9">
        <f>_xll.BQL("UAL US Equity", "FA_GROWTH(ANNUALIZED_DAYS_SALES_OUTSTDG, YOY)", "FPT=A", "FPO=0A", "ACT_EST_MAPPING=PRECISE", "FS=MRC", "CURRENCY=USD", "XLFILL=b")</f>
        <v>-11.804028757575503</v>
      </c>
      <c r="K421" s="9">
        <f>_xll.BQL("UAL US Equity", "FA_GROWTH(ANNUALIZED_DAYS_SALES_OUTSTDG, YOY)", "FPT=A", "FPO=-1A", "ACT_EST_MAPPING=PRECISE", "FS=MRC", "CURRENCY=USD", "XLFILL=b")</f>
        <v>-40.655783731884483</v>
      </c>
      <c r="L421" s="9">
        <f>_xll.BQL("UAL US Equity", "FA_GROWTH(ANNUALIZED_DAYS_SALES_OUTSTDG, YOY)", "FPT=A", "FPO=-2A", "ACT_EST_MAPPING=PRECISE", "FS=MRC", "CURRENCY=USD", "XLFILL=b")</f>
        <v>-20.173122174521005</v>
      </c>
      <c r="M421" s="9">
        <f>_xll.BQL("UAL US Equity", "FA_GROWTH(ANNUALIZED_DAYS_SALES_OUTSTDG, YOY)", "FPT=A", "FPO=-3A", "ACT_EST_MAPPING=PRECISE", "FS=MRC", "CURRENCY=USD", "XLFILL=b")</f>
        <v>168.20710230146472</v>
      </c>
      <c r="N421" s="9">
        <f>_xll.BQL("UAL US Equity", "FA_GROWTH(ANNUALIZED_DAYS_SALES_OUTSTDG, YOY)", "FPT=A", "FPO=-4A", "ACT_EST_MAPPING=PRECISE", "FS=MRC", "CURRENCY=USD", "XLFILL=b")</f>
        <v>-8.6728371175839793</v>
      </c>
    </row>
    <row r="422" spans="1:14" x14ac:dyDescent="0.2">
      <c r="A422" s="8" t="s">
        <v>437</v>
      </c>
      <c r="B422" s="4" t="s">
        <v>438</v>
      </c>
      <c r="C422" s="4"/>
      <c r="D422" s="4"/>
      <c r="E422" s="9" t="str">
        <f>_xll.BQL("UAL US Equity", "AUTHORIZED_SHARES/1M", "FPT=A", "FPO=5A", "ACT_EST_MAPPING=PRECISE", "FS=MRC", "CURRENCY=USD", "XLFILL=b")</f>
        <v/>
      </c>
      <c r="F422" s="9">
        <f>_xll.BQL("UAL US Equity", "AUTHORIZED_SHARES/1M", "FPT=A", "FPO=4A", "ACT_EST_MAPPING=PRECISE", "FS=MRC", "CURRENCY=USD", "XLFILL=b")</f>
        <v>3000</v>
      </c>
      <c r="G422" s="9" t="str">
        <f>_xll.BQL("UAL US Equity", "AUTHORIZED_SHARES/1M", "FPT=A", "FPO=3A", "ACT_EST_MAPPING=PRECISE", "FS=MRC", "CURRENCY=USD", "XLFILL=b")</f>
        <v/>
      </c>
      <c r="H422" s="9">
        <f>_xll.BQL("UAL US Equity", "AUTHORIZED_SHARES/1M", "FPT=A", "FPO=2A", "ACT_EST_MAPPING=PRECISE", "FS=MRC", "CURRENCY=USD", "XLFILL=b")</f>
        <v>-5</v>
      </c>
      <c r="I422" s="9">
        <f>_xll.BQL("UAL US Equity", "AUTHORIZED_SHARES/1M", "FPT=A", "FPO=1A", "ACT_EST_MAPPING=PRECISE", "FS=MRC", "CURRENCY=USD", "XLFILL=b")</f>
        <v>-3.6666666666666665</v>
      </c>
      <c r="J422" s="9">
        <f>_xll.BQL("UAL US Equity", "AUTHORIZED_SHARES/1M", "FPT=A", "FPO=0A", "ACT_EST_MAPPING=PRECISE", "FS=MRC", "CURRENCY=USD", "XLFILL=b")</f>
        <v>1000</v>
      </c>
      <c r="K422" s="9">
        <f>_xll.BQL("UAL US Equity", "AUTHORIZED_SHARES/1M", "FPT=A", "FPO=-1A", "ACT_EST_MAPPING=PRECISE", "FS=MRC", "CURRENCY=USD", "XLFILL=b")</f>
        <v>1000</v>
      </c>
      <c r="L422" s="9">
        <f>_xll.BQL("UAL US Equity", "AUTHORIZED_SHARES/1M", "FPT=A", "FPO=-2A", "ACT_EST_MAPPING=PRECISE", "FS=MRC", "CURRENCY=USD", "XLFILL=b")</f>
        <v>1000</v>
      </c>
      <c r="M422" s="9">
        <f>_xll.BQL("UAL US Equity", "AUTHORIZED_SHARES/1M", "FPT=A", "FPO=-3A", "ACT_EST_MAPPING=PRECISE", "FS=MRC", "CURRENCY=USD", "XLFILL=b")</f>
        <v>1000</v>
      </c>
      <c r="N422" s="9">
        <f>_xll.BQL("UAL US Equity", "AUTHORIZED_SHARES/1M", "FPT=A", "FPO=-4A", "ACT_EST_MAPPING=PRECISE", "FS=MRC", "CURRENCY=USD", "XLFILL=b")</f>
        <v>1000</v>
      </c>
    </row>
    <row r="423" spans="1:14" x14ac:dyDescent="0.2">
      <c r="A423" s="8" t="s">
        <v>20</v>
      </c>
      <c r="B423" s="4" t="s">
        <v>438</v>
      </c>
      <c r="C423" s="4"/>
      <c r="D423" s="4"/>
      <c r="E423" s="9" t="str">
        <f>_xll.BQL("UAL US Equity", "FA_GROWTH(AUTHORIZED_SHARES, YOY)", "FPT=A", "FPO=5A", "ACT_EST_MAPPING=PRECISE", "FS=MRC", "CURRENCY=USD", "XLFILL=b")</f>
        <v/>
      </c>
      <c r="F423" s="9" t="str">
        <f>_xll.BQL("UAL US Equity", "FA_GROWTH(AUTHORIZED_SHARES, YOY)", "FPT=A", "FPO=4A", "ACT_EST_MAPPING=PRECISE", "FS=MRC", "CURRENCY=USD", "XLFILL=b")</f>
        <v/>
      </c>
      <c r="G423" s="9" t="str">
        <f>_xll.BQL("UAL US Equity", "FA_GROWTH(AUTHORIZED_SHARES, YOY)", "FPT=A", "FPO=3A", "ACT_EST_MAPPING=PRECISE", "FS=MRC", "CURRENCY=USD", "XLFILL=b")</f>
        <v/>
      </c>
      <c r="H423" s="9">
        <f>_xll.BQL("UAL US Equity", "FA_GROWTH(AUTHORIZED_SHARES, YOY)", "FPT=A", "FPO=2A", "ACT_EST_MAPPING=PRECISE", "FS=MRC", "CURRENCY=USD", "XLFILL=b")</f>
        <v>-36.363636363636367</v>
      </c>
      <c r="I423" s="9">
        <f>_xll.BQL("UAL US Equity", "FA_GROWTH(AUTHORIZED_SHARES, YOY)", "FPT=A", "FPO=1A", "ACT_EST_MAPPING=PRECISE", "FS=MRC", "CURRENCY=USD", "XLFILL=b")</f>
        <v>-100.36666666666666</v>
      </c>
      <c r="J423" s="9">
        <f>_xll.BQL("UAL US Equity", "FA_GROWTH(AUTHORIZED_SHARES, YOY)", "FPT=A", "FPO=0A", "ACT_EST_MAPPING=PRECISE", "FS=MRC", "CURRENCY=USD", "XLFILL=b")</f>
        <v>0</v>
      </c>
      <c r="K423" s="9">
        <f>_xll.BQL("UAL US Equity", "FA_GROWTH(AUTHORIZED_SHARES, YOY)", "FPT=A", "FPO=-1A", "ACT_EST_MAPPING=PRECISE", "FS=MRC", "CURRENCY=USD", "XLFILL=b")</f>
        <v>0</v>
      </c>
      <c r="L423" s="9">
        <f>_xll.BQL("UAL US Equity", "FA_GROWTH(AUTHORIZED_SHARES, YOY)", "FPT=A", "FPO=-2A", "ACT_EST_MAPPING=PRECISE", "FS=MRC", "CURRENCY=USD", "XLFILL=b")</f>
        <v>0</v>
      </c>
      <c r="M423" s="9">
        <f>_xll.BQL("UAL US Equity", "FA_GROWTH(AUTHORIZED_SHARES, YOY)", "FPT=A", "FPO=-3A", "ACT_EST_MAPPING=PRECISE", "FS=MRC", "CURRENCY=USD", "XLFILL=b")</f>
        <v>0</v>
      </c>
      <c r="N423" s="9">
        <f>_xll.BQL("UAL US Equity", "FA_GROWTH(AUTHORIZED_SHARES, YOY)", "FPT=A", "FPO=-4A", "ACT_EST_MAPPING=PRECISE", "FS=MRC", "CURRENCY=USD", "XLFILL=b")</f>
        <v>0</v>
      </c>
    </row>
    <row r="424" spans="1:14" x14ac:dyDescent="0.2">
      <c r="A424" s="8" t="s">
        <v>439</v>
      </c>
      <c r="B424" s="4" t="s">
        <v>440</v>
      </c>
      <c r="C424" s="4"/>
      <c r="D424" s="4"/>
      <c r="E424" s="9" t="str">
        <f>_xll.BQL("UAL US Equity", "QUICK_RATIO", "FPT=A", "FPO=5A", "ACT_EST_MAPPING=PRECISE", "FS=MRC", "CURRENCY=USD", "XLFILL=b")</f>
        <v/>
      </c>
      <c r="F424" s="9" t="str">
        <f>_xll.BQL("UAL US Equity", "QUICK_RATIO", "FPT=A", "FPO=4A", "ACT_EST_MAPPING=PRECISE", "FS=MRC", "CURRENCY=USD", "XLFILL=b")</f>
        <v/>
      </c>
      <c r="G424" s="9">
        <f>_xll.BQL("UAL US Equity", "QUICK_RATIO", "FPT=A", "FPO=3A", "ACT_EST_MAPPING=PRECISE", "FS=MRC", "CURRENCY=USD", "XLFILL=b")</f>
        <v>0.37479751594554234</v>
      </c>
      <c r="H424" s="9">
        <f>_xll.BQL("UAL US Equity", "QUICK_RATIO", "FPT=A", "FPO=2A", "ACT_EST_MAPPING=PRECISE", "FS=MRC", "CURRENCY=USD", "XLFILL=b")</f>
        <v>0.45533523008401233</v>
      </c>
      <c r="I424" s="9">
        <f>_xll.BQL("UAL US Equity", "QUICK_RATIO", "FPT=A", "FPO=1A", "ACT_EST_MAPPING=PRECISE", "FS=MRC", "CURRENCY=USD", "XLFILL=b")</f>
        <v>0.47781849103084728</v>
      </c>
      <c r="J424" s="9">
        <f>_xll.BQL("UAL US Equity", "QUICK_RATIO", "FPT=A", "FPO=0A", "ACT_EST_MAPPING=PRECISE", "FS=MRC", "CURRENCY=USD", "XLFILL=b")</f>
        <v>0.73350448137639057</v>
      </c>
      <c r="K424" s="9">
        <f>_xll.BQL("UAL US Equity", "QUICK_RATIO", "FPT=A", "FPO=-1A", "ACT_EST_MAPPING=PRECISE", "FS=MRC", "CURRENCY=USD", "XLFILL=b")</f>
        <v>0.91111444577831135</v>
      </c>
      <c r="L424" s="9">
        <f>_xll.BQL("UAL US Equity", "QUICK_RATIO", "FPT=A", "FPO=-2A", "ACT_EST_MAPPING=PRECISE", "FS=MRC", "CURRENCY=USD", "XLFILL=b")</f>
        <v>1.0964270104895104</v>
      </c>
      <c r="M424" s="9">
        <f>_xll.BQL("UAL US Equity", "QUICK_RATIO", "FPT=A", "FPO=-3A", "ACT_EST_MAPPING=PRECISE", "FS=MRC", "CURRENCY=USD", "XLFILL=b")</f>
        <v>1.0198821218074656</v>
      </c>
      <c r="N424" s="9">
        <f>_xll.BQL("UAL US Equity", "QUICK_RATIO", "FPT=A", "FPO=-4A", "ACT_EST_MAPPING=PRECISE", "FS=MRC", "CURRENCY=USD", "XLFILL=b")</f>
        <v>0.42227875217565941</v>
      </c>
    </row>
    <row r="425" spans="1:14" x14ac:dyDescent="0.2">
      <c r="A425" s="8" t="s">
        <v>20</v>
      </c>
      <c r="B425" s="4" t="s">
        <v>440</v>
      </c>
      <c r="C425" s="4"/>
      <c r="D425" s="4"/>
      <c r="E425" s="9" t="str">
        <f>_xll.BQL("UAL US Equity", "FA_GROWTH(QUICK_RATIO, YOY)", "FPT=A", "FPO=5A", "ACT_EST_MAPPING=PRECISE", "FS=MRC", "CURRENCY=USD", "XLFILL=b")</f>
        <v/>
      </c>
      <c r="F425" s="9" t="str">
        <f>_xll.BQL("UAL US Equity", "FA_GROWTH(QUICK_RATIO, YOY)", "FPT=A", "FPO=4A", "ACT_EST_MAPPING=PRECISE", "FS=MRC", "CURRENCY=USD", "XLFILL=b")</f>
        <v/>
      </c>
      <c r="G425" s="9">
        <f>_xll.BQL("UAL US Equity", "FA_GROWTH(QUICK_RATIO, YOY)", "FPT=A", "FPO=3A", "ACT_EST_MAPPING=PRECISE", "FS=MRC", "CURRENCY=USD", "XLFILL=b")</f>
        <v>-17.687564857129605</v>
      </c>
      <c r="H425" s="9">
        <f>_xll.BQL("UAL US Equity", "FA_GROWTH(QUICK_RATIO, YOY)", "FPT=A", "FPO=2A", "ACT_EST_MAPPING=PRECISE", "FS=MRC", "CURRENCY=USD", "XLFILL=b")</f>
        <v>-4.705397838063881</v>
      </c>
      <c r="I425" s="9">
        <f>_xll.BQL("UAL US Equity", "FA_GROWTH(QUICK_RATIO, YOY)", "FPT=A", "FPO=1A", "ACT_EST_MAPPING=PRECISE", "FS=MRC", "CURRENCY=USD", "XLFILL=b")</f>
        <v>-34.858136090151646</v>
      </c>
      <c r="J425" s="9">
        <f>_xll.BQL("UAL US Equity", "FA_GROWTH(QUICK_RATIO, YOY)", "FPT=A", "FPO=0A", "ACT_EST_MAPPING=PRECISE", "FS=MRC", "CURRENCY=USD", "XLFILL=b")</f>
        <v>-19.49370523372605</v>
      </c>
      <c r="K425" s="9">
        <f>_xll.BQL("UAL US Equity", "FA_GROWTH(QUICK_RATIO, YOY)", "FPT=A", "FPO=-1A", "ACT_EST_MAPPING=PRECISE", "FS=MRC", "CURRENCY=USD", "XLFILL=b")</f>
        <v>-16.901495761990073</v>
      </c>
      <c r="L425" s="9">
        <f>_xll.BQL("UAL US Equity", "FA_GROWTH(QUICK_RATIO, YOY)", "FPT=A", "FPO=-2A", "ACT_EST_MAPPING=PRECISE", "FS=MRC", "CURRENCY=USD", "XLFILL=b")</f>
        <v>7.5052682114271834</v>
      </c>
      <c r="M425" s="9">
        <f>_xll.BQL("UAL US Equity", "FA_GROWTH(QUICK_RATIO, YOY)", "FPT=A", "FPO=-3A", "ACT_EST_MAPPING=PRECISE", "FS=MRC", "CURRENCY=USD", "XLFILL=b")</f>
        <v>141.51869270069625</v>
      </c>
      <c r="N425" s="9">
        <f>_xll.BQL("UAL US Equity", "FA_GROWTH(QUICK_RATIO, YOY)", "FPT=A", "FPO=-4A", "ACT_EST_MAPPING=PRECISE", "FS=MRC", "CURRENCY=USD", "XLFILL=b")</f>
        <v>8.7037881577185718</v>
      </c>
    </row>
    <row r="426" spans="1:14" x14ac:dyDescent="0.2">
      <c r="A426" s="8" t="s">
        <v>441</v>
      </c>
      <c r="B426" s="4" t="s">
        <v>284</v>
      </c>
      <c r="C426" s="4"/>
      <c r="D426" s="4"/>
      <c r="E426" s="9" t="str">
        <f>_xll.BQL("UAL US Equity", "WORKING_CAPITAL/1M", "FPT=A", "FPO=5A", "ACT_EST_MAPPING=PRECISE", "FS=MRC", "CURRENCY=USD", "XLFILL=b")</f>
        <v/>
      </c>
      <c r="F426" s="9" t="str">
        <f>_xll.BQL("UAL US Equity", "WORKING_CAPITAL/1M", "FPT=A", "FPO=4A", "ACT_EST_MAPPING=PRECISE", "FS=MRC", "CURRENCY=USD", "XLFILL=b")</f>
        <v/>
      </c>
      <c r="G426" s="9">
        <f>_xll.BQL("UAL US Equity", "WORKING_CAPITAL/1M", "FPT=A", "FPO=3A", "ACT_EST_MAPPING=PRECISE", "FS=MRC", "CURRENCY=USD", "XLFILL=b")</f>
        <v>-13603.336124001373</v>
      </c>
      <c r="H426" s="9">
        <f>_xll.BQL("UAL US Equity", "WORKING_CAPITAL/1M", "FPT=A", "FPO=2A", "ACT_EST_MAPPING=PRECISE", "FS=MRC", "CURRENCY=USD", "XLFILL=b")</f>
        <v>-11028.516809512865</v>
      </c>
      <c r="I426" s="9">
        <f>_xll.BQL("UAL US Equity", "WORKING_CAPITAL/1M", "FPT=A", "FPO=1A", "ACT_EST_MAPPING=PRECISE", "FS=MRC", "CURRENCY=USD", "XLFILL=b")</f>
        <v>-9949.0103782967999</v>
      </c>
      <c r="J426" s="9">
        <f>_xll.BQL("UAL US Equity", "WORKING_CAPITAL/1M", "FPT=A", "FPO=0A", "ACT_EST_MAPPING=PRECISE", "FS=MRC", "CURRENCY=USD", "XLFILL=b")</f>
        <v>-3716</v>
      </c>
      <c r="K426" s="9">
        <f>_xll.BQL("UAL US Equity", "WORKING_CAPITAL/1M", "FPT=A", "FPO=-1A", "ACT_EST_MAPPING=PRECISE", "FS=MRC", "CURRENCY=USD", "XLFILL=b")</f>
        <v>66</v>
      </c>
      <c r="L426" s="9">
        <f>_xll.BQL("UAL US Equity", "WORKING_CAPITAL/1M", "FPT=A", "FPO=-2A", "ACT_EST_MAPPING=PRECISE", "FS=MRC", "CURRENCY=USD", "XLFILL=b")</f>
        <v>3530</v>
      </c>
      <c r="M426" s="9">
        <f>_xll.BQL("UAL US Equity", "WORKING_CAPITAL/1M", "FPT=A", "FPO=-3A", "ACT_EST_MAPPING=PRECISE", "FS=MRC", "CURRENCY=USD", "XLFILL=b")</f>
        <v>2075</v>
      </c>
      <c r="N426" s="9">
        <f>_xll.BQL("UAL US Equity", "WORKING_CAPITAL/1M", "FPT=A", "FPO=-4A", "ACT_EST_MAPPING=PRECISE", "FS=MRC", "CURRENCY=USD", "XLFILL=b")</f>
        <v>-6744</v>
      </c>
    </row>
    <row r="427" spans="1:14" x14ac:dyDescent="0.2">
      <c r="A427" s="8" t="s">
        <v>20</v>
      </c>
      <c r="B427" s="4" t="s">
        <v>284</v>
      </c>
      <c r="C427" s="4"/>
      <c r="D427" s="4"/>
      <c r="E427" s="9" t="str">
        <f>_xll.BQL("UAL US Equity", "FA_GROWTH(WORKING_CAPITAL, YOY)", "FPT=A", "FPO=5A", "ACT_EST_MAPPING=PRECISE", "FS=MRC", "CURRENCY=USD", "XLFILL=b")</f>
        <v/>
      </c>
      <c r="F427" s="9" t="str">
        <f>_xll.BQL("UAL US Equity", "FA_GROWTH(WORKING_CAPITAL, YOY)", "FPT=A", "FPO=4A", "ACT_EST_MAPPING=PRECISE", "FS=MRC", "CURRENCY=USD", "XLFILL=b")</f>
        <v/>
      </c>
      <c r="G427" s="9">
        <f>_xll.BQL("UAL US Equity", "FA_GROWTH(WORKING_CAPITAL, YOY)", "FPT=A", "FPO=3A", "ACT_EST_MAPPING=PRECISE", "FS=MRC", "CURRENCY=USD", "XLFILL=b")</f>
        <v>-23.346922881484364</v>
      </c>
      <c r="H427" s="9">
        <f>_xll.BQL("UAL US Equity", "FA_GROWTH(WORKING_CAPITAL, YOY)", "FPT=A", "FPO=2A", "ACT_EST_MAPPING=PRECISE", "FS=MRC", "CURRENCY=USD", "XLFILL=b")</f>
        <v>-10.850390040510423</v>
      </c>
      <c r="I427" s="9">
        <f>_xll.BQL("UAL US Equity", "FA_GROWTH(WORKING_CAPITAL, YOY)", "FPT=A", "FPO=1A", "ACT_EST_MAPPING=PRECISE", "FS=MRC", "CURRENCY=USD", "XLFILL=b")</f>
        <v>-167.73440199937568</v>
      </c>
      <c r="J427" s="9">
        <f>_xll.BQL("UAL US Equity", "FA_GROWTH(WORKING_CAPITAL, YOY)", "FPT=A", "FPO=0A", "ACT_EST_MAPPING=PRECISE", "FS=MRC", "CURRENCY=USD", "XLFILL=b")</f>
        <v>-5730.30303030303</v>
      </c>
      <c r="K427" s="9">
        <f>_xll.BQL("UAL US Equity", "FA_GROWTH(WORKING_CAPITAL, YOY)", "FPT=A", "FPO=-1A", "ACT_EST_MAPPING=PRECISE", "FS=MRC", "CURRENCY=USD", "XLFILL=b")</f>
        <v>-98.130311614730871</v>
      </c>
      <c r="L427" s="9">
        <f>_xll.BQL("UAL US Equity", "FA_GROWTH(WORKING_CAPITAL, YOY)", "FPT=A", "FPO=-2A", "ACT_EST_MAPPING=PRECISE", "FS=MRC", "CURRENCY=USD", "XLFILL=b")</f>
        <v>70.120481927710841</v>
      </c>
      <c r="M427" s="9">
        <f>_xll.BQL("UAL US Equity", "FA_GROWTH(WORKING_CAPITAL, YOY)", "FPT=A", "FPO=-3A", "ACT_EST_MAPPING=PRECISE", "FS=MRC", "CURRENCY=USD", "XLFILL=b")</f>
        <v>130.76809015421114</v>
      </c>
      <c r="N427" s="9">
        <f>_xll.BQL("UAL US Equity", "FA_GROWTH(WORKING_CAPITAL, YOY)", "FPT=A", "FPO=-4A", "ACT_EST_MAPPING=PRECISE", "FS=MRC", "CURRENCY=USD", "XLFILL=b")</f>
        <v>1.4825796886582653E-2</v>
      </c>
    </row>
    <row r="428" spans="1:14" x14ac:dyDescent="0.2">
      <c r="A428" s="8" t="s">
        <v>16</v>
      </c>
      <c r="B428" s="4"/>
      <c r="C428" s="4"/>
      <c r="D428" s="4"/>
      <c r="E428" s="9"/>
      <c r="F428" s="9"/>
      <c r="G428" s="9"/>
      <c r="H428" s="9"/>
      <c r="I428" s="9"/>
      <c r="J428" s="9"/>
      <c r="K428" s="9"/>
      <c r="L428" s="9"/>
      <c r="M428" s="9"/>
      <c r="N428" s="9"/>
    </row>
    <row r="429" spans="1:14" x14ac:dyDescent="0.2">
      <c r="A429" s="8" t="s">
        <v>442</v>
      </c>
      <c r="B429" s="4"/>
      <c r="C429" s="4" t="s">
        <v>443</v>
      </c>
      <c r="D429" s="4"/>
      <c r="E429" s="9"/>
      <c r="F429" s="9"/>
      <c r="G429" s="9"/>
      <c r="H429" s="9"/>
      <c r="I429" s="9"/>
      <c r="J429" s="9"/>
      <c r="K429" s="9"/>
      <c r="L429" s="9"/>
      <c r="M429" s="9"/>
      <c r="N429" s="9"/>
    </row>
    <row r="430" spans="1:14" x14ac:dyDescent="0.2">
      <c r="A430" s="8" t="s">
        <v>444</v>
      </c>
      <c r="B430" s="4"/>
      <c r="C430" s="4" t="s">
        <v>445</v>
      </c>
      <c r="D430" s="4"/>
      <c r="E430" s="9"/>
      <c r="F430" s="9"/>
      <c r="G430" s="9"/>
      <c r="H430" s="9"/>
      <c r="I430" s="9"/>
      <c r="J430" s="9"/>
      <c r="K430" s="9"/>
      <c r="L430" s="9"/>
      <c r="M430" s="9"/>
      <c r="N430" s="9"/>
    </row>
    <row r="431" spans="1:14" x14ac:dyDescent="0.2">
      <c r="A431" s="8" t="s">
        <v>244</v>
      </c>
      <c r="B431" s="4" t="s">
        <v>213</v>
      </c>
      <c r="C431" s="4" t="s">
        <v>214</v>
      </c>
      <c r="D431" s="4"/>
      <c r="E431" s="9">
        <f>_xll.BQL("UAL US Equity", "IS_COMP_NET_INCOME_GAAP/1M", "FPT=A", "FPO=5A", "ACT_EST_MAPPING=PRECISE", "FS=MRC", "CURRENCY=USD", "XLFILL=b")</f>
        <v>5326.5</v>
      </c>
      <c r="F431" s="9">
        <f>_xll.BQL("UAL US Equity", "IS_COMP_NET_INCOME_GAAP/1M", "FPT=A", "FPO=4A", "ACT_EST_MAPPING=PRECISE", "FS=MRC", "CURRENCY=USD", "XLFILL=b")</f>
        <v>4824</v>
      </c>
      <c r="G431" s="9">
        <f>_xll.BQL("UAL US Equity", "IS_COMP_NET_INCOME_GAAP/1M", "FPT=A", "FPO=3A", "ACT_EST_MAPPING=PRECISE", "FS=MRC", "CURRENCY=USD", "XLFILL=b")</f>
        <v>4355.833333333333</v>
      </c>
      <c r="H431" s="9">
        <f>_xll.BQL("UAL US Equity", "IS_COMP_NET_INCOME_GAAP/1M", "FPT=A", "FPO=2A", "ACT_EST_MAPPING=PRECISE", "FS=MRC", "CURRENCY=USD", "XLFILL=b")</f>
        <v>3801</v>
      </c>
      <c r="I431" s="9">
        <f>_xll.BQL("UAL US Equity", "IS_COMP_NET_INCOME_GAAP/1M", "FPT=A", "FPO=1A", "ACT_EST_MAPPING=PRECISE", "FS=MRC", "CURRENCY=USD", "XLFILL=b")</f>
        <v>3045.6363636363635</v>
      </c>
      <c r="J431" s="9">
        <f>_xll.BQL("UAL US Equity", "IS_COMP_NET_INCOME_GAAP/1M", "FPT=A", "FPO=0A", "ACT_EST_MAPPING=PRECISE", "FS=MRC", "CURRENCY=USD", "XLFILL=b")</f>
        <v>2618</v>
      </c>
      <c r="K431" s="9">
        <f>_xll.BQL("UAL US Equity", "IS_COMP_NET_INCOME_GAAP/1M", "FPT=A", "FPO=-1A", "ACT_EST_MAPPING=PRECISE", "FS=MRC", "CURRENCY=USD", "XLFILL=b")</f>
        <v>737</v>
      </c>
      <c r="L431" s="9">
        <f>_xll.BQL("UAL US Equity", "IS_COMP_NET_INCOME_GAAP/1M", "FPT=A", "FPO=-2A", "ACT_EST_MAPPING=PRECISE", "FS=MRC", "CURRENCY=USD", "XLFILL=b")</f>
        <v>-1964</v>
      </c>
      <c r="M431" s="9">
        <f>_xll.BQL("UAL US Equity", "IS_COMP_NET_INCOME_GAAP/1M", "FPT=A", "FPO=-3A", "ACT_EST_MAPPING=PRECISE", "FS=MRC", "CURRENCY=USD", "XLFILL=b")</f>
        <v>-7069</v>
      </c>
      <c r="N431" s="9">
        <f>_xll.BQL("UAL US Equity", "IS_COMP_NET_INCOME_GAAP/1M", "FPT=A", "FPO=-4A", "ACT_EST_MAPPING=PRECISE", "FS=MRC", "CURRENCY=USD", "XLFILL=b")</f>
        <v>3009</v>
      </c>
    </row>
    <row r="432" spans="1:14" x14ac:dyDescent="0.2">
      <c r="A432" s="8" t="s">
        <v>20</v>
      </c>
      <c r="B432" s="4" t="s">
        <v>213</v>
      </c>
      <c r="C432" s="4" t="s">
        <v>214</v>
      </c>
      <c r="D432" s="4"/>
      <c r="E432" s="9">
        <f>_xll.BQL("UAL US Equity", "FA_GROWTH(IS_COMP_NET_INCOME_GAAP, YOY)", "FPT=A", "FPO=5A", "ACT_EST_MAPPING=PRECISE", "FS=MRC", "CURRENCY=USD", "XLFILL=b")</f>
        <v>10.416666666666666</v>
      </c>
      <c r="F432" s="9">
        <f>_xll.BQL("UAL US Equity", "FA_GROWTH(IS_COMP_NET_INCOME_GAAP, YOY)", "FPT=A", "FPO=4A", "ACT_EST_MAPPING=PRECISE", "FS=MRC", "CURRENCY=USD", "XLFILL=b")</f>
        <v>10.748039028123216</v>
      </c>
      <c r="G432" s="9">
        <f>_xll.BQL("UAL US Equity", "FA_GROWTH(IS_COMP_NET_INCOME_GAAP, YOY)", "FPT=A", "FPO=3A", "ACT_EST_MAPPING=PRECISE", "FS=MRC", "CURRENCY=USD", "XLFILL=b")</f>
        <v>14.597035867754091</v>
      </c>
      <c r="H432" s="9">
        <f>_xll.BQL("UAL US Equity", "FA_GROWTH(IS_COMP_NET_INCOME_GAAP, YOY)", "FPT=A", "FPO=2A", "ACT_EST_MAPPING=PRECISE", "FS=MRC", "CURRENCY=USD", "XLFILL=b")</f>
        <v>24.801504387797749</v>
      </c>
      <c r="I432" s="9">
        <f>_xll.BQL("UAL US Equity", "FA_GROWTH(IS_COMP_NET_INCOME_GAAP, YOY)", "FPT=A", "FPO=1A", "ACT_EST_MAPPING=PRECISE", "FS=MRC", "CURRENCY=USD", "XLFILL=b")</f>
        <v>16.334467671366063</v>
      </c>
      <c r="J432" s="9">
        <f>_xll.BQL("UAL US Equity", "FA_GROWTH(IS_COMP_NET_INCOME_GAAP, YOY)", "FPT=A", "FPO=0A", "ACT_EST_MAPPING=PRECISE", "FS=MRC", "CURRENCY=USD", "XLFILL=b")</f>
        <v>255.22388059701493</v>
      </c>
      <c r="K432" s="9">
        <f>_xll.BQL("UAL US Equity", "FA_GROWTH(IS_COMP_NET_INCOME_GAAP, YOY)", "FPT=A", "FPO=-1A", "ACT_EST_MAPPING=PRECISE", "FS=MRC", "CURRENCY=USD", "XLFILL=b")</f>
        <v>137.52545824847252</v>
      </c>
      <c r="L432" s="9">
        <f>_xll.BQL("UAL US Equity", "FA_GROWTH(IS_COMP_NET_INCOME_GAAP, YOY)", "FPT=A", "FPO=-2A", "ACT_EST_MAPPING=PRECISE", "FS=MRC", "CURRENCY=USD", "XLFILL=b")</f>
        <v>72.216720894044414</v>
      </c>
      <c r="M432" s="9">
        <f>_xll.BQL("UAL US Equity", "FA_GROWTH(IS_COMP_NET_INCOME_GAAP, YOY)", "FPT=A", "FPO=-3A", "ACT_EST_MAPPING=PRECISE", "FS=MRC", "CURRENCY=USD", "XLFILL=b")</f>
        <v>-334.92854769026252</v>
      </c>
      <c r="N432" s="9">
        <f>_xll.BQL("UAL US Equity", "FA_GROWTH(IS_COMP_NET_INCOME_GAAP, YOY)", "FPT=A", "FPO=-4A", "ACT_EST_MAPPING=PRECISE", "FS=MRC", "CURRENCY=USD", "XLFILL=b")</f>
        <v>41.33395960544857</v>
      </c>
    </row>
    <row r="433" spans="1:14" x14ac:dyDescent="0.2">
      <c r="A433" s="8" t="s">
        <v>147</v>
      </c>
      <c r="B433" s="4" t="s">
        <v>148</v>
      </c>
      <c r="C433" s="4" t="s">
        <v>149</v>
      </c>
      <c r="D433" s="4"/>
      <c r="E433" s="9">
        <f>_xll.BQL("UAL US Equity", "IS_D_AND_A_GAAP/1M", "FPT=A", "FPO=5A", "ACT_EST_MAPPING=PRECISE", "FS=MRC", "CURRENCY=USD", "XLFILL=b")</f>
        <v>3826.055319945272</v>
      </c>
      <c r="F433" s="9">
        <f>_xll.BQL("UAL US Equity", "IS_D_AND_A_GAAP/1M", "FPT=A", "FPO=4A", "ACT_EST_MAPPING=PRECISE", "FS=MRC", "CURRENCY=USD", "XLFILL=b")</f>
        <v>3557.6733898679731</v>
      </c>
      <c r="G433" s="9">
        <f>_xll.BQL("UAL US Equity", "IS_D_AND_A_GAAP/1M", "FPT=A", "FPO=3A", "ACT_EST_MAPPING=PRECISE", "FS=MRC", "CURRENCY=USD", "XLFILL=b")</f>
        <v>3227.7030906780765</v>
      </c>
      <c r="H433" s="9">
        <f>_xll.BQL("UAL US Equity", "IS_D_AND_A_GAAP/1M", "FPT=A", "FPO=2A", "ACT_EST_MAPPING=PRECISE", "FS=MRC", "CURRENCY=USD", "XLFILL=b")</f>
        <v>3025.8969881133612</v>
      </c>
      <c r="I433" s="9">
        <f>_xll.BQL("UAL US Equity", "IS_D_AND_A_GAAP/1M", "FPT=A", "FPO=1A", "ACT_EST_MAPPING=PRECISE", "FS=MRC", "CURRENCY=USD", "XLFILL=b")</f>
        <v>2868.3746904880263</v>
      </c>
      <c r="J433" s="9">
        <f>_xll.BQL("UAL US Equity", "IS_D_AND_A_GAAP/1M", "FPT=A", "FPO=0A", "ACT_EST_MAPPING=PRECISE", "FS=MRC", "CURRENCY=USD", "XLFILL=b")</f>
        <v>2671</v>
      </c>
      <c r="K433" s="9">
        <f>_xll.BQL("UAL US Equity", "IS_D_AND_A_GAAP/1M", "FPT=A", "FPO=-1A", "ACT_EST_MAPPING=PRECISE", "FS=MRC", "CURRENCY=USD", "XLFILL=b")</f>
        <v>2456</v>
      </c>
      <c r="L433" s="9">
        <f>_xll.BQL("UAL US Equity", "IS_D_AND_A_GAAP/1M", "FPT=A", "FPO=-2A", "ACT_EST_MAPPING=PRECISE", "FS=MRC", "CURRENCY=USD", "XLFILL=b")</f>
        <v>2485</v>
      </c>
      <c r="M433" s="9">
        <f>_xll.BQL("UAL US Equity", "IS_D_AND_A_GAAP/1M", "FPT=A", "FPO=-3A", "ACT_EST_MAPPING=PRECISE", "FS=MRC", "CURRENCY=USD", "XLFILL=b")</f>
        <v>2488</v>
      </c>
      <c r="N433" s="9">
        <f>_xll.BQL("UAL US Equity", "IS_D_AND_A_GAAP/1M", "FPT=A", "FPO=-4A", "ACT_EST_MAPPING=PRECISE", "FS=MRC", "CURRENCY=USD", "XLFILL=b")</f>
        <v>2288</v>
      </c>
    </row>
    <row r="434" spans="1:14" x14ac:dyDescent="0.2">
      <c r="A434" s="8" t="s">
        <v>20</v>
      </c>
      <c r="B434" s="4" t="s">
        <v>148</v>
      </c>
      <c r="C434" s="4" t="s">
        <v>149</v>
      </c>
      <c r="D434" s="4"/>
      <c r="E434" s="9">
        <f>_xll.BQL("UAL US Equity", "FA_GROWTH(IS_D_AND_A_GAAP, YOY)", "FPT=A", "FPO=5A", "ACT_EST_MAPPING=PRECISE", "FS=MRC", "CURRENCY=USD", "XLFILL=b")</f>
        <v>7.5437484183239887</v>
      </c>
      <c r="F434" s="9">
        <f>_xll.BQL("UAL US Equity", "FA_GROWTH(IS_D_AND_A_GAAP, YOY)", "FPT=A", "FPO=4A", "ACT_EST_MAPPING=PRECISE", "FS=MRC", "CURRENCY=USD", "XLFILL=b")</f>
        <v>10.223068538828239</v>
      </c>
      <c r="G434" s="9">
        <f>_xll.BQL("UAL US Equity", "FA_GROWTH(IS_D_AND_A_GAAP, YOY)", "FPT=A", "FPO=3A", "ACT_EST_MAPPING=PRECISE", "FS=MRC", "CURRENCY=USD", "XLFILL=b")</f>
        <v>6.6692985041285375</v>
      </c>
      <c r="H434" s="9">
        <f>_xll.BQL("UAL US Equity", "FA_GROWTH(IS_D_AND_A_GAAP, YOY)", "FPT=A", "FPO=2A", "ACT_EST_MAPPING=PRECISE", "FS=MRC", "CURRENCY=USD", "XLFILL=b")</f>
        <v>5.4916917984147435</v>
      </c>
      <c r="I434" s="9">
        <f>_xll.BQL("UAL US Equity", "FA_GROWTH(IS_D_AND_A_GAAP, YOY)", "FPT=A", "FPO=1A", "ACT_EST_MAPPING=PRECISE", "FS=MRC", "CURRENCY=USD", "XLFILL=b")</f>
        <v>7.389542886111049</v>
      </c>
      <c r="J434" s="9">
        <f>_xll.BQL("UAL US Equity", "FA_GROWTH(IS_D_AND_A_GAAP, YOY)", "FPT=A", "FPO=0A", "ACT_EST_MAPPING=PRECISE", "FS=MRC", "CURRENCY=USD", "XLFILL=b")</f>
        <v>8.7540716612377842</v>
      </c>
      <c r="K434" s="9">
        <f>_xll.BQL("UAL US Equity", "FA_GROWTH(IS_D_AND_A_GAAP, YOY)", "FPT=A", "FPO=-1A", "ACT_EST_MAPPING=PRECISE", "FS=MRC", "CURRENCY=USD", "XLFILL=b")</f>
        <v>-1.1670020120724347</v>
      </c>
      <c r="L434" s="9">
        <f>_xll.BQL("UAL US Equity", "FA_GROWTH(IS_D_AND_A_GAAP, YOY)", "FPT=A", "FPO=-2A", "ACT_EST_MAPPING=PRECISE", "FS=MRC", "CURRENCY=USD", "XLFILL=b")</f>
        <v>-0.12057877813504823</v>
      </c>
      <c r="M434" s="9">
        <f>_xll.BQL("UAL US Equity", "FA_GROWTH(IS_D_AND_A_GAAP, YOY)", "FPT=A", "FPO=-3A", "ACT_EST_MAPPING=PRECISE", "FS=MRC", "CURRENCY=USD", "XLFILL=b")</f>
        <v>8.7412587412587417</v>
      </c>
      <c r="N434" s="9">
        <f>_xll.BQL("UAL US Equity", "FA_GROWTH(IS_D_AND_A_GAAP, YOY)", "FPT=A", "FPO=-4A", "ACT_EST_MAPPING=PRECISE", "FS=MRC", "CURRENCY=USD", "XLFILL=b")</f>
        <v>5.681293302540416</v>
      </c>
    </row>
    <row r="435" spans="1:14" x14ac:dyDescent="0.2">
      <c r="A435" s="8" t="s">
        <v>446</v>
      </c>
      <c r="B435" s="4" t="s">
        <v>447</v>
      </c>
      <c r="C435" s="4"/>
      <c r="D435" s="4"/>
      <c r="E435" s="9" t="str">
        <f>_xll.BQL("UAL US Equity", "CF_DEF_INC_TAX/1M", "FPT=A", "FPO=5A", "ACT_EST_MAPPING=PRECISE", "FS=MRC", "CURRENCY=USD", "XLFILL=b")</f>
        <v/>
      </c>
      <c r="F435" s="9" t="str">
        <f>_xll.BQL("UAL US Equity", "CF_DEF_INC_TAX/1M", "FPT=A", "FPO=4A", "ACT_EST_MAPPING=PRECISE", "FS=MRC", "CURRENCY=USD", "XLFILL=b")</f>
        <v/>
      </c>
      <c r="G435" s="9" t="str">
        <f>_xll.BQL("UAL US Equity", "CF_DEF_INC_TAX/1M", "FPT=A", "FPO=3A", "ACT_EST_MAPPING=PRECISE", "FS=MRC", "CURRENCY=USD", "XLFILL=b")</f>
        <v/>
      </c>
      <c r="H435" s="9">
        <f>_xll.BQL("UAL US Equity", "CF_DEF_INC_TAX/1M", "FPT=A", "FPO=2A", "ACT_EST_MAPPING=PRECISE", "FS=MRC", "CURRENCY=USD", "XLFILL=b")</f>
        <v>912.20479149354423</v>
      </c>
      <c r="I435" s="9">
        <f>_xll.BQL("UAL US Equity", "CF_DEF_INC_TAX/1M", "FPT=A", "FPO=1A", "ACT_EST_MAPPING=PRECISE", "FS=MRC", "CURRENCY=USD", "XLFILL=b")</f>
        <v>736.58907315817123</v>
      </c>
      <c r="J435" s="9">
        <f>_xll.BQL("UAL US Equity", "CF_DEF_INC_TAX/1M", "FPT=A", "FPO=0A", "ACT_EST_MAPPING=PRECISE", "FS=MRC", "CURRENCY=USD", "XLFILL=b")</f>
        <v>756</v>
      </c>
      <c r="K435" s="9">
        <f>_xll.BQL("UAL US Equity", "CF_DEF_INC_TAX/1M", "FPT=A", "FPO=-1A", "ACT_EST_MAPPING=PRECISE", "FS=MRC", "CURRENCY=USD", "XLFILL=b")</f>
        <v>248</v>
      </c>
      <c r="L435" s="9">
        <f>_xll.BQL("UAL US Equity", "CF_DEF_INC_TAX/1M", "FPT=A", "FPO=-2A", "ACT_EST_MAPPING=PRECISE", "FS=MRC", "CURRENCY=USD", "XLFILL=b")</f>
        <v>-583</v>
      </c>
      <c r="M435" s="9">
        <f>_xll.BQL("UAL US Equity", "CF_DEF_INC_TAX/1M", "FPT=A", "FPO=-3A", "ACT_EST_MAPPING=PRECISE", "FS=MRC", "CURRENCY=USD", "XLFILL=b")</f>
        <v>-1741</v>
      </c>
      <c r="N435" s="9">
        <f>_xll.BQL("UAL US Equity", "CF_DEF_INC_TAX/1M", "FPT=A", "FPO=-4A", "ACT_EST_MAPPING=PRECISE", "FS=MRC", "CURRENCY=USD", "XLFILL=b")</f>
        <v>882</v>
      </c>
    </row>
    <row r="436" spans="1:14" x14ac:dyDescent="0.2">
      <c r="A436" s="8" t="s">
        <v>20</v>
      </c>
      <c r="B436" s="4" t="s">
        <v>447</v>
      </c>
      <c r="C436" s="4"/>
      <c r="D436" s="4"/>
      <c r="E436" s="9" t="str">
        <f>_xll.BQL("UAL US Equity", "FA_GROWTH(CF_DEF_INC_TAX, YOY)", "FPT=A", "FPO=5A", "ACT_EST_MAPPING=PRECISE", "FS=MRC", "CURRENCY=USD", "XLFILL=b")</f>
        <v/>
      </c>
      <c r="F436" s="9" t="str">
        <f>_xll.BQL("UAL US Equity", "FA_GROWTH(CF_DEF_INC_TAX, YOY)", "FPT=A", "FPO=4A", "ACT_EST_MAPPING=PRECISE", "FS=MRC", "CURRENCY=USD", "XLFILL=b")</f>
        <v/>
      </c>
      <c r="G436" s="9" t="str">
        <f>_xll.BQL("UAL US Equity", "FA_GROWTH(CF_DEF_INC_TAX, YOY)", "FPT=A", "FPO=3A", "ACT_EST_MAPPING=PRECISE", "FS=MRC", "CURRENCY=USD", "XLFILL=b")</f>
        <v/>
      </c>
      <c r="H436" s="9">
        <f>_xll.BQL("UAL US Equity", "FA_GROWTH(CF_DEF_INC_TAX, YOY)", "FPT=A", "FPO=2A", "ACT_EST_MAPPING=PRECISE", "FS=MRC", "CURRENCY=USD", "XLFILL=b")</f>
        <v>23.841749047730207</v>
      </c>
      <c r="I436" s="9">
        <f>_xll.BQL("UAL US Equity", "FA_GROWTH(CF_DEF_INC_TAX, YOY)", "FPT=A", "FPO=1A", "ACT_EST_MAPPING=PRECISE", "FS=MRC", "CURRENCY=USD", "XLFILL=b")</f>
        <v>-2.567582915585823</v>
      </c>
      <c r="J436" s="9">
        <f>_xll.BQL("UAL US Equity", "FA_GROWTH(CF_DEF_INC_TAX, YOY)", "FPT=A", "FPO=0A", "ACT_EST_MAPPING=PRECISE", "FS=MRC", "CURRENCY=USD", "XLFILL=b")</f>
        <v>204.83870967741936</v>
      </c>
      <c r="K436" s="9">
        <f>_xll.BQL("UAL US Equity", "FA_GROWTH(CF_DEF_INC_TAX, YOY)", "FPT=A", "FPO=-1A", "ACT_EST_MAPPING=PRECISE", "FS=MRC", "CURRENCY=USD", "XLFILL=b")</f>
        <v>142.53859348198972</v>
      </c>
      <c r="L436" s="9">
        <f>_xll.BQL("UAL US Equity", "FA_GROWTH(CF_DEF_INC_TAX, YOY)", "FPT=A", "FPO=-2A", "ACT_EST_MAPPING=PRECISE", "FS=MRC", "CURRENCY=USD", "XLFILL=b")</f>
        <v>66.513497989661118</v>
      </c>
      <c r="M436" s="9">
        <f>_xll.BQL("UAL US Equity", "FA_GROWTH(CF_DEF_INC_TAX, YOY)", "FPT=A", "FPO=-3A", "ACT_EST_MAPPING=PRECISE", "FS=MRC", "CURRENCY=USD", "XLFILL=b")</f>
        <v>-297.39229024943313</v>
      </c>
      <c r="N436" s="9">
        <f>_xll.BQL("UAL US Equity", "FA_GROWTH(CF_DEF_INC_TAX, YOY)", "FPT=A", "FPO=-4A", "ACT_EST_MAPPING=PRECISE", "FS=MRC", "CURRENCY=USD", "XLFILL=b")</f>
        <v>72.265625</v>
      </c>
    </row>
    <row r="437" spans="1:14" x14ac:dyDescent="0.2">
      <c r="A437" s="8" t="s">
        <v>448</v>
      </c>
      <c r="B437" s="4"/>
      <c r="C437" s="4"/>
      <c r="D437" s="4"/>
      <c r="E437" s="9"/>
      <c r="F437" s="9"/>
      <c r="G437" s="9"/>
      <c r="H437" s="9"/>
      <c r="I437" s="9"/>
      <c r="J437" s="9"/>
      <c r="K437" s="9"/>
      <c r="L437" s="9"/>
      <c r="M437" s="9"/>
      <c r="N437" s="9"/>
    </row>
    <row r="438" spans="1:14" x14ac:dyDescent="0.2">
      <c r="A438" s="8" t="s">
        <v>324</v>
      </c>
      <c r="B438" s="4" t="s">
        <v>449</v>
      </c>
      <c r="C438" s="4"/>
      <c r="D438" s="4"/>
      <c r="E438" s="9">
        <f>_xll.BQL("UAL US Equity", "CF_CHANGE_IN_ACCOUNTS_PAYABLE/1M", "FPT=A", "FPO=5A", "ACT_EST_MAPPING=PRECISE", "FS=MRC", "CURRENCY=USD", "XLFILL=b")</f>
        <v>257.39999999999964</v>
      </c>
      <c r="F438" s="9">
        <f>_xll.BQL("UAL US Equity", "CF_CHANGE_IN_ACCOUNTS_PAYABLE/1M", "FPT=A", "FPO=4A", "ACT_EST_MAPPING=PRECISE", "FS=MRC", "CURRENCY=USD", "XLFILL=b")</f>
        <v>257.39999999999964</v>
      </c>
      <c r="G438" s="9">
        <f>_xll.BQL("UAL US Equity", "CF_CHANGE_IN_ACCOUNTS_PAYABLE/1M", "FPT=A", "FPO=3A", "ACT_EST_MAPPING=PRECISE", "FS=MRC", "CURRENCY=USD", "XLFILL=b")</f>
        <v>257.39999999999964</v>
      </c>
      <c r="H438" s="9">
        <f>_xll.BQL("UAL US Equity", "CF_CHANGE_IN_ACCOUNTS_PAYABLE/1M", "FPT=A", "FPO=2A", "ACT_EST_MAPPING=PRECISE", "FS=MRC", "CURRENCY=USD", "XLFILL=b")</f>
        <v>400.81974201995217</v>
      </c>
      <c r="I438" s="9">
        <f>_xll.BQL("UAL US Equity", "CF_CHANGE_IN_ACCOUNTS_PAYABLE/1M", "FPT=A", "FPO=1A", "ACT_EST_MAPPING=PRECISE", "FS=MRC", "CURRENCY=USD", "XLFILL=b")</f>
        <v>388.69234794595377</v>
      </c>
      <c r="J438" s="9">
        <f>_xll.BQL("UAL US Equity", "CF_CHANGE_IN_ACCOUNTS_PAYABLE/1M", "FPT=A", "FPO=0A", "ACT_EST_MAPPING=PRECISE", "FS=MRC", "CURRENCY=USD", "XLFILL=b")</f>
        <v>572</v>
      </c>
      <c r="K438" s="9">
        <f>_xll.BQL("UAL US Equity", "CF_CHANGE_IN_ACCOUNTS_PAYABLE/1M", "FPT=A", "FPO=-1A", "ACT_EST_MAPPING=PRECISE", "FS=MRC", "CURRENCY=USD", "XLFILL=b")</f>
        <v>796</v>
      </c>
      <c r="L438" s="9">
        <f>_xll.BQL("UAL US Equity", "CF_CHANGE_IN_ACCOUNTS_PAYABLE/1M", "FPT=A", "FPO=-2A", "ACT_EST_MAPPING=PRECISE", "FS=MRC", "CURRENCY=USD", "XLFILL=b")</f>
        <v>985</v>
      </c>
      <c r="M438" s="9">
        <f>_xll.BQL("UAL US Equity", "CF_CHANGE_IN_ACCOUNTS_PAYABLE/1M", "FPT=A", "FPO=-3A", "ACT_EST_MAPPING=PRECISE", "FS=MRC", "CURRENCY=USD", "XLFILL=b")</f>
        <v>-1079</v>
      </c>
      <c r="N438" s="9">
        <f>_xll.BQL("UAL US Equity", "CF_CHANGE_IN_ACCOUNTS_PAYABLE/1M", "FPT=A", "FPO=-4A", "ACT_EST_MAPPING=PRECISE", "FS=MRC", "CURRENCY=USD", "XLFILL=b")</f>
        <v>324</v>
      </c>
    </row>
    <row r="439" spans="1:14" x14ac:dyDescent="0.2">
      <c r="A439" s="8" t="s">
        <v>86</v>
      </c>
      <c r="B439" s="4" t="s">
        <v>449</v>
      </c>
      <c r="C439" s="4"/>
      <c r="D439" s="4"/>
      <c r="E439" s="9">
        <f>_xll.BQL("UAL US Equity", "FA_GROWTH(CF_CHANGE_IN_ACCOUNTS_PAYABLE, YOY)", "FPT=A", "FPO=5A", "ACT_EST_MAPPING=PRECISE", "FS=MRC", "CURRENCY=USD", "XLFILL=b")</f>
        <v>0</v>
      </c>
      <c r="F439" s="9">
        <f>_xll.BQL("UAL US Equity", "FA_GROWTH(CF_CHANGE_IN_ACCOUNTS_PAYABLE, YOY)", "FPT=A", "FPO=4A", "ACT_EST_MAPPING=PRECISE", "FS=MRC", "CURRENCY=USD", "XLFILL=b")</f>
        <v>0</v>
      </c>
      <c r="G439" s="9">
        <f>_xll.BQL("UAL US Equity", "FA_GROWTH(CF_CHANGE_IN_ACCOUNTS_PAYABLE, YOY)", "FPT=A", "FPO=3A", "ACT_EST_MAPPING=PRECISE", "FS=MRC", "CURRENCY=USD", "XLFILL=b")</f>
        <v>-35.781606289446025</v>
      </c>
      <c r="H439" s="9">
        <f>_xll.BQL("UAL US Equity", "FA_GROWTH(CF_CHANGE_IN_ACCOUNTS_PAYABLE, YOY)", "FPT=A", "FPO=2A", "ACT_EST_MAPPING=PRECISE", "FS=MRC", "CURRENCY=USD", "XLFILL=b")</f>
        <v>3.120049606864054</v>
      </c>
      <c r="I439" s="9">
        <f>_xll.BQL("UAL US Equity", "FA_GROWTH(CF_CHANGE_IN_ACCOUNTS_PAYABLE, YOY)", "FPT=A", "FPO=1A", "ACT_EST_MAPPING=PRECISE", "FS=MRC", "CURRENCY=USD", "XLFILL=b")</f>
        <v>-32.046792317140948</v>
      </c>
      <c r="J439" s="9">
        <f>_xll.BQL("UAL US Equity", "FA_GROWTH(CF_CHANGE_IN_ACCOUNTS_PAYABLE, YOY)", "FPT=A", "FPO=0A", "ACT_EST_MAPPING=PRECISE", "FS=MRC", "CURRENCY=USD", "XLFILL=b")</f>
        <v>-28.140703517587941</v>
      </c>
      <c r="K439" s="9">
        <f>_xll.BQL("UAL US Equity", "FA_GROWTH(CF_CHANGE_IN_ACCOUNTS_PAYABLE, YOY)", "FPT=A", "FPO=-1A", "ACT_EST_MAPPING=PRECISE", "FS=MRC", "CURRENCY=USD", "XLFILL=b")</f>
        <v>-19.18781725888325</v>
      </c>
      <c r="L439" s="9">
        <f>_xll.BQL("UAL US Equity", "FA_GROWTH(CF_CHANGE_IN_ACCOUNTS_PAYABLE, YOY)", "FPT=A", "FPO=-2A", "ACT_EST_MAPPING=PRECISE", "FS=MRC", "CURRENCY=USD", "XLFILL=b")</f>
        <v>191.2882298424467</v>
      </c>
      <c r="M439" s="9">
        <f>_xll.BQL("UAL US Equity", "FA_GROWTH(CF_CHANGE_IN_ACCOUNTS_PAYABLE, YOY)", "FPT=A", "FPO=-3A", "ACT_EST_MAPPING=PRECISE", "FS=MRC", "CURRENCY=USD", "XLFILL=b")</f>
        <v>-433.02469135802471</v>
      </c>
      <c r="N439" s="9">
        <f>_xll.BQL("UAL US Equity", "FA_GROWTH(CF_CHANGE_IN_ACCOUNTS_PAYABLE, YOY)", "FPT=A", "FPO=-4A", "ACT_EST_MAPPING=PRECISE", "FS=MRC", "CURRENCY=USD", "XLFILL=b")</f>
        <v>149.23076923076923</v>
      </c>
    </row>
    <row r="440" spans="1:14" x14ac:dyDescent="0.2">
      <c r="A440" s="8" t="s">
        <v>450</v>
      </c>
      <c r="B440" s="4" t="s">
        <v>451</v>
      </c>
      <c r="C440" s="4"/>
      <c r="D440" s="4"/>
      <c r="E440" s="9" t="str">
        <f>_xll.BQL("UAL US Equity", "CB_CF_CHANGE_IN_DEPOSITS_ADVANCES/1M", "FPT=A", "FPO=5A", "ACT_EST_MAPPING=PRECISE", "FS=MRC", "CURRENCY=USD", "XLFILL=b")</f>
        <v/>
      </c>
      <c r="F440" s="9" t="str">
        <f>_xll.BQL("UAL US Equity", "CB_CF_CHANGE_IN_DEPOSITS_ADVANCES/1M", "FPT=A", "FPO=4A", "ACT_EST_MAPPING=PRECISE", "FS=MRC", "CURRENCY=USD", "XLFILL=b")</f>
        <v/>
      </c>
      <c r="G440" s="9">
        <f>_xll.BQL("UAL US Equity", "CB_CF_CHANGE_IN_DEPOSITS_ADVANCES/1M", "FPT=A", "FPO=3A", "ACT_EST_MAPPING=PRECISE", "FS=MRC", "CURRENCY=USD", "XLFILL=b")</f>
        <v>1200</v>
      </c>
      <c r="H440" s="9">
        <f>_xll.BQL("UAL US Equity", "CB_CF_CHANGE_IN_DEPOSITS_ADVANCES/1M", "FPT=A", "FPO=2A", "ACT_EST_MAPPING=PRECISE", "FS=MRC", "CURRENCY=USD", "XLFILL=b")</f>
        <v>575.02999901782675</v>
      </c>
      <c r="I440" s="9">
        <f>_xll.BQL("UAL US Equity", "CB_CF_CHANGE_IN_DEPOSITS_ADVANCES/1M", "FPT=A", "FPO=1A", "ACT_EST_MAPPING=PRECISE", "FS=MRC", "CURRENCY=USD", "XLFILL=b")</f>
        <v>196.23999214261494</v>
      </c>
      <c r="J440" s="9">
        <f>_xll.BQL("UAL US Equity", "CB_CF_CHANGE_IN_DEPOSITS_ADVANCES/1M", "FPT=A", "FPO=0A", "ACT_EST_MAPPING=PRECISE", "FS=MRC", "CURRENCY=USD", "XLFILL=b")</f>
        <v>-851</v>
      </c>
      <c r="K440" s="9">
        <f>_xll.BQL("UAL US Equity", "CB_CF_CHANGE_IN_DEPOSITS_ADVANCES/1M", "FPT=A", "FPO=-1A", "ACT_EST_MAPPING=PRECISE", "FS=MRC", "CURRENCY=USD", "XLFILL=b")</f>
        <v>1200</v>
      </c>
      <c r="L440" s="9">
        <f>_xll.BQL("UAL US Equity", "CB_CF_CHANGE_IN_DEPOSITS_ADVANCES/1M", "FPT=A", "FPO=-2A", "ACT_EST_MAPPING=PRECISE", "FS=MRC", "CURRENCY=USD", "XLFILL=b")</f>
        <v>1521</v>
      </c>
      <c r="M440" s="9">
        <f>_xll.BQL("UAL US Equity", "CB_CF_CHANGE_IN_DEPOSITS_ADVANCES/1M", "FPT=A", "FPO=-3A", "ACT_EST_MAPPING=PRECISE", "FS=MRC", "CURRENCY=USD", "XLFILL=b")</f>
        <v>14</v>
      </c>
      <c r="N440" s="9">
        <f>_xll.BQL("UAL US Equity", "CB_CF_CHANGE_IN_DEPOSITS_ADVANCES/1M", "FPT=A", "FPO=-4A", "ACT_EST_MAPPING=PRECISE", "FS=MRC", "CURRENCY=USD", "XLFILL=b")</f>
        <v>438</v>
      </c>
    </row>
    <row r="441" spans="1:14" x14ac:dyDescent="0.2">
      <c r="A441" s="8" t="s">
        <v>86</v>
      </c>
      <c r="B441" s="4" t="s">
        <v>451</v>
      </c>
      <c r="C441" s="4"/>
      <c r="D441" s="4"/>
      <c r="E441" s="9" t="str">
        <f>_xll.BQL("UAL US Equity", "FA_GROWTH(CB_CF_CHANGE_IN_DEPOSITS_ADVANCES, YOY)", "FPT=A", "FPO=5A", "ACT_EST_MAPPING=PRECISE", "FS=MRC", "CURRENCY=USD", "XLFILL=b")</f>
        <v/>
      </c>
      <c r="F441" s="9" t="str">
        <f>_xll.BQL("UAL US Equity", "FA_GROWTH(CB_CF_CHANGE_IN_DEPOSITS_ADVANCES, YOY)", "FPT=A", "FPO=4A", "ACT_EST_MAPPING=PRECISE", "FS=MRC", "CURRENCY=USD", "XLFILL=b")</f>
        <v/>
      </c>
      <c r="G441" s="9">
        <f>_xll.BQL("UAL US Equity", "FA_GROWTH(CB_CF_CHANGE_IN_DEPOSITS_ADVANCES, YOY)", "FPT=A", "FPO=3A", "ACT_EST_MAPPING=PRECISE", "FS=MRC", "CURRENCY=USD", "XLFILL=b")</f>
        <v>108.68476462960992</v>
      </c>
      <c r="H441" s="9">
        <f>_xll.BQL("UAL US Equity", "FA_GROWTH(CB_CF_CHANGE_IN_DEPOSITS_ADVANCES, YOY)", "FPT=A", "FPO=2A", "ACT_EST_MAPPING=PRECISE", "FS=MRC", "CURRENCY=USD", "XLFILL=b")</f>
        <v>193.02385958104352</v>
      </c>
      <c r="I441" s="9">
        <f>_xll.BQL("UAL US Equity", "FA_GROWTH(CB_CF_CHANGE_IN_DEPOSITS_ADVANCES, YOY)", "FPT=A", "FPO=1A", "ACT_EST_MAPPING=PRECISE", "FS=MRC", "CURRENCY=USD", "XLFILL=b")</f>
        <v>123.05992857140011</v>
      </c>
      <c r="J441" s="9">
        <f>_xll.BQL("UAL US Equity", "FA_GROWTH(CB_CF_CHANGE_IN_DEPOSITS_ADVANCES, YOY)", "FPT=A", "FPO=0A", "ACT_EST_MAPPING=PRECISE", "FS=MRC", "CURRENCY=USD", "XLFILL=b")</f>
        <v>-170.91666666666666</v>
      </c>
      <c r="K441" s="9">
        <f>_xll.BQL("UAL US Equity", "FA_GROWTH(CB_CF_CHANGE_IN_DEPOSITS_ADVANCES, YOY)", "FPT=A", "FPO=-1A", "ACT_EST_MAPPING=PRECISE", "FS=MRC", "CURRENCY=USD", "XLFILL=b")</f>
        <v>-21.104536489151872</v>
      </c>
      <c r="L441" s="9">
        <f>_xll.BQL("UAL US Equity", "FA_GROWTH(CB_CF_CHANGE_IN_DEPOSITS_ADVANCES, YOY)", "FPT=A", "FPO=-2A", "ACT_EST_MAPPING=PRECISE", "FS=MRC", "CURRENCY=USD", "XLFILL=b")</f>
        <v>10764.285714285714</v>
      </c>
      <c r="M441" s="9">
        <f>_xll.BQL("UAL US Equity", "FA_GROWTH(CB_CF_CHANGE_IN_DEPOSITS_ADVANCES, YOY)", "FPT=A", "FPO=-3A", "ACT_EST_MAPPING=PRECISE", "FS=MRC", "CURRENCY=USD", "XLFILL=b")</f>
        <v>-96.803652968036531</v>
      </c>
      <c r="N441" s="9">
        <f>_xll.BQL("UAL US Equity", "FA_GROWTH(CB_CF_CHANGE_IN_DEPOSITS_ADVANCES, YOY)", "FPT=A", "FPO=-4A", "ACT_EST_MAPPING=PRECISE", "FS=MRC", "CURRENCY=USD", "XLFILL=b")</f>
        <v>-0.68027210884353739</v>
      </c>
    </row>
    <row r="442" spans="1:14" x14ac:dyDescent="0.2">
      <c r="A442" s="8" t="s">
        <v>452</v>
      </c>
      <c r="B442" s="4" t="s">
        <v>453</v>
      </c>
      <c r="C442" s="4" t="s">
        <v>454</v>
      </c>
      <c r="D442" s="4"/>
      <c r="E442" s="9">
        <f>_xll.BQL("UAL US Equity", "CB_CF_NET_CASH_OPERATING_ACT/1M", "FPT=A", "FPO=5A", "ACT_EST_MAPPING=PRECISE", "FS=MRC", "CURRENCY=USD", "XLFILL=b")</f>
        <v>10148.445183217325</v>
      </c>
      <c r="F442" s="9">
        <f>_xll.BQL("UAL US Equity", "CB_CF_NET_CASH_OPERATING_ACT/1M", "FPT=A", "FPO=4A", "ACT_EST_MAPPING=PRECISE", "FS=MRC", "CURRENCY=USD", "XLFILL=b")</f>
        <v>9502.5853792361704</v>
      </c>
      <c r="G442" s="9">
        <f>_xll.BQL("UAL US Equity", "CB_CF_NET_CASH_OPERATING_ACT/1M", "FPT=A", "FPO=3A", "ACT_EST_MAPPING=PRECISE", "FS=MRC", "CURRENCY=USD", "XLFILL=b")</f>
        <v>8633.4412108100951</v>
      </c>
      <c r="H442" s="9">
        <f>_xll.BQL("UAL US Equity", "CB_CF_NET_CASH_OPERATING_ACT/1M", "FPT=A", "FPO=2A", "ACT_EST_MAPPING=PRECISE", "FS=MRC", "CURRENCY=USD", "XLFILL=b")</f>
        <v>8129.444000005451</v>
      </c>
      <c r="I442" s="9">
        <f>_xll.BQL("UAL US Equity", "CB_CF_NET_CASH_OPERATING_ACT/1M", "FPT=A", "FPO=1A", "ACT_EST_MAPPING=PRECISE", "FS=MRC", "CURRENCY=USD", "XLFILL=b")</f>
        <v>7519.3747444223145</v>
      </c>
      <c r="J442" s="9">
        <f>_xll.BQL("UAL US Equity", "CB_CF_NET_CASH_OPERATING_ACT/1M", "FPT=A", "FPO=0A", "ACT_EST_MAPPING=PRECISE", "FS=MRC", "CURRENCY=USD", "XLFILL=b")</f>
        <v>6911</v>
      </c>
      <c r="K442" s="9">
        <f>_xll.BQL("UAL US Equity", "CB_CF_NET_CASH_OPERATING_ACT/1M", "FPT=A", "FPO=-1A", "ACT_EST_MAPPING=PRECISE", "FS=MRC", "CURRENCY=USD", "XLFILL=b")</f>
        <v>5992</v>
      </c>
      <c r="L442" s="9">
        <f>_xll.BQL("UAL US Equity", "CB_CF_NET_CASH_OPERATING_ACT/1M", "FPT=A", "FPO=-2A", "ACT_EST_MAPPING=PRECISE", "FS=MRC", "CURRENCY=USD", "XLFILL=b")</f>
        <v>2040</v>
      </c>
      <c r="M442" s="9">
        <f>_xll.BQL("UAL US Equity", "CB_CF_NET_CASH_OPERATING_ACT/1M", "FPT=A", "FPO=-3A", "ACT_EST_MAPPING=PRECISE", "FS=MRC", "CURRENCY=USD", "XLFILL=b")</f>
        <v>-4133</v>
      </c>
      <c r="N442" s="9">
        <f>_xll.BQL("UAL US Equity", "CB_CF_NET_CASH_OPERATING_ACT/1M", "FPT=A", "FPO=-4A", "ACT_EST_MAPPING=PRECISE", "FS=MRC", "CURRENCY=USD", "XLFILL=b")</f>
        <v>6909</v>
      </c>
    </row>
    <row r="443" spans="1:14" x14ac:dyDescent="0.2">
      <c r="A443" s="8" t="s">
        <v>12</v>
      </c>
      <c r="B443" s="4" t="s">
        <v>453</v>
      </c>
      <c r="C443" s="4" t="s">
        <v>454</v>
      </c>
      <c r="D443" s="4"/>
      <c r="E443" s="9">
        <f>_xll.BQL("UAL US Equity", "FA_GROWTH(CB_CF_NET_CASH_OPERATING_ACT, YOY)", "FPT=A", "FPO=5A", "ACT_EST_MAPPING=PRECISE", "FS=MRC", "CURRENCY=USD", "XLFILL=b")</f>
        <v>6.7966745701901861</v>
      </c>
      <c r="F443" s="9">
        <f>_xll.BQL("UAL US Equity", "FA_GROWTH(CB_CF_NET_CASH_OPERATING_ACT, YOY)", "FPT=A", "FPO=4A", "ACT_EST_MAPPING=PRECISE", "FS=MRC", "CURRENCY=USD", "XLFILL=b")</f>
        <v>10.067181176120169</v>
      </c>
      <c r="G443" s="9">
        <f>_xll.BQL("UAL US Equity", "FA_GROWTH(CB_CF_NET_CASH_OPERATING_ACT, YOY)", "FPT=A", "FPO=3A", "ACT_EST_MAPPING=PRECISE", "FS=MRC", "CURRENCY=USD", "XLFILL=b")</f>
        <v>6.1996516711881613</v>
      </c>
      <c r="H443" s="9">
        <f>_xll.BQL("UAL US Equity", "FA_GROWTH(CB_CF_NET_CASH_OPERATING_ACT, YOY)", "FPT=A", "FPO=2A", "ACT_EST_MAPPING=PRECISE", "FS=MRC", "CURRENCY=USD", "XLFILL=b")</f>
        <v>8.1132976652835502</v>
      </c>
      <c r="I443" s="9">
        <f>_xll.BQL("UAL US Equity", "FA_GROWTH(CB_CF_NET_CASH_OPERATING_ACT, YOY)", "FPT=A", "FPO=1A", "ACT_EST_MAPPING=PRECISE", "FS=MRC", "CURRENCY=USD", "XLFILL=b")</f>
        <v>8.8029915268747594</v>
      </c>
      <c r="J443" s="9">
        <f>_xll.BQL("UAL US Equity", "FA_GROWTH(CB_CF_NET_CASH_OPERATING_ACT, YOY)", "FPT=A", "FPO=0A", "ACT_EST_MAPPING=PRECISE", "FS=MRC", "CURRENCY=USD", "XLFILL=b")</f>
        <v>15.337116154873165</v>
      </c>
      <c r="K443" s="9">
        <f>_xll.BQL("UAL US Equity", "FA_GROWTH(CB_CF_NET_CASH_OPERATING_ACT, YOY)", "FPT=A", "FPO=-1A", "ACT_EST_MAPPING=PRECISE", "FS=MRC", "CURRENCY=USD", "XLFILL=b")</f>
        <v>193.72549019607843</v>
      </c>
      <c r="L443" s="9">
        <f>_xll.BQL("UAL US Equity", "FA_GROWTH(CB_CF_NET_CASH_OPERATING_ACT, YOY)", "FPT=A", "FPO=-2A", "ACT_EST_MAPPING=PRECISE", "FS=MRC", "CURRENCY=USD", "XLFILL=b")</f>
        <v>149.35881925961772</v>
      </c>
      <c r="M443" s="9">
        <f>_xll.BQL("UAL US Equity", "FA_GROWTH(CB_CF_NET_CASH_OPERATING_ACT, YOY)", "FPT=A", "FPO=-3A", "ACT_EST_MAPPING=PRECISE", "FS=MRC", "CURRENCY=USD", "XLFILL=b")</f>
        <v>-159.82052395426257</v>
      </c>
      <c r="N443" s="9">
        <f>_xll.BQL("UAL US Equity", "FA_GROWTH(CB_CF_NET_CASH_OPERATING_ACT, YOY)", "FPT=A", "FPO=-4A", "ACT_EST_MAPPING=PRECISE", "FS=MRC", "CURRENCY=USD", "XLFILL=b")</f>
        <v>12.086307592472421</v>
      </c>
    </row>
    <row r="444" spans="1:14" x14ac:dyDescent="0.2">
      <c r="A444" s="8" t="s">
        <v>16</v>
      </c>
      <c r="B444" s="4"/>
      <c r="C444" s="4"/>
      <c r="D444" s="4"/>
      <c r="E444" s="9"/>
      <c r="F444" s="9"/>
      <c r="G444" s="9"/>
      <c r="H444" s="9"/>
      <c r="I444" s="9"/>
      <c r="J444" s="9"/>
      <c r="K444" s="9"/>
      <c r="L444" s="9"/>
      <c r="M444" s="9"/>
      <c r="N444" s="9"/>
    </row>
    <row r="445" spans="1:14" x14ac:dyDescent="0.2">
      <c r="A445" s="8" t="s">
        <v>455</v>
      </c>
      <c r="B445" s="4"/>
      <c r="C445" s="4" t="s">
        <v>456</v>
      </c>
      <c r="D445" s="4"/>
      <c r="E445" s="9"/>
      <c r="F445" s="9"/>
      <c r="G445" s="9"/>
      <c r="H445" s="9"/>
      <c r="I445" s="9"/>
      <c r="J445" s="9"/>
      <c r="K445" s="9"/>
      <c r="L445" s="9"/>
      <c r="M445" s="9"/>
      <c r="N445" s="9"/>
    </row>
    <row r="446" spans="1:14" x14ac:dyDescent="0.2">
      <c r="A446" s="8" t="s">
        <v>457</v>
      </c>
      <c r="B446" s="4" t="s">
        <v>56</v>
      </c>
      <c r="C446" s="4" t="s">
        <v>458</v>
      </c>
      <c r="D446" s="4"/>
      <c r="E446" s="9">
        <f>_xll.BQL("UAL US Equity", "HEADLINE_CAPEX/1M", "FPT=A", "FPO=5A", "ACT_EST_MAPPING=PRECISE", "FS=MRC", "CURRENCY=USD", "XLFILL=b")</f>
        <v>-7750</v>
      </c>
      <c r="F446" s="9">
        <f>_xll.BQL("UAL US Equity", "HEADLINE_CAPEX/1M", "FPT=A", "FPO=4A", "ACT_EST_MAPPING=PRECISE", "FS=MRC", "CURRENCY=USD", "XLFILL=b")</f>
        <v>-8266.6666666666679</v>
      </c>
      <c r="G446" s="9">
        <f>_xll.BQL("UAL US Equity", "HEADLINE_CAPEX/1M", "FPT=A", "FPO=3A", "ACT_EST_MAPPING=PRECISE", "FS=MRC", "CURRENCY=USD", "XLFILL=b")</f>
        <v>-7874.5</v>
      </c>
      <c r="H446" s="9">
        <f>_xll.BQL("UAL US Equity", "HEADLINE_CAPEX/1M", "FPT=A", "FPO=2A", "ACT_EST_MAPPING=PRECISE", "FS=MRC", "CURRENCY=USD", "XLFILL=b")</f>
        <v>-7788.166666666667</v>
      </c>
      <c r="I446" s="9">
        <f>_xll.BQL("UAL US Equity", "HEADLINE_CAPEX/1M", "FPT=A", "FPO=1A", "ACT_EST_MAPPING=PRECISE", "FS=MRC", "CURRENCY=USD", "XLFILL=b")</f>
        <v>-6275.0769230769238</v>
      </c>
      <c r="J446" s="9">
        <f>_xll.BQL("UAL US Equity", "HEADLINE_CAPEX/1M", "FPT=A", "FPO=0A", "ACT_EST_MAPPING=PRECISE", "FS=MRC", "CURRENCY=USD", "XLFILL=b")</f>
        <v>-7171</v>
      </c>
      <c r="K446" s="9">
        <f>_xll.BQL("UAL US Equity", "HEADLINE_CAPEX/1M", "FPT=A", "FPO=-1A", "ACT_EST_MAPPING=PRECISE", "FS=MRC", "CURRENCY=USD", "XLFILL=b")</f>
        <v>-4819</v>
      </c>
      <c r="L446" s="9">
        <f>_xll.BQL("UAL US Equity", "HEADLINE_CAPEX/1M", "FPT=A", "FPO=-2A", "ACT_EST_MAPPING=PRECISE", "FS=MRC", "CURRENCY=USD", "XLFILL=b")</f>
        <v>-2107</v>
      </c>
      <c r="M446" s="9">
        <f>_xll.BQL("UAL US Equity", "HEADLINE_CAPEX/1M", "FPT=A", "FPO=-3A", "ACT_EST_MAPPING=PRECISE", "FS=MRC", "CURRENCY=USD", "XLFILL=b")</f>
        <v>-1727</v>
      </c>
      <c r="N446" s="9">
        <f>_xll.BQL("UAL US Equity", "HEADLINE_CAPEX/1M", "FPT=A", "FPO=-4A", "ACT_EST_MAPPING=PRECISE", "FS=MRC", "CURRENCY=USD", "XLFILL=b")</f>
        <v>-4528</v>
      </c>
    </row>
    <row r="447" spans="1:14" x14ac:dyDescent="0.2">
      <c r="A447" s="8" t="s">
        <v>20</v>
      </c>
      <c r="B447" s="4" t="s">
        <v>56</v>
      </c>
      <c r="C447" s="4" t="s">
        <v>458</v>
      </c>
      <c r="D447" s="4"/>
      <c r="E447" s="9">
        <f>_xll.BQL("UAL US Equity", "FA_GROWTH(HEADLINE_CAPEX, YOY)", "FPT=A", "FPO=5A", "ACT_EST_MAPPING=PRECISE", "FS=MRC", "CURRENCY=USD", "XLFILL=b")</f>
        <v>6.2500000000000044</v>
      </c>
      <c r="F447" s="9">
        <f>_xll.BQL("UAL US Equity", "FA_GROWTH(HEADLINE_CAPEX, YOY)", "FPT=A", "FPO=4A", "ACT_EST_MAPPING=PRECISE", "FS=MRC", "CURRENCY=USD", "XLFILL=b")</f>
        <v>-4.980210383728072</v>
      </c>
      <c r="G447" s="9">
        <f>_xll.BQL("UAL US Equity", "FA_GROWTH(HEADLINE_CAPEX, YOY)", "FPT=A", "FPO=3A", "ACT_EST_MAPPING=PRECISE", "FS=MRC", "CURRENCY=USD", "XLFILL=b")</f>
        <v>-1.108519334888395</v>
      </c>
      <c r="H447" s="9">
        <f>_xll.BQL("UAL US Equity", "FA_GROWTH(HEADLINE_CAPEX, YOY)", "FPT=A", "FPO=2A", "ACT_EST_MAPPING=PRECISE", "FS=MRC", "CURRENCY=USD", "XLFILL=b")</f>
        <v>-24.112688372397109</v>
      </c>
      <c r="I447" s="9">
        <f>_xll.BQL("UAL US Equity", "FA_GROWTH(HEADLINE_CAPEX, YOY)", "FPT=A", "FPO=1A", "ACT_EST_MAPPING=PRECISE", "FS=MRC", "CURRENCY=USD", "XLFILL=b")</f>
        <v>12.493697907168828</v>
      </c>
      <c r="J447" s="9">
        <f>_xll.BQL("UAL US Equity", "FA_GROWTH(HEADLINE_CAPEX, YOY)", "FPT=A", "FPO=0A", "ACT_EST_MAPPING=PRECISE", "FS=MRC", "CURRENCY=USD", "XLFILL=b")</f>
        <v>-48.806806391367502</v>
      </c>
      <c r="K447" s="9">
        <f>_xll.BQL("UAL US Equity", "FA_GROWTH(HEADLINE_CAPEX, YOY)", "FPT=A", "FPO=-1A", "ACT_EST_MAPPING=PRECISE", "FS=MRC", "CURRENCY=USD", "XLFILL=b")</f>
        <v>-128.71381110583769</v>
      </c>
      <c r="L447" s="9">
        <f>_xll.BQL("UAL US Equity", "FA_GROWTH(HEADLINE_CAPEX, YOY)", "FPT=A", "FPO=-2A", "ACT_EST_MAPPING=PRECISE", "FS=MRC", "CURRENCY=USD", "XLFILL=b")</f>
        <v>-22.003474232773595</v>
      </c>
      <c r="M447" s="9">
        <f>_xll.BQL("UAL US Equity", "FA_GROWTH(HEADLINE_CAPEX, YOY)", "FPT=A", "FPO=-3A", "ACT_EST_MAPPING=PRECISE", "FS=MRC", "CURRENCY=USD", "XLFILL=b")</f>
        <v>61.859540636042404</v>
      </c>
      <c r="N447" s="9">
        <f>_xll.BQL("UAL US Equity", "FA_GROWTH(HEADLINE_CAPEX, YOY)", "FPT=A", "FPO=-4A", "ACT_EST_MAPPING=PRECISE", "FS=MRC", "CURRENCY=USD", "XLFILL=b")</f>
        <v>-11.253071253071253</v>
      </c>
    </row>
    <row r="448" spans="1:14" x14ac:dyDescent="0.2">
      <c r="A448" s="8" t="s">
        <v>459</v>
      </c>
      <c r="B448" s="4" t="s">
        <v>460</v>
      </c>
      <c r="C448" s="4"/>
      <c r="D448" s="4"/>
      <c r="E448" s="9" t="str">
        <f>_xll.BQL("UAL US Equity", "CB_CF_PURCHASES_OF_ST_INV/1M", "FPT=A", "FPO=5A", "ACT_EST_MAPPING=PRECISE", "FS=MRC", "CURRENCY=USD", "XLFILL=b")</f>
        <v/>
      </c>
      <c r="F448" s="9" t="str">
        <f>_xll.BQL("UAL US Equity", "CB_CF_PURCHASES_OF_ST_INV/1M", "FPT=A", "FPO=4A", "ACT_EST_MAPPING=PRECISE", "FS=MRC", "CURRENCY=USD", "XLFILL=b")</f>
        <v/>
      </c>
      <c r="G448" s="9" t="str">
        <f>_xll.BQL("UAL US Equity", "CB_CF_PURCHASES_OF_ST_INV/1M", "FPT=A", "FPO=3A", "ACT_EST_MAPPING=PRECISE", "FS=MRC", "CURRENCY=USD", "XLFILL=b")</f>
        <v/>
      </c>
      <c r="H448" s="9" t="str">
        <f>_xll.BQL("UAL US Equity", "CB_CF_PURCHASES_OF_ST_INV/1M", "FPT=A", "FPO=2A", "ACT_EST_MAPPING=PRECISE", "FS=MRC", "CURRENCY=USD", "XLFILL=b")</f>
        <v/>
      </c>
      <c r="I448" s="9">
        <f>_xll.BQL("UAL US Equity", "CB_CF_PURCHASES_OF_ST_INV/1M", "FPT=A", "FPO=1A", "ACT_EST_MAPPING=PRECISE", "FS=MRC", "CURRENCY=USD", "XLFILL=b")</f>
        <v>-1754</v>
      </c>
      <c r="J448" s="9">
        <f>_xll.BQL("UAL US Equity", "CB_CF_PURCHASES_OF_ST_INV/1M", "FPT=A", "FPO=0A", "ACT_EST_MAPPING=PRECISE", "FS=MRC", "CURRENCY=USD", "XLFILL=b")</f>
        <v>-9470</v>
      </c>
      <c r="K448" s="9">
        <f>_xll.BQL("UAL US Equity", "CB_CF_PURCHASES_OF_ST_INV/1M", "FPT=A", "FPO=-1A", "ACT_EST_MAPPING=PRECISE", "FS=MRC", "CURRENCY=USD", "XLFILL=b")</f>
        <v>-11232</v>
      </c>
      <c r="L448" s="9">
        <f>_xll.BQL("UAL US Equity", "CB_CF_PURCHASES_OF_ST_INV/1M", "FPT=A", "FPO=-2A", "ACT_EST_MAPPING=PRECISE", "FS=MRC", "CURRENCY=USD", "XLFILL=b")</f>
        <v>-68</v>
      </c>
      <c r="M448" s="9">
        <f>_xll.BQL("UAL US Equity", "CB_CF_PURCHASES_OF_ST_INV/1M", "FPT=A", "FPO=-3A", "ACT_EST_MAPPING=PRECISE", "FS=MRC", "CURRENCY=USD", "XLFILL=b")</f>
        <v>-552</v>
      </c>
      <c r="N448" s="9">
        <f>_xll.BQL("UAL US Equity", "CB_CF_PURCHASES_OF_ST_INV/1M", "FPT=A", "FPO=-4A", "ACT_EST_MAPPING=PRECISE", "FS=MRC", "CURRENCY=USD", "XLFILL=b")</f>
        <v>-2933</v>
      </c>
    </row>
    <row r="449" spans="1:14" x14ac:dyDescent="0.2">
      <c r="A449" s="8" t="s">
        <v>20</v>
      </c>
      <c r="B449" s="4" t="s">
        <v>460</v>
      </c>
      <c r="C449" s="4"/>
      <c r="D449" s="4"/>
      <c r="E449" s="9" t="str">
        <f>_xll.BQL("UAL US Equity", "FA_GROWTH(CB_CF_PURCHASES_OF_ST_INV, YOY)", "FPT=A", "FPO=5A", "ACT_EST_MAPPING=PRECISE", "FS=MRC", "CURRENCY=USD", "XLFILL=b")</f>
        <v/>
      </c>
      <c r="F449" s="9" t="str">
        <f>_xll.BQL("UAL US Equity", "FA_GROWTH(CB_CF_PURCHASES_OF_ST_INV, YOY)", "FPT=A", "FPO=4A", "ACT_EST_MAPPING=PRECISE", "FS=MRC", "CURRENCY=USD", "XLFILL=b")</f>
        <v/>
      </c>
      <c r="G449" s="9" t="str">
        <f>_xll.BQL("UAL US Equity", "FA_GROWTH(CB_CF_PURCHASES_OF_ST_INV, YOY)", "FPT=A", "FPO=3A", "ACT_EST_MAPPING=PRECISE", "FS=MRC", "CURRENCY=USD", "XLFILL=b")</f>
        <v/>
      </c>
      <c r="H449" s="9" t="str">
        <f>_xll.BQL("UAL US Equity", "FA_GROWTH(CB_CF_PURCHASES_OF_ST_INV, YOY)", "FPT=A", "FPO=2A", "ACT_EST_MAPPING=PRECISE", "FS=MRC", "CURRENCY=USD", "XLFILL=b")</f>
        <v/>
      </c>
      <c r="I449" s="9">
        <f>_xll.BQL("UAL US Equity", "FA_GROWTH(CB_CF_PURCHASES_OF_ST_INV, YOY)", "FPT=A", "FPO=1A", "ACT_EST_MAPPING=PRECISE", "FS=MRC", "CURRENCY=USD", "XLFILL=b")</f>
        <v>81.478352692713827</v>
      </c>
      <c r="J449" s="9">
        <f>_xll.BQL("UAL US Equity", "FA_GROWTH(CB_CF_PURCHASES_OF_ST_INV, YOY)", "FPT=A", "FPO=0A", "ACT_EST_MAPPING=PRECISE", "FS=MRC", "CURRENCY=USD", "XLFILL=b")</f>
        <v>15.687321937321938</v>
      </c>
      <c r="K449" s="9">
        <f>_xll.BQL("UAL US Equity", "FA_GROWTH(CB_CF_PURCHASES_OF_ST_INV, YOY)", "FPT=A", "FPO=-1A", "ACT_EST_MAPPING=PRECISE", "FS=MRC", "CURRENCY=USD", "XLFILL=b")</f>
        <v>-16417.647058823528</v>
      </c>
      <c r="L449" s="9">
        <f>_xll.BQL("UAL US Equity", "FA_GROWTH(CB_CF_PURCHASES_OF_ST_INV, YOY)", "FPT=A", "FPO=-2A", "ACT_EST_MAPPING=PRECISE", "FS=MRC", "CURRENCY=USD", "XLFILL=b")</f>
        <v>87.681159420289859</v>
      </c>
      <c r="M449" s="9">
        <f>_xll.BQL("UAL US Equity", "FA_GROWTH(CB_CF_PURCHASES_OF_ST_INV, YOY)", "FPT=A", "FPO=-3A", "ACT_EST_MAPPING=PRECISE", "FS=MRC", "CURRENCY=USD", "XLFILL=b")</f>
        <v>81.179679509035111</v>
      </c>
      <c r="N449" s="9">
        <f>_xll.BQL("UAL US Equity", "FA_GROWTH(CB_CF_PURCHASES_OF_ST_INV, YOY)", "FPT=A", "FPO=-4A", "ACT_EST_MAPPING=PRECISE", "FS=MRC", "CURRENCY=USD", "XLFILL=b")</f>
        <v>-14.929467084639498</v>
      </c>
    </row>
    <row r="450" spans="1:14" x14ac:dyDescent="0.2">
      <c r="A450" s="8" t="s">
        <v>461</v>
      </c>
      <c r="B450" s="4" t="s">
        <v>462</v>
      </c>
      <c r="C450" s="4"/>
      <c r="D450" s="4"/>
      <c r="E450" s="9" t="str">
        <f>_xll.BQL("UAL US Equity", "CB_CF_PROCEEDS_FROM_ST_INV/1M", "FPT=A", "FPO=5A", "ACT_EST_MAPPING=PRECISE", "FS=MRC", "CURRENCY=USD", "XLFILL=b")</f>
        <v/>
      </c>
      <c r="F450" s="9" t="str">
        <f>_xll.BQL("UAL US Equity", "CB_CF_PROCEEDS_FROM_ST_INV/1M", "FPT=A", "FPO=4A", "ACT_EST_MAPPING=PRECISE", "FS=MRC", "CURRENCY=USD", "XLFILL=b")</f>
        <v/>
      </c>
      <c r="G450" s="9" t="str">
        <f>_xll.BQL("UAL US Equity", "CB_CF_PROCEEDS_FROM_ST_INV/1M", "FPT=A", "FPO=3A", "ACT_EST_MAPPING=PRECISE", "FS=MRC", "CURRENCY=USD", "XLFILL=b")</f>
        <v/>
      </c>
      <c r="H450" s="9" t="str">
        <f>_xll.BQL("UAL US Equity", "CB_CF_PROCEEDS_FROM_ST_INV/1M", "FPT=A", "FPO=2A", "ACT_EST_MAPPING=PRECISE", "FS=MRC", "CURRENCY=USD", "XLFILL=b")</f>
        <v/>
      </c>
      <c r="I450" s="9">
        <f>_xll.BQL("UAL US Equity", "CB_CF_PROCEEDS_FROM_ST_INV/1M", "FPT=A", "FPO=1A", "ACT_EST_MAPPING=PRECISE", "FS=MRC", "CURRENCY=USD", "XLFILL=b")</f>
        <v>6420</v>
      </c>
      <c r="J450" s="9">
        <f>_xll.BQL("UAL US Equity", "CB_CF_PROCEEDS_FROM_ST_INV/1M", "FPT=A", "FPO=0A", "ACT_EST_MAPPING=PRECISE", "FS=MRC", "CURRENCY=USD", "XLFILL=b")</f>
        <v>10519</v>
      </c>
      <c r="K450" s="9">
        <f>_xll.BQL("UAL US Equity", "CB_CF_PROCEEDS_FROM_ST_INV/1M", "FPT=A", "FPO=-1A", "ACT_EST_MAPPING=PRECISE", "FS=MRC", "CURRENCY=USD", "XLFILL=b")</f>
        <v>2084</v>
      </c>
      <c r="L450" s="9">
        <f>_xll.BQL("UAL US Equity", "CB_CF_PROCEEDS_FROM_ST_INV/1M", "FPT=A", "FPO=-2A", "ACT_EST_MAPPING=PRECISE", "FS=MRC", "CURRENCY=USD", "XLFILL=b")</f>
        <v>397</v>
      </c>
      <c r="M450" s="9">
        <f>_xll.BQL("UAL US Equity", "CB_CF_PROCEEDS_FROM_ST_INV/1M", "FPT=A", "FPO=-3A", "ACT_EST_MAPPING=PRECISE", "FS=MRC", "CURRENCY=USD", "XLFILL=b")</f>
        <v>2319</v>
      </c>
      <c r="N450" s="9">
        <f>_xll.BQL("UAL US Equity", "CB_CF_PROCEEDS_FROM_ST_INV/1M", "FPT=A", "FPO=-4A", "ACT_EST_MAPPING=PRECISE", "FS=MRC", "CURRENCY=USD", "XLFILL=b")</f>
        <v>2996</v>
      </c>
    </row>
    <row r="451" spans="1:14" x14ac:dyDescent="0.2">
      <c r="A451" s="8" t="s">
        <v>20</v>
      </c>
      <c r="B451" s="4" t="s">
        <v>462</v>
      </c>
      <c r="C451" s="4"/>
      <c r="D451" s="4"/>
      <c r="E451" s="9" t="str">
        <f>_xll.BQL("UAL US Equity", "FA_GROWTH(CB_CF_PROCEEDS_FROM_ST_INV, YOY)", "FPT=A", "FPO=5A", "ACT_EST_MAPPING=PRECISE", "FS=MRC", "CURRENCY=USD", "XLFILL=b")</f>
        <v/>
      </c>
      <c r="F451" s="9" t="str">
        <f>_xll.BQL("UAL US Equity", "FA_GROWTH(CB_CF_PROCEEDS_FROM_ST_INV, YOY)", "FPT=A", "FPO=4A", "ACT_EST_MAPPING=PRECISE", "FS=MRC", "CURRENCY=USD", "XLFILL=b")</f>
        <v/>
      </c>
      <c r="G451" s="9" t="str">
        <f>_xll.BQL("UAL US Equity", "FA_GROWTH(CB_CF_PROCEEDS_FROM_ST_INV, YOY)", "FPT=A", "FPO=3A", "ACT_EST_MAPPING=PRECISE", "FS=MRC", "CURRENCY=USD", "XLFILL=b")</f>
        <v/>
      </c>
      <c r="H451" s="9" t="str">
        <f>_xll.BQL("UAL US Equity", "FA_GROWTH(CB_CF_PROCEEDS_FROM_ST_INV, YOY)", "FPT=A", "FPO=2A", "ACT_EST_MAPPING=PRECISE", "FS=MRC", "CURRENCY=USD", "XLFILL=b")</f>
        <v/>
      </c>
      <c r="I451" s="9">
        <f>_xll.BQL("UAL US Equity", "FA_GROWTH(CB_CF_PROCEEDS_FROM_ST_INV, YOY)", "FPT=A", "FPO=1A", "ACT_EST_MAPPING=PRECISE", "FS=MRC", "CURRENCY=USD", "XLFILL=b")</f>
        <v>-38.96758246981652</v>
      </c>
      <c r="J451" s="9">
        <f>_xll.BQL("UAL US Equity", "FA_GROWTH(CB_CF_PROCEEDS_FROM_ST_INV, YOY)", "FPT=A", "FPO=0A", "ACT_EST_MAPPING=PRECISE", "FS=MRC", "CURRENCY=USD", "XLFILL=b")</f>
        <v>404.75047984644914</v>
      </c>
      <c r="K451" s="9">
        <f>_xll.BQL("UAL US Equity", "FA_GROWTH(CB_CF_PROCEEDS_FROM_ST_INV, YOY)", "FPT=A", "FPO=-1A", "ACT_EST_MAPPING=PRECISE", "FS=MRC", "CURRENCY=USD", "XLFILL=b")</f>
        <v>424.93702770780857</v>
      </c>
      <c r="L451" s="9">
        <f>_xll.BQL("UAL US Equity", "FA_GROWTH(CB_CF_PROCEEDS_FROM_ST_INV, YOY)", "FPT=A", "FPO=-2A", "ACT_EST_MAPPING=PRECISE", "FS=MRC", "CURRENCY=USD", "XLFILL=b")</f>
        <v>-82.880551962052607</v>
      </c>
      <c r="M451" s="9">
        <f>_xll.BQL("UAL US Equity", "FA_GROWTH(CB_CF_PROCEEDS_FROM_ST_INV, YOY)", "FPT=A", "FPO=-3A", "ACT_EST_MAPPING=PRECISE", "FS=MRC", "CURRENCY=USD", "XLFILL=b")</f>
        <v>-22.596795727636849</v>
      </c>
      <c r="N451" s="9" t="str">
        <f>_xll.BQL("UAL US Equity", "FA_GROWTH(CB_CF_PROCEEDS_FROM_ST_INV, YOY)", "FPT=A", "FPO=-4A", "ACT_EST_MAPPING=PRECISE", "FS=MRC", "CURRENCY=USD", "XLFILL=b")</f>
        <v/>
      </c>
    </row>
    <row r="452" spans="1:14" x14ac:dyDescent="0.2">
      <c r="A452" s="8" t="s">
        <v>463</v>
      </c>
      <c r="B452" s="4" t="s">
        <v>464</v>
      </c>
      <c r="C452" s="4"/>
      <c r="D452" s="4"/>
      <c r="E452" s="9" t="str">
        <f>_xll.BQL("UAL US Equity", "CF_DISPOSAL_OF_FIXED_PROD_ASSETS/1M", "FPT=A", "FPO=5A", "ACT_EST_MAPPING=PRECISE", "FS=MRC", "CURRENCY=USD", "XLFILL=b")</f>
        <v/>
      </c>
      <c r="F452" s="9" t="str">
        <f>_xll.BQL("UAL US Equity", "CF_DISPOSAL_OF_FIXED_PROD_ASSETS/1M", "FPT=A", "FPO=4A", "ACT_EST_MAPPING=PRECISE", "FS=MRC", "CURRENCY=USD", "XLFILL=b")</f>
        <v/>
      </c>
      <c r="G452" s="9" t="str">
        <f>_xll.BQL("UAL US Equity", "CF_DISPOSAL_OF_FIXED_PROD_ASSETS/1M", "FPT=A", "FPO=3A", "ACT_EST_MAPPING=PRECISE", "FS=MRC", "CURRENCY=USD", "XLFILL=b")</f>
        <v/>
      </c>
      <c r="H452" s="9" t="str">
        <f>_xll.BQL("UAL US Equity", "CF_DISPOSAL_OF_FIXED_PROD_ASSETS/1M", "FPT=A", "FPO=2A", "ACT_EST_MAPPING=PRECISE", "FS=MRC", "CURRENCY=USD", "XLFILL=b")</f>
        <v/>
      </c>
      <c r="I452" s="9">
        <f>_xll.BQL("UAL US Equity", "CF_DISPOSAL_OF_FIXED_PROD_ASSETS/1M", "FPT=A", "FPO=1A", "ACT_EST_MAPPING=PRECISE", "FS=MRC", "CURRENCY=USD", "XLFILL=b")</f>
        <v>42</v>
      </c>
      <c r="J452" s="9">
        <f>_xll.BQL("UAL US Equity", "CF_DISPOSAL_OF_FIXED_PROD_ASSETS/1M", "FPT=A", "FPO=0A", "ACT_EST_MAPPING=PRECISE", "FS=MRC", "CURRENCY=USD", "XLFILL=b")</f>
        <v>39</v>
      </c>
      <c r="K452" s="9">
        <f>_xll.BQL("UAL US Equity", "CF_DISPOSAL_OF_FIXED_PROD_ASSETS/1M", "FPT=A", "FPO=-1A", "ACT_EST_MAPPING=PRECISE", "FS=MRC", "CURRENCY=USD", "XLFILL=b")</f>
        <v>207</v>
      </c>
      <c r="L452" s="9">
        <f>_xll.BQL("UAL US Equity", "CF_DISPOSAL_OF_FIXED_PROD_ASSETS/1M", "FPT=A", "FPO=-2A", "ACT_EST_MAPPING=PRECISE", "FS=MRC", "CURRENCY=USD", "XLFILL=b")</f>
        <v>107</v>
      </c>
      <c r="M452" s="9">
        <f>_xll.BQL("UAL US Equity", "CF_DISPOSAL_OF_FIXED_PROD_ASSETS/1M", "FPT=A", "FPO=-3A", "ACT_EST_MAPPING=PRECISE", "FS=MRC", "CURRENCY=USD", "XLFILL=b")</f>
        <v>6</v>
      </c>
      <c r="N452" s="9">
        <f>_xll.BQL("UAL US Equity", "CF_DISPOSAL_OF_FIXED_PROD_ASSETS/1M", "FPT=A", "FPO=-4A", "ACT_EST_MAPPING=PRECISE", "FS=MRC", "CURRENCY=USD", "XLFILL=b")</f>
        <v>49</v>
      </c>
    </row>
    <row r="453" spans="1:14" x14ac:dyDescent="0.2">
      <c r="A453" s="8" t="s">
        <v>20</v>
      </c>
      <c r="B453" s="4" t="s">
        <v>464</v>
      </c>
      <c r="C453" s="4"/>
      <c r="D453" s="4"/>
      <c r="E453" s="9" t="str">
        <f>_xll.BQL("UAL US Equity", "FA_GROWTH(CF_DISPOSAL_OF_FIXED_PROD_ASSETS, YOY)", "FPT=A", "FPO=5A", "ACT_EST_MAPPING=PRECISE", "FS=MRC", "CURRENCY=USD", "XLFILL=b")</f>
        <v/>
      </c>
      <c r="F453" s="9" t="str">
        <f>_xll.BQL("UAL US Equity", "FA_GROWTH(CF_DISPOSAL_OF_FIXED_PROD_ASSETS, YOY)", "FPT=A", "FPO=4A", "ACT_EST_MAPPING=PRECISE", "FS=MRC", "CURRENCY=USD", "XLFILL=b")</f>
        <v/>
      </c>
      <c r="G453" s="9" t="str">
        <f>_xll.BQL("UAL US Equity", "FA_GROWTH(CF_DISPOSAL_OF_FIXED_PROD_ASSETS, YOY)", "FPT=A", "FPO=3A", "ACT_EST_MAPPING=PRECISE", "FS=MRC", "CURRENCY=USD", "XLFILL=b")</f>
        <v/>
      </c>
      <c r="H453" s="9" t="str">
        <f>_xll.BQL("UAL US Equity", "FA_GROWTH(CF_DISPOSAL_OF_FIXED_PROD_ASSETS, YOY)", "FPT=A", "FPO=2A", "ACT_EST_MAPPING=PRECISE", "FS=MRC", "CURRENCY=USD", "XLFILL=b")</f>
        <v/>
      </c>
      <c r="I453" s="9">
        <f>_xll.BQL("UAL US Equity", "FA_GROWTH(CF_DISPOSAL_OF_FIXED_PROD_ASSETS, YOY)", "FPT=A", "FPO=1A", "ACT_EST_MAPPING=PRECISE", "FS=MRC", "CURRENCY=USD", "XLFILL=b")</f>
        <v>7.6923076923076925</v>
      </c>
      <c r="J453" s="9">
        <f>_xll.BQL("UAL US Equity", "FA_GROWTH(CF_DISPOSAL_OF_FIXED_PROD_ASSETS, YOY)", "FPT=A", "FPO=0A", "ACT_EST_MAPPING=PRECISE", "FS=MRC", "CURRENCY=USD", "XLFILL=b")</f>
        <v>-81.159420289855078</v>
      </c>
      <c r="K453" s="9">
        <f>_xll.BQL("UAL US Equity", "FA_GROWTH(CF_DISPOSAL_OF_FIXED_PROD_ASSETS, YOY)", "FPT=A", "FPO=-1A", "ACT_EST_MAPPING=PRECISE", "FS=MRC", "CURRENCY=USD", "XLFILL=b")</f>
        <v>93.45794392523365</v>
      </c>
      <c r="L453" s="9">
        <f>_xll.BQL("UAL US Equity", "FA_GROWTH(CF_DISPOSAL_OF_FIXED_PROD_ASSETS, YOY)", "FPT=A", "FPO=-2A", "ACT_EST_MAPPING=PRECISE", "FS=MRC", "CURRENCY=USD", "XLFILL=b")</f>
        <v>1683.3333333333333</v>
      </c>
      <c r="M453" s="9">
        <f>_xll.BQL("UAL US Equity", "FA_GROWTH(CF_DISPOSAL_OF_FIXED_PROD_ASSETS, YOY)", "FPT=A", "FPO=-3A", "ACT_EST_MAPPING=PRECISE", "FS=MRC", "CURRENCY=USD", "XLFILL=b")</f>
        <v>-87.755102040816325</v>
      </c>
      <c r="N453" s="9" t="str">
        <f>_xll.BQL("UAL US Equity", "FA_GROWTH(CF_DISPOSAL_OF_FIXED_PROD_ASSETS, YOY)", "FPT=A", "FPO=-4A", "ACT_EST_MAPPING=PRECISE", "FS=MRC", "CURRENCY=USD", "XLFILL=b")</f>
        <v/>
      </c>
    </row>
    <row r="454" spans="1:14" x14ac:dyDescent="0.2">
      <c r="A454" s="8" t="s">
        <v>465</v>
      </c>
      <c r="B454" s="4" t="s">
        <v>466</v>
      </c>
      <c r="C454" s="4"/>
      <c r="D454" s="4"/>
      <c r="E454" s="9" t="str">
        <f>_xll.BQL("UAL US Equity", "CF_NET_CHG_ST_INVEST/1M", "FPT=A", "FPO=5A", "ACT_EST_MAPPING=PRECISE", "FS=MRC", "CURRENCY=USD", "XLFILL=b")</f>
        <v/>
      </c>
      <c r="F454" s="9" t="str">
        <f>_xll.BQL("UAL US Equity", "CF_NET_CHG_ST_INVEST/1M", "FPT=A", "FPO=4A", "ACT_EST_MAPPING=PRECISE", "FS=MRC", "CURRENCY=USD", "XLFILL=b")</f>
        <v/>
      </c>
      <c r="G454" s="9">
        <f>_xll.BQL("UAL US Equity", "CF_NET_CHG_ST_INVEST/1M", "FPT=A", "FPO=3A", "ACT_EST_MAPPING=PRECISE", "FS=MRC", "CURRENCY=USD", "XLFILL=b")</f>
        <v>896.00736056885125</v>
      </c>
      <c r="H454" s="9">
        <f>_xll.BQL("UAL US Equity", "CF_NET_CHG_ST_INVEST/1M", "FPT=A", "FPO=2A", "ACT_EST_MAPPING=PRECISE", "FS=MRC", "CURRENCY=USD", "XLFILL=b")</f>
        <v>1554.5469674714041</v>
      </c>
      <c r="I454" s="9">
        <f>_xll.BQL("UAL US Equity", "CF_NET_CHG_ST_INVEST/1M", "FPT=A", "FPO=1A", "ACT_EST_MAPPING=PRECISE", "FS=MRC", "CURRENCY=USD", "XLFILL=b")</f>
        <v>1872</v>
      </c>
      <c r="J454" s="9">
        <f>_xll.BQL("UAL US Equity", "CF_NET_CHG_ST_INVEST/1M", "FPT=A", "FPO=0A", "ACT_EST_MAPPING=PRECISE", "FS=MRC", "CURRENCY=USD", "XLFILL=b")</f>
        <v>1049</v>
      </c>
      <c r="K454" s="9">
        <f>_xll.BQL("UAL US Equity", "CF_NET_CHG_ST_INVEST/1M", "FPT=A", "FPO=-1A", "ACT_EST_MAPPING=PRECISE", "FS=MRC", "CURRENCY=USD", "XLFILL=b")</f>
        <v>-9148</v>
      </c>
      <c r="L454" s="9">
        <f>_xll.BQL("UAL US Equity", "CF_NET_CHG_ST_INVEST/1M", "FPT=A", "FPO=-2A", "ACT_EST_MAPPING=PRECISE", "FS=MRC", "CURRENCY=USD", "XLFILL=b")</f>
        <v>329</v>
      </c>
      <c r="M454" s="9">
        <f>_xll.BQL("UAL US Equity", "CF_NET_CHG_ST_INVEST/1M", "FPT=A", "FPO=-3A", "ACT_EST_MAPPING=PRECISE", "FS=MRC", "CURRENCY=USD", "XLFILL=b")</f>
        <v>1767</v>
      </c>
      <c r="N454" s="9">
        <f>_xll.BQL("UAL US Equity", "CF_NET_CHG_ST_INVEST/1M", "FPT=A", "FPO=-4A", "ACT_EST_MAPPING=PRECISE", "FS=MRC", "CURRENCY=USD", "XLFILL=b")</f>
        <v>63</v>
      </c>
    </row>
    <row r="455" spans="1:14" x14ac:dyDescent="0.2">
      <c r="A455" s="8" t="s">
        <v>20</v>
      </c>
      <c r="B455" s="4" t="s">
        <v>466</v>
      </c>
      <c r="C455" s="4"/>
      <c r="D455" s="4"/>
      <c r="E455" s="9" t="str">
        <f>_xll.BQL("UAL US Equity", "FA_GROWTH(CF_NET_CHG_ST_INVEST, YOY)", "FPT=A", "FPO=5A", "ACT_EST_MAPPING=PRECISE", "FS=MRC", "CURRENCY=USD", "XLFILL=b")</f>
        <v/>
      </c>
      <c r="F455" s="9" t="str">
        <f>_xll.BQL("UAL US Equity", "FA_GROWTH(CF_NET_CHG_ST_INVEST, YOY)", "FPT=A", "FPO=4A", "ACT_EST_MAPPING=PRECISE", "FS=MRC", "CURRENCY=USD", "XLFILL=b")</f>
        <v/>
      </c>
      <c r="G455" s="9">
        <f>_xll.BQL("UAL US Equity", "FA_GROWTH(CF_NET_CHG_ST_INVEST, YOY)", "FPT=A", "FPO=3A", "ACT_EST_MAPPING=PRECISE", "FS=MRC", "CURRENCY=USD", "XLFILL=b")</f>
        <v>-42.362155707248952</v>
      </c>
      <c r="H455" s="9">
        <f>_xll.BQL("UAL US Equity", "FA_GROWTH(CF_NET_CHG_ST_INVEST, YOY)", "FPT=A", "FPO=2A", "ACT_EST_MAPPING=PRECISE", "FS=MRC", "CURRENCY=USD", "XLFILL=b")</f>
        <v>-16.957961139348072</v>
      </c>
      <c r="I455" s="9">
        <f>_xll.BQL("UAL US Equity", "FA_GROWTH(CF_NET_CHG_ST_INVEST, YOY)", "FPT=A", "FPO=1A", "ACT_EST_MAPPING=PRECISE", "FS=MRC", "CURRENCY=USD", "XLFILL=b")</f>
        <v>78.455672068636801</v>
      </c>
      <c r="J455" s="9">
        <f>_xll.BQL("UAL US Equity", "FA_GROWTH(CF_NET_CHG_ST_INVEST, YOY)", "FPT=A", "FPO=0A", "ACT_EST_MAPPING=PRECISE", "FS=MRC", "CURRENCY=USD", "XLFILL=b")</f>
        <v>111.46698731963271</v>
      </c>
      <c r="K455" s="9">
        <f>_xll.BQL("UAL US Equity", "FA_GROWTH(CF_NET_CHG_ST_INVEST, YOY)", "FPT=A", "FPO=-1A", "ACT_EST_MAPPING=PRECISE", "FS=MRC", "CURRENCY=USD", "XLFILL=b")</f>
        <v>-2880.5471124620062</v>
      </c>
      <c r="L455" s="9">
        <f>_xll.BQL("UAL US Equity", "FA_GROWTH(CF_NET_CHG_ST_INVEST, YOY)", "FPT=A", "FPO=-2A", "ACT_EST_MAPPING=PRECISE", "FS=MRC", "CURRENCY=USD", "XLFILL=b")</f>
        <v>-81.380871533672888</v>
      </c>
      <c r="M455" s="9">
        <f>_xll.BQL("UAL US Equity", "FA_GROWTH(CF_NET_CHG_ST_INVEST, YOY)", "FPT=A", "FPO=-3A", "ACT_EST_MAPPING=PRECISE", "FS=MRC", "CURRENCY=USD", "XLFILL=b")</f>
        <v>2704.7619047619046</v>
      </c>
      <c r="N455" s="9">
        <f>_xll.BQL("UAL US Equity", "FA_GROWTH(CF_NET_CHG_ST_INVEST, YOY)", "FPT=A", "FPO=-4A", "ACT_EST_MAPPING=PRECISE", "FS=MRC", "CURRENCY=USD", "XLFILL=b")</f>
        <v>102.46865203761756</v>
      </c>
    </row>
    <row r="456" spans="1:14" x14ac:dyDescent="0.2">
      <c r="A456" s="8" t="s">
        <v>467</v>
      </c>
      <c r="B456" s="4" t="s">
        <v>468</v>
      </c>
      <c r="C456" s="4" t="s">
        <v>469</v>
      </c>
      <c r="D456" s="4"/>
      <c r="E456" s="9">
        <f>_xll.BQL("UAL US Equity", "CB_CF_NET_CASH_INVESTING_ACT/1M", "FPT=A", "FPO=5A", "ACT_EST_MAPPING=PRECISE", "FS=MRC", "CURRENCY=USD", "XLFILL=b")</f>
        <v>-7750</v>
      </c>
      <c r="F456" s="9">
        <f>_xll.BQL("UAL US Equity", "CB_CF_NET_CASH_INVESTING_ACT/1M", "FPT=A", "FPO=4A", "ACT_EST_MAPPING=PRECISE", "FS=MRC", "CURRENCY=USD", "XLFILL=b")</f>
        <v>-7266.666666666667</v>
      </c>
      <c r="G456" s="9">
        <f>_xll.BQL("UAL US Equity", "CB_CF_NET_CASH_INVESTING_ACT/1M", "FPT=A", "FPO=3A", "ACT_EST_MAPPING=PRECISE", "FS=MRC", "CURRENCY=USD", "XLFILL=b")</f>
        <v>-6933.9987732385252</v>
      </c>
      <c r="H456" s="9">
        <f>_xll.BQL("UAL US Equity", "CB_CF_NET_CASH_INVESTING_ACT/1M", "FPT=A", "FPO=2A", "ACT_EST_MAPPING=PRECISE", "FS=MRC", "CURRENCY=USD", "XLFILL=b")</f>
        <v>-7410.6562294507994</v>
      </c>
      <c r="I456" s="9">
        <f>_xll.BQL("UAL US Equity", "CB_CF_NET_CASH_INVESTING_ACT/1M", "FPT=A", "FPO=1A", "ACT_EST_MAPPING=PRECISE", "FS=MRC", "CURRENCY=USD", "XLFILL=b")</f>
        <v>-3978.125</v>
      </c>
      <c r="J456" s="9">
        <f>_xll.BQL("UAL US Equity", "CB_CF_NET_CASH_INVESTING_ACT/1M", "FPT=A", "FPO=0A", "ACT_EST_MAPPING=PRECISE", "FS=MRC", "CURRENCY=USD", "XLFILL=b")</f>
        <v>-6106</v>
      </c>
      <c r="K456" s="9">
        <f>_xll.BQL("UAL US Equity", "CB_CF_NET_CASH_INVESTING_ACT/1M", "FPT=A", "FPO=-1A", "ACT_EST_MAPPING=PRECISE", "FS=MRC", "CURRENCY=USD", "XLFILL=b")</f>
        <v>-13829</v>
      </c>
      <c r="L456" s="9">
        <f>_xll.BQL("UAL US Equity", "CB_CF_NET_CASH_INVESTING_ACT/1M", "FPT=A", "FPO=-2A", "ACT_EST_MAPPING=PRECISE", "FS=MRC", "CURRENCY=USD", "XLFILL=b")</f>
        <v>-1672</v>
      </c>
      <c r="M456" s="9">
        <f>_xll.BQL("UAL US Equity", "CB_CF_NET_CASH_INVESTING_ACT/1M", "FPT=A", "FPO=-3A", "ACT_EST_MAPPING=PRECISE", "FS=MRC", "CURRENCY=USD", "XLFILL=b")</f>
        <v>50</v>
      </c>
      <c r="N456" s="9">
        <f>_xll.BQL("UAL US Equity", "CB_CF_NET_CASH_INVESTING_ACT/1M", "FPT=A", "FPO=-4A", "ACT_EST_MAPPING=PRECISE", "FS=MRC", "CURRENCY=USD", "XLFILL=b")</f>
        <v>-4560</v>
      </c>
    </row>
    <row r="457" spans="1:14" x14ac:dyDescent="0.2">
      <c r="A457" s="8" t="s">
        <v>12</v>
      </c>
      <c r="B457" s="4" t="s">
        <v>468</v>
      </c>
      <c r="C457" s="4" t="s">
        <v>469</v>
      </c>
      <c r="D457" s="4"/>
      <c r="E457" s="9">
        <f>_xll.BQL("UAL US Equity", "FA_GROWTH(CB_CF_NET_CASH_INVESTING_ACT, YOY)", "FPT=A", "FPO=5A", "ACT_EST_MAPPING=PRECISE", "FS=MRC", "CURRENCY=USD", "XLFILL=b")</f>
        <v>-6.6513761467889854</v>
      </c>
      <c r="F457" s="9">
        <f>_xll.BQL("UAL US Equity", "FA_GROWTH(CB_CF_NET_CASH_INVESTING_ACT, YOY)", "FPT=A", "FPO=4A", "ACT_EST_MAPPING=PRECISE", "FS=MRC", "CURRENCY=USD", "XLFILL=b")</f>
        <v>-4.7976341546534336</v>
      </c>
      <c r="G457" s="9">
        <f>_xll.BQL("UAL US Equity", "FA_GROWTH(CB_CF_NET_CASH_INVESTING_ACT, YOY)", "FPT=A", "FPO=3A", "ACT_EST_MAPPING=PRECISE", "FS=MRC", "CURRENCY=USD", "XLFILL=b")</f>
        <v>6.4320546177541216</v>
      </c>
      <c r="H457" s="9">
        <f>_xll.BQL("UAL US Equity", "FA_GROWTH(CB_CF_NET_CASH_INVESTING_ACT, YOY)", "FPT=A", "FPO=2A", "ACT_EST_MAPPING=PRECISE", "FS=MRC", "CURRENCY=USD", "XLFILL=b")</f>
        <v>-86.285152664906178</v>
      </c>
      <c r="I457" s="9">
        <f>_xll.BQL("UAL US Equity", "FA_GROWTH(CB_CF_NET_CASH_INVESTING_ACT, YOY)", "FPT=A", "FPO=1A", "ACT_EST_MAPPING=PRECISE", "FS=MRC", "CURRENCY=USD", "XLFILL=b")</f>
        <v>34.848919095971176</v>
      </c>
      <c r="J457" s="9">
        <f>_xll.BQL("UAL US Equity", "FA_GROWTH(CB_CF_NET_CASH_INVESTING_ACT, YOY)", "FPT=A", "FPO=0A", "ACT_EST_MAPPING=PRECISE", "FS=MRC", "CURRENCY=USD", "XLFILL=b")</f>
        <v>55.846409718707065</v>
      </c>
      <c r="K457" s="9">
        <f>_xll.BQL("UAL US Equity", "FA_GROWTH(CB_CF_NET_CASH_INVESTING_ACT, YOY)", "FPT=A", "FPO=-1A", "ACT_EST_MAPPING=PRECISE", "FS=MRC", "CURRENCY=USD", "XLFILL=b")</f>
        <v>-727.09330143540672</v>
      </c>
      <c r="L457" s="9">
        <f>_xll.BQL("UAL US Equity", "FA_GROWTH(CB_CF_NET_CASH_INVESTING_ACT, YOY)", "FPT=A", "FPO=-2A", "ACT_EST_MAPPING=PRECISE", "FS=MRC", "CURRENCY=USD", "XLFILL=b")</f>
        <v>-3444</v>
      </c>
      <c r="M457" s="9">
        <f>_xll.BQL("UAL US Equity", "FA_GROWTH(CB_CF_NET_CASH_INVESTING_ACT, YOY)", "FPT=A", "FPO=-3A", "ACT_EST_MAPPING=PRECISE", "FS=MRC", "CURRENCY=USD", "XLFILL=b")</f>
        <v>101.09649122807018</v>
      </c>
      <c r="N457" s="9">
        <f>_xll.BQL("UAL US Equity", "FA_GROWTH(CB_CF_NET_CASH_INVESTING_ACT, YOY)", "FPT=A", "FPO=-4A", "ACT_EST_MAPPING=PRECISE", "FS=MRC", "CURRENCY=USD", "XLFILL=b")</f>
        <v>-2.3569023569023568</v>
      </c>
    </row>
    <row r="458" spans="1:14" x14ac:dyDescent="0.2">
      <c r="A458" s="8" t="s">
        <v>16</v>
      </c>
      <c r="B458" s="4"/>
      <c r="C458" s="4"/>
      <c r="D458" s="4"/>
      <c r="E458" s="9"/>
      <c r="F458" s="9"/>
      <c r="G458" s="9"/>
      <c r="H458" s="9"/>
      <c r="I458" s="9"/>
      <c r="J458" s="9"/>
      <c r="K458" s="9"/>
      <c r="L458" s="9"/>
      <c r="M458" s="9"/>
      <c r="N458" s="9"/>
    </row>
    <row r="459" spans="1:14" x14ac:dyDescent="0.2">
      <c r="A459" s="8" t="s">
        <v>470</v>
      </c>
      <c r="B459" s="4"/>
      <c r="C459" s="4" t="s">
        <v>471</v>
      </c>
      <c r="D459" s="4"/>
      <c r="E459" s="9"/>
      <c r="F459" s="9"/>
      <c r="G459" s="9"/>
      <c r="H459" s="9"/>
      <c r="I459" s="9"/>
      <c r="J459" s="9"/>
      <c r="K459" s="9"/>
      <c r="L459" s="9"/>
      <c r="M459" s="9"/>
      <c r="N459" s="9"/>
    </row>
    <row r="460" spans="1:14" x14ac:dyDescent="0.2">
      <c r="A460" s="8" t="s">
        <v>472</v>
      </c>
      <c r="B460" s="4" t="s">
        <v>473</v>
      </c>
      <c r="C460" s="4" t="s">
        <v>474</v>
      </c>
      <c r="D460" s="4"/>
      <c r="E460" s="9">
        <f>_xll.BQL("UAL US Equity", "CB_CF_INCREASE_IN_LT_BORROWINGS/1M", "FPT=A", "FPO=5A", "ACT_EST_MAPPING=PRECISE", "FS=MRC", "CURRENCY=USD", "XLFILL=b")</f>
        <v>2000</v>
      </c>
      <c r="F460" s="9">
        <f>_xll.BQL("UAL US Equity", "CB_CF_INCREASE_IN_LT_BORROWINGS/1M", "FPT=A", "FPO=4A", "ACT_EST_MAPPING=PRECISE", "FS=MRC", "CURRENCY=USD", "XLFILL=b")</f>
        <v>200</v>
      </c>
      <c r="G460" s="9">
        <f>_xll.BQL("UAL US Equity", "CB_CF_INCREASE_IN_LT_BORROWINGS/1M", "FPT=A", "FPO=3A", "ACT_EST_MAPPING=PRECISE", "FS=MRC", "CURRENCY=USD", "XLFILL=b")</f>
        <v>2850.4166666666665</v>
      </c>
      <c r="H460" s="9">
        <f>_xll.BQL("UAL US Equity", "CB_CF_INCREASE_IN_LT_BORROWINGS/1M", "FPT=A", "FPO=2A", "ACT_EST_MAPPING=PRECISE", "FS=MRC", "CURRENCY=USD", "XLFILL=b")</f>
        <v>4076.25</v>
      </c>
      <c r="I460" s="9">
        <f>_xll.BQL("UAL US Equity", "CB_CF_INCREASE_IN_LT_BORROWINGS/1M", "FPT=A", "FPO=1A", "ACT_EST_MAPPING=PRECISE", "FS=MRC", "CURRENCY=USD", "XLFILL=b")</f>
        <v>4775.625</v>
      </c>
      <c r="J460" s="9">
        <f>_xll.BQL("UAL US Equity", "CB_CF_INCREASE_IN_LT_BORROWINGS/1M", "FPT=A", "FPO=0A", "ACT_EST_MAPPING=PRECISE", "FS=MRC", "CURRENCY=USD", "XLFILL=b")</f>
        <v>2388</v>
      </c>
      <c r="K460" s="9">
        <f>_xll.BQL("UAL US Equity", "CB_CF_INCREASE_IN_LT_BORROWINGS/1M", "FPT=A", "FPO=-1A", "ACT_EST_MAPPING=PRECISE", "FS=MRC", "CURRENCY=USD", "XLFILL=b")</f>
        <v>736</v>
      </c>
      <c r="L460" s="9">
        <f>_xll.BQL("UAL US Equity", "CB_CF_INCREASE_IN_LT_BORROWINGS/1M", "FPT=A", "FPO=-2A", "ACT_EST_MAPPING=PRECISE", "FS=MRC", "CURRENCY=USD", "XLFILL=b")</f>
        <v>11096</v>
      </c>
      <c r="M460" s="9">
        <f>_xll.BQL("UAL US Equity", "CB_CF_INCREASE_IN_LT_BORROWINGS/1M", "FPT=A", "FPO=-3A", "ACT_EST_MAPPING=PRECISE", "FS=MRC", "CURRENCY=USD", "XLFILL=b")</f>
        <v>15676</v>
      </c>
      <c r="N460" s="9">
        <f>_xll.BQL("UAL US Equity", "CB_CF_INCREASE_IN_LT_BORROWINGS/1M", "FPT=A", "FPO=-4A", "ACT_EST_MAPPING=PRECISE", "FS=MRC", "CURRENCY=USD", "XLFILL=b")</f>
        <v>1786</v>
      </c>
    </row>
    <row r="461" spans="1:14" x14ac:dyDescent="0.2">
      <c r="A461" s="8" t="s">
        <v>20</v>
      </c>
      <c r="B461" s="4" t="s">
        <v>473</v>
      </c>
      <c r="C461" s="4" t="s">
        <v>474</v>
      </c>
      <c r="D461" s="4"/>
      <c r="E461" s="9">
        <f>_xll.BQL("UAL US Equity", "FA_GROWTH(CB_CF_INCREASE_IN_LT_BORROWINGS, YOY)", "FPT=A", "FPO=5A", "ACT_EST_MAPPING=PRECISE", "FS=MRC", "CURRENCY=USD", "XLFILL=b")</f>
        <v>900</v>
      </c>
      <c r="F461" s="9">
        <f>_xll.BQL("UAL US Equity", "FA_GROWTH(CB_CF_INCREASE_IN_LT_BORROWINGS, YOY)", "FPT=A", "FPO=4A", "ACT_EST_MAPPING=PRECISE", "FS=MRC", "CURRENCY=USD", "XLFILL=b")</f>
        <v>-92.98348194708376</v>
      </c>
      <c r="G461" s="9">
        <f>_xll.BQL("UAL US Equity", "FA_GROWTH(CB_CF_INCREASE_IN_LT_BORROWINGS, YOY)", "FPT=A", "FPO=3A", "ACT_EST_MAPPING=PRECISE", "FS=MRC", "CURRENCY=USD", "XLFILL=b")</f>
        <v>-30.072574874782788</v>
      </c>
      <c r="H461" s="9">
        <f>_xll.BQL("UAL US Equity", "FA_GROWTH(CB_CF_INCREASE_IN_LT_BORROWINGS, YOY)", "FPT=A", "FPO=2A", "ACT_EST_MAPPING=PRECISE", "FS=MRC", "CURRENCY=USD", "XLFILL=b")</f>
        <v>-14.644680015704751</v>
      </c>
      <c r="I461" s="9">
        <f>_xll.BQL("UAL US Equity", "FA_GROWTH(CB_CF_INCREASE_IN_LT_BORROWINGS, YOY)", "FPT=A", "FPO=1A", "ACT_EST_MAPPING=PRECISE", "FS=MRC", "CURRENCY=USD", "XLFILL=b")</f>
        <v>99.984296482412063</v>
      </c>
      <c r="J461" s="9">
        <f>_xll.BQL("UAL US Equity", "FA_GROWTH(CB_CF_INCREASE_IN_LT_BORROWINGS, YOY)", "FPT=A", "FPO=0A", "ACT_EST_MAPPING=PRECISE", "FS=MRC", "CURRENCY=USD", "XLFILL=b")</f>
        <v>224.45652173913044</v>
      </c>
      <c r="K461" s="9">
        <f>_xll.BQL("UAL US Equity", "FA_GROWTH(CB_CF_INCREASE_IN_LT_BORROWINGS, YOY)", "FPT=A", "FPO=-1A", "ACT_EST_MAPPING=PRECISE", "FS=MRC", "CURRENCY=USD", "XLFILL=b")</f>
        <v>-93.366979091564531</v>
      </c>
      <c r="L461" s="9">
        <f>_xll.BQL("UAL US Equity", "FA_GROWTH(CB_CF_INCREASE_IN_LT_BORROWINGS, YOY)", "FPT=A", "FPO=-2A", "ACT_EST_MAPPING=PRECISE", "FS=MRC", "CURRENCY=USD", "XLFILL=b")</f>
        <v>-29.216636897167646</v>
      </c>
      <c r="M461" s="9">
        <f>_xll.BQL("UAL US Equity", "FA_GROWTH(CB_CF_INCREASE_IN_LT_BORROWINGS, YOY)", "FPT=A", "FPO=-3A", "ACT_EST_MAPPING=PRECISE", "FS=MRC", "CURRENCY=USD", "XLFILL=b")</f>
        <v>777.71556550951846</v>
      </c>
      <c r="N461" s="9">
        <f>_xll.BQL("UAL US Equity", "FA_GROWTH(CB_CF_INCREASE_IN_LT_BORROWINGS, YOY)", "FPT=A", "FPO=-4A", "ACT_EST_MAPPING=PRECISE", "FS=MRC", "CURRENCY=USD", "XLFILL=b")</f>
        <v>12.045169385194479</v>
      </c>
    </row>
    <row r="462" spans="1:14" x14ac:dyDescent="0.2">
      <c r="A462" s="8" t="s">
        <v>475</v>
      </c>
      <c r="B462" s="4" t="s">
        <v>476</v>
      </c>
      <c r="C462" s="4"/>
      <c r="D462" s="4"/>
      <c r="E462" s="9">
        <f>_xll.BQL("UAL US Equity", "CB_CF_REPAYMENT_LT_DEBT/1M", "FPT=A", "FPO=5A", "ACT_EST_MAPPING=PRECISE", "FS=MRC", "CURRENCY=USD", "XLFILL=b")</f>
        <v>-5394.28</v>
      </c>
      <c r="F462" s="9">
        <f>_xll.BQL("UAL US Equity", "CB_CF_REPAYMENT_LT_DEBT/1M", "FPT=A", "FPO=4A", "ACT_EST_MAPPING=PRECISE", "FS=MRC", "CURRENCY=USD", "XLFILL=b")</f>
        <v>-2962.5</v>
      </c>
      <c r="G462" s="9">
        <f>_xll.BQL("UAL US Equity", "CB_CF_REPAYMENT_LT_DEBT/1M", "FPT=A", "FPO=3A", "ACT_EST_MAPPING=PRECISE", "FS=MRC", "CURRENCY=USD", "XLFILL=b")</f>
        <v>-4544.5</v>
      </c>
      <c r="H462" s="9">
        <f>_xll.BQL("UAL US Equity", "CB_CF_REPAYMENT_LT_DEBT/1M", "FPT=A", "FPO=2A", "ACT_EST_MAPPING=PRECISE", "FS=MRC", "CURRENCY=USD", "XLFILL=b")</f>
        <v>-3318.125</v>
      </c>
      <c r="I462" s="9">
        <f>_xll.BQL("UAL US Equity", "CB_CF_REPAYMENT_LT_DEBT/1M", "FPT=A", "FPO=1A", "ACT_EST_MAPPING=PRECISE", "FS=MRC", "CURRENCY=USD", "XLFILL=b")</f>
        <v>-8304.1875</v>
      </c>
      <c r="J462" s="9">
        <f>_xll.BQL("UAL US Equity", "CB_CF_REPAYMENT_LT_DEBT/1M", "FPT=A", "FPO=0A", "ACT_EST_MAPPING=PRECISE", "FS=MRC", "CURRENCY=USD", "XLFILL=b")</f>
        <v>-4248</v>
      </c>
      <c r="K462" s="9">
        <f>_xll.BQL("UAL US Equity", "CB_CF_REPAYMENT_LT_DEBT/1M", "FPT=A", "FPO=-1A", "ACT_EST_MAPPING=PRECISE", "FS=MRC", "CURRENCY=USD", "XLFILL=b")</f>
        <v>-4011</v>
      </c>
      <c r="L462" s="9">
        <f>_xll.BQL("UAL US Equity", "CB_CF_REPAYMENT_LT_DEBT/1M", "FPT=A", "FPO=-2A", "ACT_EST_MAPPING=PRECISE", "FS=MRC", "CURRENCY=USD", "XLFILL=b")</f>
        <v>-5205</v>
      </c>
      <c r="M462" s="9">
        <f>_xll.BQL("UAL US Equity", "CB_CF_REPAYMENT_LT_DEBT/1M", "FPT=A", "FPO=-3A", "ACT_EST_MAPPING=PRECISE", "FS=MRC", "CURRENCY=USD", "XLFILL=b")</f>
        <v>-4449</v>
      </c>
      <c r="N462" s="9">
        <f>_xll.BQL("UAL US Equity", "CB_CF_REPAYMENT_LT_DEBT/1M", "FPT=A", "FPO=-4A", "ACT_EST_MAPPING=PRECISE", "FS=MRC", "CURRENCY=USD", "XLFILL=b")</f>
        <v>-1391</v>
      </c>
    </row>
    <row r="463" spans="1:14" x14ac:dyDescent="0.2">
      <c r="A463" s="8" t="s">
        <v>20</v>
      </c>
      <c r="B463" s="4" t="s">
        <v>476</v>
      </c>
      <c r="C463" s="4"/>
      <c r="D463" s="4"/>
      <c r="E463" s="9">
        <f>_xll.BQL("UAL US Equity", "FA_GROWTH(CB_CF_REPAYMENT_LT_DEBT, YOY)", "FPT=A", "FPO=5A", "ACT_EST_MAPPING=PRECISE", "FS=MRC", "CURRENCY=USD", "XLFILL=b")</f>
        <v>-82.085400843881857</v>
      </c>
      <c r="F463" s="9">
        <f>_xll.BQL("UAL US Equity", "FA_GROWTH(CB_CF_REPAYMENT_LT_DEBT, YOY)", "FPT=A", "FPO=4A", "ACT_EST_MAPPING=PRECISE", "FS=MRC", "CURRENCY=USD", "XLFILL=b")</f>
        <v>34.811310375178785</v>
      </c>
      <c r="G463" s="9">
        <f>_xll.BQL("UAL US Equity", "FA_GROWTH(CB_CF_REPAYMENT_LT_DEBT, YOY)", "FPT=A", "FPO=3A", "ACT_EST_MAPPING=PRECISE", "FS=MRC", "CURRENCY=USD", "XLFILL=b")</f>
        <v>-36.959879449990581</v>
      </c>
      <c r="H463" s="9">
        <f>_xll.BQL("UAL US Equity", "FA_GROWTH(CB_CF_REPAYMENT_LT_DEBT, YOY)", "FPT=A", "FPO=2A", "ACT_EST_MAPPING=PRECISE", "FS=MRC", "CURRENCY=USD", "XLFILL=b")</f>
        <v>60.04274951643373</v>
      </c>
      <c r="I463" s="9">
        <f>_xll.BQL("UAL US Equity", "FA_GROWTH(CB_CF_REPAYMENT_LT_DEBT, YOY)", "FPT=A", "FPO=1A", "ACT_EST_MAPPING=PRECISE", "FS=MRC", "CURRENCY=USD", "XLFILL=b")</f>
        <v>-95.48463983050847</v>
      </c>
      <c r="J463" s="9">
        <f>_xll.BQL("UAL US Equity", "FA_GROWTH(CB_CF_REPAYMENT_LT_DEBT, YOY)", "FPT=A", "FPO=0A", "ACT_EST_MAPPING=PRECISE", "FS=MRC", "CURRENCY=USD", "XLFILL=b")</f>
        <v>-5.9087509349289453</v>
      </c>
      <c r="K463" s="9">
        <f>_xll.BQL("UAL US Equity", "FA_GROWTH(CB_CF_REPAYMENT_LT_DEBT, YOY)", "FPT=A", "FPO=-1A", "ACT_EST_MAPPING=PRECISE", "FS=MRC", "CURRENCY=USD", "XLFILL=b")</f>
        <v>22.939481268011527</v>
      </c>
      <c r="L463" s="9">
        <f>_xll.BQL("UAL US Equity", "FA_GROWTH(CB_CF_REPAYMENT_LT_DEBT, YOY)", "FPT=A", "FPO=-2A", "ACT_EST_MAPPING=PRECISE", "FS=MRC", "CURRENCY=USD", "XLFILL=b")</f>
        <v>-16.992582602832098</v>
      </c>
      <c r="M463" s="9">
        <f>_xll.BQL("UAL US Equity", "FA_GROWTH(CB_CF_REPAYMENT_LT_DEBT, YOY)", "FPT=A", "FPO=-3A", "ACT_EST_MAPPING=PRECISE", "FS=MRC", "CURRENCY=USD", "XLFILL=b")</f>
        <v>-219.84184040258808</v>
      </c>
      <c r="N463" s="9">
        <f>_xll.BQL("UAL US Equity", "FA_GROWTH(CB_CF_REPAYMENT_LT_DEBT, YOY)", "FPT=A", "FPO=-4A", "ACT_EST_MAPPING=PRECISE", "FS=MRC", "CURRENCY=USD", "XLFILL=b")</f>
        <v>19.455703532136653</v>
      </c>
    </row>
    <row r="464" spans="1:14" x14ac:dyDescent="0.2">
      <c r="A464" s="8" t="s">
        <v>477</v>
      </c>
      <c r="B464" s="4" t="s">
        <v>478</v>
      </c>
      <c r="C464" s="4" t="s">
        <v>479</v>
      </c>
      <c r="D464" s="4"/>
      <c r="E464" s="9">
        <f>_xll.BQL("UAL US Equity", "CF_PROCEEDS_REPAYMNTS_BORROWINGS/1M", "FPT=A", "FPO=5A", "ACT_EST_MAPPING=PRECISE", "FS=MRC", "CURRENCY=USD", "XLFILL=b")</f>
        <v>-3000</v>
      </c>
      <c r="F464" s="9">
        <f>_xll.BQL("UAL US Equity", "CF_PROCEEDS_REPAYMNTS_BORROWINGS/1M", "FPT=A", "FPO=4A", "ACT_EST_MAPPING=PRECISE", "FS=MRC", "CURRENCY=USD", "XLFILL=b")</f>
        <v>-3000</v>
      </c>
      <c r="G464" s="9">
        <f>_xll.BQL("UAL US Equity", "CF_PROCEEDS_REPAYMNTS_BORROWINGS/1M", "FPT=A", "FPO=3A", "ACT_EST_MAPPING=PRECISE", "FS=MRC", "CURRENCY=USD", "XLFILL=b")</f>
        <v>-2235.75</v>
      </c>
      <c r="H464" s="9">
        <f>_xll.BQL("UAL US Equity", "CF_PROCEEDS_REPAYMNTS_BORROWINGS/1M", "FPT=A", "FPO=2A", "ACT_EST_MAPPING=PRECISE", "FS=MRC", "CURRENCY=USD", "XLFILL=b")</f>
        <v>-3000</v>
      </c>
      <c r="I464" s="9">
        <f>_xll.BQL("UAL US Equity", "CF_PROCEEDS_REPAYMNTS_BORROWINGS/1M", "FPT=A", "FPO=1A", "ACT_EST_MAPPING=PRECISE", "FS=MRC", "CURRENCY=USD", "XLFILL=b")</f>
        <v>-3873</v>
      </c>
      <c r="J464" s="9">
        <f>_xll.BQL("UAL US Equity", "CF_PROCEEDS_REPAYMNTS_BORROWINGS/1M", "FPT=A", "FPO=0A", "ACT_EST_MAPPING=PRECISE", "FS=MRC", "CURRENCY=USD", "XLFILL=b")</f>
        <v>-1860</v>
      </c>
      <c r="K464" s="9">
        <f>_xll.BQL("UAL US Equity", "CF_PROCEEDS_REPAYMNTS_BORROWINGS/1M", "FPT=A", "FPO=-1A", "ACT_EST_MAPPING=PRECISE", "FS=MRC", "CURRENCY=USD", "XLFILL=b")</f>
        <v>-3275</v>
      </c>
      <c r="L464" s="9">
        <f>_xll.BQL("UAL US Equity", "CF_PROCEEDS_REPAYMNTS_BORROWINGS/1M", "FPT=A", "FPO=-2A", "ACT_EST_MAPPING=PRECISE", "FS=MRC", "CURRENCY=USD", "XLFILL=b")</f>
        <v>5891</v>
      </c>
      <c r="M464" s="9">
        <f>_xll.BQL("UAL US Equity", "CF_PROCEEDS_REPAYMNTS_BORROWINGS/1M", "FPT=A", "FPO=-3A", "ACT_EST_MAPPING=PRECISE", "FS=MRC", "CURRENCY=USD", "XLFILL=b")</f>
        <v>11227</v>
      </c>
      <c r="N464" s="9">
        <f>_xll.BQL("UAL US Equity", "CF_PROCEEDS_REPAYMNTS_BORROWINGS/1M", "FPT=A", "FPO=-4A", "ACT_EST_MAPPING=PRECISE", "FS=MRC", "CURRENCY=USD", "XLFILL=b")</f>
        <v>395</v>
      </c>
    </row>
    <row r="465" spans="1:14" x14ac:dyDescent="0.2">
      <c r="A465" s="8" t="s">
        <v>20</v>
      </c>
      <c r="B465" s="4" t="s">
        <v>478</v>
      </c>
      <c r="C465" s="4" t="s">
        <v>479</v>
      </c>
      <c r="D465" s="4"/>
      <c r="E465" s="9">
        <f>_xll.BQL("UAL US Equity", "FA_GROWTH(CF_PROCEEDS_REPAYMNTS_BORROWINGS, YOY)", "FPT=A", "FPO=5A", "ACT_EST_MAPPING=PRECISE", "FS=MRC", "CURRENCY=USD", "XLFILL=b")</f>
        <v>0</v>
      </c>
      <c r="F465" s="9">
        <f>_xll.BQL("UAL US Equity", "FA_GROWTH(CF_PROCEEDS_REPAYMNTS_BORROWINGS, YOY)", "FPT=A", "FPO=4A", "ACT_EST_MAPPING=PRECISE", "FS=MRC", "CURRENCY=USD", "XLFILL=b")</f>
        <v>-34.183160013418316</v>
      </c>
      <c r="G465" s="9">
        <f>_xll.BQL("UAL US Equity", "FA_GROWTH(CF_PROCEEDS_REPAYMNTS_BORROWINGS, YOY)", "FPT=A", "FPO=3A", "ACT_EST_MAPPING=PRECISE", "FS=MRC", "CURRENCY=USD", "XLFILL=b")</f>
        <v>25.475000000000001</v>
      </c>
      <c r="H465" s="9">
        <f>_xll.BQL("UAL US Equity", "FA_GROWTH(CF_PROCEEDS_REPAYMNTS_BORROWINGS, YOY)", "FPT=A", "FPO=2A", "ACT_EST_MAPPING=PRECISE", "FS=MRC", "CURRENCY=USD", "XLFILL=b")</f>
        <v>22.540666150271107</v>
      </c>
      <c r="I465" s="9">
        <f>_xll.BQL("UAL US Equity", "FA_GROWTH(CF_PROCEEDS_REPAYMNTS_BORROWINGS, YOY)", "FPT=A", "FPO=1A", "ACT_EST_MAPPING=PRECISE", "FS=MRC", "CURRENCY=USD", "XLFILL=b")</f>
        <v>-108.2258064516129</v>
      </c>
      <c r="J465" s="9">
        <f>_xll.BQL("UAL US Equity", "FA_GROWTH(CF_PROCEEDS_REPAYMNTS_BORROWINGS, YOY)", "FPT=A", "FPO=0A", "ACT_EST_MAPPING=PRECISE", "FS=MRC", "CURRENCY=USD", "XLFILL=b")</f>
        <v>43.206106870229007</v>
      </c>
      <c r="K465" s="9">
        <f>_xll.BQL("UAL US Equity", "FA_GROWTH(CF_PROCEEDS_REPAYMNTS_BORROWINGS, YOY)", "FPT=A", "FPO=-1A", "ACT_EST_MAPPING=PRECISE", "FS=MRC", "CURRENCY=USD", "XLFILL=b")</f>
        <v>-155.59327788151418</v>
      </c>
      <c r="L465" s="9">
        <f>_xll.BQL("UAL US Equity", "FA_GROWTH(CF_PROCEEDS_REPAYMNTS_BORROWINGS, YOY)", "FPT=A", "FPO=-2A", "ACT_EST_MAPPING=PRECISE", "FS=MRC", "CURRENCY=USD", "XLFILL=b")</f>
        <v>-47.528280039191237</v>
      </c>
      <c r="M465" s="9">
        <f>_xll.BQL("UAL US Equity", "FA_GROWTH(CF_PROCEEDS_REPAYMNTS_BORROWINGS, YOY)", "FPT=A", "FPO=-3A", "ACT_EST_MAPPING=PRECISE", "FS=MRC", "CURRENCY=USD", "XLFILL=b")</f>
        <v>2742.2784810126582</v>
      </c>
      <c r="N465" s="9">
        <f>_xll.BQL("UAL US Equity", "FA_GROWTH(CF_PROCEEDS_REPAYMNTS_BORROWINGS, YOY)", "FPT=A", "FPO=-4A", "ACT_EST_MAPPING=PRECISE", "FS=MRC", "CURRENCY=USD", "XLFILL=b")</f>
        <v>286.32075471698113</v>
      </c>
    </row>
    <row r="466" spans="1:14" x14ac:dyDescent="0.2">
      <c r="A466" s="8" t="s">
        <v>480</v>
      </c>
      <c r="B466" s="4" t="s">
        <v>481</v>
      </c>
      <c r="C466" s="4" t="s">
        <v>482</v>
      </c>
      <c r="D466" s="4"/>
      <c r="E466" s="9" t="str">
        <f>_xll.BQL("UAL US Equity", "CF_DECR_CAP_STOCK/1M", "FPT=A", "FPO=5A", "ACT_EST_MAPPING=PRECISE", "FS=MRC", "CURRENCY=USD", "XLFILL=b")</f>
        <v/>
      </c>
      <c r="F466" s="9" t="str">
        <f>_xll.BQL("UAL US Equity", "CF_DECR_CAP_STOCK/1M", "FPT=A", "FPO=4A", "ACT_EST_MAPPING=PRECISE", "FS=MRC", "CURRENCY=USD", "XLFILL=b")</f>
        <v/>
      </c>
      <c r="G466" s="9" t="str">
        <f>_xll.BQL("UAL US Equity", "CF_DECR_CAP_STOCK/1M", "FPT=A", "FPO=3A", "ACT_EST_MAPPING=PRECISE", "FS=MRC", "CURRENCY=USD", "XLFILL=b")</f>
        <v/>
      </c>
      <c r="H466" s="9">
        <f>_xll.BQL("UAL US Equity", "CF_DECR_CAP_STOCK/1M", "FPT=A", "FPO=2A", "ACT_EST_MAPPING=PRECISE", "FS=MRC", "CURRENCY=USD", "XLFILL=b")</f>
        <v>2000</v>
      </c>
      <c r="I466" s="9" t="str">
        <f>_xll.BQL("UAL US Equity", "CF_DECR_CAP_STOCK/1M", "FPT=A", "FPO=1A", "ACT_EST_MAPPING=PRECISE", "FS=MRC", "CURRENCY=USD", "XLFILL=b")</f>
        <v/>
      </c>
      <c r="J466" s="9">
        <f>_xll.BQL("UAL US Equity", "CF_DECR_CAP_STOCK/1M", "FPT=A", "FPO=0A", "ACT_EST_MAPPING=PRECISE", "FS=MRC", "CURRENCY=USD", "XLFILL=b")</f>
        <v>0</v>
      </c>
      <c r="K466" s="9">
        <f>_xll.BQL("UAL US Equity", "CF_DECR_CAP_STOCK/1M", "FPT=A", "FPO=-1A", "ACT_EST_MAPPING=PRECISE", "FS=MRC", "CURRENCY=USD", "XLFILL=b")</f>
        <v>0</v>
      </c>
      <c r="L466" s="9">
        <f>_xll.BQL("UAL US Equity", "CF_DECR_CAP_STOCK/1M", "FPT=A", "FPO=-2A", "ACT_EST_MAPPING=PRECISE", "FS=MRC", "CURRENCY=USD", "XLFILL=b")</f>
        <v>0</v>
      </c>
      <c r="M466" s="9">
        <f>_xll.BQL("UAL US Equity", "CF_DECR_CAP_STOCK/1M", "FPT=A", "FPO=-3A", "ACT_EST_MAPPING=PRECISE", "FS=MRC", "CURRENCY=USD", "XLFILL=b")</f>
        <v>-353</v>
      </c>
      <c r="N466" s="9">
        <f>_xll.BQL("UAL US Equity", "CF_DECR_CAP_STOCK/1M", "FPT=A", "FPO=-4A", "ACT_EST_MAPPING=PRECISE", "FS=MRC", "CURRENCY=USD", "XLFILL=b")</f>
        <v>-1645</v>
      </c>
    </row>
    <row r="467" spans="1:14" x14ac:dyDescent="0.2">
      <c r="A467" s="8" t="s">
        <v>20</v>
      </c>
      <c r="B467" s="4" t="s">
        <v>481</v>
      </c>
      <c r="C467" s="4" t="s">
        <v>482</v>
      </c>
      <c r="D467" s="4"/>
      <c r="E467" s="9" t="str">
        <f>_xll.BQL("UAL US Equity", "FA_GROWTH(CF_DECR_CAP_STOCK, YOY)", "FPT=A", "FPO=5A", "ACT_EST_MAPPING=PRECISE", "FS=MRC", "CURRENCY=USD", "XLFILL=b")</f>
        <v/>
      </c>
      <c r="F467" s="9" t="str">
        <f>_xll.BQL("UAL US Equity", "FA_GROWTH(CF_DECR_CAP_STOCK, YOY)", "FPT=A", "FPO=4A", "ACT_EST_MAPPING=PRECISE", "FS=MRC", "CURRENCY=USD", "XLFILL=b")</f>
        <v/>
      </c>
      <c r="G467" s="9" t="str">
        <f>_xll.BQL("UAL US Equity", "FA_GROWTH(CF_DECR_CAP_STOCK, YOY)", "FPT=A", "FPO=3A", "ACT_EST_MAPPING=PRECISE", "FS=MRC", "CURRENCY=USD", "XLFILL=b")</f>
        <v/>
      </c>
      <c r="H467" s="9" t="str">
        <f>_xll.BQL("UAL US Equity", "FA_GROWTH(CF_DECR_CAP_STOCK, YOY)", "FPT=A", "FPO=2A", "ACT_EST_MAPPING=PRECISE", "FS=MRC", "CURRENCY=USD", "XLFILL=b")</f>
        <v/>
      </c>
      <c r="I467" s="9" t="str">
        <f>_xll.BQL("UAL US Equity", "FA_GROWTH(CF_DECR_CAP_STOCK, YOY)", "FPT=A", "FPO=1A", "ACT_EST_MAPPING=PRECISE", "FS=MRC", "CURRENCY=USD", "XLFILL=b")</f>
        <v/>
      </c>
      <c r="J467" s="9" t="str">
        <f>_xll.BQL("UAL US Equity", "FA_GROWTH(CF_DECR_CAP_STOCK, YOY)", "FPT=A", "FPO=0A", "ACT_EST_MAPPING=PRECISE", "FS=MRC", "CURRENCY=USD", "XLFILL=b")</f>
        <v/>
      </c>
      <c r="K467" s="9" t="str">
        <f>_xll.BQL("UAL US Equity", "FA_GROWTH(CF_DECR_CAP_STOCK, YOY)", "FPT=A", "FPO=-1A", "ACT_EST_MAPPING=PRECISE", "FS=MRC", "CURRENCY=USD", "XLFILL=b")</f>
        <v/>
      </c>
      <c r="L467" s="9">
        <f>_xll.BQL("UAL US Equity", "FA_GROWTH(CF_DECR_CAP_STOCK, YOY)", "FPT=A", "FPO=-2A", "ACT_EST_MAPPING=PRECISE", "FS=MRC", "CURRENCY=USD", "XLFILL=b")</f>
        <v>100</v>
      </c>
      <c r="M467" s="9">
        <f>_xll.BQL("UAL US Equity", "FA_GROWTH(CF_DECR_CAP_STOCK, YOY)", "FPT=A", "FPO=-3A", "ACT_EST_MAPPING=PRECISE", "FS=MRC", "CURRENCY=USD", "XLFILL=b")</f>
        <v>78.541033434650458</v>
      </c>
      <c r="N467" s="9">
        <f>_xll.BQL("UAL US Equity", "FA_GROWTH(CF_DECR_CAP_STOCK, YOY)", "FPT=A", "FPO=-4A", "ACT_EST_MAPPING=PRECISE", "FS=MRC", "CURRENCY=USD", "XLFILL=b")</f>
        <v>-33.198380566801617</v>
      </c>
    </row>
    <row r="468" spans="1:14" x14ac:dyDescent="0.2">
      <c r="A468" s="8" t="s">
        <v>24</v>
      </c>
      <c r="B468" s="4" t="s">
        <v>483</v>
      </c>
      <c r="C468" s="4"/>
      <c r="D468" s="4"/>
      <c r="E468" s="9" t="str">
        <f>_xll.BQL("UAL US Equity", "CB_CF_OTHER_FINANCING_ACTIVITIES/1M", "FPT=A", "FPO=5A", "ACT_EST_MAPPING=PRECISE", "FS=MRC", "CURRENCY=USD", "XLFILL=b")</f>
        <v/>
      </c>
      <c r="F468" s="9" t="str">
        <f>_xll.BQL("UAL US Equity", "CB_CF_OTHER_FINANCING_ACTIVITIES/1M", "FPT=A", "FPO=4A", "ACT_EST_MAPPING=PRECISE", "FS=MRC", "CURRENCY=USD", "XLFILL=b")</f>
        <v/>
      </c>
      <c r="G468" s="9" t="str">
        <f>_xll.BQL("UAL US Equity", "CB_CF_OTHER_FINANCING_ACTIVITIES/1M", "FPT=A", "FPO=3A", "ACT_EST_MAPPING=PRECISE", "FS=MRC", "CURRENCY=USD", "XLFILL=b")</f>
        <v/>
      </c>
      <c r="H468" s="9">
        <f>_xll.BQL("UAL US Equity", "CB_CF_OTHER_FINANCING_ACTIVITIES/1M", "FPT=A", "FPO=2A", "ACT_EST_MAPPING=PRECISE", "FS=MRC", "CURRENCY=USD", "XLFILL=b")</f>
        <v>-284.03129145214643</v>
      </c>
      <c r="I468" s="9">
        <f>_xll.BQL("UAL US Equity", "CB_CF_OTHER_FINANCING_ACTIVITIES/1M", "FPT=A", "FPO=1A", "ACT_EST_MAPPING=PRECISE", "FS=MRC", "CURRENCY=USD", "XLFILL=b")</f>
        <v>-20</v>
      </c>
      <c r="J468" s="9">
        <f>_xll.BQL("UAL US Equity", "CB_CF_OTHER_FINANCING_ACTIVITIES/1M", "FPT=A", "FPO=0A", "ACT_EST_MAPPING=PRECISE", "FS=MRC", "CURRENCY=USD", "XLFILL=b")</f>
        <v>-32</v>
      </c>
      <c r="K468" s="9">
        <f>_xll.BQL("UAL US Equity", "CB_CF_OTHER_FINANCING_ACTIVITIES/1M", "FPT=A", "FPO=-1A", "ACT_EST_MAPPING=PRECISE", "FS=MRC", "CURRENCY=USD", "XLFILL=b")</f>
        <v>0</v>
      </c>
      <c r="L468" s="9">
        <f>_xll.BQL("UAL US Equity", "CB_CF_OTHER_FINANCING_ACTIVITIES/1M", "FPT=A", "FPO=-2A", "ACT_EST_MAPPING=PRECISE", "FS=MRC", "CURRENCY=USD", "XLFILL=b")</f>
        <v>0</v>
      </c>
      <c r="M468" s="9">
        <f>_xll.BQL("UAL US Equity", "CB_CF_OTHER_FINANCING_ACTIVITIES/1M", "FPT=A", "FPO=-3A", "ACT_EST_MAPPING=PRECISE", "FS=MRC", "CURRENCY=USD", "XLFILL=b")</f>
        <v>-20</v>
      </c>
      <c r="N468" s="9">
        <f>_xll.BQL("UAL US Equity", "CB_CF_OTHER_FINANCING_ACTIVITIES/1M", "FPT=A", "FPO=-4A", "ACT_EST_MAPPING=PRECISE", "FS=MRC", "CURRENCY=USD", "XLFILL=b")</f>
        <v>-30</v>
      </c>
    </row>
    <row r="469" spans="1:14" x14ac:dyDescent="0.2">
      <c r="A469" s="8" t="s">
        <v>20</v>
      </c>
      <c r="B469" s="4" t="s">
        <v>483</v>
      </c>
      <c r="C469" s="4"/>
      <c r="D469" s="4"/>
      <c r="E469" s="9" t="str">
        <f>_xll.BQL("UAL US Equity", "FA_GROWTH(CB_CF_OTHER_FINANCING_ACTIVITIES, YOY)", "FPT=A", "FPO=5A", "ACT_EST_MAPPING=PRECISE", "FS=MRC", "CURRENCY=USD", "XLFILL=b")</f>
        <v/>
      </c>
      <c r="F469" s="9" t="str">
        <f>_xll.BQL("UAL US Equity", "FA_GROWTH(CB_CF_OTHER_FINANCING_ACTIVITIES, YOY)", "FPT=A", "FPO=4A", "ACT_EST_MAPPING=PRECISE", "FS=MRC", "CURRENCY=USD", "XLFILL=b")</f>
        <v/>
      </c>
      <c r="G469" s="9" t="str">
        <f>_xll.BQL("UAL US Equity", "FA_GROWTH(CB_CF_OTHER_FINANCING_ACTIVITIES, YOY)", "FPT=A", "FPO=3A", "ACT_EST_MAPPING=PRECISE", "FS=MRC", "CURRENCY=USD", "XLFILL=b")</f>
        <v/>
      </c>
      <c r="H469" s="9">
        <f>_xll.BQL("UAL US Equity", "FA_GROWTH(CB_CF_OTHER_FINANCING_ACTIVITIES, YOY)", "FPT=A", "FPO=2A", "ACT_EST_MAPPING=PRECISE", "FS=MRC", "CURRENCY=USD", "XLFILL=b")</f>
        <v>-1320.1564572607322</v>
      </c>
      <c r="I469" s="9">
        <f>_xll.BQL("UAL US Equity", "FA_GROWTH(CB_CF_OTHER_FINANCING_ACTIVITIES, YOY)", "FPT=A", "FPO=1A", "ACT_EST_MAPPING=PRECISE", "FS=MRC", "CURRENCY=USD", "XLFILL=b")</f>
        <v>37.5</v>
      </c>
      <c r="J469" s="9" t="str">
        <f>_xll.BQL("UAL US Equity", "FA_GROWTH(CB_CF_OTHER_FINANCING_ACTIVITIES, YOY)", "FPT=A", "FPO=0A", "ACT_EST_MAPPING=PRECISE", "FS=MRC", "CURRENCY=USD", "XLFILL=b")</f>
        <v/>
      </c>
      <c r="K469" s="9" t="str">
        <f>_xll.BQL("UAL US Equity", "FA_GROWTH(CB_CF_OTHER_FINANCING_ACTIVITIES, YOY)", "FPT=A", "FPO=-1A", "ACT_EST_MAPPING=PRECISE", "FS=MRC", "CURRENCY=USD", "XLFILL=b")</f>
        <v/>
      </c>
      <c r="L469" s="9">
        <f>_xll.BQL("UAL US Equity", "FA_GROWTH(CB_CF_OTHER_FINANCING_ACTIVITIES, YOY)", "FPT=A", "FPO=-2A", "ACT_EST_MAPPING=PRECISE", "FS=MRC", "CURRENCY=USD", "XLFILL=b")</f>
        <v>100</v>
      </c>
      <c r="M469" s="9">
        <f>_xll.BQL("UAL US Equity", "FA_GROWTH(CB_CF_OTHER_FINANCING_ACTIVITIES, YOY)", "FPT=A", "FPO=-3A", "ACT_EST_MAPPING=PRECISE", "FS=MRC", "CURRENCY=USD", "XLFILL=b")</f>
        <v>33.333333333333336</v>
      </c>
      <c r="N469" s="9">
        <f>_xll.BQL("UAL US Equity", "FA_GROWTH(CB_CF_OTHER_FINANCING_ACTIVITIES, YOY)", "FPT=A", "FPO=-4A", "ACT_EST_MAPPING=PRECISE", "FS=MRC", "CURRENCY=USD", "XLFILL=b")</f>
        <v>-76.470588235294116</v>
      </c>
    </row>
    <row r="470" spans="1:14" x14ac:dyDescent="0.2">
      <c r="A470" s="8" t="s">
        <v>484</v>
      </c>
      <c r="B470" s="4" t="s">
        <v>485</v>
      </c>
      <c r="C470" s="4" t="s">
        <v>486</v>
      </c>
      <c r="D470" s="4"/>
      <c r="E470" s="9">
        <f>_xll.BQL("UAL US Equity", "CB_CF_NET_CASH_FINANCING_ACT/1M", "FPT=A", "FPO=5A", "ACT_EST_MAPPING=PRECISE", "FS=MRC", "CURRENCY=USD", "XLFILL=b")</f>
        <v>-3197.14</v>
      </c>
      <c r="F470" s="9">
        <f>_xll.BQL("UAL US Equity", "CB_CF_NET_CASH_FINANCING_ACT/1M", "FPT=A", "FPO=4A", "ACT_EST_MAPPING=PRECISE", "FS=MRC", "CURRENCY=USD", "XLFILL=b")</f>
        <v>-537.5</v>
      </c>
      <c r="G470" s="9">
        <f>_xll.BQL("UAL US Equity", "CB_CF_NET_CASH_FINANCING_ACT/1M", "FPT=A", "FPO=3A", "ACT_EST_MAPPING=PRECISE", "FS=MRC", "CURRENCY=USD", "XLFILL=b")</f>
        <v>-1799.8</v>
      </c>
      <c r="H470" s="9">
        <f>_xll.BQL("UAL US Equity", "CB_CF_NET_CASH_FINANCING_ACT/1M", "FPT=A", "FPO=2A", "ACT_EST_MAPPING=PRECISE", "FS=MRC", "CURRENCY=USD", "XLFILL=b")</f>
        <v>-2148</v>
      </c>
      <c r="I470" s="9">
        <f>_xll.BQL("UAL US Equity", "CB_CF_NET_CASH_FINANCING_ACT/1M", "FPT=A", "FPO=1A", "ACT_EST_MAPPING=PRECISE", "FS=MRC", "CURRENCY=USD", "XLFILL=b")</f>
        <v>-4647.5625</v>
      </c>
      <c r="J470" s="9">
        <f>_xll.BQL("UAL US Equity", "CB_CF_NET_CASH_FINANCING_ACT/1M", "FPT=A", "FPO=0A", "ACT_EST_MAPPING=PRECISE", "FS=MRC", "CURRENCY=USD", "XLFILL=b")</f>
        <v>-1892</v>
      </c>
      <c r="K470" s="9">
        <f>_xll.BQL("UAL US Equity", "CB_CF_NET_CASH_FINANCING_ACT/1M", "FPT=A", "FPO=-1A", "ACT_EST_MAPPING=PRECISE", "FS=MRC", "CURRENCY=USD", "XLFILL=b")</f>
        <v>-3275</v>
      </c>
      <c r="L470" s="9">
        <f>_xll.BQL("UAL US Equity", "CB_CF_NET_CASH_FINANCING_ACT/1M", "FPT=A", "FPO=-2A", "ACT_EST_MAPPING=PRECISE", "FS=MRC", "CURRENCY=USD", "XLFILL=b")</f>
        <v>6423</v>
      </c>
      <c r="M470" s="9">
        <f>_xll.BQL("UAL US Equity", "CB_CF_NET_CASH_FINANCING_ACT/1M", "FPT=A", "FPO=-3A", "ACT_EST_MAPPING=PRECISE", "FS=MRC", "CURRENCY=USD", "XLFILL=b")</f>
        <v>12957</v>
      </c>
      <c r="N470" s="9">
        <f>_xll.BQL("UAL US Equity", "CB_CF_NET_CASH_FINANCING_ACT/1M", "FPT=A", "FPO=-4A", "ACT_EST_MAPPING=PRECISE", "FS=MRC", "CURRENCY=USD", "XLFILL=b")</f>
        <v>-1280</v>
      </c>
    </row>
    <row r="471" spans="1:14" x14ac:dyDescent="0.2">
      <c r="A471" s="8" t="s">
        <v>12</v>
      </c>
      <c r="B471" s="4" t="s">
        <v>485</v>
      </c>
      <c r="C471" s="4" t="s">
        <v>486</v>
      </c>
      <c r="D471" s="4"/>
      <c r="E471" s="9">
        <f>_xll.BQL("UAL US Equity", "FA_GROWTH(CB_CF_NET_CASH_FINANCING_ACT, YOY)", "FPT=A", "FPO=5A", "ACT_EST_MAPPING=PRECISE", "FS=MRC", "CURRENCY=USD", "XLFILL=b")</f>
        <v>-494.81674418604649</v>
      </c>
      <c r="F471" s="9">
        <f>_xll.BQL("UAL US Equity", "FA_GROWTH(CB_CF_NET_CASH_FINANCING_ACT, YOY)", "FPT=A", "FPO=4A", "ACT_EST_MAPPING=PRECISE", "FS=MRC", "CURRENCY=USD", "XLFILL=b")</f>
        <v>70.135570618957658</v>
      </c>
      <c r="G471" s="9">
        <f>_xll.BQL("UAL US Equity", "FA_GROWTH(CB_CF_NET_CASH_FINANCING_ACT, YOY)", "FPT=A", "FPO=3A", "ACT_EST_MAPPING=PRECISE", "FS=MRC", "CURRENCY=USD", "XLFILL=b")</f>
        <v>16.210428305400374</v>
      </c>
      <c r="H471" s="9">
        <f>_xll.BQL("UAL US Equity", "FA_GROWTH(CB_CF_NET_CASH_FINANCING_ACT, YOY)", "FPT=A", "FPO=2A", "ACT_EST_MAPPING=PRECISE", "FS=MRC", "CURRENCY=USD", "XLFILL=b")</f>
        <v>53.782224553193203</v>
      </c>
      <c r="I471" s="9">
        <f>_xll.BQL("UAL US Equity", "FA_GROWTH(CB_CF_NET_CASH_FINANCING_ACT, YOY)", "FPT=A", "FPO=1A", "ACT_EST_MAPPING=PRECISE", "FS=MRC", "CURRENCY=USD", "XLFILL=b")</f>
        <v>-145.64283826638479</v>
      </c>
      <c r="J471" s="9">
        <f>_xll.BQL("UAL US Equity", "FA_GROWTH(CB_CF_NET_CASH_FINANCING_ACT, YOY)", "FPT=A", "FPO=0A", "ACT_EST_MAPPING=PRECISE", "FS=MRC", "CURRENCY=USD", "XLFILL=b")</f>
        <v>42.229007633587784</v>
      </c>
      <c r="K471" s="9">
        <f>_xll.BQL("UAL US Equity", "FA_GROWTH(CB_CF_NET_CASH_FINANCING_ACT, YOY)", "FPT=A", "FPO=-1A", "ACT_EST_MAPPING=PRECISE", "FS=MRC", "CURRENCY=USD", "XLFILL=b")</f>
        <v>-150.98863459442629</v>
      </c>
      <c r="L471" s="9">
        <f>_xll.BQL("UAL US Equity", "FA_GROWTH(CB_CF_NET_CASH_FINANCING_ACT, YOY)", "FPT=A", "FPO=-2A", "ACT_EST_MAPPING=PRECISE", "FS=MRC", "CURRENCY=USD", "XLFILL=b")</f>
        <v>-50.428339893493863</v>
      </c>
      <c r="M471" s="9">
        <f>_xll.BQL("UAL US Equity", "FA_GROWTH(CB_CF_NET_CASH_FINANCING_ACT, YOY)", "FPT=A", "FPO=-3A", "ACT_EST_MAPPING=PRECISE", "FS=MRC", "CURRENCY=USD", "XLFILL=b")</f>
        <v>1112.265625</v>
      </c>
      <c r="N471" s="9">
        <f>_xll.BQL("UAL US Equity", "FA_GROWTH(CB_CF_NET_CASH_FINANCING_ACT, YOY)", "FPT=A", "FPO=-4A", "ACT_EST_MAPPING=PRECISE", "FS=MRC", "CURRENCY=USD", "XLFILL=b")</f>
        <v>14.723517654896735</v>
      </c>
    </row>
    <row r="472" spans="1:14" x14ac:dyDescent="0.2">
      <c r="A472" s="8" t="s">
        <v>16</v>
      </c>
      <c r="B472" s="4"/>
      <c r="C472" s="4"/>
      <c r="D472" s="4"/>
      <c r="E472" s="9"/>
      <c r="F472" s="9"/>
      <c r="G472" s="9"/>
      <c r="H472" s="9"/>
      <c r="I472" s="9"/>
      <c r="J472" s="9"/>
      <c r="K472" s="9"/>
      <c r="L472" s="9"/>
      <c r="M472" s="9"/>
      <c r="N472" s="9"/>
    </row>
    <row r="473" spans="1:14" x14ac:dyDescent="0.2">
      <c r="A473" s="8" t="s">
        <v>412</v>
      </c>
      <c r="B473" s="4"/>
      <c r="C473" s="4" t="s">
        <v>413</v>
      </c>
      <c r="D473" s="4"/>
      <c r="E473" s="9"/>
      <c r="F473" s="9"/>
      <c r="G473" s="9"/>
      <c r="H473" s="9"/>
      <c r="I473" s="9"/>
      <c r="J473" s="9"/>
      <c r="K473" s="9"/>
      <c r="L473" s="9"/>
      <c r="M473" s="9"/>
      <c r="N473" s="9"/>
    </row>
    <row r="474" spans="1:14" x14ac:dyDescent="0.2">
      <c r="A474" s="8" t="s">
        <v>487</v>
      </c>
      <c r="B474" s="4" t="s">
        <v>488</v>
      </c>
      <c r="C474" s="4" t="s">
        <v>489</v>
      </c>
      <c r="D474" s="4"/>
      <c r="E474" s="9">
        <f>_xll.BQL("UAL US Equity", "CF_NET_CHNG_CASH/1M", "FPT=A", "FPO=5A", "ACT_EST_MAPPING=PRECISE", "FS=MRC", "CURRENCY=USD", "XLFILL=b")</f>
        <v>-798.69481678267505</v>
      </c>
      <c r="F474" s="9">
        <f>_xll.BQL("UAL US Equity", "CF_NET_CHNG_CASH/1M", "FPT=A", "FPO=4A", "ACT_EST_MAPPING=PRECISE", "FS=MRC", "CURRENCY=USD", "XLFILL=b")</f>
        <v>-2773.2764138425537</v>
      </c>
      <c r="G474" s="9">
        <f>_xll.BQL("UAL US Equity", "CF_NET_CHNG_CASH/1M", "FPT=A", "FPO=3A", "ACT_EST_MAPPING=PRECISE", "FS=MRC", "CURRENCY=USD", "XLFILL=b")</f>
        <v>-1578.8186886932981</v>
      </c>
      <c r="H474" s="9">
        <f>_xll.BQL("UAL US Equity", "CF_NET_CHNG_CASH/1M", "FPT=A", "FPO=2A", "ACT_EST_MAPPING=PRECISE", "FS=MRC", "CURRENCY=USD", "XLFILL=b")</f>
        <v>1645.5263281686471</v>
      </c>
      <c r="I474" s="9">
        <f>_xll.BQL("UAL US Equity", "CF_NET_CHNG_CASH/1M", "FPT=A", "FPO=1A", "ACT_EST_MAPPING=PRECISE", "FS=MRC", "CURRENCY=USD", "XLFILL=b")</f>
        <v>984.06893355533327</v>
      </c>
      <c r="J474" s="9">
        <f>_xll.BQL("UAL US Equity", "CF_NET_CHNG_CASH/1M", "FPT=A", "FPO=0A", "ACT_EST_MAPPING=PRECISE", "FS=MRC", "CURRENCY=USD", "XLFILL=b")</f>
        <v>-1087</v>
      </c>
      <c r="K474" s="9">
        <f>_xll.BQL("UAL US Equity", "CF_NET_CHNG_CASH/1M", "FPT=A", "FPO=-1A", "ACT_EST_MAPPING=PRECISE", "FS=MRC", "CURRENCY=USD", "XLFILL=b")</f>
        <v>-11112</v>
      </c>
      <c r="L474" s="9">
        <f>_xll.BQL("UAL US Equity", "CF_NET_CHNG_CASH/1M", "FPT=A", "FPO=-2A", "ACT_EST_MAPPING=PRECISE", "FS=MRC", "CURRENCY=USD", "XLFILL=b")</f>
        <v>6791</v>
      </c>
      <c r="M474" s="9">
        <f>_xll.BQL("UAL US Equity", "CF_NET_CHNG_CASH/1M", "FPT=A", "FPO=-3A", "ACT_EST_MAPPING=PRECISE", "FS=MRC", "CURRENCY=USD", "XLFILL=b")</f>
        <v>8874</v>
      </c>
      <c r="N474" s="9">
        <f>_xll.BQL("UAL US Equity", "CF_NET_CHNG_CASH/1M", "FPT=A", "FPO=-4A", "ACT_EST_MAPPING=PRECISE", "FS=MRC", "CURRENCY=USD", "XLFILL=b")</f>
        <v>1069</v>
      </c>
    </row>
    <row r="475" spans="1:14" x14ac:dyDescent="0.2">
      <c r="A475" s="8" t="s">
        <v>20</v>
      </c>
      <c r="B475" s="4" t="s">
        <v>488</v>
      </c>
      <c r="C475" s="4" t="s">
        <v>489</v>
      </c>
      <c r="D475" s="4"/>
      <c r="E475" s="9">
        <f>_xll.BQL("UAL US Equity", "FA_GROWTH(CF_NET_CHNG_CASH, YOY)", "FPT=A", "FPO=5A", "ACT_EST_MAPPING=PRECISE", "FS=MRC", "CURRENCY=USD", "XLFILL=b")</f>
        <v>71.200316968187394</v>
      </c>
      <c r="F475" s="9">
        <f>_xll.BQL("UAL US Equity", "FA_GROWTH(CF_NET_CHNG_CASH, YOY)", "FPT=A", "FPO=4A", "ACT_EST_MAPPING=PRECISE", "FS=MRC", "CURRENCY=USD", "XLFILL=b")</f>
        <v>-75.655154939788744</v>
      </c>
      <c r="G475" s="9">
        <f>_xll.BQL("UAL US Equity", "FA_GROWTH(CF_NET_CHNG_CASH, YOY)", "FPT=A", "FPO=3A", "ACT_EST_MAPPING=PRECISE", "FS=MRC", "CURRENCY=USD", "XLFILL=b")</f>
        <v>-195.94612141213264</v>
      </c>
      <c r="H475" s="9">
        <f>_xll.BQL("UAL US Equity", "FA_GROWTH(CF_NET_CHNG_CASH, YOY)", "FPT=A", "FPO=2A", "ACT_EST_MAPPING=PRECISE", "FS=MRC", "CURRENCY=USD", "XLFILL=b")</f>
        <v>67.216571122059577</v>
      </c>
      <c r="I475" s="9">
        <f>_xll.BQL("UAL US Equity", "FA_GROWTH(CF_NET_CHNG_CASH, YOY)", "FPT=A", "FPO=1A", "ACT_EST_MAPPING=PRECISE", "FS=MRC", "CURRENCY=USD", "XLFILL=b")</f>
        <v>190.53072065826433</v>
      </c>
      <c r="J475" s="9">
        <f>_xll.BQL("UAL US Equity", "FA_GROWTH(CF_NET_CHNG_CASH, YOY)", "FPT=A", "FPO=0A", "ACT_EST_MAPPING=PRECISE", "FS=MRC", "CURRENCY=USD", "XLFILL=b")</f>
        <v>90.217782577393805</v>
      </c>
      <c r="K475" s="9">
        <f>_xll.BQL("UAL US Equity", "FA_GROWTH(CF_NET_CHNG_CASH, YOY)", "FPT=A", "FPO=-1A", "ACT_EST_MAPPING=PRECISE", "FS=MRC", "CURRENCY=USD", "XLFILL=b")</f>
        <v>-263.62833161537327</v>
      </c>
      <c r="L475" s="9">
        <f>_xll.BQL("UAL US Equity", "FA_GROWTH(CF_NET_CHNG_CASH, YOY)", "FPT=A", "FPO=-2A", "ACT_EST_MAPPING=PRECISE", "FS=MRC", "CURRENCY=USD", "XLFILL=b")</f>
        <v>-23.473067387874689</v>
      </c>
      <c r="M475" s="9">
        <f>_xll.BQL("UAL US Equity", "FA_GROWTH(CF_NET_CHNG_CASH, YOY)", "FPT=A", "FPO=-3A", "ACT_EST_MAPPING=PRECISE", "FS=MRC", "CURRENCY=USD", "XLFILL=b")</f>
        <v>730.12160898035552</v>
      </c>
      <c r="N475" s="9">
        <f>_xll.BQL("UAL US Equity", "FA_GROWTH(CF_NET_CHNG_CASH, YOY)", "FPT=A", "FPO=-4A", "ACT_EST_MAPPING=PRECISE", "FS=MRC", "CURRENCY=USD", "XLFILL=b")</f>
        <v>413.94230769230768</v>
      </c>
    </row>
    <row r="476" spans="1:14" x14ac:dyDescent="0.2">
      <c r="A476" s="8" t="s">
        <v>490</v>
      </c>
      <c r="B476" s="4" t="s">
        <v>491</v>
      </c>
      <c r="C476" s="4" t="s">
        <v>492</v>
      </c>
      <c r="D476" s="4"/>
      <c r="E476" s="9">
        <f>_xll.BQL("UAL US Equity", "CF_CASH_AND_CASH_EQUIV_END_BAL/1M", "FPT=A", "FPO=5A", "ACT_EST_MAPPING=PRECISE", "FS=MRC", "CURRENCY=USD", "XLFILL=b")</f>
        <v>8475.7489226815451</v>
      </c>
      <c r="F476" s="9">
        <f>_xll.BQL("UAL US Equity", "CF_CASH_AND_CASH_EQUIV_END_BAL/1M", "FPT=A", "FPO=4A", "ACT_EST_MAPPING=PRECISE", "FS=MRC", "CURRENCY=USD", "XLFILL=b")</f>
        <v>-805.17987009128854</v>
      </c>
      <c r="G476" s="9">
        <f>_xll.BQL("UAL US Equity", "CF_CASH_AND_CASH_EQUIV_END_BAL/1M", "FPT=A", "FPO=3A", "ACT_EST_MAPPING=PRECISE", "FS=MRC", "CURRENCY=USD", "XLFILL=b")</f>
        <v>5060.1654658912039</v>
      </c>
      <c r="H476" s="9">
        <f>_xll.BQL("UAL US Equity", "CF_CASH_AND_CASH_EQUIV_END_BAL/1M", "FPT=A", "FPO=2A", "ACT_EST_MAPPING=PRECISE", "FS=MRC", "CURRENCY=USD", "XLFILL=b")</f>
        <v>8593.8250106970008</v>
      </c>
      <c r="I476" s="9">
        <f>_xll.BQL("UAL US Equity", "CF_CASH_AND_CASH_EQUIV_END_BAL/1M", "FPT=A", "FPO=1A", "ACT_EST_MAPPING=PRECISE", "FS=MRC", "CURRENCY=USD", "XLFILL=b")</f>
        <v>7243.4882192696177</v>
      </c>
      <c r="J476" s="9">
        <f>_xll.BQL("UAL US Equity", "CF_CASH_AND_CASH_EQUIV_END_BAL/1M", "FPT=A", "FPO=0A", "ACT_EST_MAPPING=PRECISE", "FS=MRC", "CURRENCY=USD", "XLFILL=b")</f>
        <v>6334</v>
      </c>
      <c r="K476" s="9">
        <f>_xll.BQL("UAL US Equity", "CF_CASH_AND_CASH_EQUIV_END_BAL/1M", "FPT=A", "FPO=-1A", "ACT_EST_MAPPING=PRECISE", "FS=MRC", "CURRENCY=USD", "XLFILL=b")</f>
        <v>7421</v>
      </c>
      <c r="L476" s="9">
        <f>_xll.BQL("UAL US Equity", "CF_CASH_AND_CASH_EQUIV_END_BAL/1M", "FPT=A", "FPO=-2A", "ACT_EST_MAPPING=PRECISE", "FS=MRC", "CURRENCY=USD", "XLFILL=b")</f>
        <v>18533</v>
      </c>
      <c r="M476" s="9">
        <f>_xll.BQL("UAL US Equity", "CF_CASH_AND_CASH_EQUIV_END_BAL/1M", "FPT=A", "FPO=-3A", "ACT_EST_MAPPING=PRECISE", "FS=MRC", "CURRENCY=USD", "XLFILL=b")</f>
        <v>11742</v>
      </c>
      <c r="N476" s="9">
        <f>_xll.BQL("UAL US Equity", "CF_CASH_AND_CASH_EQUIV_END_BAL/1M", "FPT=A", "FPO=-4A", "ACT_EST_MAPPING=PRECISE", "FS=MRC", "CURRENCY=USD", "XLFILL=b")</f>
        <v>2868</v>
      </c>
    </row>
    <row r="477" spans="1:14" x14ac:dyDescent="0.2">
      <c r="A477" s="8" t="s">
        <v>86</v>
      </c>
      <c r="B477" s="4" t="s">
        <v>491</v>
      </c>
      <c r="C477" s="4" t="s">
        <v>492</v>
      </c>
      <c r="D477" s="4"/>
      <c r="E477" s="9">
        <f>_xll.BQL("UAL US Equity", "FA_GROWTH(CF_CASH_AND_CASH_EQUIV_END_BAL, YOY)", "FPT=A", "FPO=5A", "ACT_EST_MAPPING=PRECISE", "FS=MRC", "CURRENCY=USD", "XLFILL=b")</f>
        <v>1152.65285900908</v>
      </c>
      <c r="F477" s="9">
        <f>_xll.BQL("UAL US Equity", "FA_GROWTH(CF_CASH_AND_CASH_EQUIV_END_BAL, YOY)", "FPT=A", "FPO=4A", "ACT_EST_MAPPING=PRECISE", "FS=MRC", "CURRENCY=USD", "XLFILL=b")</f>
        <v>-115.9121253152436</v>
      </c>
      <c r="G477" s="9">
        <f>_xll.BQL("UAL US Equity", "FA_GROWTH(CF_CASH_AND_CASH_EQUIV_END_BAL, YOY)", "FPT=A", "FPO=3A", "ACT_EST_MAPPING=PRECISE", "FS=MRC", "CURRENCY=USD", "XLFILL=b")</f>
        <v>-41.118588526149196</v>
      </c>
      <c r="H477" s="9">
        <f>_xll.BQL("UAL US Equity", "FA_GROWTH(CF_CASH_AND_CASH_EQUIV_END_BAL, YOY)", "FPT=A", "FPO=2A", "ACT_EST_MAPPING=PRECISE", "FS=MRC", "CURRENCY=USD", "XLFILL=b")</f>
        <v>18.642078934222951</v>
      </c>
      <c r="I477" s="9">
        <f>_xll.BQL("UAL US Equity", "FA_GROWTH(CF_CASH_AND_CASH_EQUIV_END_BAL, YOY)", "FPT=A", "FPO=1A", "ACT_EST_MAPPING=PRECISE", "FS=MRC", "CURRENCY=USD", "XLFILL=b")</f>
        <v>14.358828848588855</v>
      </c>
      <c r="J477" s="9">
        <f>_xll.BQL("UAL US Equity", "FA_GROWTH(CF_CASH_AND_CASH_EQUIV_END_BAL, YOY)", "FPT=A", "FPO=0A", "ACT_EST_MAPPING=PRECISE", "FS=MRC", "CURRENCY=USD", "XLFILL=b")</f>
        <v>-14.647621614337691</v>
      </c>
      <c r="K477" s="9">
        <f>_xll.BQL("UAL US Equity", "FA_GROWTH(CF_CASH_AND_CASH_EQUIV_END_BAL, YOY)", "FPT=A", "FPO=-1A", "ACT_EST_MAPPING=PRECISE", "FS=MRC", "CURRENCY=USD", "XLFILL=b")</f>
        <v>-59.957912912102735</v>
      </c>
      <c r="L477" s="9">
        <f>_xll.BQL("UAL US Equity", "FA_GROWTH(CF_CASH_AND_CASH_EQUIV_END_BAL, YOY)", "FPT=A", "FPO=-2A", "ACT_EST_MAPPING=PRECISE", "FS=MRC", "CURRENCY=USD", "XLFILL=b")</f>
        <v>57.835121785045139</v>
      </c>
      <c r="M477" s="9">
        <f>_xll.BQL("UAL US Equity", "FA_GROWTH(CF_CASH_AND_CASH_EQUIV_END_BAL, YOY)", "FPT=A", "FPO=-3A", "ACT_EST_MAPPING=PRECISE", "FS=MRC", "CURRENCY=USD", "XLFILL=b")</f>
        <v>309.41422594142261</v>
      </c>
      <c r="N477" s="9">
        <f>_xll.BQL("UAL US Equity", "FA_GROWTH(CF_CASH_AND_CASH_EQUIV_END_BAL, YOY)", "FPT=A", "FPO=-4A", "ACT_EST_MAPPING=PRECISE", "FS=MRC", "CURRENCY=USD", "XLFILL=b")</f>
        <v>59.421901056142303</v>
      </c>
    </row>
    <row r="478" spans="1:14" x14ac:dyDescent="0.2">
      <c r="A478" s="8" t="s">
        <v>493</v>
      </c>
      <c r="B478" s="4" t="s">
        <v>494</v>
      </c>
      <c r="C478" s="4" t="s">
        <v>495</v>
      </c>
      <c r="D478" s="4"/>
      <c r="E478" s="9">
        <f>_xll.BQL("UAL US Equity", "CF_CASH_AND_CASH_EQUIV_BEG_BAL/1M", "FPT=A", "FPO=5A", "ACT_EST_MAPPING=PRECISE", "FS=MRC", "CURRENCY=USD", "XLFILL=b")</f>
        <v>5608.2685170824388</v>
      </c>
      <c r="F478" s="9">
        <f>_xll.BQL("UAL US Equity", "CF_CASH_AND_CASH_EQUIV_BEG_BAL/1M", "FPT=A", "FPO=4A", "ACT_EST_MAPPING=PRECISE", "FS=MRC", "CURRENCY=USD", "XLFILL=b")</f>
        <v>5231.6550716598194</v>
      </c>
      <c r="G478" s="9">
        <f>_xll.BQL("UAL US Equity", "CF_CASH_AND_CASH_EQUIV_BEG_BAL/1M", "FPT=A", "FPO=3A", "ACT_EST_MAPPING=PRECISE", "FS=MRC", "CURRENCY=USD", "XLFILL=b")</f>
        <v>7177.8233932757057</v>
      </c>
      <c r="H478" s="9">
        <f>_xll.BQL("UAL US Equity", "CF_CASH_AND_CASH_EQUIV_BEG_BAL/1M", "FPT=A", "FPO=2A", "ACT_EST_MAPPING=PRECISE", "FS=MRC", "CURRENCY=USD", "XLFILL=b")</f>
        <v>7787.9891594837491</v>
      </c>
      <c r="I478" s="9">
        <f>_xll.BQL("UAL US Equity", "CF_CASH_AND_CASH_EQUIV_BEG_BAL/1M", "FPT=A", "FPO=1A", "ACT_EST_MAPPING=PRECISE", "FS=MRC", "CURRENCY=USD", "XLFILL=b")</f>
        <v>6230.4918749999997</v>
      </c>
      <c r="J478" s="9">
        <f>_xll.BQL("UAL US Equity", "CF_CASH_AND_CASH_EQUIV_BEG_BAL/1M", "FPT=A", "FPO=0A", "ACT_EST_MAPPING=PRECISE", "FS=MRC", "CURRENCY=USD", "XLFILL=b")</f>
        <v>7421</v>
      </c>
      <c r="K478" s="9">
        <f>_xll.BQL("UAL US Equity", "CF_CASH_AND_CASH_EQUIV_BEG_BAL/1M", "FPT=A", "FPO=-1A", "ACT_EST_MAPPING=PRECISE", "FS=MRC", "CURRENCY=USD", "XLFILL=b")</f>
        <v>18533</v>
      </c>
      <c r="L478" s="9">
        <f>_xll.BQL("UAL US Equity", "CF_CASH_AND_CASH_EQUIV_BEG_BAL/1M", "FPT=A", "FPO=-2A", "ACT_EST_MAPPING=PRECISE", "FS=MRC", "CURRENCY=USD", "XLFILL=b")</f>
        <v>11742</v>
      </c>
      <c r="M478" s="9">
        <f>_xll.BQL("UAL US Equity", "CF_CASH_AND_CASH_EQUIV_BEG_BAL/1M", "FPT=A", "FPO=-3A", "ACT_EST_MAPPING=PRECISE", "FS=MRC", "CURRENCY=USD", "XLFILL=b")</f>
        <v>2868</v>
      </c>
      <c r="N478" s="9">
        <f>_xll.BQL("UAL US Equity", "CF_CASH_AND_CASH_EQUIV_BEG_BAL/1M", "FPT=A", "FPO=-4A", "ACT_EST_MAPPING=PRECISE", "FS=MRC", "CURRENCY=USD", "XLFILL=b")</f>
        <v>1799</v>
      </c>
    </row>
    <row r="479" spans="1:14" x14ac:dyDescent="0.2">
      <c r="A479" s="8" t="s">
        <v>86</v>
      </c>
      <c r="B479" s="4" t="s">
        <v>494</v>
      </c>
      <c r="C479" s="4" t="s">
        <v>495</v>
      </c>
      <c r="D479" s="4"/>
      <c r="E479" s="9">
        <f>_xll.BQL("UAL US Equity", "FA_GROWTH(CF_CASH_AND_CASH_EQUIV_BEG_BAL, YOY)", "FPT=A", "FPO=5A", "ACT_EST_MAPPING=PRECISE", "FS=MRC", "CURRENCY=USD", "XLFILL=b")</f>
        <v>7.1987438060042575</v>
      </c>
      <c r="F479" s="9">
        <f>_xll.BQL("UAL US Equity", "FA_GROWTH(CF_CASH_AND_CASH_EQUIV_BEG_BAL, YOY)", "FPT=A", "FPO=4A", "ACT_EST_MAPPING=PRECISE", "FS=MRC", "CURRENCY=USD", "XLFILL=b")</f>
        <v>-27.113627836526124</v>
      </c>
      <c r="G479" s="9">
        <f>_xll.BQL("UAL US Equity", "FA_GROWTH(CF_CASH_AND_CASH_EQUIV_BEG_BAL, YOY)", "FPT=A", "FPO=3A", "ACT_EST_MAPPING=PRECISE", "FS=MRC", "CURRENCY=USD", "XLFILL=b")</f>
        <v>-7.8347023052159814</v>
      </c>
      <c r="H479" s="9">
        <f>_xll.BQL("UAL US Equity", "FA_GROWTH(CF_CASH_AND_CASH_EQUIV_BEG_BAL, YOY)", "FPT=A", "FPO=2A", "ACT_EST_MAPPING=PRECISE", "FS=MRC", "CURRENCY=USD", "XLFILL=b")</f>
        <v>24.997982755314151</v>
      </c>
      <c r="I479" s="9">
        <f>_xll.BQL("UAL US Equity", "FA_GROWTH(CF_CASH_AND_CASH_EQUIV_BEG_BAL, YOY)", "FPT=A", "FPO=1A", "ACT_EST_MAPPING=PRECISE", "FS=MRC", "CURRENCY=USD", "XLFILL=b")</f>
        <v>-16.04242184341733</v>
      </c>
      <c r="J479" s="9">
        <f>_xll.BQL("UAL US Equity", "FA_GROWTH(CF_CASH_AND_CASH_EQUIV_BEG_BAL, YOY)", "FPT=A", "FPO=0A", "ACT_EST_MAPPING=PRECISE", "FS=MRC", "CURRENCY=USD", "XLFILL=b")</f>
        <v>-59.957912912102735</v>
      </c>
      <c r="K479" s="9">
        <f>_xll.BQL("UAL US Equity", "FA_GROWTH(CF_CASH_AND_CASH_EQUIV_BEG_BAL, YOY)", "FPT=A", "FPO=-1A", "ACT_EST_MAPPING=PRECISE", "FS=MRC", "CURRENCY=USD", "XLFILL=b")</f>
        <v>57.835121785045139</v>
      </c>
      <c r="L479" s="9">
        <f>_xll.BQL("UAL US Equity", "FA_GROWTH(CF_CASH_AND_CASH_EQUIV_BEG_BAL, YOY)", "FPT=A", "FPO=-2A", "ACT_EST_MAPPING=PRECISE", "FS=MRC", "CURRENCY=USD", "XLFILL=b")</f>
        <v>309.41422594142261</v>
      </c>
      <c r="M479" s="9">
        <f>_xll.BQL("UAL US Equity", "FA_GROWTH(CF_CASH_AND_CASH_EQUIV_BEG_BAL, YOY)", "FPT=A", "FPO=-3A", "ACT_EST_MAPPING=PRECISE", "FS=MRC", "CURRENCY=USD", "XLFILL=b")</f>
        <v>59.421901056142303</v>
      </c>
      <c r="N479" s="9">
        <f>_xll.BQL("UAL US Equity", "FA_GROWTH(CF_CASH_AND_CASH_EQUIV_BEG_BAL, YOY)", "FPT=A", "FPO=-4A", "ACT_EST_MAPPING=PRECISE", "FS=MRC", "CURRENCY=USD", "XLFILL=b")</f>
        <v>13.073538654934003</v>
      </c>
    </row>
    <row r="480" spans="1:14" x14ac:dyDescent="0.2">
      <c r="A480" s="8" t="s">
        <v>419</v>
      </c>
      <c r="B480" s="4"/>
      <c r="C480" s="4"/>
      <c r="D480" s="4"/>
      <c r="E480" s="9"/>
      <c r="F480" s="9"/>
      <c r="G480" s="9"/>
      <c r="H480" s="9"/>
      <c r="I480" s="9"/>
      <c r="J480" s="9"/>
      <c r="K480" s="9"/>
      <c r="L480" s="9"/>
      <c r="M480" s="9"/>
      <c r="N480" s="9"/>
    </row>
    <row r="481" spans="1:14" x14ac:dyDescent="0.2">
      <c r="A481" s="8" t="s">
        <v>496</v>
      </c>
      <c r="B481" s="4" t="s">
        <v>497</v>
      </c>
      <c r="C481" s="4" t="s">
        <v>498</v>
      </c>
      <c r="D481" s="4"/>
      <c r="E481" s="9" t="str">
        <f>_xll.BQL("UAL US Equity", "HEADLINE_CPS", "FPT=A", "FPO=5A", "ACT_EST_MAPPING=PRECISE", "FS=MRC", "CURRENCY=USD", "XLFILL=b")</f>
        <v/>
      </c>
      <c r="F481" s="9">
        <f>_xll.BQL("UAL US Equity", "HEADLINE_CPS", "FPT=A", "FPO=4A", "ACT_EST_MAPPING=PRECISE", "FS=MRC", "CURRENCY=USD", "XLFILL=b")</f>
        <v>28.24</v>
      </c>
      <c r="G481" s="9">
        <f>_xll.BQL("UAL US Equity", "HEADLINE_CPS", "FPT=A", "FPO=3A", "ACT_EST_MAPPING=PRECISE", "FS=MRC", "CURRENCY=USD", "XLFILL=b")</f>
        <v>25.64</v>
      </c>
      <c r="H481" s="9">
        <f>_xll.BQL("UAL US Equity", "HEADLINE_CPS", "FPT=A", "FPO=2A", "ACT_EST_MAPPING=PRECISE", "FS=MRC", "CURRENCY=USD", "XLFILL=b")</f>
        <v>23.826000000000001</v>
      </c>
      <c r="I481" s="9">
        <f>_xll.BQL("UAL US Equity", "HEADLINE_CPS", "FPT=A", "FPO=1A", "ACT_EST_MAPPING=PRECISE", "FS=MRC", "CURRENCY=USD", "XLFILL=b")</f>
        <v>22.651666666666671</v>
      </c>
      <c r="J481" s="9">
        <f>_xll.BQL("UAL US Equity", "HEADLINE_CPS", "FPT=A", "FPO=0A", "ACT_EST_MAPPING=PRECISE", "FS=MRC", "CURRENCY=USD", "XLFILL=b")</f>
        <v>21.082977425259305</v>
      </c>
      <c r="K481" s="9">
        <f>_xll.BQL("UAL US Equity", "HEADLINE_CPS", "FPT=A", "FPO=-1A", "ACT_EST_MAPPING=PRECISE", "FS=MRC", "CURRENCY=USD", "XLFILL=b")</f>
        <v>18.357843137254903</v>
      </c>
      <c r="L481" s="9">
        <f>_xll.BQL("UAL US Equity", "HEADLINE_CPS", "FPT=A", "FPO=-2A", "ACT_EST_MAPPING=PRECISE", "FS=MRC", "CURRENCY=USD", "XLFILL=b")</f>
        <v>6.3373718546132345</v>
      </c>
      <c r="M481" s="9">
        <f>_xll.BQL("UAL US Equity", "HEADLINE_CPS", "FPT=A", "FPO=-3A", "ACT_EST_MAPPING=PRECISE", "FS=MRC", "CURRENCY=USD", "XLFILL=b")</f>
        <v>-14.792412312097353</v>
      </c>
      <c r="N481" s="9">
        <f>_xll.BQL("UAL US Equity", "HEADLINE_CPS", "FPT=A", "FPO=-4A", "ACT_EST_MAPPING=PRECISE", "FS=MRC", "CURRENCY=USD", "XLFILL=b")</f>
        <v>26.58897308075775</v>
      </c>
    </row>
    <row r="482" spans="1:14" x14ac:dyDescent="0.2">
      <c r="A482" s="8" t="s">
        <v>20</v>
      </c>
      <c r="B482" s="4" t="s">
        <v>497</v>
      </c>
      <c r="C482" s="4" t="s">
        <v>498</v>
      </c>
      <c r="D482" s="4"/>
      <c r="E482" s="9" t="str">
        <f>_xll.BQL("UAL US Equity", "FA_GROWTH(HEADLINE_CPS, YOY)", "FPT=A", "FPO=5A", "ACT_EST_MAPPING=PRECISE", "FS=MRC", "CURRENCY=USD", "XLFILL=b")</f>
        <v/>
      </c>
      <c r="F482" s="9">
        <f>_xll.BQL("UAL US Equity", "FA_GROWTH(HEADLINE_CPS, YOY)", "FPT=A", "FPO=4A", "ACT_EST_MAPPING=PRECISE", "FS=MRC", "CURRENCY=USD", "XLFILL=b")</f>
        <v>10.140405616224641</v>
      </c>
      <c r="G482" s="9">
        <f>_xll.BQL("UAL US Equity", "FA_GROWTH(HEADLINE_CPS, YOY)", "FPT=A", "FPO=3A", "ACT_EST_MAPPING=PRECISE", "FS=MRC", "CURRENCY=USD", "XLFILL=b")</f>
        <v>7.6135314362461175</v>
      </c>
      <c r="H482" s="9">
        <f>_xll.BQL("UAL US Equity", "FA_GROWTH(HEADLINE_CPS, YOY)", "FPT=A", "FPO=2A", "ACT_EST_MAPPING=PRECISE", "FS=MRC", "CURRENCY=USD", "XLFILL=b")</f>
        <v>5.1843131484070168</v>
      </c>
      <c r="I482" s="9">
        <f>_xll.BQL("UAL US Equity", "FA_GROWTH(HEADLINE_CPS, YOY)", "FPT=A", "FPO=1A", "ACT_EST_MAPPING=PRECISE", "FS=MRC", "CURRENCY=USD", "XLFILL=b")</f>
        <v>7.4405488834225819</v>
      </c>
      <c r="J482" s="9">
        <f>_xll.BQL("UAL US Equity", "FA_GROWTH(HEADLINE_CPS, YOY)", "FPT=A", "FPO=0A", "ACT_EST_MAPPING=PRECISE", "FS=MRC", "CURRENCY=USD", "XLFILL=b")</f>
        <v>14.844523224376443</v>
      </c>
      <c r="K482" s="9">
        <f>_xll.BQL("UAL US Equity", "FA_GROWTH(HEADLINE_CPS, YOY)", "FPT=A", "FPO=-1A", "ACT_EST_MAPPING=PRECISE", "FS=MRC", "CURRENCY=USD", "XLFILL=b")</f>
        <v>189.67596597462514</v>
      </c>
      <c r="L482" s="9">
        <f>_xll.BQL("UAL US Equity", "FA_GROWTH(HEADLINE_CPS, YOY)", "FPT=A", "FPO=-2A", "ACT_EST_MAPPING=PRECISE", "FS=MRC", "CURRENCY=USD", "XLFILL=b")</f>
        <v>142.84204442726681</v>
      </c>
      <c r="M482" s="9">
        <f>_xll.BQL("UAL US Equity", "FA_GROWTH(HEADLINE_CPS, YOY)", "FPT=A", "FPO=-3A", "ACT_EST_MAPPING=PRECISE", "FS=MRC", "CURRENCY=USD", "XLFILL=b")</f>
        <v>-155.63363529373203</v>
      </c>
      <c r="N482" s="9">
        <f>_xll.BQL("UAL US Equity", "FA_GROWTH(HEADLINE_CPS, YOY)", "FPT=A", "FPO=-4A", "ACT_EST_MAPPING=PRECISE", "FS=MRC", "CURRENCY=USD", "XLFILL=b")</f>
        <v>18.839423811628173</v>
      </c>
    </row>
    <row r="483" spans="1:14" x14ac:dyDescent="0.2">
      <c r="A483" s="8" t="s">
        <v>499</v>
      </c>
      <c r="B483" s="4" t="s">
        <v>500</v>
      </c>
      <c r="C483" s="4" t="s">
        <v>501</v>
      </c>
      <c r="D483" s="4"/>
      <c r="E483" s="9">
        <f>_xll.BQL("UAL US Equity", "HEADLINE_FCF/1M", "FPT=A", "FPO=5A", "ACT_EST_MAPPING=PRECISE", "FS=MRC", "CURRENCY=USD", "XLFILL=b")</f>
        <v>3636.1086628641201</v>
      </c>
      <c r="F483" s="9">
        <f>_xll.BQL("UAL US Equity", "HEADLINE_FCF/1M", "FPT=A", "FPO=4A", "ACT_EST_MAPPING=PRECISE", "FS=MRC", "CURRENCY=USD", "XLFILL=b")</f>
        <v>-2795.539097398635</v>
      </c>
      <c r="G483" s="9">
        <f>_xll.BQL("UAL US Equity", "HEADLINE_FCF/1M", "FPT=A", "FPO=3A", "ACT_EST_MAPPING=PRECISE", "FS=MRC", "CURRENCY=USD", "XLFILL=b")</f>
        <v>1014.0889532671853</v>
      </c>
      <c r="H483" s="9">
        <f>_xll.BQL("UAL US Equity", "HEADLINE_FCF/1M", "FPT=A", "FPO=2A", "ACT_EST_MAPPING=PRECISE", "FS=MRC", "CURRENCY=USD", "XLFILL=b")</f>
        <v>606.82624310590518</v>
      </c>
      <c r="I483" s="9">
        <f>_xll.BQL("UAL US Equity", "HEADLINE_FCF/1M", "FPT=A", "FPO=1A", "ACT_EST_MAPPING=PRECISE", "FS=MRC", "CURRENCY=USD", "XLFILL=b")</f>
        <v>1364.2036149874791</v>
      </c>
      <c r="J483" s="9">
        <f>_xll.BQL("UAL US Equity", "HEADLINE_FCF/1M", "FPT=A", "FPO=0A", "ACT_EST_MAPPING=PRECISE", "FS=MRC", "CURRENCY=USD", "XLFILL=b")</f>
        <v>-260</v>
      </c>
      <c r="K483" s="9">
        <f>_xll.BQL("UAL US Equity", "HEADLINE_FCF/1M", "FPT=A", "FPO=-1A", "ACT_EST_MAPPING=PRECISE", "FS=MRC", "CURRENCY=USD", "XLFILL=b")</f>
        <v>1173</v>
      </c>
      <c r="L483" s="9">
        <f>_xll.BQL("UAL US Equity", "HEADLINE_FCF/1M", "FPT=A", "FPO=-2A", "ACT_EST_MAPPING=PRECISE", "FS=MRC", "CURRENCY=USD", "XLFILL=b")</f>
        <v>-67</v>
      </c>
      <c r="M483" s="9">
        <f>_xll.BQL("UAL US Equity", "HEADLINE_FCF/1M", "FPT=A", "FPO=-3A", "ACT_EST_MAPPING=PRECISE", "FS=MRC", "CURRENCY=USD", "XLFILL=b")</f>
        <v>-5860</v>
      </c>
      <c r="N483" s="9">
        <f>_xll.BQL("UAL US Equity", "HEADLINE_FCF/1M", "FPT=A", "FPO=-4A", "ACT_EST_MAPPING=PRECISE", "FS=MRC", "CURRENCY=USD", "XLFILL=b")</f>
        <v>2381</v>
      </c>
    </row>
    <row r="484" spans="1:14" x14ac:dyDescent="0.2">
      <c r="A484" s="8" t="s">
        <v>20</v>
      </c>
      <c r="B484" s="4" t="s">
        <v>500</v>
      </c>
      <c r="C484" s="4" t="s">
        <v>501</v>
      </c>
      <c r="D484" s="4"/>
      <c r="E484" s="9">
        <f>_xll.BQL("UAL US Equity", "FA_GROWTH(HEADLINE_FCF, YOY)", "FPT=A", "FPO=5A", "ACT_EST_MAPPING=PRECISE", "FS=MRC", "CURRENCY=USD", "XLFILL=b")</f>
        <v>230.0682457364903</v>
      </c>
      <c r="F484" s="9">
        <f>_xll.BQL("UAL US Equity", "FA_GROWTH(HEADLINE_FCF, YOY)", "FPT=A", "FPO=4A", "ACT_EST_MAPPING=PRECISE", "FS=MRC", "CURRENCY=USD", "XLFILL=b")</f>
        <v>-375.67000788165427</v>
      </c>
      <c r="G484" s="9">
        <f>_xll.BQL("UAL US Equity", "FA_GROWTH(HEADLINE_FCF, YOY)", "FPT=A", "FPO=3A", "ACT_EST_MAPPING=PRECISE", "FS=MRC", "CURRENCY=USD", "XLFILL=b")</f>
        <v>67.113562537571966</v>
      </c>
      <c r="H484" s="9">
        <f>_xll.BQL("UAL US Equity", "FA_GROWTH(HEADLINE_FCF, YOY)", "FPT=A", "FPO=2A", "ACT_EST_MAPPING=PRECISE", "FS=MRC", "CURRENCY=USD", "XLFILL=b")</f>
        <v>-55.517912689926817</v>
      </c>
      <c r="I484" s="9">
        <f>_xll.BQL("UAL US Equity", "FA_GROWTH(HEADLINE_FCF, YOY)", "FPT=A", "FPO=1A", "ACT_EST_MAPPING=PRECISE", "FS=MRC", "CURRENCY=USD", "XLFILL=b")</f>
        <v>624.6936980721074</v>
      </c>
      <c r="J484" s="9">
        <f>_xll.BQL("UAL US Equity", "FA_GROWTH(HEADLINE_FCF, YOY)", "FPT=A", "FPO=0A", "ACT_EST_MAPPING=PRECISE", "FS=MRC", "CURRENCY=USD", "XLFILL=b")</f>
        <v>-122.16538789428814</v>
      </c>
      <c r="K484" s="9">
        <f>_xll.BQL("UAL US Equity", "FA_GROWTH(HEADLINE_FCF, YOY)", "FPT=A", "FPO=-1A", "ACT_EST_MAPPING=PRECISE", "FS=MRC", "CURRENCY=USD", "XLFILL=b")</f>
        <v>1850.7462686567164</v>
      </c>
      <c r="L484" s="9">
        <f>_xll.BQL("UAL US Equity", "FA_GROWTH(HEADLINE_FCF, YOY)", "FPT=A", "FPO=-2A", "ACT_EST_MAPPING=PRECISE", "FS=MRC", "CURRENCY=USD", "XLFILL=b")</f>
        <v>98.856655290102395</v>
      </c>
      <c r="M484" s="9">
        <f>_xll.BQL("UAL US Equity", "FA_GROWTH(HEADLINE_FCF, YOY)", "FPT=A", "FPO=-3A", "ACT_EST_MAPPING=PRECISE", "FS=MRC", "CURRENCY=USD", "XLFILL=b")</f>
        <v>-346.11507769844604</v>
      </c>
      <c r="N484" s="9">
        <f>_xll.BQL("UAL US Equity", "FA_GROWTH(HEADLINE_FCF, YOY)", "FPT=A", "FPO=-4A", "ACT_EST_MAPPING=PRECISE", "FS=MRC", "CURRENCY=USD", "XLFILL=b")</f>
        <v>13.705826170009551</v>
      </c>
    </row>
    <row r="485" spans="1:14" x14ac:dyDescent="0.2">
      <c r="A485" s="8" t="s">
        <v>502</v>
      </c>
      <c r="B485" s="4" t="s">
        <v>503</v>
      </c>
      <c r="C485" s="4"/>
      <c r="D485" s="4"/>
      <c r="E485" s="9">
        <f>_xll.BQL("UAL US Equity", "CAP_EXPEND_TO_SALES", "FPT=A", "FPO=5A", "ACT_EST_MAPPING=PRECISE", "FS=MRC", "CURRENCY=USD", "XLFILL=b")</f>
        <v>9.5888567432458824</v>
      </c>
      <c r="F485" s="9">
        <f>_xll.BQL("UAL US Equity", "CAP_EXPEND_TO_SALES", "FPT=A", "FPO=4A", "ACT_EST_MAPPING=PRECISE", "FS=MRC", "CURRENCY=USD", "XLFILL=b")</f>
        <v>12.609694783710623</v>
      </c>
      <c r="G485" s="9">
        <f>_xll.BQL("UAL US Equity", "CAP_EXPEND_TO_SALES", "FPT=A", "FPO=3A", "ACT_EST_MAPPING=PRECISE", "FS=MRC", "CURRENCY=USD", "XLFILL=b")</f>
        <v>13.112323364841872</v>
      </c>
      <c r="H485" s="9">
        <f>_xll.BQL("UAL US Equity", "CAP_EXPEND_TO_SALES", "FPT=A", "FPO=2A", "ACT_EST_MAPPING=PRECISE", "FS=MRC", "CURRENCY=USD", "XLFILL=b")</f>
        <v>13.646198235347748</v>
      </c>
      <c r="I485" s="9">
        <f>_xll.BQL("UAL US Equity", "CAP_EXPEND_TO_SALES", "FPT=A", "FPO=1A", "ACT_EST_MAPPING=PRECISE", "FS=MRC", "CURRENCY=USD", "XLFILL=b")</f>
        <v>11.020183888247557</v>
      </c>
      <c r="J485" s="9">
        <f>_xll.BQL("UAL US Equity", "CAP_EXPEND_TO_SALES", "FPT=A", "FPO=0A", "ACT_EST_MAPPING=PRECISE", "FS=MRC", "CURRENCY=USD", "XLFILL=b")</f>
        <v>13.34959137703148</v>
      </c>
      <c r="K485" s="9">
        <f>_xll.BQL("UAL US Equity", "CAP_EXPEND_TO_SALES", "FPT=A", "FPO=-1A", "ACT_EST_MAPPING=PRECISE", "FS=MRC", "CURRENCY=USD", "XLFILL=b")</f>
        <v>10.719608497386275</v>
      </c>
      <c r="L485" s="9">
        <f>_xll.BQL("UAL US Equity", "CAP_EXPEND_TO_SALES", "FPT=A", "FPO=-2A", "ACT_EST_MAPPING=PRECISE", "FS=MRC", "CURRENCY=USD", "XLFILL=b")</f>
        <v>8.5532191280344243</v>
      </c>
      <c r="M485" s="9">
        <f>_xll.BQL("UAL US Equity", "CAP_EXPEND_TO_SALES", "FPT=A", "FPO=-3A", "ACT_EST_MAPPING=PRECISE", "FS=MRC", "CURRENCY=USD", "XLFILL=b")</f>
        <v>11.247150765223054</v>
      </c>
      <c r="N485" s="9">
        <f>_xll.BQL("UAL US Equity", "CAP_EXPEND_TO_SALES", "FPT=A", "FPO=-4A", "ACT_EST_MAPPING=PRECISE", "FS=MRC", "CURRENCY=USD", "XLFILL=b")</f>
        <v>10.467186019094292</v>
      </c>
    </row>
    <row r="486" spans="1:14" x14ac:dyDescent="0.2">
      <c r="A486" s="8" t="s">
        <v>20</v>
      </c>
      <c r="B486" s="4" t="s">
        <v>503</v>
      </c>
      <c r="C486" s="4"/>
      <c r="D486" s="4"/>
      <c r="E486" s="9">
        <f>_xll.BQL("UAL US Equity", "FA_GROWTH(CAP_EXPEND_TO_SALES, YOY)", "FPT=A", "FPO=5A", "ACT_EST_MAPPING=PRECISE", "FS=MRC", "CURRENCY=USD", "XLFILL=b")</f>
        <v>-23.956472319751153</v>
      </c>
      <c r="F486" s="9">
        <f>_xll.BQL("UAL US Equity", "FA_GROWTH(CAP_EXPEND_TO_SALES, YOY)", "FPT=A", "FPO=4A", "ACT_EST_MAPPING=PRECISE", "FS=MRC", "CURRENCY=USD", "XLFILL=b")</f>
        <v>-3.8332533994619866</v>
      </c>
      <c r="G486" s="9">
        <f>_xll.BQL("UAL US Equity", "FA_GROWTH(CAP_EXPEND_TO_SALES, YOY)", "FPT=A", "FPO=3A", "ACT_EST_MAPPING=PRECISE", "FS=MRC", "CURRENCY=USD", "XLFILL=b")</f>
        <v>-3.9122608458301604</v>
      </c>
      <c r="H486" s="9">
        <f>_xll.BQL("UAL US Equity", "FA_GROWTH(CAP_EXPEND_TO_SALES, YOY)", "FPT=A", "FPO=2A", "ACT_EST_MAPPING=PRECISE", "FS=MRC", "CURRENCY=USD", "XLFILL=b")</f>
        <v>23.829133649037356</v>
      </c>
      <c r="I486" s="9">
        <f>_xll.BQL("UAL US Equity", "FA_GROWTH(CAP_EXPEND_TO_SALES, YOY)", "FPT=A", "FPO=1A", "ACT_EST_MAPPING=PRECISE", "FS=MRC", "CURRENCY=USD", "XLFILL=b")</f>
        <v>-17.449279329940875</v>
      </c>
      <c r="J486" s="9">
        <f>_xll.BQL("UAL US Equity", "FA_GROWTH(CAP_EXPEND_TO_SALES, YOY)", "FPT=A", "FPO=0A", "ACT_EST_MAPPING=PRECISE", "FS=MRC", "CURRENCY=USD", "XLFILL=b")</f>
        <v>24.534318396856232</v>
      </c>
      <c r="K486" s="9">
        <f>_xll.BQL("UAL US Equity", "FA_GROWTH(CAP_EXPEND_TO_SALES, YOY)", "FPT=A", "FPO=-1A", "ACT_EST_MAPPING=PRECISE", "FS=MRC", "CURRENCY=USD", "XLFILL=b")</f>
        <v>25.328351079550778</v>
      </c>
      <c r="L486" s="9">
        <f>_xll.BQL("UAL US Equity", "FA_GROWTH(CAP_EXPEND_TO_SALES, YOY)", "FPT=A", "FPO=-2A", "ACT_EST_MAPPING=PRECISE", "FS=MRC", "CURRENCY=USD", "XLFILL=b")</f>
        <v>-23.952125239740251</v>
      </c>
      <c r="M486" s="9">
        <f>_xll.BQL("UAL US Equity", "FA_GROWTH(CAP_EXPEND_TO_SALES, YOY)", "FPT=A", "FPO=-3A", "ACT_EST_MAPPING=PRECISE", "FS=MRC", "CURRENCY=USD", "XLFILL=b")</f>
        <v>7.4515227369222874</v>
      </c>
      <c r="N486" s="9">
        <f>_xll.BQL("UAL US Equity", "FA_GROWTH(CAP_EXPEND_TO_SALES, YOY)", "FPT=A", "FPO=-4A", "ACT_EST_MAPPING=PRECISE", "FS=MRC", "CURRENCY=USD", "XLFILL=b")</f>
        <v>6.2226496674819538</v>
      </c>
    </row>
    <row r="487" spans="1:14" x14ac:dyDescent="0.2">
      <c r="A487" s="8" t="s">
        <v>239</v>
      </c>
      <c r="B487" s="4" t="s">
        <v>504</v>
      </c>
      <c r="C487" s="4"/>
      <c r="D487" s="4"/>
      <c r="E487" s="9">
        <f>_xll.BQL("UAL US Equity", "EBITDAR/1M", "FPT=A", "FPO=5A", "ACT_EST_MAPPING=PRECISE", "FS=MRC", "CURRENCY=USD", "XLFILL=b")</f>
        <v>11444.650426670716</v>
      </c>
      <c r="F487" s="9">
        <f>_xll.BQL("UAL US Equity", "EBITDAR/1M", "FPT=A", "FPO=4A", "ACT_EST_MAPPING=PRECISE", "FS=MRC", "CURRENCY=USD", "XLFILL=b")</f>
        <v>10808.244954178492</v>
      </c>
      <c r="G487" s="9">
        <f>_xll.BQL("UAL US Equity", "EBITDAR/1M", "FPT=A", "FPO=3A", "ACT_EST_MAPPING=PRECISE", "FS=MRC", "CURRENCY=USD", "XLFILL=b")</f>
        <v>10061.475388983446</v>
      </c>
      <c r="H487" s="9">
        <f>_xll.BQL("UAL US Equity", "EBITDAR/1M", "FPT=A", "FPO=2A", "ACT_EST_MAPPING=PRECISE", "FS=MRC", "CURRENCY=USD", "XLFILL=b")</f>
        <v>8983.3300535863709</v>
      </c>
      <c r="I487" s="9">
        <f>_xll.BQL("UAL US Equity", "EBITDAR/1M", "FPT=A", "FPO=1A", "ACT_EST_MAPPING=PRECISE", "FS=MRC", "CURRENCY=USD", "XLFILL=b")</f>
        <v>7781.8481425978698</v>
      </c>
      <c r="J487" s="9">
        <f>_xll.BQL("UAL US Equity", "EBITDAR/1M", "FPT=A", "FPO=0A", "ACT_EST_MAPPING=PRECISE", "FS=MRC", "CURRENCY=USD", "XLFILL=b")</f>
        <v>10796</v>
      </c>
      <c r="K487" s="9">
        <f>_xll.BQL("UAL US Equity", "EBITDAR/1M", "FPT=A", "FPO=-1A", "ACT_EST_MAPPING=PRECISE", "FS=MRC", "CURRENCY=USD", "XLFILL=b")</f>
        <v>8304</v>
      </c>
      <c r="L487" s="9">
        <f>_xll.BQL("UAL US Equity", "EBITDAR/1M", "FPT=A", "FPO=-2A", "ACT_EST_MAPPING=PRECISE", "FS=MRC", "CURRENCY=USD", "XLFILL=b")</f>
        <v>4686</v>
      </c>
      <c r="M487" s="9">
        <f>_xll.BQL("UAL US Equity", "EBITDAR/1M", "FPT=A", "FPO=-3A", "ACT_EST_MAPPING=PRECISE", "FS=MRC", "CURRENCY=USD", "XLFILL=b")</f>
        <v>-993</v>
      </c>
      <c r="N487" s="9">
        <f>_xll.BQL("UAL US Equity", "EBITDAR/1M", "FPT=A", "FPO=-4A", "ACT_EST_MAPPING=PRECISE", "FS=MRC", "CURRENCY=USD", "XLFILL=b")</f>
        <v>10143</v>
      </c>
    </row>
    <row r="488" spans="1:14" x14ac:dyDescent="0.2">
      <c r="A488" s="8" t="s">
        <v>20</v>
      </c>
      <c r="B488" s="4" t="s">
        <v>504</v>
      </c>
      <c r="C488" s="4"/>
      <c r="D488" s="4"/>
      <c r="E488" s="9">
        <f>_xll.BQL("UAL US Equity", "FA_GROWTH(EBITDAR, YOY)", "FPT=A", "FPO=5A", "ACT_EST_MAPPING=PRECISE", "FS=MRC", "CURRENCY=USD", "XLFILL=b")</f>
        <v>5.888148123865272</v>
      </c>
      <c r="F488" s="9">
        <f>_xll.BQL("UAL US Equity", "FA_GROWTH(EBITDAR, YOY)", "FPT=A", "FPO=4A", "ACT_EST_MAPPING=PRECISE", "FS=MRC", "CURRENCY=USD", "XLFILL=b")</f>
        <v>7.4220681989909911</v>
      </c>
      <c r="G488" s="9">
        <f>_xll.BQL("UAL US Equity", "FA_GROWTH(EBITDAR, YOY)", "FPT=A", "FPO=3A", "ACT_EST_MAPPING=PRECISE", "FS=MRC", "CURRENCY=USD", "XLFILL=b")</f>
        <v>12.001622215435054</v>
      </c>
      <c r="H488" s="9">
        <f>_xll.BQL("UAL US Equity", "FA_GROWTH(EBITDAR, YOY)", "FPT=A", "FPO=2A", "ACT_EST_MAPPING=PRECISE", "FS=MRC", "CURRENCY=USD", "XLFILL=b")</f>
        <v>15.439544552554086</v>
      </c>
      <c r="I488" s="9">
        <f>_xll.BQL("UAL US Equity", "FA_GROWTH(EBITDAR, YOY)", "FPT=A", "FPO=1A", "ACT_EST_MAPPING=PRECISE", "FS=MRC", "CURRENCY=USD", "XLFILL=b")</f>
        <v>-27.919153921842629</v>
      </c>
      <c r="J488" s="9">
        <f>_xll.BQL("UAL US Equity", "FA_GROWTH(EBITDAR, YOY)", "FPT=A", "FPO=0A", "ACT_EST_MAPPING=PRECISE", "FS=MRC", "CURRENCY=USD", "XLFILL=b")</f>
        <v>30.009633911368017</v>
      </c>
      <c r="K488" s="9">
        <f>_xll.BQL("UAL US Equity", "FA_GROWTH(EBITDAR, YOY)", "FPT=A", "FPO=-1A", "ACT_EST_MAPPING=PRECISE", "FS=MRC", "CURRENCY=USD", "XLFILL=b")</f>
        <v>77.208706786171575</v>
      </c>
      <c r="L488" s="9">
        <f>_xll.BQL("UAL US Equity", "FA_GROWTH(EBITDAR, YOY)", "FPT=A", "FPO=-2A", "ACT_EST_MAPPING=PRECISE", "FS=MRC", "CURRENCY=USD", "XLFILL=b")</f>
        <v>571.90332326283988</v>
      </c>
      <c r="M488" s="9">
        <f>_xll.BQL("UAL US Equity", "FA_GROWTH(EBITDAR, YOY)", "FPT=A", "FPO=-3A", "ACT_EST_MAPPING=PRECISE", "FS=MRC", "CURRENCY=USD", "XLFILL=b")</f>
        <v>-109.79000295770481</v>
      </c>
      <c r="N488" s="9">
        <f>_xll.BQL("UAL US Equity", "FA_GROWTH(EBITDAR, YOY)", "FPT=A", "FPO=-4A", "ACT_EST_MAPPING=PRECISE", "FS=MRC", "CURRENCY=USD", "XLFILL=b")</f>
        <v>10.998030203545634</v>
      </c>
    </row>
    <row r="489" spans="1:14" x14ac:dyDescent="0.2">
      <c r="A489" s="5" t="s">
        <v>505</v>
      </c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69A930CDD3054DBC716B01DADABC2F" ma:contentTypeVersion="5" ma:contentTypeDescription="Create a new document." ma:contentTypeScope="" ma:versionID="fbfb07255d9ec9fae998da763e198ecb">
  <xsd:schema xmlns:xsd="http://www.w3.org/2001/XMLSchema" xmlns:xs="http://www.w3.org/2001/XMLSchema" xmlns:p="http://schemas.microsoft.com/office/2006/metadata/properties" xmlns:ns3="e1ffb5b7-7f01-49f9-bb97-00985892725c" targetNamespace="http://schemas.microsoft.com/office/2006/metadata/properties" ma:root="true" ma:fieldsID="de28d6bd9adfe59aba35f91886773b82" ns3:_="">
    <xsd:import namespace="e1ffb5b7-7f01-49f9-bb97-00985892725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fb5b7-7f01-49f9-bb97-00985892725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C0F8D3-B90A-42BE-98C9-41AB00894D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EAF3EA-3268-4D92-8106-75F2CBD866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86E2979-C431-4257-8514-7FB501C94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ffb5b7-7f01-49f9-bb97-009858927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Periods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Salian, Nithi Dinesh</cp:lastModifiedBy>
  <cp:revision/>
  <dcterms:created xsi:type="dcterms:W3CDTF">2013-04-03T15:49:21Z</dcterms:created>
  <dcterms:modified xsi:type="dcterms:W3CDTF">2024-09-29T01:20:44Z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0x0101006069A930CDD3054DBC716B01DADABC2F</vt:lpwstr>
  </property>
</Properties>
</file>