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program\"/>
    </mc:Choice>
  </mc:AlternateContent>
  <bookViews>
    <workbookView xWindow="0" yWindow="0" windowWidth="20490" windowHeight="7575"/>
  </bookViews>
  <sheets>
    <sheet name="2020" sheetId="1" r:id="rId1"/>
    <sheet name="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1" l="1"/>
  <c r="P71" i="1"/>
  <c r="K71" i="1"/>
  <c r="F71" i="1"/>
  <c r="U71" i="2"/>
  <c r="P71" i="2"/>
  <c r="K71" i="2"/>
  <c r="F71" i="2"/>
  <c r="T71" i="2"/>
  <c r="O71" i="2"/>
  <c r="J71" i="2"/>
  <c r="E71" i="2"/>
  <c r="T71" i="1"/>
  <c r="O71" i="1"/>
  <c r="J71" i="1"/>
  <c r="E71" i="1"/>
  <c r="S71" i="1"/>
  <c r="N71" i="1"/>
  <c r="I71" i="1"/>
  <c r="D71" i="1"/>
  <c r="S71" i="2"/>
  <c r="N71" i="2"/>
  <c r="I71" i="2"/>
  <c r="D71" i="2"/>
  <c r="O70" i="2"/>
  <c r="U70" i="2"/>
  <c r="K70" i="2"/>
  <c r="F70" i="2"/>
  <c r="U70" i="1"/>
  <c r="U69" i="1"/>
  <c r="P70" i="1"/>
  <c r="P69" i="1"/>
  <c r="K70" i="1"/>
  <c r="F70" i="1"/>
  <c r="T70" i="1"/>
  <c r="O70" i="1"/>
  <c r="J70" i="1"/>
  <c r="E70" i="1"/>
  <c r="T70" i="2"/>
  <c r="J70" i="2"/>
  <c r="E70" i="2"/>
  <c r="S70" i="2"/>
  <c r="N70" i="2"/>
  <c r="I70" i="2"/>
  <c r="D70" i="2"/>
  <c r="S70" i="1"/>
  <c r="N70" i="1"/>
  <c r="I70" i="1"/>
  <c r="D70" i="1"/>
  <c r="U69" i="2"/>
  <c r="T69" i="2"/>
  <c r="P69" i="2"/>
  <c r="O69" i="2"/>
  <c r="K69" i="2"/>
  <c r="J69" i="2"/>
  <c r="F69" i="2"/>
  <c r="E69" i="2"/>
  <c r="O69" i="1"/>
  <c r="K69" i="1"/>
  <c r="J69" i="1"/>
  <c r="F69" i="1"/>
  <c r="E69" i="1"/>
  <c r="S69" i="1"/>
  <c r="N69" i="1"/>
  <c r="I69" i="1"/>
  <c r="D69" i="1"/>
  <c r="S69" i="2"/>
  <c r="N69" i="2"/>
  <c r="I69" i="2"/>
  <c r="D69" i="2"/>
  <c r="U68" i="1"/>
  <c r="P68" i="1"/>
  <c r="K68" i="1"/>
  <c r="F68" i="1"/>
  <c r="U68" i="2"/>
  <c r="P68" i="2"/>
  <c r="K68" i="2"/>
  <c r="F68" i="2"/>
  <c r="T68" i="2"/>
  <c r="O68" i="2"/>
  <c r="J68" i="2"/>
  <c r="E68" i="2"/>
  <c r="T68" i="1"/>
  <c r="O68" i="1"/>
  <c r="J68" i="1"/>
  <c r="E68" i="1"/>
  <c r="S68" i="1"/>
  <c r="N68" i="1"/>
  <c r="I68" i="1"/>
  <c r="D68" i="1"/>
  <c r="S68" i="2"/>
  <c r="N68" i="2"/>
  <c r="I68" i="2"/>
  <c r="D68" i="2"/>
  <c r="U67" i="2"/>
  <c r="P67" i="2"/>
  <c r="K67" i="2"/>
  <c r="F67" i="2"/>
  <c r="U67" i="1"/>
  <c r="P67" i="1"/>
  <c r="K67" i="1"/>
  <c r="F67" i="1"/>
  <c r="T67" i="1"/>
  <c r="O67" i="1"/>
  <c r="J67" i="1"/>
  <c r="E67" i="1"/>
  <c r="T67" i="2"/>
  <c r="O67" i="2"/>
  <c r="J67" i="2"/>
  <c r="E67" i="2"/>
  <c r="S67" i="2"/>
  <c r="N67" i="2"/>
  <c r="I67" i="2"/>
  <c r="D67" i="2"/>
  <c r="S67" i="1"/>
  <c r="N67" i="1"/>
  <c r="I67" i="1"/>
  <c r="D67" i="1"/>
  <c r="D66" i="1" l="1"/>
  <c r="U65" i="1"/>
  <c r="P65" i="1"/>
  <c r="K65" i="1"/>
  <c r="F65" i="1"/>
  <c r="U65" i="2"/>
  <c r="P65" i="2"/>
  <c r="K65" i="2"/>
  <c r="F65" i="2"/>
  <c r="T65" i="2"/>
  <c r="O65" i="2"/>
  <c r="J65" i="2"/>
  <c r="E65" i="2"/>
  <c r="T65" i="1"/>
  <c r="O65" i="1"/>
  <c r="J65" i="1"/>
  <c r="E65" i="1"/>
  <c r="S65" i="1"/>
  <c r="N65" i="1"/>
  <c r="I65" i="1"/>
  <c r="D65" i="1"/>
  <c r="S65" i="2"/>
  <c r="N65" i="2"/>
  <c r="I65" i="2"/>
  <c r="D65" i="2"/>
  <c r="U64" i="1"/>
  <c r="P64" i="1"/>
  <c r="K64" i="1"/>
  <c r="F64" i="1"/>
  <c r="U64" i="2"/>
  <c r="P64" i="2"/>
  <c r="K64" i="2"/>
  <c r="F64" i="2"/>
  <c r="T64" i="2"/>
  <c r="O64" i="2"/>
  <c r="J64" i="2"/>
  <c r="E64" i="2"/>
  <c r="T64" i="1"/>
  <c r="O64" i="1"/>
  <c r="J64" i="1"/>
  <c r="E64" i="1"/>
  <c r="S64" i="1"/>
  <c r="N64" i="1"/>
  <c r="I64" i="1"/>
  <c r="D64" i="1"/>
  <c r="S64" i="2"/>
  <c r="N64" i="2"/>
  <c r="I64" i="2"/>
  <c r="D64" i="2"/>
  <c r="U63" i="1"/>
  <c r="P63" i="1"/>
  <c r="K63" i="1"/>
  <c r="F63" i="1"/>
  <c r="U63" i="2"/>
  <c r="P63" i="2"/>
  <c r="K63" i="2"/>
  <c r="F63" i="2"/>
  <c r="T63" i="2"/>
  <c r="O63" i="2"/>
  <c r="J63" i="2"/>
  <c r="E63" i="2"/>
  <c r="T63" i="1"/>
  <c r="O63" i="1"/>
  <c r="J63" i="1"/>
  <c r="E63" i="1"/>
  <c r="S63" i="1"/>
  <c r="N63" i="1"/>
  <c r="D63" i="1"/>
  <c r="S63" i="2"/>
  <c r="N63" i="2"/>
  <c r="I63" i="2"/>
  <c r="D63" i="2"/>
  <c r="U62" i="1"/>
  <c r="P62" i="1"/>
  <c r="K62" i="1"/>
  <c r="F62" i="1"/>
  <c r="U62" i="2"/>
  <c r="P62" i="2"/>
  <c r="K62" i="2"/>
  <c r="F62" i="2"/>
  <c r="T62" i="2"/>
  <c r="O62" i="2"/>
  <c r="J62" i="2"/>
  <c r="E62" i="2"/>
  <c r="T62" i="1"/>
  <c r="O62" i="1"/>
  <c r="J62" i="1"/>
  <c r="E62" i="1"/>
  <c r="S62" i="2"/>
  <c r="N62" i="2"/>
  <c r="I62" i="2"/>
  <c r="S62" i="1"/>
  <c r="N62" i="1"/>
  <c r="I62" i="1"/>
  <c r="D62" i="1"/>
  <c r="D62" i="2"/>
  <c r="U61" i="2" l="1"/>
  <c r="P61" i="2"/>
  <c r="K61" i="2"/>
  <c r="F61" i="2"/>
  <c r="U61" i="1"/>
  <c r="P61" i="1"/>
  <c r="K61" i="1"/>
  <c r="F61" i="1"/>
  <c r="T61" i="2"/>
  <c r="O61" i="2"/>
  <c r="J61" i="2"/>
  <c r="E61" i="2"/>
  <c r="T61" i="1"/>
  <c r="O61" i="1"/>
  <c r="J61" i="1"/>
  <c r="E61" i="1"/>
  <c r="S61" i="1"/>
  <c r="N61" i="1"/>
  <c r="I61" i="1"/>
  <c r="D61" i="1"/>
  <c r="S61" i="2"/>
  <c r="N61" i="2"/>
  <c r="I61" i="2"/>
  <c r="D61" i="2"/>
  <c r="U60" i="1"/>
  <c r="P60" i="1"/>
  <c r="K60" i="1"/>
  <c r="F60" i="1"/>
  <c r="U60" i="2"/>
  <c r="P60" i="2"/>
  <c r="K60" i="2"/>
  <c r="F60" i="2"/>
  <c r="T60" i="2"/>
  <c r="O60" i="2"/>
  <c r="J60" i="2"/>
  <c r="E60" i="2"/>
  <c r="T60" i="1"/>
  <c r="O60" i="1"/>
  <c r="J60" i="1"/>
  <c r="E60" i="1"/>
  <c r="S60" i="1"/>
  <c r="N60" i="1"/>
  <c r="I60" i="1"/>
  <c r="D60" i="1"/>
  <c r="S60" i="2"/>
  <c r="N60" i="2"/>
  <c r="D60" i="2"/>
  <c r="I60" i="2"/>
  <c r="U59" i="1"/>
  <c r="P59" i="1"/>
  <c r="K59" i="1"/>
  <c r="F59" i="1"/>
  <c r="U59" i="2"/>
  <c r="P59" i="2"/>
  <c r="K59" i="2"/>
  <c r="F59" i="2"/>
  <c r="T59" i="2"/>
  <c r="O59" i="2"/>
  <c r="J59" i="2"/>
  <c r="E59" i="2"/>
  <c r="T59" i="1"/>
  <c r="O59" i="1"/>
  <c r="J59" i="1"/>
  <c r="E59" i="1"/>
  <c r="S59" i="1"/>
  <c r="N59" i="1"/>
  <c r="I59" i="1"/>
  <c r="D59" i="1"/>
  <c r="S59" i="2"/>
  <c r="N59" i="2"/>
  <c r="I59" i="2"/>
  <c r="D59" i="2"/>
  <c r="U58" i="1"/>
  <c r="P58" i="1"/>
  <c r="K58" i="1"/>
  <c r="F58" i="1"/>
  <c r="U58" i="2"/>
  <c r="P58" i="2"/>
  <c r="K58" i="2"/>
  <c r="F58" i="2"/>
  <c r="T58" i="2"/>
  <c r="O58" i="2"/>
  <c r="J58" i="2"/>
  <c r="E58" i="2"/>
  <c r="T58" i="1"/>
  <c r="O58" i="1"/>
  <c r="J58" i="1"/>
  <c r="E58" i="1"/>
  <c r="S58" i="2"/>
  <c r="N58" i="2"/>
  <c r="I58" i="2"/>
  <c r="D58" i="2"/>
  <c r="S58" i="1"/>
  <c r="N58" i="1"/>
  <c r="I58" i="1"/>
  <c r="D58" i="1"/>
  <c r="U57" i="1"/>
  <c r="P57" i="1"/>
  <c r="K57" i="1"/>
  <c r="F57" i="1"/>
  <c r="U57" i="2"/>
  <c r="P57" i="2"/>
  <c r="K57" i="2"/>
  <c r="F57" i="2"/>
  <c r="T57" i="2"/>
  <c r="O57" i="2"/>
  <c r="J57" i="2"/>
  <c r="E57" i="2"/>
  <c r="T57" i="1"/>
  <c r="O57" i="1"/>
  <c r="J57" i="1"/>
  <c r="E57" i="1"/>
  <c r="S57" i="1"/>
  <c r="N57" i="1"/>
  <c r="I57" i="1"/>
  <c r="D57" i="1"/>
  <c r="S57" i="2"/>
  <c r="N57" i="2"/>
  <c r="I57" i="2"/>
  <c r="D57" i="2"/>
  <c r="U56" i="1" l="1"/>
  <c r="T56" i="1"/>
  <c r="P56" i="1"/>
  <c r="O56" i="1"/>
  <c r="K56" i="1"/>
  <c r="J56" i="1"/>
  <c r="F56" i="1"/>
  <c r="E56" i="1"/>
  <c r="U56" i="2"/>
  <c r="T56" i="2"/>
  <c r="P56" i="2"/>
  <c r="O56" i="2"/>
  <c r="K56" i="2"/>
  <c r="J56" i="2"/>
  <c r="F56" i="2"/>
  <c r="E56" i="2"/>
  <c r="S56" i="2"/>
  <c r="N56" i="2"/>
  <c r="I56" i="2"/>
  <c r="D56" i="2"/>
  <c r="S56" i="1"/>
  <c r="N56" i="1"/>
  <c r="I56" i="1"/>
  <c r="D56" i="1"/>
  <c r="U55" i="2"/>
  <c r="T55" i="2"/>
  <c r="P55" i="2"/>
  <c r="O55" i="2"/>
  <c r="K55" i="2"/>
  <c r="J55" i="2"/>
  <c r="F55" i="2"/>
  <c r="E55" i="2"/>
  <c r="U55" i="1"/>
  <c r="T55" i="1"/>
  <c r="P55" i="1"/>
  <c r="O55" i="1"/>
  <c r="K55" i="1"/>
  <c r="J55" i="1"/>
  <c r="F55" i="1"/>
  <c r="E55" i="1"/>
  <c r="S55" i="2"/>
  <c r="N55" i="2"/>
  <c r="I55" i="2"/>
  <c r="D55" i="2"/>
  <c r="S55" i="1"/>
  <c r="N55" i="1"/>
  <c r="I55" i="1"/>
  <c r="D55" i="1"/>
  <c r="U54" i="2"/>
  <c r="P54" i="2"/>
  <c r="K54" i="2"/>
  <c r="F54" i="2"/>
  <c r="U54" i="1"/>
  <c r="P54" i="1"/>
  <c r="K54" i="1"/>
  <c r="F54" i="1"/>
  <c r="T54" i="2"/>
  <c r="O54" i="2"/>
  <c r="J54" i="2"/>
  <c r="E54" i="2"/>
  <c r="T54" i="1"/>
  <c r="O54" i="1"/>
  <c r="J54" i="1"/>
  <c r="E54" i="1"/>
  <c r="S54" i="2"/>
  <c r="N54" i="2"/>
  <c r="I54" i="2"/>
  <c r="D54" i="2"/>
  <c r="S54" i="1"/>
  <c r="N54" i="1"/>
  <c r="I54" i="1"/>
  <c r="D54" i="1"/>
  <c r="U53" i="2"/>
  <c r="P53" i="2"/>
  <c r="K53" i="2"/>
  <c r="F53" i="2"/>
  <c r="U53" i="1"/>
  <c r="P53" i="1"/>
  <c r="K53" i="1"/>
  <c r="F53" i="1"/>
  <c r="T53" i="2"/>
  <c r="J53" i="2"/>
  <c r="O53" i="2"/>
  <c r="E53" i="2"/>
  <c r="T53" i="1"/>
  <c r="O53" i="1"/>
  <c r="J53" i="1"/>
  <c r="E53" i="1"/>
  <c r="S53" i="2"/>
  <c r="N53" i="2"/>
  <c r="I53" i="2"/>
  <c r="D53" i="2"/>
  <c r="S53" i="1"/>
  <c r="N53" i="1"/>
  <c r="I53" i="1"/>
  <c r="D53" i="1"/>
  <c r="U52" i="2"/>
  <c r="P52" i="2"/>
  <c r="K52" i="2"/>
  <c r="F52" i="2"/>
  <c r="U52" i="1"/>
  <c r="P52" i="1"/>
  <c r="K52" i="1"/>
  <c r="F52" i="1"/>
  <c r="J52" i="2"/>
  <c r="O52" i="2"/>
  <c r="T52" i="2"/>
  <c r="E52" i="2"/>
  <c r="T52" i="1"/>
  <c r="O52" i="1"/>
  <c r="J52" i="1"/>
  <c r="E52" i="1"/>
  <c r="S52" i="2"/>
  <c r="N52" i="2"/>
  <c r="I52" i="2"/>
  <c r="D52" i="2"/>
  <c r="S52" i="1"/>
  <c r="N52" i="1"/>
  <c r="I52" i="1"/>
  <c r="D52" i="1"/>
  <c r="U51" i="2" l="1"/>
  <c r="P51" i="2"/>
  <c r="K51" i="2"/>
  <c r="F51" i="2"/>
  <c r="U51" i="1"/>
  <c r="P51" i="1"/>
  <c r="K51" i="1"/>
  <c r="F51" i="1"/>
  <c r="T51" i="2"/>
  <c r="O51" i="2"/>
  <c r="J51" i="2"/>
  <c r="E51" i="2"/>
  <c r="T51" i="1"/>
  <c r="O51" i="1"/>
  <c r="J51" i="1"/>
  <c r="E51" i="1"/>
  <c r="S51" i="2"/>
  <c r="N51" i="2"/>
  <c r="I51" i="2"/>
  <c r="D51" i="2"/>
  <c r="S51" i="1"/>
  <c r="N51" i="1"/>
  <c r="I51" i="1"/>
  <c r="D51" i="1"/>
  <c r="U50" i="2"/>
  <c r="P50" i="2"/>
  <c r="K50" i="2"/>
  <c r="F50" i="2"/>
  <c r="U50" i="1"/>
  <c r="P50" i="1"/>
  <c r="K50" i="1"/>
  <c r="F50" i="1"/>
  <c r="T50" i="2"/>
  <c r="O50" i="2"/>
  <c r="J50" i="2"/>
  <c r="E50" i="2"/>
  <c r="T50" i="1"/>
  <c r="O50" i="1"/>
  <c r="J50" i="1"/>
  <c r="E50" i="1"/>
  <c r="S50" i="2"/>
  <c r="N50" i="2"/>
  <c r="I50" i="2"/>
  <c r="D50" i="2"/>
  <c r="S50" i="1"/>
  <c r="N50" i="1"/>
  <c r="I50" i="1"/>
  <c r="D50" i="1"/>
  <c r="U49" i="2"/>
  <c r="T49" i="2"/>
  <c r="P49" i="2"/>
  <c r="O49" i="2"/>
  <c r="K49" i="2"/>
  <c r="J49" i="2"/>
  <c r="F49" i="2"/>
  <c r="E49" i="2"/>
  <c r="U49" i="1"/>
  <c r="T49" i="1"/>
  <c r="P49" i="1"/>
  <c r="O49" i="1"/>
  <c r="K49" i="1"/>
  <c r="J49" i="1"/>
  <c r="F49" i="1"/>
  <c r="E49" i="1"/>
  <c r="S49" i="2"/>
  <c r="N49" i="2"/>
  <c r="I49" i="2"/>
  <c r="D49" i="2"/>
  <c r="S49" i="1"/>
  <c r="N49" i="1"/>
  <c r="I49" i="1"/>
  <c r="D49" i="1"/>
  <c r="U48" i="2"/>
  <c r="P48" i="2"/>
  <c r="K48" i="2"/>
  <c r="F48" i="2"/>
  <c r="U48" i="1"/>
  <c r="P48" i="1"/>
  <c r="K48" i="1"/>
  <c r="F48" i="1"/>
  <c r="T48" i="2"/>
  <c r="O48" i="2"/>
  <c r="J48" i="2"/>
  <c r="E48" i="2"/>
  <c r="T48" i="1"/>
  <c r="O48" i="1"/>
  <c r="J48" i="1"/>
  <c r="E48" i="1"/>
  <c r="S48" i="2"/>
  <c r="N48" i="2"/>
  <c r="I48" i="2"/>
  <c r="D48" i="2"/>
  <c r="S48" i="1"/>
  <c r="N48" i="1"/>
  <c r="I48" i="1"/>
  <c r="D48" i="1"/>
  <c r="U47" i="2"/>
  <c r="P47" i="2"/>
  <c r="K47" i="2"/>
  <c r="F47" i="2"/>
  <c r="U47" i="1"/>
  <c r="P47" i="1"/>
  <c r="K47" i="1"/>
  <c r="F47" i="1"/>
  <c r="T47" i="2"/>
  <c r="O47" i="2"/>
  <c r="J47" i="2"/>
  <c r="E47" i="2"/>
  <c r="T47" i="1"/>
  <c r="O47" i="1"/>
  <c r="J47" i="1"/>
  <c r="E47" i="1"/>
  <c r="S47" i="2"/>
  <c r="N47" i="2"/>
  <c r="I47" i="2"/>
  <c r="D47" i="2"/>
  <c r="S47" i="1"/>
  <c r="N47" i="1"/>
  <c r="I47" i="1"/>
  <c r="D47" i="1"/>
  <c r="U46" i="2"/>
  <c r="P46" i="2"/>
  <c r="K46" i="2"/>
  <c r="F46" i="2"/>
  <c r="U46" i="1"/>
  <c r="P46" i="1"/>
  <c r="K46" i="1"/>
  <c r="F46" i="1"/>
  <c r="T46" i="2"/>
  <c r="O46" i="2"/>
  <c r="J46" i="2"/>
  <c r="E46" i="2"/>
  <c r="T46" i="1"/>
  <c r="O46" i="1"/>
  <c r="J46" i="1"/>
  <c r="E46" i="1"/>
  <c r="S46" i="2"/>
  <c r="N46" i="2"/>
  <c r="I46" i="2"/>
  <c r="D46" i="2"/>
  <c r="S46" i="1"/>
  <c r="N46" i="1"/>
  <c r="I46" i="1"/>
  <c r="D46" i="1"/>
  <c r="U45" i="2"/>
  <c r="P45" i="2"/>
  <c r="K45" i="2"/>
  <c r="F45" i="2"/>
  <c r="U45" i="1"/>
  <c r="P45" i="1"/>
  <c r="K45" i="1"/>
  <c r="F45" i="1"/>
  <c r="T45" i="2"/>
  <c r="O45" i="2"/>
  <c r="J45" i="2"/>
  <c r="E45" i="2"/>
  <c r="T45" i="1"/>
  <c r="O45" i="1"/>
  <c r="J45" i="1"/>
  <c r="E45" i="1"/>
  <c r="S45" i="2"/>
  <c r="N45" i="2"/>
  <c r="I45" i="2"/>
  <c r="D45" i="2"/>
  <c r="S45" i="1"/>
  <c r="N45" i="1"/>
  <c r="I45" i="1"/>
  <c r="D45" i="1"/>
  <c r="U44" i="2"/>
  <c r="P44" i="2"/>
  <c r="K44" i="2"/>
  <c r="F44" i="2"/>
  <c r="U44" i="1"/>
  <c r="P44" i="1"/>
  <c r="K44" i="1"/>
  <c r="F44" i="1"/>
  <c r="T44" i="2"/>
  <c r="O44" i="2"/>
  <c r="J44" i="2"/>
  <c r="E44" i="2"/>
  <c r="T44" i="1"/>
  <c r="O44" i="1"/>
  <c r="J44" i="1"/>
  <c r="E44" i="1"/>
  <c r="S44" i="2"/>
  <c r="N44" i="2"/>
  <c r="I44" i="2"/>
  <c r="D44" i="2"/>
  <c r="S44" i="1"/>
  <c r="N44" i="1"/>
  <c r="I44" i="1"/>
  <c r="D44" i="1"/>
  <c r="U43" i="2"/>
  <c r="T43" i="2"/>
  <c r="P43" i="2"/>
  <c r="O43" i="2"/>
  <c r="K43" i="2"/>
  <c r="J43" i="2"/>
  <c r="F43" i="2"/>
  <c r="E43" i="2"/>
  <c r="U43" i="1"/>
  <c r="T43" i="1"/>
  <c r="P43" i="1"/>
  <c r="O43" i="1"/>
  <c r="K43" i="1"/>
  <c r="J43" i="1"/>
  <c r="F43" i="1"/>
  <c r="E43" i="1"/>
  <c r="S43" i="2"/>
  <c r="N43" i="2"/>
  <c r="I43" i="2"/>
  <c r="D43" i="2"/>
  <c r="S43" i="1"/>
  <c r="N43" i="1"/>
  <c r="I43" i="1"/>
  <c r="D43" i="1"/>
  <c r="U42" i="2"/>
  <c r="P42" i="2"/>
  <c r="K42" i="2"/>
  <c r="F42" i="2"/>
  <c r="U42" i="1"/>
  <c r="P42" i="1"/>
  <c r="K42" i="1"/>
  <c r="F42" i="1"/>
  <c r="T42" i="1"/>
  <c r="O42" i="1"/>
  <c r="J42" i="1"/>
  <c r="E42" i="1"/>
  <c r="T42" i="2"/>
  <c r="O42" i="2"/>
  <c r="J42" i="2"/>
  <c r="E42" i="2"/>
  <c r="S42" i="2"/>
  <c r="N42" i="2"/>
  <c r="I42" i="2"/>
  <c r="D42" i="2"/>
  <c r="S42" i="1"/>
  <c r="N42" i="1"/>
  <c r="I42" i="1"/>
  <c r="D42" i="1"/>
  <c r="U41" i="2" l="1"/>
  <c r="T41" i="2"/>
  <c r="P41" i="2"/>
  <c r="O41" i="2"/>
  <c r="K41" i="2"/>
  <c r="J41" i="2"/>
  <c r="F41" i="2"/>
  <c r="E41" i="2"/>
  <c r="U41" i="1"/>
  <c r="T41" i="1"/>
  <c r="P41" i="1"/>
  <c r="O41" i="1"/>
  <c r="K41" i="1"/>
  <c r="J41" i="1"/>
  <c r="F41" i="1"/>
  <c r="E41" i="1"/>
  <c r="S41" i="2"/>
  <c r="N41" i="2"/>
  <c r="I41" i="2"/>
  <c r="D41" i="2"/>
  <c r="S41" i="1"/>
  <c r="N41" i="1"/>
  <c r="I41" i="1"/>
  <c r="D41" i="1"/>
  <c r="U40" i="2"/>
  <c r="P40" i="2"/>
  <c r="K40" i="2"/>
  <c r="F40" i="2"/>
  <c r="U40" i="1"/>
  <c r="P40" i="1"/>
  <c r="K40" i="1"/>
  <c r="F40" i="1"/>
  <c r="T40" i="2"/>
  <c r="O40" i="2"/>
  <c r="J40" i="2"/>
  <c r="E40" i="2"/>
  <c r="T40" i="1"/>
  <c r="O40" i="1"/>
  <c r="J40" i="1"/>
  <c r="E40" i="1"/>
  <c r="S40" i="2"/>
  <c r="N40" i="2"/>
  <c r="I40" i="2"/>
  <c r="D40" i="2"/>
  <c r="S40" i="1"/>
  <c r="N40" i="1"/>
  <c r="I40" i="1"/>
  <c r="D40" i="1"/>
  <c r="U39" i="2"/>
  <c r="P39" i="2"/>
  <c r="K39" i="2"/>
  <c r="F39" i="2"/>
  <c r="U39" i="1"/>
  <c r="P39" i="1"/>
  <c r="K39" i="1"/>
  <c r="F39" i="1"/>
  <c r="T39" i="2"/>
  <c r="O39" i="2"/>
  <c r="J39" i="2"/>
  <c r="E39" i="2"/>
  <c r="T39" i="1"/>
  <c r="O39" i="1"/>
  <c r="J39" i="1"/>
  <c r="E39" i="1"/>
  <c r="S39" i="2"/>
  <c r="N39" i="2"/>
  <c r="I39" i="2"/>
  <c r="D39" i="2"/>
  <c r="S39" i="1"/>
  <c r="N39" i="1"/>
  <c r="I39" i="1"/>
  <c r="D39" i="1"/>
  <c r="U38" i="2"/>
  <c r="P38" i="2"/>
  <c r="K38" i="2"/>
  <c r="F38" i="2"/>
  <c r="U38" i="1"/>
  <c r="P38" i="1"/>
  <c r="K38" i="1"/>
  <c r="F38" i="1"/>
  <c r="T38" i="2"/>
  <c r="O38" i="2"/>
  <c r="J38" i="2"/>
  <c r="E38" i="2"/>
  <c r="T38" i="1"/>
  <c r="O38" i="1"/>
  <c r="J38" i="1"/>
  <c r="E38" i="1"/>
  <c r="S38" i="2"/>
  <c r="N38" i="2"/>
  <c r="I38" i="2"/>
  <c r="D38" i="2"/>
  <c r="S38" i="1"/>
  <c r="N38" i="1"/>
  <c r="I38" i="1"/>
  <c r="D38" i="1"/>
  <c r="U37" i="2" l="1"/>
  <c r="T37" i="2"/>
  <c r="P37" i="2"/>
  <c r="O37" i="2"/>
  <c r="K37" i="2"/>
  <c r="J37" i="2"/>
  <c r="F37" i="2"/>
  <c r="E37" i="2"/>
  <c r="U37" i="1"/>
  <c r="P37" i="1"/>
  <c r="K37" i="1"/>
  <c r="F37" i="1"/>
  <c r="T37" i="1"/>
  <c r="O37" i="1"/>
  <c r="J37" i="1"/>
  <c r="E37" i="1"/>
  <c r="S37" i="2"/>
  <c r="N37" i="2"/>
  <c r="I37" i="2"/>
  <c r="D37" i="2"/>
  <c r="S37" i="1"/>
  <c r="N37" i="1"/>
  <c r="I37" i="1"/>
  <c r="D37" i="1"/>
  <c r="U36" i="2"/>
  <c r="P36" i="2"/>
  <c r="K36" i="2"/>
  <c r="F36" i="2"/>
  <c r="U36" i="1"/>
  <c r="P36" i="1"/>
  <c r="K36" i="1"/>
  <c r="F36" i="1"/>
  <c r="T36" i="2"/>
  <c r="O36" i="2"/>
  <c r="J36" i="2"/>
  <c r="E36" i="2"/>
  <c r="T36" i="1"/>
  <c r="O36" i="1"/>
  <c r="J36" i="1"/>
  <c r="E36" i="1"/>
  <c r="S36" i="2"/>
  <c r="N36" i="2"/>
  <c r="I36" i="2"/>
  <c r="D36" i="2"/>
  <c r="S36" i="1"/>
  <c r="N36" i="1"/>
  <c r="I36" i="1"/>
  <c r="D36" i="1"/>
  <c r="U35" i="2"/>
  <c r="P35" i="2"/>
  <c r="K35" i="2"/>
  <c r="F35" i="2"/>
  <c r="U35" i="1"/>
  <c r="P35" i="1"/>
  <c r="K35" i="1"/>
  <c r="F35" i="1"/>
  <c r="T35" i="2"/>
  <c r="O35" i="2"/>
  <c r="J35" i="2"/>
  <c r="E35" i="2"/>
  <c r="T35" i="1"/>
  <c r="O35" i="1"/>
  <c r="J35" i="1"/>
  <c r="E35" i="1"/>
  <c r="S35" i="2"/>
  <c r="N35" i="2"/>
  <c r="I35" i="2"/>
  <c r="D35" i="2"/>
  <c r="S35" i="1"/>
  <c r="N35" i="1"/>
  <c r="I35" i="1"/>
  <c r="D35" i="1"/>
  <c r="U34" i="2"/>
  <c r="P34" i="2"/>
  <c r="K34" i="2"/>
  <c r="F34" i="2"/>
  <c r="U34" i="1"/>
  <c r="P34" i="1"/>
  <c r="K34" i="1"/>
  <c r="F34" i="1"/>
  <c r="T34" i="2"/>
  <c r="O34" i="2"/>
  <c r="J34" i="2"/>
  <c r="E34" i="2"/>
  <c r="T34" i="1"/>
  <c r="O34" i="1"/>
  <c r="J34" i="1"/>
  <c r="E34" i="1"/>
  <c r="S34" i="2"/>
  <c r="N34" i="2"/>
  <c r="I34" i="2"/>
  <c r="D34" i="2"/>
  <c r="S34" i="1"/>
  <c r="N34" i="1"/>
  <c r="I34" i="1"/>
  <c r="D34" i="1"/>
  <c r="U33" i="2"/>
  <c r="P33" i="2"/>
  <c r="K33" i="2"/>
  <c r="F33" i="2"/>
  <c r="U33" i="1"/>
  <c r="P33" i="1"/>
  <c r="K33" i="1"/>
  <c r="F33" i="1"/>
  <c r="T33" i="2"/>
  <c r="O33" i="2"/>
  <c r="J33" i="2"/>
  <c r="E33" i="2"/>
  <c r="T33" i="1"/>
  <c r="O33" i="1"/>
  <c r="J33" i="1"/>
  <c r="E33" i="1"/>
  <c r="S33" i="2"/>
  <c r="N33" i="2"/>
  <c r="I33" i="2"/>
  <c r="D33" i="2"/>
  <c r="S33" i="1"/>
  <c r="N33" i="1"/>
  <c r="I33" i="1"/>
  <c r="D33" i="1"/>
  <c r="U32" i="2"/>
  <c r="P32" i="2"/>
  <c r="K32" i="2"/>
  <c r="F32" i="2"/>
  <c r="U32" i="1"/>
  <c r="P32" i="1"/>
  <c r="K32" i="1"/>
  <c r="F32" i="1"/>
  <c r="T32" i="2"/>
  <c r="O32" i="2"/>
  <c r="J32" i="2"/>
  <c r="E32" i="2"/>
  <c r="T32" i="1"/>
  <c r="O32" i="1"/>
  <c r="J32" i="1"/>
  <c r="E32" i="1"/>
  <c r="S32" i="2"/>
  <c r="N32" i="2"/>
  <c r="I32" i="2"/>
  <c r="D32" i="2"/>
  <c r="S32" i="1"/>
  <c r="N32" i="1"/>
  <c r="I32" i="1"/>
  <c r="D32" i="1"/>
  <c r="U31" i="2" l="1"/>
  <c r="P31" i="2"/>
  <c r="K31" i="2"/>
  <c r="F31" i="2"/>
  <c r="U31" i="1"/>
  <c r="P31" i="1"/>
  <c r="K31" i="1"/>
  <c r="F31" i="1"/>
  <c r="T31" i="2"/>
  <c r="O31" i="2"/>
  <c r="J31" i="2"/>
  <c r="E31" i="2"/>
  <c r="T31" i="1"/>
  <c r="O31" i="1"/>
  <c r="J31" i="1"/>
  <c r="E31" i="1"/>
  <c r="S31" i="2"/>
  <c r="N31" i="2"/>
  <c r="I31" i="2"/>
  <c r="D31" i="2"/>
  <c r="S31" i="1"/>
  <c r="N31" i="1"/>
  <c r="I31" i="1"/>
  <c r="D31" i="1"/>
  <c r="U30" i="2"/>
  <c r="P30" i="2"/>
  <c r="K30" i="2"/>
  <c r="F30" i="2"/>
  <c r="U30" i="1"/>
  <c r="P30" i="1"/>
  <c r="K30" i="1"/>
  <c r="F30" i="1"/>
  <c r="T30" i="2"/>
  <c r="O30" i="2"/>
  <c r="J30" i="2"/>
  <c r="E30" i="2"/>
  <c r="T30" i="1"/>
  <c r="O30" i="1"/>
  <c r="J30" i="1"/>
  <c r="E30" i="1"/>
  <c r="S30" i="2"/>
  <c r="N30" i="2"/>
  <c r="I30" i="2"/>
  <c r="D30" i="2"/>
  <c r="S30" i="1"/>
  <c r="N30" i="1"/>
  <c r="I30" i="1"/>
  <c r="D30" i="1"/>
  <c r="V29" i="1"/>
  <c r="U29" i="1"/>
  <c r="P29" i="1"/>
  <c r="K29" i="1"/>
  <c r="F29" i="1"/>
  <c r="F29" i="2"/>
  <c r="K29" i="2"/>
  <c r="P29" i="2"/>
  <c r="U29" i="2"/>
  <c r="T29" i="2"/>
  <c r="O29" i="2"/>
  <c r="J29" i="2"/>
  <c r="E29" i="2"/>
  <c r="T29" i="1"/>
  <c r="O29" i="1"/>
  <c r="J29" i="1"/>
  <c r="E29" i="1"/>
  <c r="S29" i="2"/>
  <c r="N29" i="2"/>
  <c r="I29" i="2"/>
  <c r="D29" i="2"/>
  <c r="S29" i="1"/>
  <c r="N29" i="1"/>
  <c r="I29" i="1"/>
  <c r="D29" i="1"/>
  <c r="U28" i="2"/>
  <c r="P28" i="2"/>
  <c r="K28" i="2"/>
  <c r="F28" i="2"/>
  <c r="U28" i="1"/>
  <c r="P28" i="1"/>
  <c r="K28" i="1"/>
  <c r="F28" i="1"/>
  <c r="T28" i="2"/>
  <c r="O28" i="2"/>
  <c r="J28" i="2"/>
  <c r="E28" i="2"/>
  <c r="T28" i="1"/>
  <c r="O28" i="1"/>
  <c r="J28" i="1"/>
  <c r="E28" i="1"/>
  <c r="S28" i="2"/>
  <c r="N28" i="2"/>
  <c r="I28" i="2"/>
  <c r="D28" i="2"/>
  <c r="S28" i="1"/>
  <c r="N28" i="1"/>
  <c r="I28" i="1"/>
  <c r="D28" i="1"/>
  <c r="U27" i="2"/>
  <c r="P27" i="2"/>
  <c r="K27" i="2"/>
  <c r="F27" i="2"/>
  <c r="F27" i="1"/>
  <c r="K27" i="1"/>
  <c r="P27" i="1"/>
  <c r="U27" i="1"/>
  <c r="T27" i="1"/>
  <c r="O27" i="1"/>
  <c r="J27" i="1"/>
  <c r="E27" i="1"/>
  <c r="T27" i="2"/>
  <c r="O27" i="2"/>
  <c r="J27" i="2"/>
  <c r="E27" i="2"/>
  <c r="S27" i="1"/>
  <c r="N27" i="1"/>
  <c r="I27" i="1"/>
  <c r="D27" i="1"/>
  <c r="U26" i="2"/>
  <c r="P26" i="2"/>
  <c r="K26" i="2"/>
  <c r="F26" i="2"/>
  <c r="U26" i="1"/>
  <c r="P26" i="1"/>
  <c r="K26" i="1"/>
  <c r="F26" i="1"/>
  <c r="T26" i="2"/>
  <c r="O26" i="2"/>
  <c r="J26" i="2"/>
  <c r="E26" i="2"/>
  <c r="T26" i="1"/>
  <c r="O26" i="1"/>
  <c r="J26" i="1"/>
  <c r="E26" i="1"/>
  <c r="S26" i="2"/>
  <c r="N26" i="2"/>
  <c r="I26" i="2"/>
  <c r="D26" i="2"/>
  <c r="S26" i="1"/>
  <c r="N26" i="1"/>
  <c r="I26" i="1"/>
  <c r="D26" i="1"/>
  <c r="U25" i="2"/>
  <c r="P25" i="2"/>
  <c r="K25" i="2"/>
  <c r="F25" i="2"/>
  <c r="U25" i="1"/>
  <c r="P25" i="1"/>
  <c r="K25" i="1"/>
  <c r="F25" i="1"/>
  <c r="T25" i="2"/>
  <c r="O25" i="2"/>
  <c r="J25" i="2"/>
  <c r="E25" i="2"/>
  <c r="T25" i="1"/>
  <c r="O25" i="1"/>
  <c r="J25" i="1"/>
  <c r="E25" i="1"/>
  <c r="S25" i="2"/>
  <c r="N25" i="2"/>
  <c r="I25" i="2"/>
  <c r="D25" i="2"/>
  <c r="S25" i="1"/>
  <c r="N25" i="1"/>
  <c r="I25" i="1"/>
  <c r="D25" i="1"/>
  <c r="U24" i="2"/>
  <c r="P24" i="2"/>
  <c r="K24" i="2"/>
  <c r="F24" i="2"/>
  <c r="U24" i="1"/>
  <c r="P24" i="1"/>
  <c r="K24" i="1"/>
  <c r="F24" i="1"/>
  <c r="T24" i="2"/>
  <c r="O24" i="2"/>
  <c r="J24" i="2"/>
  <c r="E24" i="2"/>
  <c r="T24" i="1"/>
  <c r="O24" i="1"/>
  <c r="J24" i="1"/>
  <c r="E24" i="1"/>
  <c r="S24" i="2"/>
  <c r="N24" i="2"/>
  <c r="I24" i="2"/>
  <c r="D24" i="2"/>
  <c r="S24" i="1"/>
  <c r="N24" i="1"/>
  <c r="I24" i="1"/>
  <c r="D24" i="1"/>
  <c r="U23" i="2"/>
  <c r="P23" i="2"/>
  <c r="K23" i="2"/>
  <c r="F23" i="2"/>
  <c r="U23" i="1"/>
  <c r="P23" i="1"/>
  <c r="K23" i="1"/>
  <c r="F23" i="1"/>
  <c r="T23" i="2"/>
  <c r="O23" i="2"/>
  <c r="J23" i="2"/>
  <c r="E23" i="2"/>
  <c r="T23" i="1"/>
  <c r="O23" i="1"/>
  <c r="J23" i="1"/>
  <c r="E23" i="1"/>
  <c r="S23" i="2"/>
  <c r="N23" i="2"/>
  <c r="I23" i="2"/>
  <c r="D23" i="2"/>
  <c r="S23" i="1"/>
  <c r="N23" i="1"/>
  <c r="I23" i="1"/>
  <c r="D23" i="1"/>
  <c r="U22" i="2"/>
  <c r="P22" i="2"/>
  <c r="K22" i="2"/>
  <c r="F22" i="2"/>
  <c r="U22" i="1"/>
  <c r="P22" i="1"/>
  <c r="K22" i="1"/>
  <c r="F22" i="1"/>
  <c r="T22" i="2"/>
  <c r="O22" i="2"/>
  <c r="J22" i="2"/>
  <c r="E22" i="2"/>
  <c r="T22" i="1"/>
  <c r="O22" i="1"/>
  <c r="J22" i="1"/>
  <c r="E22" i="1"/>
  <c r="S22" i="2"/>
  <c r="N22" i="2"/>
  <c r="I22" i="2"/>
  <c r="D22" i="2"/>
  <c r="S22" i="1"/>
  <c r="N22" i="1"/>
  <c r="I22" i="1"/>
  <c r="D22" i="1"/>
  <c r="U21" i="2" l="1"/>
  <c r="P21" i="2"/>
  <c r="K21" i="2"/>
  <c r="F21" i="2"/>
  <c r="U21" i="1"/>
  <c r="P21" i="1"/>
  <c r="K21" i="1"/>
  <c r="F21" i="1"/>
  <c r="T21" i="2"/>
  <c r="O21" i="2"/>
  <c r="J21" i="2"/>
  <c r="E21" i="2"/>
  <c r="T21" i="1"/>
  <c r="O21" i="1"/>
  <c r="J21" i="1"/>
  <c r="E21" i="1"/>
  <c r="S21" i="2"/>
  <c r="N21" i="2"/>
  <c r="I21" i="2"/>
  <c r="D21" i="2"/>
  <c r="S21" i="1"/>
  <c r="N21" i="1"/>
  <c r="I21" i="1"/>
  <c r="D21" i="1"/>
  <c r="U20" i="2"/>
  <c r="P20" i="2"/>
  <c r="K20" i="2"/>
  <c r="F20" i="2"/>
  <c r="U20" i="1"/>
  <c r="P20" i="1"/>
  <c r="K20" i="1"/>
  <c r="F20" i="1"/>
  <c r="T20" i="2"/>
  <c r="O20" i="2"/>
  <c r="J20" i="2"/>
  <c r="E20" i="2"/>
  <c r="T20" i="1"/>
  <c r="N20" i="1"/>
  <c r="J20" i="1"/>
  <c r="E20" i="1"/>
  <c r="S20" i="2"/>
  <c r="N20" i="2"/>
  <c r="I20" i="2"/>
  <c r="D20" i="2"/>
  <c r="S20" i="1"/>
  <c r="I20" i="1"/>
  <c r="D20" i="1"/>
  <c r="T19" i="2"/>
  <c r="O19" i="2"/>
  <c r="J19" i="2"/>
  <c r="E19" i="2"/>
  <c r="T19" i="1"/>
  <c r="O19" i="1"/>
  <c r="J19" i="1"/>
  <c r="E19" i="1"/>
  <c r="S19" i="2"/>
  <c r="N19" i="2"/>
  <c r="I19" i="2"/>
  <c r="D19" i="2"/>
  <c r="S19" i="1"/>
  <c r="N19" i="1"/>
  <c r="I19" i="1"/>
  <c r="D19" i="1"/>
  <c r="U18" i="2"/>
  <c r="P18" i="2"/>
  <c r="K18" i="2"/>
  <c r="F18" i="2"/>
  <c r="U18" i="1"/>
  <c r="P18" i="1"/>
  <c r="K18" i="1"/>
  <c r="F18" i="1"/>
  <c r="T18" i="2"/>
  <c r="O18" i="2"/>
  <c r="J18" i="2"/>
  <c r="E18" i="2"/>
  <c r="T18" i="1"/>
  <c r="O18" i="1"/>
  <c r="J18" i="1"/>
  <c r="E18" i="1"/>
  <c r="S18" i="2"/>
  <c r="N18" i="2"/>
  <c r="I18" i="2"/>
  <c r="D18" i="2"/>
  <c r="S18" i="1"/>
  <c r="N18" i="1"/>
  <c r="I18" i="1"/>
  <c r="D18" i="1"/>
  <c r="U17" i="2"/>
  <c r="P17" i="2"/>
  <c r="K17" i="2"/>
  <c r="F17" i="2"/>
  <c r="T17" i="2"/>
  <c r="O17" i="2"/>
  <c r="J17" i="2"/>
  <c r="E17" i="2"/>
  <c r="S17" i="2"/>
  <c r="N17" i="2"/>
  <c r="I17" i="2"/>
  <c r="D17" i="2"/>
  <c r="U17" i="1"/>
  <c r="U16" i="1"/>
  <c r="T17" i="1"/>
  <c r="T16" i="1"/>
  <c r="S17" i="1"/>
  <c r="S16" i="1"/>
  <c r="P17" i="1"/>
  <c r="P16" i="1"/>
  <c r="O17" i="1"/>
  <c r="O16" i="1"/>
  <c r="N17" i="1"/>
  <c r="N16" i="1"/>
  <c r="K17" i="1"/>
  <c r="K16" i="1"/>
  <c r="J17" i="1"/>
  <c r="J16" i="1"/>
  <c r="I17" i="1"/>
  <c r="I16" i="1"/>
  <c r="F17" i="1"/>
  <c r="E17" i="1"/>
  <c r="D17" i="1"/>
  <c r="C17" i="1"/>
  <c r="F16" i="1"/>
  <c r="E16" i="1"/>
  <c r="D16" i="1"/>
  <c r="U15" i="1"/>
  <c r="T15" i="1"/>
  <c r="S15" i="1"/>
  <c r="P15" i="1"/>
  <c r="O15" i="1"/>
  <c r="N15" i="1"/>
  <c r="K15" i="1"/>
  <c r="J15" i="1"/>
  <c r="I15" i="1"/>
  <c r="H15" i="1"/>
  <c r="F15" i="1"/>
  <c r="E15" i="1"/>
  <c r="D15" i="1"/>
  <c r="L12" i="2" l="1"/>
  <c r="U8" i="2" l="1"/>
  <c r="P8" i="2"/>
  <c r="K8" i="2"/>
  <c r="F8" i="2"/>
  <c r="T8" i="2"/>
  <c r="O8" i="2"/>
  <c r="J8" i="2"/>
  <c r="E8" i="2"/>
  <c r="S8" i="2"/>
  <c r="N8" i="2"/>
  <c r="I8" i="2"/>
  <c r="D8" i="2"/>
  <c r="S8" i="1"/>
  <c r="T8" i="1" s="1"/>
  <c r="U8" i="1" s="1"/>
  <c r="P8" i="1"/>
  <c r="K8" i="1"/>
  <c r="F8" i="1"/>
  <c r="O8" i="1"/>
  <c r="J8" i="1"/>
  <c r="E8" i="1"/>
  <c r="N8" i="1"/>
  <c r="I8" i="1"/>
  <c r="D8" i="1"/>
  <c r="U6" i="1"/>
  <c r="T6" i="1"/>
  <c r="S6" i="1"/>
  <c r="N6" i="1"/>
  <c r="E6" i="1"/>
  <c r="D6" i="1"/>
  <c r="G6" i="1" s="1"/>
  <c r="F5" i="1"/>
  <c r="K5" i="1"/>
  <c r="P5" i="1"/>
  <c r="U5" i="1"/>
  <c r="F5" i="2"/>
  <c r="K5" i="2"/>
  <c r="P5" i="2"/>
  <c r="P4" i="2"/>
  <c r="U5" i="2"/>
  <c r="T5" i="2"/>
  <c r="O5" i="2"/>
  <c r="J5" i="2"/>
  <c r="E5" i="2"/>
  <c r="T5" i="1"/>
  <c r="O5" i="1"/>
  <c r="J5" i="1"/>
  <c r="E5" i="1"/>
  <c r="D5" i="1"/>
  <c r="I5" i="1"/>
  <c r="N5" i="1"/>
  <c r="S5" i="1"/>
  <c r="D5" i="2"/>
  <c r="I5" i="2"/>
  <c r="N5" i="2"/>
  <c r="S5" i="2"/>
  <c r="U4" i="2"/>
  <c r="K4" i="2"/>
  <c r="F4" i="2"/>
  <c r="F4" i="1"/>
  <c r="K4" i="1"/>
  <c r="P4" i="1"/>
  <c r="U4" i="1"/>
  <c r="T4" i="1"/>
  <c r="O4" i="1"/>
  <c r="J4" i="1"/>
  <c r="E4" i="1"/>
  <c r="T4" i="2"/>
  <c r="O4" i="2"/>
  <c r="J4" i="2"/>
  <c r="E4" i="2"/>
  <c r="D4" i="2"/>
  <c r="I4" i="2"/>
  <c r="N4" i="2"/>
  <c r="S4" i="2"/>
  <c r="D4" i="1"/>
  <c r="I4" i="1"/>
  <c r="N4" i="1"/>
  <c r="S4" i="1"/>
  <c r="T3" i="2"/>
  <c r="O3" i="2"/>
  <c r="J3" i="2"/>
  <c r="E3" i="2"/>
  <c r="E3" i="1"/>
  <c r="J3" i="1"/>
  <c r="O3" i="1"/>
  <c r="T3" i="1"/>
  <c r="S3" i="1"/>
  <c r="N3" i="1"/>
  <c r="I3" i="1"/>
  <c r="D3" i="1"/>
  <c r="S3" i="2"/>
  <c r="I3" i="2"/>
  <c r="N3" i="2"/>
  <c r="D3" i="2"/>
  <c r="F3" i="1" l="1"/>
  <c r="K3" i="1"/>
  <c r="P3" i="1"/>
  <c r="U3" i="1"/>
  <c r="Q29" i="1"/>
  <c r="G32" i="1"/>
  <c r="G33" i="1"/>
  <c r="V35" i="1"/>
  <c r="G37" i="1"/>
  <c r="L37" i="1"/>
  <c r="Q37" i="1"/>
  <c r="G38" i="1"/>
  <c r="V39" i="1"/>
  <c r="L41" i="1"/>
  <c r="V41" i="1"/>
  <c r="I63" i="1"/>
  <c r="Q65" i="1"/>
  <c r="T69" i="1"/>
  <c r="D72" i="1"/>
  <c r="E72" i="1" s="1"/>
  <c r="F72" i="1" s="1"/>
  <c r="G72" i="1"/>
  <c r="I72" i="1"/>
  <c r="J72" i="1"/>
  <c r="K72" i="1" s="1"/>
  <c r="N72" i="1"/>
  <c r="O72" i="1" s="1"/>
  <c r="P72" i="1" s="1"/>
  <c r="S72" i="1"/>
  <c r="T72" i="1" s="1"/>
  <c r="D73" i="1"/>
  <c r="E73" i="1" s="1"/>
  <c r="F73" i="1" s="1"/>
  <c r="I73" i="1"/>
  <c r="J73" i="1" s="1"/>
  <c r="K73" i="1" s="1"/>
  <c r="N73" i="1"/>
  <c r="O73" i="1" s="1"/>
  <c r="P73" i="1" s="1"/>
  <c r="Q73" i="1"/>
  <c r="S73" i="1"/>
  <c r="T73" i="1" s="1"/>
  <c r="U73" i="1" s="1"/>
  <c r="D74" i="1"/>
  <c r="E74" i="1" s="1"/>
  <c r="F74" i="1" s="1"/>
  <c r="I74" i="1"/>
  <c r="J74" i="1" s="1"/>
  <c r="N74" i="1"/>
  <c r="O74" i="1" s="1"/>
  <c r="P74" i="1" s="1"/>
  <c r="S74" i="1"/>
  <c r="T74" i="1" s="1"/>
  <c r="U74" i="1" s="1"/>
  <c r="D75" i="1"/>
  <c r="E75" i="1" s="1"/>
  <c r="F75" i="1"/>
  <c r="G75" i="1"/>
  <c r="I75" i="1"/>
  <c r="J75" i="1"/>
  <c r="K75" i="1" s="1"/>
  <c r="L75" i="1"/>
  <c r="N75" i="1"/>
  <c r="O75" i="1" s="1"/>
  <c r="P75" i="1" s="1"/>
  <c r="S75" i="1"/>
  <c r="T75" i="1"/>
  <c r="U75" i="1" s="1"/>
  <c r="D76" i="1"/>
  <c r="E76" i="1" s="1"/>
  <c r="F76" i="1"/>
  <c r="G76" i="1" s="1"/>
  <c r="I76" i="1"/>
  <c r="J76" i="1" s="1"/>
  <c r="N76" i="1"/>
  <c r="O76" i="1" s="1"/>
  <c r="P76" i="1" s="1"/>
  <c r="S76" i="1"/>
  <c r="T76" i="1" s="1"/>
  <c r="U76" i="1" s="1"/>
  <c r="D77" i="1"/>
  <c r="E77" i="1" s="1"/>
  <c r="F77" i="1" s="1"/>
  <c r="I77" i="1"/>
  <c r="J77" i="1" s="1"/>
  <c r="N77" i="1"/>
  <c r="O77" i="1" s="1"/>
  <c r="P77" i="1" s="1"/>
  <c r="S77" i="1"/>
  <c r="T77" i="1" s="1"/>
  <c r="U77" i="1" s="1"/>
  <c r="D78" i="1"/>
  <c r="E78" i="1" s="1"/>
  <c r="F78" i="1" s="1"/>
  <c r="G78" i="1" s="1"/>
  <c r="I78" i="1"/>
  <c r="J78" i="1" s="1"/>
  <c r="N78" i="1"/>
  <c r="O78" i="1" s="1"/>
  <c r="P78" i="1" s="1"/>
  <c r="S78" i="1"/>
  <c r="T78" i="1" s="1"/>
  <c r="U78" i="1" s="1"/>
  <c r="D79" i="1"/>
  <c r="E79" i="1" s="1"/>
  <c r="F79" i="1" s="1"/>
  <c r="I79" i="1"/>
  <c r="J79" i="1" s="1"/>
  <c r="K79" i="1" s="1"/>
  <c r="N79" i="1"/>
  <c r="O79" i="1" s="1"/>
  <c r="P79" i="1" s="1"/>
  <c r="S79" i="1"/>
  <c r="T79" i="1" s="1"/>
  <c r="U79" i="1" s="1"/>
  <c r="D80" i="1"/>
  <c r="E80" i="1" s="1"/>
  <c r="F80" i="1" s="1"/>
  <c r="I80" i="1"/>
  <c r="J80" i="1"/>
  <c r="K80" i="1" s="1"/>
  <c r="N80" i="1"/>
  <c r="O80" i="1" s="1"/>
  <c r="P80" i="1" s="1"/>
  <c r="S80" i="1"/>
  <c r="T80" i="1"/>
  <c r="U80" i="1" s="1"/>
  <c r="D81" i="1"/>
  <c r="E81" i="1" s="1"/>
  <c r="F81" i="1" s="1"/>
  <c r="I81" i="1"/>
  <c r="J81" i="1"/>
  <c r="K81" i="1" s="1"/>
  <c r="N81" i="1"/>
  <c r="O81" i="1" s="1"/>
  <c r="P81" i="1" s="1"/>
  <c r="S81" i="1"/>
  <c r="T81" i="1"/>
  <c r="U81" i="1" s="1"/>
  <c r="D82" i="1"/>
  <c r="E82" i="1" s="1"/>
  <c r="F82" i="1" s="1"/>
  <c r="I82" i="1"/>
  <c r="J82" i="1"/>
  <c r="K82" i="1" s="1"/>
  <c r="N82" i="1"/>
  <c r="O82" i="1" s="1"/>
  <c r="P82" i="1" s="1"/>
  <c r="S82" i="1"/>
  <c r="T82" i="1"/>
  <c r="U82" i="1" s="1"/>
  <c r="D83" i="1"/>
  <c r="E83" i="1" s="1"/>
  <c r="F83" i="1" s="1"/>
  <c r="I83" i="1"/>
  <c r="J83" i="1" s="1"/>
  <c r="K83" i="1" s="1"/>
  <c r="N83" i="1"/>
  <c r="O83" i="1" s="1"/>
  <c r="P83" i="1" s="1"/>
  <c r="S83" i="1"/>
  <c r="T83" i="1" s="1"/>
  <c r="U83" i="1" s="1"/>
  <c r="D84" i="1"/>
  <c r="E84" i="1" s="1"/>
  <c r="F84" i="1" s="1"/>
  <c r="I84" i="1"/>
  <c r="J84" i="1"/>
  <c r="K84" i="1" s="1"/>
  <c r="N84" i="1"/>
  <c r="O84" i="1" s="1"/>
  <c r="P84" i="1" s="1"/>
  <c r="S84" i="1"/>
  <c r="D85" i="1"/>
  <c r="E85" i="1" s="1"/>
  <c r="F85" i="1" s="1"/>
  <c r="I85" i="1"/>
  <c r="J85" i="1"/>
  <c r="K85" i="1" s="1"/>
  <c r="N85" i="1"/>
  <c r="O85" i="1" s="1"/>
  <c r="P85" i="1" s="1"/>
  <c r="S85" i="1"/>
  <c r="T85" i="1" s="1"/>
  <c r="U85" i="1" s="1"/>
  <c r="D86" i="1"/>
  <c r="E86" i="1" s="1"/>
  <c r="F86" i="1" s="1"/>
  <c r="I86" i="1"/>
  <c r="J86" i="1"/>
  <c r="K86" i="1" s="1"/>
  <c r="N86" i="1"/>
  <c r="O86" i="1" s="1"/>
  <c r="P86" i="1" s="1"/>
  <c r="S86" i="1"/>
  <c r="T86" i="1"/>
  <c r="U86" i="1" s="1"/>
  <c r="D87" i="1"/>
  <c r="E87" i="1" s="1"/>
  <c r="F87" i="1" s="1"/>
  <c r="I87" i="1"/>
  <c r="J87" i="1" s="1"/>
  <c r="K87" i="1" s="1"/>
  <c r="N87" i="1"/>
  <c r="O87" i="1" s="1"/>
  <c r="P87" i="1" s="1"/>
  <c r="S87" i="1"/>
  <c r="T87" i="1"/>
  <c r="U87" i="1" s="1"/>
  <c r="D88" i="1"/>
  <c r="E88" i="1" s="1"/>
  <c r="F88" i="1" s="1"/>
  <c r="I88" i="1"/>
  <c r="J88" i="1"/>
  <c r="K88" i="1" s="1"/>
  <c r="N88" i="1"/>
  <c r="O88" i="1" s="1"/>
  <c r="P88" i="1" s="1"/>
  <c r="S88" i="1"/>
  <c r="T88" i="1"/>
  <c r="U88" i="1" s="1"/>
  <c r="D89" i="1"/>
  <c r="E89" i="1" s="1"/>
  <c r="F89" i="1" s="1"/>
  <c r="I89" i="1"/>
  <c r="J89" i="1"/>
  <c r="K89" i="1" s="1"/>
  <c r="N89" i="1"/>
  <c r="O89" i="1" s="1"/>
  <c r="P89" i="1" s="1"/>
  <c r="S89" i="1"/>
  <c r="T89" i="1"/>
  <c r="U89" i="1" s="1"/>
  <c r="D90" i="1"/>
  <c r="E90" i="1" s="1"/>
  <c r="F90" i="1" s="1"/>
  <c r="I90" i="1"/>
  <c r="J90" i="1"/>
  <c r="K90" i="1" s="1"/>
  <c r="N90" i="1"/>
  <c r="O90" i="1" s="1"/>
  <c r="P90" i="1" s="1"/>
  <c r="S90" i="1"/>
  <c r="T90" i="1" s="1"/>
  <c r="U90" i="1" s="1"/>
  <c r="D91" i="1"/>
  <c r="E91" i="1" s="1"/>
  <c r="F91" i="1" s="1"/>
  <c r="I91" i="1"/>
  <c r="J91" i="1" s="1"/>
  <c r="K91" i="1" s="1"/>
  <c r="N91" i="1"/>
  <c r="O91" i="1" s="1"/>
  <c r="P91" i="1" s="1"/>
  <c r="S91" i="1"/>
  <c r="T91" i="1" s="1"/>
  <c r="U91" i="1" s="1"/>
  <c r="D92" i="1"/>
  <c r="E92" i="1" s="1"/>
  <c r="F92" i="1" s="1"/>
  <c r="I92" i="1"/>
  <c r="J92" i="1"/>
  <c r="K92" i="1" s="1"/>
  <c r="N92" i="1"/>
  <c r="O92" i="1" s="1"/>
  <c r="P92" i="1" s="1"/>
  <c r="S92" i="1"/>
  <c r="T92" i="1" s="1"/>
  <c r="U92" i="1" s="1"/>
  <c r="D93" i="1"/>
  <c r="E93" i="1" s="1"/>
  <c r="F93" i="1" s="1"/>
  <c r="I93" i="1"/>
  <c r="J93" i="1"/>
  <c r="K93" i="1" s="1"/>
  <c r="N93" i="1"/>
  <c r="O93" i="1" s="1"/>
  <c r="P93" i="1" s="1"/>
  <c r="S93" i="1"/>
  <c r="T93" i="1"/>
  <c r="U93" i="1" s="1"/>
  <c r="D94" i="1"/>
  <c r="E94" i="1" s="1"/>
  <c r="F94" i="1" s="1"/>
  <c r="I94" i="1"/>
  <c r="J94" i="1"/>
  <c r="K94" i="1" s="1"/>
  <c r="N94" i="1"/>
  <c r="O94" i="1" s="1"/>
  <c r="P94" i="1" s="1"/>
  <c r="S94" i="1"/>
  <c r="T94" i="1" s="1"/>
  <c r="U94" i="1" s="1"/>
  <c r="D95" i="1"/>
  <c r="E95" i="1" s="1"/>
  <c r="F95" i="1" s="1"/>
  <c r="I95" i="1"/>
  <c r="J95" i="1" s="1"/>
  <c r="K95" i="1" s="1"/>
  <c r="N95" i="1"/>
  <c r="O95" i="1" s="1"/>
  <c r="P95" i="1" s="1"/>
  <c r="S95" i="1"/>
  <c r="T95" i="1"/>
  <c r="U95" i="1" s="1"/>
  <c r="D96" i="1"/>
  <c r="E96" i="1" s="1"/>
  <c r="F96" i="1" s="1"/>
  <c r="I96" i="1"/>
  <c r="J96" i="1"/>
  <c r="K96" i="1" s="1"/>
  <c r="N96" i="1"/>
  <c r="O96" i="1" s="1"/>
  <c r="P96" i="1" s="1"/>
  <c r="S96" i="1"/>
  <c r="T96" i="1"/>
  <c r="U96" i="1" s="1"/>
  <c r="D97" i="1"/>
  <c r="E97" i="1" s="1"/>
  <c r="F97" i="1" s="1"/>
  <c r="I97" i="1"/>
  <c r="J97" i="1"/>
  <c r="K97" i="1" s="1"/>
  <c r="N97" i="1"/>
  <c r="O97" i="1" s="1"/>
  <c r="P97" i="1" s="1"/>
  <c r="S97" i="1"/>
  <c r="T97" i="1" s="1"/>
  <c r="U97" i="1" s="1"/>
  <c r="D98" i="1"/>
  <c r="E98" i="1" s="1"/>
  <c r="F98" i="1" s="1"/>
  <c r="I98" i="1"/>
  <c r="J98" i="1"/>
  <c r="K98" i="1" s="1"/>
  <c r="N98" i="1"/>
  <c r="O98" i="1" s="1"/>
  <c r="P98" i="1" s="1"/>
  <c r="S98" i="1"/>
  <c r="T98" i="1"/>
  <c r="U98" i="1" s="1"/>
  <c r="D99" i="1"/>
  <c r="E99" i="1" s="1"/>
  <c r="F99" i="1" s="1"/>
  <c r="I99" i="1"/>
  <c r="J99" i="1" s="1"/>
  <c r="K99" i="1" s="1"/>
  <c r="N99" i="1"/>
  <c r="O99" i="1" s="1"/>
  <c r="P99" i="1" s="1"/>
  <c r="S99" i="1"/>
  <c r="T99" i="1" s="1"/>
  <c r="U99" i="1" s="1"/>
  <c r="D100" i="1"/>
  <c r="E100" i="1" s="1"/>
  <c r="F100" i="1" s="1"/>
  <c r="I100" i="1"/>
  <c r="J100" i="1"/>
  <c r="K100" i="1" s="1"/>
  <c r="N100" i="1"/>
  <c r="O100" i="1" s="1"/>
  <c r="P100" i="1" s="1"/>
  <c r="S100" i="1"/>
  <c r="T100" i="1"/>
  <c r="U100" i="1" s="1"/>
  <c r="D101" i="1"/>
  <c r="E101" i="1" s="1"/>
  <c r="F101" i="1" s="1"/>
  <c r="I101" i="1"/>
  <c r="J101" i="1"/>
  <c r="K101" i="1" s="1"/>
  <c r="N101" i="1"/>
  <c r="O101" i="1" s="1"/>
  <c r="P101" i="1" s="1"/>
  <c r="S101" i="1"/>
  <c r="T101" i="1" s="1"/>
  <c r="U101" i="1" s="1"/>
  <c r="U2" i="1"/>
  <c r="T2" i="1"/>
  <c r="O2" i="1"/>
  <c r="P2" i="1"/>
  <c r="K2" i="1"/>
  <c r="J2" i="1"/>
  <c r="L2" i="1" s="1"/>
  <c r="F2" i="1"/>
  <c r="E2" i="1"/>
  <c r="F3" i="2"/>
  <c r="K3" i="2"/>
  <c r="P3" i="2"/>
  <c r="U3" i="2"/>
  <c r="L9" i="2"/>
  <c r="V9" i="2"/>
  <c r="L10" i="2"/>
  <c r="V10" i="2"/>
  <c r="L11" i="2"/>
  <c r="V11" i="2"/>
  <c r="V12" i="2"/>
  <c r="L13" i="2"/>
  <c r="V13" i="2"/>
  <c r="L14" i="2"/>
  <c r="V14" i="2"/>
  <c r="L15" i="2"/>
  <c r="V15" i="2"/>
  <c r="L16" i="2"/>
  <c r="V16" i="2"/>
  <c r="L17" i="2"/>
  <c r="V17" i="2"/>
  <c r="L18" i="2"/>
  <c r="V18" i="2"/>
  <c r="L19" i="2"/>
  <c r="V19" i="2"/>
  <c r="L20" i="2"/>
  <c r="V20" i="2"/>
  <c r="L21" i="2"/>
  <c r="L22" i="2"/>
  <c r="V22" i="2"/>
  <c r="L23" i="2"/>
  <c r="V23" i="2"/>
  <c r="L24" i="2"/>
  <c r="V24" i="2"/>
  <c r="L25" i="2"/>
  <c r="V25" i="2"/>
  <c r="L26" i="2"/>
  <c r="V26" i="2"/>
  <c r="L27" i="2"/>
  <c r="V27" i="2"/>
  <c r="L28" i="2"/>
  <c r="V28" i="2"/>
  <c r="L29" i="2"/>
  <c r="V29" i="2"/>
  <c r="L30" i="2"/>
  <c r="V30" i="2"/>
  <c r="L31" i="2"/>
  <c r="V31" i="2"/>
  <c r="V33" i="2"/>
  <c r="V35" i="2"/>
  <c r="V37" i="2"/>
  <c r="L39" i="2"/>
  <c r="V39" i="2"/>
  <c r="V41" i="2"/>
  <c r="L43" i="2"/>
  <c r="V43" i="2"/>
  <c r="L66" i="2"/>
  <c r="V66" i="2"/>
  <c r="V68" i="2"/>
  <c r="Q69" i="2"/>
  <c r="P70" i="2"/>
  <c r="Q70" i="2" s="1"/>
  <c r="V70" i="2"/>
  <c r="D72" i="2"/>
  <c r="E72" i="2" s="1"/>
  <c r="G72" i="2" s="1"/>
  <c r="F72" i="2"/>
  <c r="I72" i="2"/>
  <c r="J72" i="2" s="1"/>
  <c r="K72" i="2" s="1"/>
  <c r="N72" i="2"/>
  <c r="O72" i="2" s="1"/>
  <c r="P72" i="2"/>
  <c r="Q72" i="2" s="1"/>
  <c r="S72" i="2"/>
  <c r="T72" i="2" s="1"/>
  <c r="U72" i="2" s="1"/>
  <c r="V72" i="2" s="1"/>
  <c r="D73" i="2"/>
  <c r="E73" i="2" s="1"/>
  <c r="F73" i="2"/>
  <c r="I73" i="2"/>
  <c r="J73" i="2" s="1"/>
  <c r="K73" i="2" s="1"/>
  <c r="N73" i="2"/>
  <c r="O73" i="2" s="1"/>
  <c r="P73" i="2"/>
  <c r="S73" i="2"/>
  <c r="T73" i="2" s="1"/>
  <c r="U73" i="2" s="1"/>
  <c r="D74" i="2"/>
  <c r="E74" i="2" s="1"/>
  <c r="F74" i="2" s="1"/>
  <c r="I74" i="2"/>
  <c r="J74" i="2" s="1"/>
  <c r="K74" i="2" s="1"/>
  <c r="N74" i="2"/>
  <c r="O74" i="2" s="1"/>
  <c r="P74" i="2" s="1"/>
  <c r="Q74" i="2" s="1"/>
  <c r="S74" i="2"/>
  <c r="T74" i="2" s="1"/>
  <c r="U74" i="2" s="1"/>
  <c r="V74" i="2" s="1"/>
  <c r="D75" i="2"/>
  <c r="E75" i="2" s="1"/>
  <c r="F75" i="2" s="1"/>
  <c r="I75" i="2"/>
  <c r="J75" i="2" s="1"/>
  <c r="K75" i="2" s="1"/>
  <c r="N75" i="2"/>
  <c r="O75" i="2" s="1"/>
  <c r="P75" i="2"/>
  <c r="S75" i="2"/>
  <c r="T75" i="2" s="1"/>
  <c r="U75" i="2" s="1"/>
  <c r="D76" i="2"/>
  <c r="E76" i="2" s="1"/>
  <c r="F76" i="2" s="1"/>
  <c r="I76" i="2"/>
  <c r="J76" i="2" s="1"/>
  <c r="K76" i="2" s="1"/>
  <c r="N76" i="2"/>
  <c r="O76" i="2" s="1"/>
  <c r="P76" i="2" s="1"/>
  <c r="Q76" i="2" s="1"/>
  <c r="S76" i="2"/>
  <c r="T76" i="2" s="1"/>
  <c r="U76" i="2" s="1"/>
  <c r="V76" i="2" s="1"/>
  <c r="D77" i="2"/>
  <c r="E77" i="2" s="1"/>
  <c r="F77" i="2"/>
  <c r="I77" i="2"/>
  <c r="J77" i="2" s="1"/>
  <c r="K77" i="2" s="1"/>
  <c r="N77" i="2"/>
  <c r="O77" i="2" s="1"/>
  <c r="P77" i="2" s="1"/>
  <c r="Q77" i="2" s="1"/>
  <c r="S77" i="2"/>
  <c r="T77" i="2" s="1"/>
  <c r="U77" i="2" s="1"/>
  <c r="D78" i="2"/>
  <c r="E78" i="2" s="1"/>
  <c r="F78" i="2" s="1"/>
  <c r="I78" i="2"/>
  <c r="J78" i="2" s="1"/>
  <c r="K78" i="2" s="1"/>
  <c r="N78" i="2"/>
  <c r="O78" i="2" s="1"/>
  <c r="P78" i="2"/>
  <c r="Q78" i="2" s="1"/>
  <c r="S78" i="2"/>
  <c r="T78" i="2" s="1"/>
  <c r="U78" i="2" s="1"/>
  <c r="V78" i="2" s="1"/>
  <c r="D79" i="2"/>
  <c r="E79" i="2" s="1"/>
  <c r="F79" i="2" s="1"/>
  <c r="I79" i="2"/>
  <c r="J79" i="2" s="1"/>
  <c r="K79" i="2" s="1"/>
  <c r="N79" i="2"/>
  <c r="O79" i="2" s="1"/>
  <c r="P79" i="2" s="1"/>
  <c r="Q79" i="2" s="1"/>
  <c r="S79" i="2"/>
  <c r="T79" i="2" s="1"/>
  <c r="U79" i="2" s="1"/>
  <c r="D80" i="2"/>
  <c r="E80" i="2" s="1"/>
  <c r="F80" i="2" s="1"/>
  <c r="I80" i="2"/>
  <c r="N80" i="2"/>
  <c r="O80" i="2" s="1"/>
  <c r="P80" i="2" s="1"/>
  <c r="S80" i="2"/>
  <c r="D81" i="2"/>
  <c r="E81" i="2" s="1"/>
  <c r="F81" i="2" s="1"/>
  <c r="I81" i="2"/>
  <c r="N81" i="2"/>
  <c r="O81" i="2" s="1"/>
  <c r="P81" i="2" s="1"/>
  <c r="S81" i="2"/>
  <c r="D82" i="2"/>
  <c r="E82" i="2" s="1"/>
  <c r="F82" i="2" s="1"/>
  <c r="I82" i="2"/>
  <c r="N82" i="2"/>
  <c r="O82" i="2" s="1"/>
  <c r="P82" i="2" s="1"/>
  <c r="S82" i="2"/>
  <c r="D83" i="2"/>
  <c r="E83" i="2" s="1"/>
  <c r="F83" i="2" s="1"/>
  <c r="I83" i="2"/>
  <c r="N83" i="2"/>
  <c r="O83" i="2" s="1"/>
  <c r="P83" i="2" s="1"/>
  <c r="S83" i="2"/>
  <c r="D84" i="2"/>
  <c r="E84" i="2" s="1"/>
  <c r="F84" i="2" s="1"/>
  <c r="I84" i="2"/>
  <c r="N84" i="2"/>
  <c r="O84" i="2" s="1"/>
  <c r="P84" i="2" s="1"/>
  <c r="S84" i="2"/>
  <c r="D85" i="2"/>
  <c r="E85" i="2" s="1"/>
  <c r="F85" i="2" s="1"/>
  <c r="I85" i="2"/>
  <c r="N85" i="2"/>
  <c r="O85" i="2" s="1"/>
  <c r="P85" i="2" s="1"/>
  <c r="S85" i="2"/>
  <c r="D86" i="2"/>
  <c r="E86" i="2" s="1"/>
  <c r="F86" i="2" s="1"/>
  <c r="I86" i="2"/>
  <c r="N86" i="2"/>
  <c r="O86" i="2" s="1"/>
  <c r="P86" i="2" s="1"/>
  <c r="S86" i="2"/>
  <c r="D87" i="2"/>
  <c r="E87" i="2" s="1"/>
  <c r="F87" i="2" s="1"/>
  <c r="I87" i="2"/>
  <c r="N87" i="2"/>
  <c r="O87" i="2" s="1"/>
  <c r="P87" i="2" s="1"/>
  <c r="S87" i="2"/>
  <c r="D88" i="2"/>
  <c r="E88" i="2" s="1"/>
  <c r="F88" i="2" s="1"/>
  <c r="I88" i="2"/>
  <c r="N88" i="2"/>
  <c r="O88" i="2" s="1"/>
  <c r="P88" i="2" s="1"/>
  <c r="S88" i="2"/>
  <c r="D89" i="2"/>
  <c r="E89" i="2" s="1"/>
  <c r="F89" i="2" s="1"/>
  <c r="I89" i="2"/>
  <c r="N89" i="2"/>
  <c r="O89" i="2" s="1"/>
  <c r="P89" i="2" s="1"/>
  <c r="S89" i="2"/>
  <c r="D90" i="2"/>
  <c r="E90" i="2" s="1"/>
  <c r="F90" i="2" s="1"/>
  <c r="I90" i="2"/>
  <c r="N90" i="2"/>
  <c r="O90" i="2" s="1"/>
  <c r="P90" i="2" s="1"/>
  <c r="S90" i="2"/>
  <c r="D91" i="2"/>
  <c r="E91" i="2" s="1"/>
  <c r="F91" i="2" s="1"/>
  <c r="I91" i="2"/>
  <c r="N91" i="2"/>
  <c r="O91" i="2" s="1"/>
  <c r="P91" i="2" s="1"/>
  <c r="S91" i="2"/>
  <c r="D92" i="2"/>
  <c r="E92" i="2" s="1"/>
  <c r="F92" i="2" s="1"/>
  <c r="I92" i="2"/>
  <c r="N92" i="2"/>
  <c r="O92" i="2" s="1"/>
  <c r="P92" i="2" s="1"/>
  <c r="S92" i="2"/>
  <c r="D93" i="2"/>
  <c r="E93" i="2" s="1"/>
  <c r="F93" i="2" s="1"/>
  <c r="I93" i="2"/>
  <c r="N93" i="2"/>
  <c r="O93" i="2" s="1"/>
  <c r="P93" i="2" s="1"/>
  <c r="S93" i="2"/>
  <c r="D94" i="2"/>
  <c r="E94" i="2" s="1"/>
  <c r="F94" i="2" s="1"/>
  <c r="I94" i="2"/>
  <c r="N94" i="2"/>
  <c r="O94" i="2" s="1"/>
  <c r="P94" i="2" s="1"/>
  <c r="S94" i="2"/>
  <c r="D95" i="2"/>
  <c r="E95" i="2" s="1"/>
  <c r="F95" i="2" s="1"/>
  <c r="I95" i="2"/>
  <c r="N95" i="2"/>
  <c r="O95" i="2" s="1"/>
  <c r="P95" i="2" s="1"/>
  <c r="S95" i="2"/>
  <c r="D96" i="2"/>
  <c r="E96" i="2" s="1"/>
  <c r="F96" i="2" s="1"/>
  <c r="I96" i="2"/>
  <c r="N96" i="2"/>
  <c r="O96" i="2" s="1"/>
  <c r="P96" i="2" s="1"/>
  <c r="S96" i="2"/>
  <c r="D97" i="2"/>
  <c r="E97" i="2" s="1"/>
  <c r="F97" i="2" s="1"/>
  <c r="I97" i="2"/>
  <c r="N97" i="2"/>
  <c r="O97" i="2" s="1"/>
  <c r="P97" i="2" s="1"/>
  <c r="S97" i="2"/>
  <c r="D98" i="2"/>
  <c r="E98" i="2" s="1"/>
  <c r="F98" i="2" s="1"/>
  <c r="I98" i="2"/>
  <c r="N98" i="2"/>
  <c r="O98" i="2" s="1"/>
  <c r="P98" i="2" s="1"/>
  <c r="S98" i="2"/>
  <c r="D99" i="2"/>
  <c r="E99" i="2" s="1"/>
  <c r="F99" i="2" s="1"/>
  <c r="I99" i="2"/>
  <c r="N99" i="2"/>
  <c r="O99" i="2" s="1"/>
  <c r="P99" i="2" s="1"/>
  <c r="S99" i="2"/>
  <c r="D100" i="2"/>
  <c r="E100" i="2" s="1"/>
  <c r="F100" i="2" s="1"/>
  <c r="I100" i="2"/>
  <c r="N100" i="2"/>
  <c r="O100" i="2" s="1"/>
  <c r="P100" i="2" s="1"/>
  <c r="S100" i="2"/>
  <c r="D101" i="2"/>
  <c r="E101" i="2" s="1"/>
  <c r="F101" i="2" s="1"/>
  <c r="I101" i="2"/>
  <c r="N101" i="2"/>
  <c r="O101" i="2" s="1"/>
  <c r="P101" i="2" s="1"/>
  <c r="S101" i="2"/>
  <c r="F2" i="2"/>
  <c r="E2" i="2"/>
  <c r="K2" i="2"/>
  <c r="J2" i="2"/>
  <c r="O2" i="2"/>
  <c r="P2" i="2"/>
  <c r="Q2" i="2" s="1"/>
  <c r="U2" i="2"/>
  <c r="T2" i="2"/>
  <c r="V2" i="1"/>
  <c r="Q2" i="1"/>
  <c r="G2" i="1"/>
  <c r="G2" i="2"/>
  <c r="S2" i="1"/>
  <c r="N2" i="1"/>
  <c r="I2" i="1"/>
  <c r="D2" i="1"/>
  <c r="S2" i="2"/>
  <c r="N2" i="2"/>
  <c r="I2" i="2"/>
  <c r="L2" i="2" s="1"/>
  <c r="D2" i="2"/>
  <c r="V68" i="1" l="1"/>
  <c r="G68" i="1"/>
  <c r="L64" i="1"/>
  <c r="G61" i="1"/>
  <c r="V60" i="1"/>
  <c r="Q59" i="1"/>
  <c r="Q56" i="1"/>
  <c r="G56" i="1"/>
  <c r="G45" i="1"/>
  <c r="Q44" i="2"/>
  <c r="G44" i="1"/>
  <c r="G43" i="1"/>
  <c r="Q43" i="2"/>
  <c r="Q42" i="1"/>
  <c r="G42" i="1"/>
  <c r="Q41" i="1"/>
  <c r="G39" i="1"/>
  <c r="Q38" i="1"/>
  <c r="G35" i="1"/>
  <c r="G34" i="1"/>
  <c r="Q31" i="1"/>
  <c r="G31" i="1"/>
  <c r="Q30" i="1"/>
  <c r="G30" i="1"/>
  <c r="V21" i="2"/>
  <c r="V7" i="2"/>
  <c r="V34" i="2"/>
  <c r="Q34" i="2"/>
  <c r="Q71" i="2"/>
  <c r="Q38" i="2"/>
  <c r="Q35" i="2"/>
  <c r="Q32" i="2"/>
  <c r="Q75" i="2"/>
  <c r="Q42" i="2"/>
  <c r="Q39" i="2"/>
  <c r="Q36" i="2"/>
  <c r="Q73" i="2"/>
  <c r="Q40" i="2"/>
  <c r="L35" i="2"/>
  <c r="G71" i="2"/>
  <c r="G70" i="2"/>
  <c r="V64" i="1"/>
  <c r="U72" i="1"/>
  <c r="V72" i="1"/>
  <c r="V88" i="1"/>
  <c r="V45" i="1"/>
  <c r="V92" i="1"/>
  <c r="V84" i="1"/>
  <c r="V96" i="1"/>
  <c r="V82" i="1"/>
  <c r="V100" i="1"/>
  <c r="V86" i="1"/>
  <c r="V90" i="1"/>
  <c r="V77" i="1"/>
  <c r="V43" i="1"/>
  <c r="V37" i="1"/>
  <c r="V94" i="1"/>
  <c r="V98" i="1"/>
  <c r="T84" i="1"/>
  <c r="U84" i="1" s="1"/>
  <c r="V80" i="1"/>
  <c r="V75" i="1"/>
  <c r="Q63" i="1"/>
  <c r="Q67" i="1"/>
  <c r="Q57" i="1"/>
  <c r="Q44" i="1"/>
  <c r="Q36" i="1"/>
  <c r="Q32" i="1"/>
  <c r="Q71" i="1"/>
  <c r="Q61" i="1"/>
  <c r="Q33" i="1"/>
  <c r="Q69" i="1"/>
  <c r="Q40" i="1"/>
  <c r="Q34" i="1"/>
  <c r="K77" i="1"/>
  <c r="L77" i="1"/>
  <c r="L68" i="1"/>
  <c r="L79" i="1"/>
  <c r="L38" i="1"/>
  <c r="L42" i="1"/>
  <c r="L99" i="1"/>
  <c r="L95" i="1"/>
  <c r="L91" i="1"/>
  <c r="L87" i="1"/>
  <c r="L83" i="1"/>
  <c r="L72" i="1"/>
  <c r="L71" i="1"/>
  <c r="L45" i="1"/>
  <c r="L67" i="1"/>
  <c r="L63" i="1"/>
  <c r="L60" i="1"/>
  <c r="L59" i="1"/>
  <c r="G65" i="1"/>
  <c r="G64" i="1"/>
  <c r="G77" i="1"/>
  <c r="G60" i="1"/>
  <c r="G41" i="1"/>
  <c r="G73" i="1"/>
  <c r="G57" i="1"/>
  <c r="G79" i="1"/>
  <c r="G69" i="1"/>
  <c r="L100" i="1"/>
  <c r="L96" i="1"/>
  <c r="L92" i="1"/>
  <c r="L88" i="1"/>
  <c r="L84" i="1"/>
  <c r="L80" i="1"/>
  <c r="K74" i="1"/>
  <c r="L74" i="1"/>
  <c r="L58" i="1"/>
  <c r="L101" i="1"/>
  <c r="L93" i="1"/>
  <c r="L89" i="1"/>
  <c r="L85" i="1"/>
  <c r="L81" i="1"/>
  <c r="K76" i="1"/>
  <c r="L76" i="1" s="1"/>
  <c r="L70" i="1"/>
  <c r="V95" i="1"/>
  <c r="V91" i="1"/>
  <c r="V87" i="1"/>
  <c r="V83" i="1"/>
  <c r="V99" i="1"/>
  <c r="L98" i="1"/>
  <c r="L94" i="1"/>
  <c r="L90" i="1"/>
  <c r="L86" i="1"/>
  <c r="L82" i="1"/>
  <c r="K78" i="1"/>
  <c r="L78" i="1"/>
  <c r="L66" i="1"/>
  <c r="L97" i="1"/>
  <c r="L62" i="1"/>
  <c r="V101" i="1"/>
  <c r="V97" i="1"/>
  <c r="V93" i="1"/>
  <c r="V89" i="1"/>
  <c r="V85" i="1"/>
  <c r="V81" i="1"/>
  <c r="V79" i="1"/>
  <c r="Q78" i="1"/>
  <c r="Q76" i="1"/>
  <c r="Q74" i="1"/>
  <c r="V73" i="1"/>
  <c r="V69" i="1"/>
  <c r="V65" i="1"/>
  <c r="V61" i="1"/>
  <c r="V57" i="1"/>
  <c r="V54" i="1"/>
  <c r="V50" i="1"/>
  <c r="V46" i="1"/>
  <c r="Q70" i="1"/>
  <c r="Q66" i="1"/>
  <c r="Q62" i="1"/>
  <c r="Q58" i="1"/>
  <c r="Q54" i="1"/>
  <c r="L53" i="1"/>
  <c r="L49" i="1"/>
  <c r="V56" i="1"/>
  <c r="V55" i="1"/>
  <c r="G53" i="1"/>
  <c r="V51" i="1"/>
  <c r="V47" i="1"/>
  <c r="Q79" i="1"/>
  <c r="L54" i="1"/>
  <c r="L50" i="1"/>
  <c r="Q47" i="1"/>
  <c r="L46" i="1"/>
  <c r="Q101" i="1"/>
  <c r="G101" i="1"/>
  <c r="Q100" i="1"/>
  <c r="G100" i="1"/>
  <c r="Q99" i="1"/>
  <c r="G99" i="1"/>
  <c r="Q98" i="1"/>
  <c r="G98" i="1"/>
  <c r="Q97" i="1"/>
  <c r="G97" i="1"/>
  <c r="Q96" i="1"/>
  <c r="G96" i="1"/>
  <c r="Q95" i="1"/>
  <c r="G95" i="1"/>
  <c r="Q94" i="1"/>
  <c r="G94" i="1"/>
  <c r="Q93" i="1"/>
  <c r="G93" i="1"/>
  <c r="Q92" i="1"/>
  <c r="G92" i="1"/>
  <c r="Q91" i="1"/>
  <c r="G91" i="1"/>
  <c r="Q90" i="1"/>
  <c r="G90" i="1"/>
  <c r="Q89" i="1"/>
  <c r="G89" i="1"/>
  <c r="Q88" i="1"/>
  <c r="G88" i="1"/>
  <c r="Q87" i="1"/>
  <c r="G87" i="1"/>
  <c r="Q86" i="1"/>
  <c r="G86" i="1"/>
  <c r="Q85" i="1"/>
  <c r="G85" i="1"/>
  <c r="Q84" i="1"/>
  <c r="G84" i="1"/>
  <c r="Q83" i="1"/>
  <c r="G83" i="1"/>
  <c r="Q82" i="1"/>
  <c r="G82" i="1"/>
  <c r="Q81" i="1"/>
  <c r="G81" i="1"/>
  <c r="Q80" i="1"/>
  <c r="G80" i="1"/>
  <c r="Q77" i="1"/>
  <c r="Q75" i="1"/>
  <c r="V71" i="1"/>
  <c r="G71" i="1"/>
  <c r="V67" i="1"/>
  <c r="G67" i="1"/>
  <c r="V63" i="1"/>
  <c r="G63" i="1"/>
  <c r="V59" i="1"/>
  <c r="G59" i="1"/>
  <c r="V52" i="1"/>
  <c r="V48" i="1"/>
  <c r="V78" i="1"/>
  <c r="V76" i="1"/>
  <c r="V74" i="1"/>
  <c r="L73" i="1"/>
  <c r="Q72" i="1"/>
  <c r="L69" i="1"/>
  <c r="Q68" i="1"/>
  <c r="L65" i="1"/>
  <c r="Q64" i="1"/>
  <c r="L61" i="1"/>
  <c r="Q60" i="1"/>
  <c r="L55" i="1"/>
  <c r="L51" i="1"/>
  <c r="L47" i="1"/>
  <c r="G74" i="1"/>
  <c r="V70" i="1"/>
  <c r="G70" i="1"/>
  <c r="V66" i="1"/>
  <c r="G66" i="1"/>
  <c r="V62" i="1"/>
  <c r="G62" i="1"/>
  <c r="V58" i="1"/>
  <c r="G58" i="1"/>
  <c r="L57" i="1"/>
  <c r="L56" i="1"/>
  <c r="V53" i="1"/>
  <c r="G51" i="1"/>
  <c r="V49" i="1"/>
  <c r="V40" i="1"/>
  <c r="V36" i="1"/>
  <c r="Q21" i="1"/>
  <c r="Q46" i="1"/>
  <c r="G46" i="1"/>
  <c r="Q45" i="1"/>
  <c r="L44" i="1"/>
  <c r="V42" i="1"/>
  <c r="V38" i="1"/>
  <c r="V34" i="1"/>
  <c r="Q23" i="1"/>
  <c r="Q19" i="1"/>
  <c r="Q43" i="1"/>
  <c r="L40" i="1"/>
  <c r="Q39" i="1"/>
  <c r="L36" i="1"/>
  <c r="Q35" i="1"/>
  <c r="O20" i="1"/>
  <c r="V18" i="1"/>
  <c r="L18" i="1"/>
  <c r="V17" i="1"/>
  <c r="L17" i="1"/>
  <c r="V16" i="1"/>
  <c r="L16" i="1"/>
  <c r="V15" i="1"/>
  <c r="L15" i="1"/>
  <c r="V14" i="1"/>
  <c r="L14" i="1"/>
  <c r="V13" i="1"/>
  <c r="L13" i="1"/>
  <c r="V12" i="1"/>
  <c r="L12" i="1"/>
  <c r="V11" i="1"/>
  <c r="L11" i="1"/>
  <c r="V10" i="1"/>
  <c r="L10" i="1"/>
  <c r="V9" i="1"/>
  <c r="L9" i="1"/>
  <c r="V8" i="1"/>
  <c r="L8" i="1"/>
  <c r="V7" i="1"/>
  <c r="L7" i="1"/>
  <c r="V6" i="1"/>
  <c r="L6" i="1"/>
  <c r="V5" i="1"/>
  <c r="L5" i="1"/>
  <c r="V4" i="1"/>
  <c r="L4" i="1"/>
  <c r="V3" i="1"/>
  <c r="L3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Q5" i="1"/>
  <c r="G5" i="1"/>
  <c r="Q4" i="1"/>
  <c r="G4" i="1"/>
  <c r="Q3" i="1"/>
  <c r="G3" i="1"/>
  <c r="V99" i="2"/>
  <c r="V97" i="2"/>
  <c r="V91" i="2"/>
  <c r="V89" i="2"/>
  <c r="V83" i="2"/>
  <c r="V81" i="2"/>
  <c r="L87" i="2"/>
  <c r="T101" i="2"/>
  <c r="U101" i="2" s="1"/>
  <c r="J101" i="2"/>
  <c r="K101" i="2" s="1"/>
  <c r="T100" i="2"/>
  <c r="U100" i="2" s="1"/>
  <c r="J100" i="2"/>
  <c r="K100" i="2" s="1"/>
  <c r="T99" i="2"/>
  <c r="U99" i="2" s="1"/>
  <c r="J99" i="2"/>
  <c r="K99" i="2" s="1"/>
  <c r="T98" i="2"/>
  <c r="U98" i="2" s="1"/>
  <c r="J98" i="2"/>
  <c r="K98" i="2" s="1"/>
  <c r="T97" i="2"/>
  <c r="U97" i="2" s="1"/>
  <c r="J97" i="2"/>
  <c r="K97" i="2" s="1"/>
  <c r="T96" i="2"/>
  <c r="U96" i="2" s="1"/>
  <c r="J96" i="2"/>
  <c r="K96" i="2" s="1"/>
  <c r="T95" i="2"/>
  <c r="U95" i="2" s="1"/>
  <c r="J95" i="2"/>
  <c r="K95" i="2" s="1"/>
  <c r="T94" i="2"/>
  <c r="U94" i="2" s="1"/>
  <c r="J94" i="2"/>
  <c r="K94" i="2" s="1"/>
  <c r="T93" i="2"/>
  <c r="U93" i="2" s="1"/>
  <c r="J93" i="2"/>
  <c r="K93" i="2" s="1"/>
  <c r="T92" i="2"/>
  <c r="U92" i="2" s="1"/>
  <c r="J92" i="2"/>
  <c r="K92" i="2" s="1"/>
  <c r="T91" i="2"/>
  <c r="U91" i="2" s="1"/>
  <c r="J91" i="2"/>
  <c r="K91" i="2" s="1"/>
  <c r="T90" i="2"/>
  <c r="U90" i="2" s="1"/>
  <c r="J90" i="2"/>
  <c r="K90" i="2" s="1"/>
  <c r="T89" i="2"/>
  <c r="U89" i="2" s="1"/>
  <c r="J89" i="2"/>
  <c r="K89" i="2" s="1"/>
  <c r="T88" i="2"/>
  <c r="U88" i="2" s="1"/>
  <c r="J88" i="2"/>
  <c r="K88" i="2" s="1"/>
  <c r="T87" i="2"/>
  <c r="U87" i="2" s="1"/>
  <c r="J87" i="2"/>
  <c r="K87" i="2" s="1"/>
  <c r="T86" i="2"/>
  <c r="U86" i="2" s="1"/>
  <c r="J86" i="2"/>
  <c r="K86" i="2" s="1"/>
  <c r="T85" i="2"/>
  <c r="U85" i="2" s="1"/>
  <c r="J85" i="2"/>
  <c r="K85" i="2" s="1"/>
  <c r="T84" i="2"/>
  <c r="U84" i="2" s="1"/>
  <c r="J84" i="2"/>
  <c r="K84" i="2" s="1"/>
  <c r="T83" i="2"/>
  <c r="U83" i="2" s="1"/>
  <c r="J83" i="2"/>
  <c r="K83" i="2" s="1"/>
  <c r="T82" i="2"/>
  <c r="U82" i="2" s="1"/>
  <c r="J82" i="2"/>
  <c r="K82" i="2" s="1"/>
  <c r="T81" i="2"/>
  <c r="U81" i="2" s="1"/>
  <c r="J81" i="2"/>
  <c r="K81" i="2" s="1"/>
  <c r="T80" i="2"/>
  <c r="U80" i="2" s="1"/>
  <c r="J80" i="2"/>
  <c r="K80" i="2" s="1"/>
  <c r="Q66" i="2"/>
  <c r="L63" i="2"/>
  <c r="G62" i="2"/>
  <c r="G58" i="2"/>
  <c r="G54" i="2"/>
  <c r="Q52" i="2"/>
  <c r="G50" i="2"/>
  <c r="G46" i="2"/>
  <c r="Q48" i="2"/>
  <c r="Q101" i="2"/>
  <c r="G101" i="2"/>
  <c r="Q100" i="2"/>
  <c r="G100" i="2"/>
  <c r="Q99" i="2"/>
  <c r="G99" i="2"/>
  <c r="Q98" i="2"/>
  <c r="G98" i="2"/>
  <c r="Q97" i="2"/>
  <c r="G97" i="2"/>
  <c r="Q96" i="2"/>
  <c r="G96" i="2"/>
  <c r="Q95" i="2"/>
  <c r="G95" i="2"/>
  <c r="Q94" i="2"/>
  <c r="G94" i="2"/>
  <c r="Q93" i="2"/>
  <c r="G93" i="2"/>
  <c r="Q92" i="2"/>
  <c r="G92" i="2"/>
  <c r="Q91" i="2"/>
  <c r="G91" i="2"/>
  <c r="Q90" i="2"/>
  <c r="G90" i="2"/>
  <c r="Q89" i="2"/>
  <c r="G89" i="2"/>
  <c r="Q88" i="2"/>
  <c r="G88" i="2"/>
  <c r="Q87" i="2"/>
  <c r="G87" i="2"/>
  <c r="Q86" i="2"/>
  <c r="G86" i="2"/>
  <c r="Q85" i="2"/>
  <c r="G85" i="2"/>
  <c r="Q84" i="2"/>
  <c r="G84" i="2"/>
  <c r="Q83" i="2"/>
  <c r="G83" i="2"/>
  <c r="Q82" i="2"/>
  <c r="G82" i="2"/>
  <c r="Q81" i="2"/>
  <c r="G81" i="2"/>
  <c r="Q80" i="2"/>
  <c r="G80" i="2"/>
  <c r="G78" i="2"/>
  <c r="G76" i="2"/>
  <c r="G74" i="2"/>
  <c r="V67" i="2"/>
  <c r="L65" i="2"/>
  <c r="G63" i="2"/>
  <c r="L60" i="2"/>
  <c r="G59" i="2"/>
  <c r="G55" i="2"/>
  <c r="G51" i="2"/>
  <c r="G47" i="2"/>
  <c r="Q64" i="2"/>
  <c r="L79" i="2"/>
  <c r="L77" i="2"/>
  <c r="L75" i="2"/>
  <c r="L73" i="2"/>
  <c r="L71" i="2"/>
  <c r="L69" i="2"/>
  <c r="G67" i="2"/>
  <c r="Q61" i="2"/>
  <c r="Q57" i="2"/>
  <c r="Q53" i="2"/>
  <c r="Q49" i="2"/>
  <c r="Q45" i="2"/>
  <c r="Q56" i="2"/>
  <c r="Q68" i="2"/>
  <c r="G64" i="2"/>
  <c r="G60" i="2"/>
  <c r="G56" i="2"/>
  <c r="G52" i="2"/>
  <c r="G48" i="2"/>
  <c r="V6" i="2"/>
  <c r="G68" i="2"/>
  <c r="V79" i="2"/>
  <c r="V77" i="2"/>
  <c r="V75" i="2"/>
  <c r="V73" i="2"/>
  <c r="V71" i="2"/>
  <c r="V69" i="2"/>
  <c r="L68" i="2"/>
  <c r="G66" i="2"/>
  <c r="G65" i="2"/>
  <c r="Q62" i="2"/>
  <c r="Q58" i="2"/>
  <c r="Q54" i="2"/>
  <c r="Q50" i="2"/>
  <c r="Q46" i="2"/>
  <c r="Q65" i="2"/>
  <c r="G79" i="2"/>
  <c r="G77" i="2"/>
  <c r="G75" i="2"/>
  <c r="G73" i="2"/>
  <c r="Q67" i="2"/>
  <c r="V65" i="2"/>
  <c r="V64" i="2"/>
  <c r="G61" i="2"/>
  <c r="G57" i="2"/>
  <c r="G53" i="2"/>
  <c r="G49" i="2"/>
  <c r="L32" i="2"/>
  <c r="Q60" i="2"/>
  <c r="L78" i="2"/>
  <c r="L76" i="2"/>
  <c r="L74" i="2"/>
  <c r="L72" i="2"/>
  <c r="L70" i="2"/>
  <c r="G69" i="2"/>
  <c r="L67" i="2"/>
  <c r="Q63" i="2"/>
  <c r="Q59" i="2"/>
  <c r="Q55" i="2"/>
  <c r="Q51" i="2"/>
  <c r="Q47" i="2"/>
  <c r="L36" i="2"/>
  <c r="L8" i="2"/>
  <c r="L4" i="2"/>
  <c r="V44" i="2"/>
  <c r="G44" i="2"/>
  <c r="V40" i="2"/>
  <c r="G40" i="2"/>
  <c r="V36" i="2"/>
  <c r="G36" i="2"/>
  <c r="V32" i="2"/>
  <c r="G32" i="2"/>
  <c r="L5" i="2"/>
  <c r="L42" i="2"/>
  <c r="Q41" i="2"/>
  <c r="L38" i="2"/>
  <c r="Q37" i="2"/>
  <c r="L34" i="2"/>
  <c r="Q33" i="2"/>
  <c r="G23" i="2"/>
  <c r="G19" i="2"/>
  <c r="G17" i="2"/>
  <c r="G15" i="2"/>
  <c r="V3" i="2"/>
  <c r="L59" i="2"/>
  <c r="V58" i="2"/>
  <c r="L58" i="2"/>
  <c r="V57" i="2"/>
  <c r="L57" i="2"/>
  <c r="V56" i="2"/>
  <c r="L56" i="2"/>
  <c r="V55" i="2"/>
  <c r="L55" i="2"/>
  <c r="V54" i="2"/>
  <c r="L54" i="2"/>
  <c r="V53" i="2"/>
  <c r="L53" i="2"/>
  <c r="V52" i="2"/>
  <c r="L52" i="2"/>
  <c r="V51" i="2"/>
  <c r="L51" i="2"/>
  <c r="V50" i="2"/>
  <c r="L50" i="2"/>
  <c r="V49" i="2"/>
  <c r="L49" i="2"/>
  <c r="V48" i="2"/>
  <c r="L48" i="2"/>
  <c r="V47" i="2"/>
  <c r="L47" i="2"/>
  <c r="V46" i="2"/>
  <c r="L46" i="2"/>
  <c r="V45" i="2"/>
  <c r="L45" i="2"/>
  <c r="G43" i="2"/>
  <c r="G39" i="2"/>
  <c r="G35" i="2"/>
  <c r="L6" i="2"/>
  <c r="L41" i="2"/>
  <c r="L37" i="2"/>
  <c r="L33" i="2"/>
  <c r="V8" i="2"/>
  <c r="V4" i="2"/>
  <c r="V42" i="2"/>
  <c r="G42" i="2"/>
  <c r="V38" i="2"/>
  <c r="G38" i="2"/>
  <c r="G34" i="2"/>
  <c r="L7" i="2"/>
  <c r="L3" i="2"/>
  <c r="Q19" i="2"/>
  <c r="V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" i="2"/>
  <c r="G3" i="2"/>
  <c r="V2" i="2"/>
  <c r="V63" i="2" l="1"/>
  <c r="V62" i="2"/>
  <c r="L62" i="2"/>
  <c r="G54" i="1"/>
  <c r="V44" i="1"/>
  <c r="G41" i="2"/>
  <c r="L39" i="1"/>
  <c r="G31" i="2"/>
  <c r="Q31" i="2"/>
  <c r="Q28" i="2"/>
  <c r="L28" i="1"/>
  <c r="Q26" i="2"/>
  <c r="G25" i="2"/>
  <c r="G24" i="1"/>
  <c r="Q22" i="2"/>
  <c r="Q20" i="2"/>
  <c r="V86" i="2"/>
  <c r="V87" i="2"/>
  <c r="V60" i="2"/>
  <c r="V59" i="2"/>
  <c r="Q18" i="2"/>
  <c r="Q27" i="2"/>
  <c r="Q23" i="2"/>
  <c r="Q15" i="2"/>
  <c r="Q24" i="2"/>
  <c r="Q16" i="2"/>
  <c r="Q30" i="2"/>
  <c r="L89" i="2"/>
  <c r="L95" i="2"/>
  <c r="L92" i="2"/>
  <c r="G29" i="2"/>
  <c r="G37" i="2"/>
  <c r="G33" i="2"/>
  <c r="G21" i="2"/>
  <c r="G27" i="2"/>
  <c r="V26" i="1"/>
  <c r="Q51" i="1"/>
  <c r="Q27" i="1"/>
  <c r="L52" i="1"/>
  <c r="L26" i="1"/>
  <c r="G36" i="1"/>
  <c r="G19" i="1"/>
  <c r="G27" i="1"/>
  <c r="Q24" i="1"/>
  <c r="V30" i="1"/>
  <c r="V20" i="1"/>
  <c r="V28" i="1"/>
  <c r="V23" i="1"/>
  <c r="L25" i="1"/>
  <c r="L31" i="1"/>
  <c r="L20" i="1"/>
  <c r="Q53" i="1"/>
  <c r="G52" i="1"/>
  <c r="L22" i="1"/>
  <c r="Q52" i="1"/>
  <c r="G40" i="1"/>
  <c r="G20" i="1"/>
  <c r="L43" i="1"/>
  <c r="V21" i="1"/>
  <c r="L19" i="1"/>
  <c r="L27" i="1"/>
  <c r="V31" i="1"/>
  <c r="G22" i="1"/>
  <c r="G25" i="1"/>
  <c r="Q26" i="1"/>
  <c r="L32" i="1"/>
  <c r="G28" i="1"/>
  <c r="G23" i="1"/>
  <c r="Q20" i="1"/>
  <c r="Q28" i="1"/>
  <c r="V32" i="1"/>
  <c r="V24" i="1"/>
  <c r="V19" i="1"/>
  <c r="V27" i="1"/>
  <c r="L21" i="1"/>
  <c r="L29" i="1"/>
  <c r="L33" i="1"/>
  <c r="L24" i="1"/>
  <c r="V22" i="1"/>
  <c r="G50" i="1"/>
  <c r="G49" i="1"/>
  <c r="Q50" i="1"/>
  <c r="L48" i="1"/>
  <c r="L35" i="1"/>
  <c r="Q49" i="1"/>
  <c r="G48" i="1"/>
  <c r="V25" i="1"/>
  <c r="L23" i="1"/>
  <c r="V33" i="1"/>
  <c r="G26" i="1"/>
  <c r="G21" i="1"/>
  <c r="G29" i="1"/>
  <c r="Q22" i="1"/>
  <c r="L30" i="1"/>
  <c r="L34" i="1"/>
  <c r="Q25" i="1"/>
  <c r="G47" i="1"/>
  <c r="G55" i="1"/>
  <c r="Q48" i="1"/>
  <c r="Q55" i="1"/>
  <c r="L91" i="2"/>
  <c r="V85" i="2"/>
  <c r="V101" i="2"/>
  <c r="L94" i="2"/>
  <c r="V88" i="2"/>
  <c r="G18" i="2"/>
  <c r="G22" i="2"/>
  <c r="G26" i="2"/>
  <c r="G30" i="2"/>
  <c r="G45" i="2"/>
  <c r="V61" i="2"/>
  <c r="L93" i="2"/>
  <c r="L80" i="2"/>
  <c r="L96" i="2"/>
  <c r="V90" i="2"/>
  <c r="L82" i="2"/>
  <c r="L98" i="2"/>
  <c r="V92" i="2"/>
  <c r="L40" i="2"/>
  <c r="L81" i="2"/>
  <c r="L97" i="2"/>
  <c r="L84" i="2"/>
  <c r="L100" i="2"/>
  <c r="V94" i="2"/>
  <c r="L83" i="2"/>
  <c r="L99" i="2"/>
  <c r="V93" i="2"/>
  <c r="L86" i="2"/>
  <c r="V80" i="2"/>
  <c r="V96" i="2"/>
  <c r="G16" i="2"/>
  <c r="G20" i="2"/>
  <c r="G24" i="2"/>
  <c r="G28" i="2"/>
  <c r="L64" i="2"/>
  <c r="L85" i="2"/>
  <c r="L101" i="2"/>
  <c r="V95" i="2"/>
  <c r="L88" i="2"/>
  <c r="V82" i="2"/>
  <c r="V98" i="2"/>
  <c r="Q17" i="2"/>
  <c r="Q21" i="2"/>
  <c r="Q25" i="2"/>
  <c r="Q29" i="2"/>
  <c r="L44" i="2"/>
  <c r="L61" i="2"/>
  <c r="L90" i="2"/>
  <c r="V84" i="2"/>
  <c r="V100" i="2"/>
</calcChain>
</file>

<file path=xl/sharedStrings.xml><?xml version="1.0" encoding="utf-8"?>
<sst xmlns="http://schemas.openxmlformats.org/spreadsheetml/2006/main" count="184" uniqueCount="120">
  <si>
    <t>number</t>
    <phoneticPr fontId="1"/>
  </si>
  <si>
    <t>name</t>
    <phoneticPr fontId="1"/>
  </si>
  <si>
    <t>1-U</t>
    <phoneticPr fontId="1"/>
  </si>
  <si>
    <t>2-U</t>
    <phoneticPr fontId="1"/>
  </si>
  <si>
    <t>3-U</t>
    <phoneticPr fontId="1"/>
  </si>
  <si>
    <t>4-U</t>
    <phoneticPr fontId="1"/>
  </si>
  <si>
    <t>1-E</t>
    <phoneticPr fontId="1"/>
  </si>
  <si>
    <t>2-E</t>
    <phoneticPr fontId="1"/>
  </si>
  <si>
    <t>3-E</t>
    <phoneticPr fontId="1"/>
  </si>
  <si>
    <t>4-E</t>
    <phoneticPr fontId="1"/>
  </si>
  <si>
    <t>1-K</t>
    <phoneticPr fontId="1"/>
  </si>
  <si>
    <t>2-K</t>
    <phoneticPr fontId="1"/>
  </si>
  <si>
    <t>3-K</t>
    <phoneticPr fontId="1"/>
  </si>
  <si>
    <t>4-K</t>
    <phoneticPr fontId="1"/>
  </si>
  <si>
    <t>1-T</t>
    <phoneticPr fontId="1"/>
  </si>
  <si>
    <t>2-T</t>
    <phoneticPr fontId="1"/>
  </si>
  <si>
    <t>3-T</t>
    <phoneticPr fontId="1"/>
  </si>
  <si>
    <t>4-T</t>
    <phoneticPr fontId="1"/>
  </si>
  <si>
    <t>KYOKUYO CO.,LTD.</t>
  </si>
  <si>
    <t>uriage</t>
    <phoneticPr fontId="1"/>
  </si>
  <si>
    <t>eigyourieki</t>
    <phoneticPr fontId="1"/>
  </si>
  <si>
    <t>keijyourieki</t>
    <phoneticPr fontId="1"/>
  </si>
  <si>
    <t>toukijyunnrieki</t>
    <phoneticPr fontId="1"/>
  </si>
  <si>
    <t>Nippon Suisan Kaisha,Ltd.</t>
  </si>
  <si>
    <t>Nippon Suisan Kaisha,Ltd.</t>
    <phoneticPr fontId="1"/>
  </si>
  <si>
    <t>Maruha Nichiro Corporation</t>
  </si>
  <si>
    <t>Maruha Nichiro Corporation</t>
    <phoneticPr fontId="1"/>
  </si>
  <si>
    <t>HOHSUI CORPORATION</t>
  </si>
  <si>
    <t>Hinokiya Group Co.,Ltd.</t>
  </si>
  <si>
    <t>SHO-BOND Holdings Co.,Ltd.</t>
  </si>
  <si>
    <t>MIRAIT Holdings Corporation</t>
  </si>
  <si>
    <t>MIRAIT Holdings Corporation</t>
    <phoneticPr fontId="1"/>
  </si>
  <si>
    <t>Tama Home Co.,Ltd.</t>
  </si>
  <si>
    <t>Nippon Aqua Co.,Ltd.</t>
  </si>
  <si>
    <t>First-corporation Inc.</t>
  </si>
  <si>
    <t>BESTERRA CO.,LTD</t>
  </si>
  <si>
    <t>BESTERRA CO.,LTD</t>
    <phoneticPr fontId="1"/>
  </si>
  <si>
    <t>TATERU,Inc.</t>
  </si>
  <si>
    <t>TATERU,Inc.</t>
    <phoneticPr fontId="1"/>
  </si>
  <si>
    <t>CANDEAL CO.,Ltd</t>
  </si>
  <si>
    <t>CANDEAL CO.,Ltd</t>
    <phoneticPr fontId="1"/>
  </si>
  <si>
    <t>SPACE VALUE HOLDINGS CO.,LTD.</t>
  </si>
  <si>
    <t>Sumiseki Holdings,Inc.</t>
  </si>
  <si>
    <t>Nittetsu Mining Co.,Ltd.</t>
  </si>
  <si>
    <t>Nittetsu Mining Co.,Ltd.</t>
    <phoneticPr fontId="1"/>
  </si>
  <si>
    <t>MITSUI MATSUSHIMA HOLDINGS CO.,LTD.</t>
    <phoneticPr fontId="1"/>
  </si>
  <si>
    <t>INPEX CORPORATION</t>
  </si>
  <si>
    <t>INPEX CORPORATION</t>
    <phoneticPr fontId="1"/>
  </si>
  <si>
    <t>Japan Petroleum Exploration Co.,Ltd.</t>
  </si>
  <si>
    <t>Meiho Facility Works Ltd.</t>
  </si>
  <si>
    <t>HAZAMA ANDO CORPORATION</t>
  </si>
  <si>
    <t>TOKYU CONSTRUCTION CO., LTD.</t>
  </si>
  <si>
    <t>COMSYS Holdings Corporation</t>
  </si>
  <si>
    <t>TAISEI CORPORATION</t>
  </si>
  <si>
    <t>OBAYASHI CORPORATION</t>
  </si>
  <si>
    <t>OBAYASHI CORPORATION</t>
    <phoneticPr fontId="1"/>
  </si>
  <si>
    <t>SHIMIZU CORPORATION</t>
  </si>
  <si>
    <t>TOBISHIMA CORPORATION</t>
  </si>
  <si>
    <t>TOBISHIMA CORPORATION</t>
    <phoneticPr fontId="1"/>
  </si>
  <si>
    <t>HASEKO Corporation</t>
  </si>
  <si>
    <t>HASEKO Corporation</t>
    <phoneticPr fontId="1"/>
  </si>
  <si>
    <t>MATSUI CONSTRUCTION CO.,LTD.</t>
  </si>
  <si>
    <t>KAJIMA CORPORATION</t>
  </si>
  <si>
    <t>Fudo Tetra Corporation</t>
  </si>
  <si>
    <t>TEKKEN CORPORATION</t>
  </si>
  <si>
    <t>Nishimatsu Construction Co.,Ltd.</t>
  </si>
  <si>
    <t>Sumitomo Mitsui Construction Co., Ltd.</t>
  </si>
  <si>
    <t>DAIHO CORPORATION</t>
  </si>
  <si>
    <t>MAEDA CORPORATION</t>
  </si>
  <si>
    <t>NAKANO CORPORATION</t>
  </si>
  <si>
    <t>TOTETSU KOGYO CO.,LTD.</t>
    <phoneticPr fontId="1"/>
  </si>
  <si>
    <t>TODA CORPORATION</t>
  </si>
  <si>
    <t>ICHIKEN Co.,Ltd.</t>
  </si>
  <si>
    <t>Kumagai Gumi Co.,Ltd.</t>
  </si>
  <si>
    <t>P.S. Mitsubishi Construction Co., Ltd.</t>
  </si>
  <si>
    <t>NIHON HOUSE HOLDINGS CO.,LTD.</t>
  </si>
  <si>
    <t>P.S. Mitsubishi Construction Co., Ltd.</t>
    <phoneticPr fontId="1"/>
  </si>
  <si>
    <t>NIPPO CORPORATION</t>
  </si>
  <si>
    <t>TOA ROAD CORPORATION</t>
    <phoneticPr fontId="1"/>
  </si>
  <si>
    <t>DAITO TRUST CONSTRUCTION CO.,LTD.</t>
    <phoneticPr fontId="1"/>
  </si>
  <si>
    <t>MAEDA ROAD CONSTRUCTION CO.,LTD.</t>
  </si>
  <si>
    <t>THE NIPPON ROAD CO.,LTD.</t>
  </si>
  <si>
    <t>TOA CORPORATION</t>
  </si>
  <si>
    <t>WAKACHIKU CONSTRUCTION CO.,LTD.</t>
  </si>
  <si>
    <t>TOYO CONSTRUCTION CO.,LTD.</t>
  </si>
  <si>
    <t>PENTA-OCEAN CONSTRUCTION CO.,LTD.</t>
  </si>
  <si>
    <t>SEIKITOKYU KOGYO CO.,LTD.</t>
  </si>
  <si>
    <t>Nippon Dry-Chemical CO.,LTD.</t>
    <phoneticPr fontId="1"/>
  </si>
  <si>
    <t>Sumitomo Forestry Co.,Ltd.</t>
  </si>
  <si>
    <t>TOMOE CORPORATION</t>
  </si>
  <si>
    <t>RAITO KOGYO CO.,LTD.</t>
  </si>
  <si>
    <t>NITTOC CONSTRUCTION CO.,LTD.</t>
  </si>
  <si>
    <t>NIPPON RIETEC CO.,LTD.</t>
  </si>
  <si>
    <t>KANDENKO CO.,LTD.</t>
  </si>
  <si>
    <t>TOKYO ENERGY &amp; SYSTEMS INC.</t>
  </si>
  <si>
    <t>NIPPON DENSETSU KOGYO CO.,LTD.</t>
  </si>
  <si>
    <t>KYOWA EXEO CORPORATION</t>
  </si>
  <si>
    <t>Shin Nippon Air Technologies Co.,Ltd.</t>
    <phoneticPr fontId="1"/>
  </si>
  <si>
    <t>Nippon Koei Co.,Ltd.</t>
  </si>
  <si>
    <t>SANKI ENGINEERING CO.,LTD.</t>
  </si>
  <si>
    <t>TAIHEI DENGYO KAISHA,LTD.</t>
  </si>
  <si>
    <t>Takasago Thermal Engineering Co.,Ltd.</t>
  </si>
  <si>
    <t>SANKO METAL INDUSTRIAL CO.,LTD.</t>
  </si>
  <si>
    <t>NEC Networks &amp; System Integration Corporation</t>
    <phoneticPr fontId="1"/>
  </si>
  <si>
    <t>5-U</t>
    <phoneticPr fontId="1"/>
  </si>
  <si>
    <t>6-U</t>
    <phoneticPr fontId="1"/>
  </si>
  <si>
    <t>7-U</t>
    <phoneticPr fontId="1"/>
  </si>
  <si>
    <t>8-U</t>
    <phoneticPr fontId="1"/>
  </si>
  <si>
    <t>5-E</t>
    <phoneticPr fontId="1"/>
  </si>
  <si>
    <t>6-E</t>
    <phoneticPr fontId="1"/>
  </si>
  <si>
    <t>7-E</t>
    <phoneticPr fontId="1"/>
  </si>
  <si>
    <t>8-E</t>
    <phoneticPr fontId="1"/>
  </si>
  <si>
    <t>5-K</t>
    <phoneticPr fontId="1"/>
  </si>
  <si>
    <t>6-K</t>
    <phoneticPr fontId="1"/>
  </si>
  <si>
    <t>7-K</t>
    <phoneticPr fontId="1"/>
  </si>
  <si>
    <t>8-K</t>
    <phoneticPr fontId="1"/>
  </si>
  <si>
    <t>5-T</t>
    <phoneticPr fontId="1"/>
  </si>
  <si>
    <t>6-T</t>
    <phoneticPr fontId="1"/>
  </si>
  <si>
    <t>7-T</t>
    <phoneticPr fontId="1"/>
  </si>
  <si>
    <t>8-T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</si>
</sst>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3333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.75" x14ac:dyDescent="0.4"/>
  <cols>
    <col min="2" max="2" width="26.75" bestFit="1" customWidth="1"/>
    <col min="6" max="6" width="10.37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19</v>
      </c>
      <c r="H1" t="s">
        <v>108</v>
      </c>
      <c r="I1" t="s">
        <v>109</v>
      </c>
      <c r="J1" t="s">
        <v>110</v>
      </c>
      <c r="K1" t="s">
        <v>111</v>
      </c>
      <c r="L1" t="s">
        <v>20</v>
      </c>
      <c r="M1" t="s">
        <v>112</v>
      </c>
      <c r="N1" t="s">
        <v>113</v>
      </c>
      <c r="O1" t="s">
        <v>114</v>
      </c>
      <c r="P1" t="s">
        <v>115</v>
      </c>
      <c r="Q1" t="s">
        <v>21</v>
      </c>
      <c r="R1" t="s">
        <v>116</v>
      </c>
      <c r="S1" t="s">
        <v>117</v>
      </c>
      <c r="T1" t="s">
        <v>118</v>
      </c>
      <c r="U1" t="s">
        <v>119</v>
      </c>
      <c r="V1" t="s">
        <v>22</v>
      </c>
    </row>
    <row r="2" spans="1:22" x14ac:dyDescent="0.4">
      <c r="A2">
        <v>1</v>
      </c>
      <c r="B2" s="1" t="s">
        <v>18</v>
      </c>
      <c r="C2" s="2">
        <v>62644</v>
      </c>
      <c r="D2" s="2">
        <f>126884-C2</f>
        <v>64240</v>
      </c>
      <c r="E2" s="2">
        <f>205436-(D2+C2)</f>
        <v>78552</v>
      </c>
      <c r="F2" s="2">
        <f>262519-(E2+D2+C2)</f>
        <v>57083</v>
      </c>
      <c r="G2" s="2">
        <f>SUM(C2:F2)</f>
        <v>262519</v>
      </c>
      <c r="H2">
        <v>770</v>
      </c>
      <c r="I2">
        <f>735-H2</f>
        <v>-35</v>
      </c>
      <c r="J2">
        <f>2616-(I2+H2)</f>
        <v>1881</v>
      </c>
      <c r="K2">
        <f>2918-(J2+I2+H2)</f>
        <v>302</v>
      </c>
      <c r="L2">
        <f>SUM(H2:K2)</f>
        <v>2918</v>
      </c>
      <c r="M2" s="2">
        <v>1015</v>
      </c>
      <c r="N2" s="2">
        <f>1128-M2</f>
        <v>113</v>
      </c>
      <c r="O2" s="2">
        <f>2979-(N2+M2)</f>
        <v>1851</v>
      </c>
      <c r="P2" s="2">
        <f>3608-(O2+N2+M2)</f>
        <v>629</v>
      </c>
      <c r="Q2" s="2">
        <f>SUM(M2:P2)</f>
        <v>3608</v>
      </c>
      <c r="R2">
        <v>706</v>
      </c>
      <c r="S2">
        <f>710-R2</f>
        <v>4</v>
      </c>
      <c r="T2">
        <f>1739-(S2+R2)</f>
        <v>1029</v>
      </c>
      <c r="U2">
        <f>2037-(T2+S2+R2)</f>
        <v>298</v>
      </c>
      <c r="V2">
        <f>SUM(R2:U2)</f>
        <v>2037</v>
      </c>
    </row>
    <row r="3" spans="1:22" x14ac:dyDescent="0.4">
      <c r="A3">
        <v>2</v>
      </c>
      <c r="B3" s="1" t="s">
        <v>24</v>
      </c>
      <c r="C3" s="2">
        <v>174143</v>
      </c>
      <c r="D3" s="2">
        <f>345402-C3</f>
        <v>171259</v>
      </c>
      <c r="E3" s="2">
        <f>526828-(D3+C3)</f>
        <v>181426</v>
      </c>
      <c r="F3" s="2">
        <f t="shared" ref="F3" si="0">262519-(E3+D3+C3)</f>
        <v>-264309</v>
      </c>
      <c r="G3" s="2">
        <f t="shared" ref="G3:G66" si="1">SUM(C3:F3)</f>
        <v>262519</v>
      </c>
      <c r="H3" s="2">
        <v>5704</v>
      </c>
      <c r="I3" s="2">
        <f>11077-H3</f>
        <v>5373</v>
      </c>
      <c r="J3" s="2">
        <f>19068-(I3+H3)</f>
        <v>7991</v>
      </c>
      <c r="K3">
        <f t="shared" ref="K3" si="2">2918-(J3+I3+H3)</f>
        <v>-16150</v>
      </c>
      <c r="L3">
        <f t="shared" ref="L3:L66" si="3">SUM(H3:K3)</f>
        <v>2918</v>
      </c>
      <c r="M3" s="2">
        <v>6067</v>
      </c>
      <c r="N3" s="2">
        <f>12138-M3</f>
        <v>6071</v>
      </c>
      <c r="O3" s="2">
        <f>21613-(N3+M3)</f>
        <v>9475</v>
      </c>
      <c r="P3" s="2">
        <f t="shared" ref="P3" si="4">3608-(O3+N3+M3)</f>
        <v>-18005</v>
      </c>
      <c r="Q3" s="2">
        <f t="shared" ref="Q3:Q66" si="5">SUM(M3:P3)</f>
        <v>3608</v>
      </c>
      <c r="R3" s="2">
        <v>3619</v>
      </c>
      <c r="S3" s="2">
        <f>7829-R3</f>
        <v>4210</v>
      </c>
      <c r="T3" s="2">
        <f>14791-(S3+R3)</f>
        <v>6962</v>
      </c>
      <c r="U3">
        <f t="shared" ref="U3" si="6">2037-(T3+S3+R3)</f>
        <v>-12754</v>
      </c>
      <c r="V3">
        <f t="shared" ref="V3:V66" si="7">SUM(R3:U3)</f>
        <v>2037</v>
      </c>
    </row>
    <row r="4" spans="1:22" x14ac:dyDescent="0.4">
      <c r="A4">
        <v>3</v>
      </c>
      <c r="B4" t="s">
        <v>25</v>
      </c>
      <c r="C4" s="2">
        <v>221879</v>
      </c>
      <c r="D4" s="2">
        <f>447007-C4</f>
        <v>225128</v>
      </c>
      <c r="E4" s="2">
        <f>698390-(D4+C4)</f>
        <v>251383</v>
      </c>
      <c r="F4" s="2">
        <f>905204-(E4+D4+C4)</f>
        <v>206814</v>
      </c>
      <c r="G4" s="2">
        <f t="shared" si="1"/>
        <v>905204</v>
      </c>
      <c r="H4" s="2">
        <v>4782</v>
      </c>
      <c r="I4" s="2">
        <f>9896-H4</f>
        <v>5114</v>
      </c>
      <c r="J4" s="2">
        <f>16036-(I4+H4)</f>
        <v>6140</v>
      </c>
      <c r="K4" s="2">
        <f>17079-(J4+I4+H4)</f>
        <v>1043</v>
      </c>
      <c r="L4">
        <f t="shared" si="3"/>
        <v>17079</v>
      </c>
      <c r="M4" s="2">
        <v>5649</v>
      </c>
      <c r="N4" s="2">
        <f>11496-M4</f>
        <v>5847</v>
      </c>
      <c r="O4" s="2">
        <f>18635-(N4+M4)</f>
        <v>7139</v>
      </c>
      <c r="P4" s="2">
        <f>19901-(O4+N4+M4)</f>
        <v>1266</v>
      </c>
      <c r="Q4" s="2">
        <f t="shared" si="5"/>
        <v>19901</v>
      </c>
      <c r="R4" s="2">
        <v>3693</v>
      </c>
      <c r="S4" s="2">
        <f>8114-R4</f>
        <v>4421</v>
      </c>
      <c r="T4" s="2">
        <f>12931-(S4+R4)</f>
        <v>4817</v>
      </c>
      <c r="U4" s="2">
        <f>12537-(T4+S4+R4)</f>
        <v>-394</v>
      </c>
      <c r="V4">
        <f t="shared" si="7"/>
        <v>12537</v>
      </c>
    </row>
    <row r="5" spans="1:22" x14ac:dyDescent="0.4">
      <c r="A5">
        <v>4</v>
      </c>
      <c r="B5" s="1" t="s">
        <v>27</v>
      </c>
      <c r="C5" s="2">
        <v>18685</v>
      </c>
      <c r="D5" s="2">
        <f>37853-C5</f>
        <v>19168</v>
      </c>
      <c r="E5" s="2">
        <f>61668-(D5+C5)</f>
        <v>23815</v>
      </c>
      <c r="F5" s="2">
        <f>80492-(E5+D5+C5)</f>
        <v>18824</v>
      </c>
      <c r="G5" s="2">
        <f t="shared" si="1"/>
        <v>80492</v>
      </c>
      <c r="H5">
        <v>184</v>
      </c>
      <c r="I5">
        <f>462-H5</f>
        <v>278</v>
      </c>
      <c r="J5">
        <f>793-(I5+H5)</f>
        <v>331</v>
      </c>
      <c r="K5">
        <f>839-(J5+I5+H5)</f>
        <v>46</v>
      </c>
      <c r="L5">
        <f t="shared" si="3"/>
        <v>839</v>
      </c>
      <c r="M5">
        <v>167</v>
      </c>
      <c r="N5" s="2">
        <f>425-M5</f>
        <v>258</v>
      </c>
      <c r="O5" s="2">
        <f>732-(N5+M5)</f>
        <v>307</v>
      </c>
      <c r="P5" s="2">
        <f>757-(O5+N5+M5)</f>
        <v>25</v>
      </c>
      <c r="Q5" s="2">
        <f t="shared" si="5"/>
        <v>757</v>
      </c>
      <c r="R5">
        <v>69</v>
      </c>
      <c r="S5">
        <f>225-R5</f>
        <v>156</v>
      </c>
      <c r="T5">
        <f>381-(S5+R5)</f>
        <v>156</v>
      </c>
      <c r="U5">
        <f>454-(T5+S5+R5)</f>
        <v>73</v>
      </c>
      <c r="V5">
        <f t="shared" si="7"/>
        <v>454</v>
      </c>
    </row>
    <row r="6" spans="1:22" x14ac:dyDescent="0.4">
      <c r="A6">
        <v>5</v>
      </c>
      <c r="B6" s="1" t="s">
        <v>28</v>
      </c>
      <c r="C6" s="2">
        <v>25309</v>
      </c>
      <c r="D6" s="2">
        <f>28677</f>
        <v>28677</v>
      </c>
      <c r="E6" s="2">
        <f>39162</f>
        <v>39162</v>
      </c>
      <c r="F6" s="2">
        <v>21551</v>
      </c>
      <c r="G6" s="2">
        <f t="shared" si="1"/>
        <v>114699</v>
      </c>
      <c r="H6">
        <v>726</v>
      </c>
      <c r="I6">
        <v>1407</v>
      </c>
      <c r="J6">
        <v>3952</v>
      </c>
      <c r="K6">
        <v>-171</v>
      </c>
      <c r="L6">
        <f t="shared" si="3"/>
        <v>5914</v>
      </c>
      <c r="M6" s="2">
        <v>721</v>
      </c>
      <c r="N6" s="2">
        <f>1369</f>
        <v>1369</v>
      </c>
      <c r="O6" s="2">
        <v>3978</v>
      </c>
      <c r="P6" s="2">
        <v>-176</v>
      </c>
      <c r="Q6" s="2">
        <f t="shared" si="5"/>
        <v>5892</v>
      </c>
      <c r="R6">
        <v>201</v>
      </c>
      <c r="S6">
        <f>177</f>
        <v>177</v>
      </c>
      <c r="T6">
        <f>1955</f>
        <v>1955</v>
      </c>
      <c r="U6">
        <f>-351</f>
        <v>-351</v>
      </c>
      <c r="V6">
        <f t="shared" si="7"/>
        <v>1982</v>
      </c>
    </row>
    <row r="7" spans="1:22" x14ac:dyDescent="0.4">
      <c r="A7">
        <v>6</v>
      </c>
      <c r="B7" s="1" t="s">
        <v>29</v>
      </c>
      <c r="C7" s="2">
        <v>14533</v>
      </c>
      <c r="D7" s="2">
        <v>13219</v>
      </c>
      <c r="E7" s="2">
        <v>17652</v>
      </c>
      <c r="F7" s="2">
        <v>19106</v>
      </c>
      <c r="G7" s="2">
        <f t="shared" si="1"/>
        <v>64510</v>
      </c>
      <c r="H7">
        <v>1854</v>
      </c>
      <c r="I7">
        <v>2026</v>
      </c>
      <c r="J7">
        <v>3871</v>
      </c>
      <c r="K7">
        <v>4541</v>
      </c>
      <c r="L7">
        <f t="shared" si="3"/>
        <v>12292</v>
      </c>
      <c r="M7" s="2">
        <v>2083</v>
      </c>
      <c r="N7" s="2">
        <v>2053</v>
      </c>
      <c r="O7" s="2">
        <v>3949</v>
      </c>
      <c r="P7" s="2">
        <v>4578</v>
      </c>
      <c r="Q7" s="2">
        <f t="shared" si="5"/>
        <v>12663</v>
      </c>
      <c r="R7">
        <v>1309</v>
      </c>
      <c r="S7">
        <v>1360</v>
      </c>
      <c r="T7">
        <v>2677</v>
      </c>
      <c r="U7">
        <v>3041</v>
      </c>
      <c r="V7">
        <f t="shared" si="7"/>
        <v>8387</v>
      </c>
    </row>
    <row r="8" spans="1:22" x14ac:dyDescent="0.4">
      <c r="A8">
        <v>7</v>
      </c>
      <c r="B8" s="1" t="s">
        <v>31</v>
      </c>
      <c r="C8" s="2">
        <v>83344</v>
      </c>
      <c r="D8" s="2">
        <f>182973-C8</f>
        <v>99629</v>
      </c>
      <c r="E8" s="2">
        <f>288507-(D8+C8)</f>
        <v>105534</v>
      </c>
      <c r="F8" s="2">
        <f>441166-(E8+D8+C8)</f>
        <v>152659</v>
      </c>
      <c r="G8" s="2">
        <f t="shared" si="1"/>
        <v>441166</v>
      </c>
      <c r="H8" s="2">
        <v>1173</v>
      </c>
      <c r="I8" s="2">
        <f>4958-H8</f>
        <v>3785</v>
      </c>
      <c r="J8" s="2">
        <f>9064-(I8+H8)</f>
        <v>4106</v>
      </c>
      <c r="K8" s="2">
        <f>21993-(J8+I8+H8)</f>
        <v>12929</v>
      </c>
      <c r="L8">
        <f t="shared" si="3"/>
        <v>21993</v>
      </c>
      <c r="M8" s="2">
        <v>1709</v>
      </c>
      <c r="N8" s="2">
        <f>5587-M8</f>
        <v>3878</v>
      </c>
      <c r="O8" s="2">
        <f>10362-(N8+M8)</f>
        <v>4775</v>
      </c>
      <c r="P8" s="2">
        <f>23207-(O8+N8+M8)</f>
        <v>12845</v>
      </c>
      <c r="Q8" s="2">
        <f t="shared" si="5"/>
        <v>23207</v>
      </c>
      <c r="R8">
        <v>910</v>
      </c>
      <c r="S8">
        <f>3352-R8</f>
        <v>2442</v>
      </c>
      <c r="T8">
        <f>6304-(S8+R8)</f>
        <v>2952</v>
      </c>
      <c r="U8">
        <f>15220-(T8+S8+R8)</f>
        <v>8916</v>
      </c>
      <c r="V8">
        <f t="shared" si="7"/>
        <v>15220</v>
      </c>
    </row>
    <row r="9" spans="1:22" x14ac:dyDescent="0.4">
      <c r="A9">
        <v>8</v>
      </c>
      <c r="B9" s="1" t="s">
        <v>32</v>
      </c>
      <c r="C9" s="2">
        <v>66093</v>
      </c>
      <c r="D9" s="2">
        <v>45234</v>
      </c>
      <c r="E9" s="2">
        <v>54029</v>
      </c>
      <c r="F9" s="2">
        <v>45008</v>
      </c>
      <c r="G9" s="2">
        <f t="shared" si="1"/>
        <v>210364</v>
      </c>
      <c r="H9">
        <v>4680</v>
      </c>
      <c r="I9">
        <v>2119</v>
      </c>
      <c r="J9">
        <v>1914</v>
      </c>
      <c r="K9">
        <v>1445</v>
      </c>
      <c r="L9">
        <f t="shared" si="3"/>
        <v>10158</v>
      </c>
      <c r="M9" s="2">
        <v>4533</v>
      </c>
      <c r="N9" s="2">
        <v>2033</v>
      </c>
      <c r="O9" s="2">
        <v>1955</v>
      </c>
      <c r="P9" s="2">
        <v>1368</v>
      </c>
      <c r="Q9" s="2">
        <f t="shared" si="5"/>
        <v>9889</v>
      </c>
      <c r="R9">
        <v>2496</v>
      </c>
      <c r="S9">
        <v>1355</v>
      </c>
      <c r="T9">
        <v>1154</v>
      </c>
      <c r="U9">
        <v>956</v>
      </c>
      <c r="V9">
        <f t="shared" si="7"/>
        <v>5961</v>
      </c>
    </row>
    <row r="10" spans="1:22" x14ac:dyDescent="0.4">
      <c r="A10">
        <v>9</v>
      </c>
      <c r="B10" s="1" t="s">
        <v>33</v>
      </c>
      <c r="C10" s="2">
        <v>5195</v>
      </c>
      <c r="D10" s="2">
        <v>5364</v>
      </c>
      <c r="E10" s="2">
        <v>5999</v>
      </c>
      <c r="F10" s="2">
        <v>4899</v>
      </c>
      <c r="G10" s="2">
        <f t="shared" si="1"/>
        <v>21457</v>
      </c>
      <c r="H10">
        <v>363</v>
      </c>
      <c r="I10">
        <v>566</v>
      </c>
      <c r="J10">
        <v>631</v>
      </c>
      <c r="K10">
        <v>435</v>
      </c>
      <c r="L10">
        <f t="shared" si="3"/>
        <v>1995</v>
      </c>
      <c r="M10" s="2">
        <v>363</v>
      </c>
      <c r="N10" s="2">
        <v>562</v>
      </c>
      <c r="O10" s="2">
        <v>627</v>
      </c>
      <c r="P10" s="2">
        <v>443</v>
      </c>
      <c r="Q10" s="2">
        <f t="shared" si="5"/>
        <v>1995</v>
      </c>
      <c r="R10">
        <v>239</v>
      </c>
      <c r="S10">
        <v>376</v>
      </c>
      <c r="T10">
        <v>429</v>
      </c>
      <c r="U10">
        <v>292</v>
      </c>
      <c r="V10">
        <f t="shared" si="7"/>
        <v>1336</v>
      </c>
    </row>
    <row r="11" spans="1:22" x14ac:dyDescent="0.4">
      <c r="A11">
        <v>10</v>
      </c>
      <c r="B11" s="1" t="s">
        <v>34</v>
      </c>
      <c r="C11" s="2">
        <v>5556</v>
      </c>
      <c r="D11" s="2">
        <v>3030</v>
      </c>
      <c r="E11" s="2">
        <v>3744</v>
      </c>
      <c r="F11" s="2">
        <v>3840</v>
      </c>
      <c r="G11" s="2">
        <f t="shared" si="1"/>
        <v>16170</v>
      </c>
      <c r="H11">
        <v>600</v>
      </c>
      <c r="I11">
        <v>86</v>
      </c>
      <c r="J11">
        <v>138</v>
      </c>
      <c r="K11">
        <v>98</v>
      </c>
      <c r="L11">
        <f t="shared" si="3"/>
        <v>922</v>
      </c>
      <c r="M11" s="2">
        <v>600</v>
      </c>
      <c r="N11" s="2">
        <v>85</v>
      </c>
      <c r="O11" s="2">
        <v>137</v>
      </c>
      <c r="P11" s="2">
        <v>94</v>
      </c>
      <c r="Q11" s="2">
        <f t="shared" si="5"/>
        <v>916</v>
      </c>
      <c r="R11">
        <v>410</v>
      </c>
      <c r="S11">
        <v>55</v>
      </c>
      <c r="T11">
        <v>90</v>
      </c>
      <c r="U11">
        <v>50</v>
      </c>
      <c r="V11">
        <f t="shared" si="7"/>
        <v>605</v>
      </c>
    </row>
    <row r="12" spans="1:22" x14ac:dyDescent="0.4">
      <c r="A12">
        <v>11</v>
      </c>
      <c r="B12" s="1" t="s">
        <v>35</v>
      </c>
      <c r="C12" s="2">
        <v>793</v>
      </c>
      <c r="D12" s="2">
        <v>734</v>
      </c>
      <c r="E12" s="2">
        <v>795</v>
      </c>
      <c r="F12" s="2">
        <v>0</v>
      </c>
      <c r="G12" s="2">
        <f t="shared" si="1"/>
        <v>2322</v>
      </c>
      <c r="H12">
        <v>23</v>
      </c>
      <c r="I12">
        <v>-11</v>
      </c>
      <c r="J12">
        <v>-49</v>
      </c>
      <c r="K12">
        <v>0</v>
      </c>
      <c r="L12">
        <f t="shared" si="3"/>
        <v>-37</v>
      </c>
      <c r="M12" s="2">
        <v>23</v>
      </c>
      <c r="N12" s="2">
        <v>-9</v>
      </c>
      <c r="O12" s="2">
        <v>-47</v>
      </c>
      <c r="P12" s="2">
        <v>0</v>
      </c>
      <c r="Q12" s="2">
        <f t="shared" si="5"/>
        <v>-33</v>
      </c>
      <c r="R12">
        <v>15</v>
      </c>
      <c r="S12">
        <v>-10</v>
      </c>
      <c r="T12">
        <v>-32</v>
      </c>
      <c r="U12">
        <v>0</v>
      </c>
      <c r="V12">
        <f t="shared" si="7"/>
        <v>-27</v>
      </c>
    </row>
    <row r="13" spans="1:22" x14ac:dyDescent="0.4">
      <c r="A13">
        <v>12</v>
      </c>
      <c r="B13" s="1" t="s">
        <v>38</v>
      </c>
      <c r="C13" s="2">
        <v>9610</v>
      </c>
      <c r="D13" s="2">
        <v>3334</v>
      </c>
      <c r="E13" s="2">
        <v>1221</v>
      </c>
      <c r="F13" s="2">
        <v>2035</v>
      </c>
      <c r="G13" s="2">
        <f t="shared" si="1"/>
        <v>16200</v>
      </c>
      <c r="H13">
        <v>-1798</v>
      </c>
      <c r="I13">
        <v>-765</v>
      </c>
      <c r="J13">
        <v>-2404</v>
      </c>
      <c r="K13">
        <v>-201</v>
      </c>
      <c r="L13">
        <f t="shared" si="3"/>
        <v>-5168</v>
      </c>
      <c r="M13" s="2">
        <v>-1992</v>
      </c>
      <c r="N13" s="2">
        <v>-812</v>
      </c>
      <c r="O13" s="2">
        <v>-2425</v>
      </c>
      <c r="P13" s="2">
        <v>-224</v>
      </c>
      <c r="Q13" s="2">
        <f t="shared" si="5"/>
        <v>-5453</v>
      </c>
      <c r="R13">
        <v>-2894</v>
      </c>
      <c r="S13">
        <v>-1524</v>
      </c>
      <c r="T13">
        <v>-4073</v>
      </c>
      <c r="U13">
        <v>-227</v>
      </c>
      <c r="V13">
        <f t="shared" si="7"/>
        <v>-8718</v>
      </c>
    </row>
    <row r="14" spans="1:22" x14ac:dyDescent="0.4">
      <c r="A14">
        <v>13</v>
      </c>
      <c r="B14" s="1" t="s">
        <v>40</v>
      </c>
      <c r="C14" s="2">
        <v>3038</v>
      </c>
      <c r="D14" s="2">
        <v>3302</v>
      </c>
      <c r="E14" s="2">
        <v>3143</v>
      </c>
      <c r="F14" s="2">
        <v>3474</v>
      </c>
      <c r="G14" s="2">
        <f t="shared" si="1"/>
        <v>12957</v>
      </c>
      <c r="H14">
        <v>7</v>
      </c>
      <c r="I14">
        <v>105</v>
      </c>
      <c r="J14">
        <v>56</v>
      </c>
      <c r="K14">
        <v>268</v>
      </c>
      <c r="L14">
        <f t="shared" si="3"/>
        <v>436</v>
      </c>
      <c r="M14" s="2">
        <v>0</v>
      </c>
      <c r="N14" s="2">
        <v>100</v>
      </c>
      <c r="O14" s="2">
        <v>27</v>
      </c>
      <c r="P14" s="2">
        <v>263</v>
      </c>
      <c r="Q14" s="2">
        <f t="shared" si="5"/>
        <v>390</v>
      </c>
      <c r="R14">
        <v>18</v>
      </c>
      <c r="S14">
        <v>32</v>
      </c>
      <c r="T14">
        <v>-8</v>
      </c>
      <c r="U14">
        <v>156</v>
      </c>
      <c r="V14">
        <f t="shared" si="7"/>
        <v>198</v>
      </c>
    </row>
    <row r="15" spans="1:22" x14ac:dyDescent="0.4">
      <c r="A15">
        <v>14</v>
      </c>
      <c r="B15" s="1" t="s">
        <v>41</v>
      </c>
      <c r="C15" s="2">
        <v>16418</v>
      </c>
      <c r="D15" s="2">
        <f>37215-C15</f>
        <v>20797</v>
      </c>
      <c r="E15" s="2">
        <f>59273-D15-C15</f>
        <v>22058</v>
      </c>
      <c r="F15" s="2">
        <f>0-E15-D15-C15</f>
        <v>-59273</v>
      </c>
      <c r="G15" s="2">
        <f t="shared" si="1"/>
        <v>0</v>
      </c>
      <c r="H15">
        <f>255</f>
        <v>255</v>
      </c>
      <c r="I15">
        <f>787-H15</f>
        <v>532</v>
      </c>
      <c r="J15">
        <f>1251-I15-H15</f>
        <v>464</v>
      </c>
      <c r="K15">
        <f>0-J15-I15-H15</f>
        <v>-1251</v>
      </c>
      <c r="L15">
        <f t="shared" si="3"/>
        <v>0</v>
      </c>
      <c r="M15" s="2">
        <v>322</v>
      </c>
      <c r="N15" s="2">
        <f>829-M15</f>
        <v>507</v>
      </c>
      <c r="O15" s="2">
        <f>1443-N15-M15</f>
        <v>614</v>
      </c>
      <c r="P15" s="2">
        <f>0-O15-N15-M15</f>
        <v>-1443</v>
      </c>
      <c r="Q15" s="2">
        <f t="shared" si="5"/>
        <v>0</v>
      </c>
      <c r="R15">
        <v>150</v>
      </c>
      <c r="S15">
        <f>208-R15</f>
        <v>58</v>
      </c>
      <c r="T15">
        <f>421-S15-R15</f>
        <v>213</v>
      </c>
      <c r="U15">
        <f>0-T15-S15-R15</f>
        <v>-421</v>
      </c>
      <c r="V15">
        <f t="shared" si="7"/>
        <v>0</v>
      </c>
    </row>
    <row r="16" spans="1:22" x14ac:dyDescent="0.4">
      <c r="A16">
        <v>15</v>
      </c>
      <c r="B16" s="1" t="s">
        <v>42</v>
      </c>
      <c r="C16" s="2">
        <v>4272</v>
      </c>
      <c r="D16" s="2">
        <f>7042-C16</f>
        <v>2770</v>
      </c>
      <c r="E16" s="2">
        <f>11373-D16-C16</f>
        <v>4331</v>
      </c>
      <c r="F16" s="2">
        <f>15390-E16-D16-C16</f>
        <v>4017</v>
      </c>
      <c r="G16" s="2">
        <f t="shared" si="1"/>
        <v>15390</v>
      </c>
      <c r="H16">
        <v>-56</v>
      </c>
      <c r="I16">
        <f>-15-H16</f>
        <v>41</v>
      </c>
      <c r="J16">
        <f>24-I16-H16</f>
        <v>39</v>
      </c>
      <c r="K16">
        <f>21-J16-I16-H16</f>
        <v>-3</v>
      </c>
      <c r="L16">
        <f t="shared" si="3"/>
        <v>21</v>
      </c>
      <c r="M16" s="2">
        <v>-75</v>
      </c>
      <c r="N16" s="2">
        <f>899-M16</f>
        <v>974</v>
      </c>
      <c r="O16" s="2">
        <f>930-N16-M16</f>
        <v>31</v>
      </c>
      <c r="P16" s="2">
        <f>1262-O16-N16-M16</f>
        <v>332</v>
      </c>
      <c r="Q16" s="2">
        <f t="shared" si="5"/>
        <v>1262</v>
      </c>
      <c r="R16">
        <v>-85</v>
      </c>
      <c r="S16">
        <f>764-R16</f>
        <v>849</v>
      </c>
      <c r="T16">
        <f>749-S16-R16</f>
        <v>-15</v>
      </c>
      <c r="U16">
        <f>1021-T16-S16-R16</f>
        <v>272</v>
      </c>
      <c r="V16">
        <f t="shared" si="7"/>
        <v>1021</v>
      </c>
    </row>
    <row r="17" spans="1:22" x14ac:dyDescent="0.4">
      <c r="A17">
        <v>16</v>
      </c>
      <c r="B17" s="1" t="s">
        <v>44</v>
      </c>
      <c r="C17" s="2">
        <f>29405</f>
        <v>29405</v>
      </c>
      <c r="D17" s="2">
        <f>58869-C17</f>
        <v>29464</v>
      </c>
      <c r="E17" s="2">
        <f>89341-D17-C17</f>
        <v>30472</v>
      </c>
      <c r="F17" s="2">
        <f>117502-E17-D17-C17</f>
        <v>28161</v>
      </c>
      <c r="G17" s="2">
        <f t="shared" si="1"/>
        <v>117502</v>
      </c>
      <c r="H17">
        <v>2040</v>
      </c>
      <c r="I17">
        <f>4252-H17</f>
        <v>2212</v>
      </c>
      <c r="J17">
        <f>6233-I17-H17</f>
        <v>1981</v>
      </c>
      <c r="K17">
        <f>7576-J17-I17-H17</f>
        <v>1343</v>
      </c>
      <c r="L17">
        <f t="shared" si="3"/>
        <v>7576</v>
      </c>
      <c r="M17" s="2">
        <v>2351</v>
      </c>
      <c r="N17" s="2">
        <f>4589-M17</f>
        <v>2238</v>
      </c>
      <c r="O17" s="2">
        <f>6934-N17-M17</f>
        <v>2345</v>
      </c>
      <c r="P17" s="2">
        <f>8012-O17-N17-M17</f>
        <v>1078</v>
      </c>
      <c r="Q17" s="2">
        <f t="shared" si="5"/>
        <v>8012</v>
      </c>
      <c r="R17">
        <v>1237</v>
      </c>
      <c r="S17">
        <f>2697-R17</f>
        <v>1460</v>
      </c>
      <c r="T17">
        <f>4144-S17-R17</f>
        <v>1447</v>
      </c>
      <c r="U17">
        <f>4518-T17-S17-R17</f>
        <v>374</v>
      </c>
      <c r="V17">
        <f t="shared" si="7"/>
        <v>4518</v>
      </c>
    </row>
    <row r="18" spans="1:22" x14ac:dyDescent="0.4">
      <c r="A18">
        <v>17</v>
      </c>
      <c r="B18" s="1" t="s">
        <v>45</v>
      </c>
      <c r="C18" s="2">
        <v>16722</v>
      </c>
      <c r="D18" s="2">
        <f>32509-C18</f>
        <v>15787</v>
      </c>
      <c r="E18" s="2">
        <f>48497-(D18+C18)</f>
        <v>15988</v>
      </c>
      <c r="F18" s="2">
        <f>66596-(E18+D18+C18)</f>
        <v>18099</v>
      </c>
      <c r="G18" s="2">
        <f t="shared" si="1"/>
        <v>66596</v>
      </c>
      <c r="H18">
        <v>1009</v>
      </c>
      <c r="I18">
        <f>1388-H18</f>
        <v>379</v>
      </c>
      <c r="J18">
        <f>1675-(I18+H18)</f>
        <v>287</v>
      </c>
      <c r="K18">
        <f>2741-(J18+I18+H18)</f>
        <v>1066</v>
      </c>
      <c r="L18">
        <f t="shared" si="3"/>
        <v>2741</v>
      </c>
      <c r="M18" s="2">
        <v>1075</v>
      </c>
      <c r="N18" s="2">
        <f>1506-M18</f>
        <v>431</v>
      </c>
      <c r="O18" s="2">
        <f>1923-(N18+M18)</f>
        <v>417</v>
      </c>
      <c r="P18" s="2">
        <f>2995-(O18+N18+M18)</f>
        <v>1072</v>
      </c>
      <c r="Q18" s="2">
        <f t="shared" si="5"/>
        <v>2995</v>
      </c>
      <c r="R18">
        <v>697</v>
      </c>
      <c r="S18">
        <f>970-R18</f>
        <v>273</v>
      </c>
      <c r="T18">
        <f>1262-(S18+R18)</f>
        <v>292</v>
      </c>
      <c r="U18">
        <f>2292-(T18+S18+R18)</f>
        <v>1030</v>
      </c>
      <c r="V18">
        <f t="shared" si="7"/>
        <v>2292</v>
      </c>
    </row>
    <row r="19" spans="1:22" x14ac:dyDescent="0.4">
      <c r="A19">
        <v>18</v>
      </c>
      <c r="B19" s="1" t="s">
        <v>47</v>
      </c>
      <c r="C19" s="2">
        <v>287401</v>
      </c>
      <c r="D19" s="2">
        <f>575269-C19</f>
        <v>287868</v>
      </c>
      <c r="E19" s="2">
        <f>1000005-(D19+C19)</f>
        <v>424736</v>
      </c>
      <c r="F19" s="2">
        <v>249669</v>
      </c>
      <c r="G19" s="2">
        <f t="shared" si="1"/>
        <v>1249674</v>
      </c>
      <c r="H19">
        <v>146277</v>
      </c>
      <c r="I19">
        <f>280715-H19</f>
        <v>134438</v>
      </c>
      <c r="J19">
        <f>498641-(I19+H19)</f>
        <v>217926</v>
      </c>
      <c r="K19">
        <v>100878</v>
      </c>
      <c r="L19">
        <f t="shared" si="3"/>
        <v>599519</v>
      </c>
      <c r="M19" s="2">
        <v>130968</v>
      </c>
      <c r="N19" s="2">
        <f>271104-M19</f>
        <v>140136</v>
      </c>
      <c r="O19" s="2">
        <f>511088-(N19+M19)</f>
        <v>239984</v>
      </c>
      <c r="P19" s="2">
        <v>107728</v>
      </c>
      <c r="Q19" s="2">
        <f t="shared" si="5"/>
        <v>618816</v>
      </c>
      <c r="R19">
        <v>29696</v>
      </c>
      <c r="S19">
        <f>69487-R19</f>
        <v>39791</v>
      </c>
      <c r="T19">
        <f>123550-(S19+R19)</f>
        <v>54063</v>
      </c>
      <c r="U19">
        <v>33572</v>
      </c>
      <c r="V19">
        <f t="shared" si="7"/>
        <v>157122</v>
      </c>
    </row>
    <row r="20" spans="1:22" x14ac:dyDescent="0.4">
      <c r="A20">
        <v>19</v>
      </c>
      <c r="B20" s="1" t="s">
        <v>48</v>
      </c>
      <c r="C20" s="2">
        <v>93252</v>
      </c>
      <c r="D20" s="2">
        <f>162346-C20</f>
        <v>69094</v>
      </c>
      <c r="E20" s="2">
        <f>247819-(D20+C20)</f>
        <v>85473</v>
      </c>
      <c r="F20" s="2">
        <f>318822-(E20+D20+C20)</f>
        <v>71003</v>
      </c>
      <c r="G20" s="2">
        <f t="shared" si="1"/>
        <v>318822</v>
      </c>
      <c r="H20">
        <v>4617</v>
      </c>
      <c r="I20">
        <f>7730-H20</f>
        <v>3113</v>
      </c>
      <c r="J20">
        <f>11533-(I20+H20)</f>
        <v>3803</v>
      </c>
      <c r="K20">
        <f>14283-(J20+I20+H20)</f>
        <v>2750</v>
      </c>
      <c r="L20">
        <f t="shared" si="3"/>
        <v>14283</v>
      </c>
      <c r="M20" s="2">
        <v>8909</v>
      </c>
      <c r="N20" s="2">
        <f>19849-M20</f>
        <v>10940</v>
      </c>
      <c r="O20" s="2">
        <f t="shared" ref="O20" si="8">2979-(N20+M20)</f>
        <v>-16870</v>
      </c>
      <c r="P20" s="2">
        <f>32635-(O20+N20+M20)</f>
        <v>29656</v>
      </c>
      <c r="Q20" s="2">
        <f t="shared" si="5"/>
        <v>32635</v>
      </c>
      <c r="R20">
        <v>8951</v>
      </c>
      <c r="S20">
        <f>12069-R20</f>
        <v>3118</v>
      </c>
      <c r="T20">
        <f>16556-(S20+R20)</f>
        <v>4487</v>
      </c>
      <c r="U20">
        <f>26815-(T20+S20+R20)</f>
        <v>10259</v>
      </c>
      <c r="V20">
        <f t="shared" si="7"/>
        <v>26815</v>
      </c>
    </row>
    <row r="21" spans="1:22" x14ac:dyDescent="0.4">
      <c r="A21">
        <v>20</v>
      </c>
      <c r="B21" s="1" t="s">
        <v>49</v>
      </c>
      <c r="C21" s="2">
        <v>1021</v>
      </c>
      <c r="D21" s="2">
        <f>2094-C21</f>
        <v>1073</v>
      </c>
      <c r="E21" s="2">
        <f>3164-(D21+C21)</f>
        <v>1070</v>
      </c>
      <c r="F21" s="2">
        <f>4353-(E21+D21+C21)</f>
        <v>1189</v>
      </c>
      <c r="G21" s="2">
        <f t="shared" si="1"/>
        <v>4353</v>
      </c>
      <c r="H21">
        <v>174</v>
      </c>
      <c r="I21">
        <f>388-H21</f>
        <v>214</v>
      </c>
      <c r="J21">
        <f>563-(I21+H21)</f>
        <v>175</v>
      </c>
      <c r="K21">
        <f>902-(J21+I21+H21)</f>
        <v>339</v>
      </c>
      <c r="L21">
        <f t="shared" si="3"/>
        <v>902</v>
      </c>
      <c r="M21" s="2">
        <v>176</v>
      </c>
      <c r="N21" s="2">
        <f>392-M21</f>
        <v>216</v>
      </c>
      <c r="O21" s="2">
        <f>567-(N21+M21)</f>
        <v>175</v>
      </c>
      <c r="P21" s="2">
        <f>906-(O21+N21+M21)</f>
        <v>339</v>
      </c>
      <c r="Q21" s="2">
        <f t="shared" si="5"/>
        <v>906</v>
      </c>
      <c r="R21">
        <v>122</v>
      </c>
      <c r="S21">
        <f>282-R21</f>
        <v>160</v>
      </c>
      <c r="T21">
        <f>407-(S21+R21)</f>
        <v>125</v>
      </c>
      <c r="U21">
        <f>639-(T21+S21+R21)</f>
        <v>232</v>
      </c>
      <c r="V21">
        <f t="shared" si="7"/>
        <v>639</v>
      </c>
    </row>
    <row r="22" spans="1:22" x14ac:dyDescent="0.4">
      <c r="A22">
        <v>21</v>
      </c>
      <c r="B22" s="1" t="s">
        <v>50</v>
      </c>
      <c r="C22" s="2">
        <v>71431</v>
      </c>
      <c r="D22" s="2">
        <f>176209-C22</f>
        <v>104778</v>
      </c>
      <c r="E22" s="2">
        <f>269360-(D22+C22)</f>
        <v>93151</v>
      </c>
      <c r="F22" s="2">
        <f>378135-(E22+D22+C22)</f>
        <v>108775</v>
      </c>
      <c r="G22" s="2">
        <f t="shared" si="1"/>
        <v>378135</v>
      </c>
      <c r="H22">
        <v>2710</v>
      </c>
      <c r="I22">
        <f>11820-H22</f>
        <v>9110</v>
      </c>
      <c r="J22">
        <f>16910-(I22+H22)</f>
        <v>5090</v>
      </c>
      <c r="K22">
        <f>24699-(J22+I22+H22)</f>
        <v>7789</v>
      </c>
      <c r="L22">
        <f t="shared" si="3"/>
        <v>24699</v>
      </c>
      <c r="M22" s="2">
        <v>2495</v>
      </c>
      <c r="N22" s="2">
        <f>11471-M22</f>
        <v>8976</v>
      </c>
      <c r="O22" s="2">
        <f>16410-(N22+M22)</f>
        <v>4939</v>
      </c>
      <c r="P22" s="2">
        <f>23983-(O22+N22+M22)</f>
        <v>7573</v>
      </c>
      <c r="Q22" s="2">
        <f t="shared" si="5"/>
        <v>23983</v>
      </c>
      <c r="R22">
        <v>1640</v>
      </c>
      <c r="S22">
        <f>7678-R22</f>
        <v>6038</v>
      </c>
      <c r="T22">
        <f>11043-(S22+R22)</f>
        <v>3365</v>
      </c>
      <c r="U22">
        <f>16803-(T22+S22+R22)</f>
        <v>5760</v>
      </c>
      <c r="V22">
        <f t="shared" si="7"/>
        <v>16803</v>
      </c>
    </row>
    <row r="23" spans="1:22" x14ac:dyDescent="0.4">
      <c r="A23">
        <v>22</v>
      </c>
      <c r="B23" s="1" t="s">
        <v>51</v>
      </c>
      <c r="C23" s="2">
        <v>78722</v>
      </c>
      <c r="D23" s="2">
        <f>183415-C23</f>
        <v>104693</v>
      </c>
      <c r="E23" s="2">
        <f>248190-(D23+C23)</f>
        <v>64775</v>
      </c>
      <c r="F23" s="2">
        <f>322170-(E23+D23+C23)</f>
        <v>73980</v>
      </c>
      <c r="G23" s="2">
        <f t="shared" si="1"/>
        <v>322170</v>
      </c>
      <c r="H23">
        <v>6636</v>
      </c>
      <c r="I23">
        <f>16320-H23</f>
        <v>9684</v>
      </c>
      <c r="J23">
        <f>17845-(I23+H23)</f>
        <v>1525</v>
      </c>
      <c r="K23">
        <f>20315-(J23+I23+H23)</f>
        <v>2470</v>
      </c>
      <c r="L23">
        <f t="shared" si="3"/>
        <v>20315</v>
      </c>
      <c r="M23" s="2">
        <v>7001</v>
      </c>
      <c r="N23" s="2">
        <f>16972-M23</f>
        <v>9971</v>
      </c>
      <c r="O23" s="2">
        <f>18947-(N23+M23)</f>
        <v>1975</v>
      </c>
      <c r="P23" s="2">
        <f>21969-(O23+N23+M23)</f>
        <v>3022</v>
      </c>
      <c r="Q23" s="2">
        <f t="shared" si="5"/>
        <v>21969</v>
      </c>
      <c r="R23">
        <v>4838</v>
      </c>
      <c r="S23">
        <f>11516-R23</f>
        <v>6678</v>
      </c>
      <c r="T23">
        <f>12662-(S23+R23)</f>
        <v>1146</v>
      </c>
      <c r="U23">
        <f>14903-(T23+S23+R23)</f>
        <v>2241</v>
      </c>
      <c r="V23">
        <f t="shared" si="7"/>
        <v>14903</v>
      </c>
    </row>
    <row r="24" spans="1:22" x14ac:dyDescent="0.4">
      <c r="A24">
        <v>23</v>
      </c>
      <c r="B24" s="1" t="s">
        <v>52</v>
      </c>
      <c r="C24" s="2">
        <v>111906</v>
      </c>
      <c r="D24" s="2">
        <f>243024-C24</f>
        <v>131118</v>
      </c>
      <c r="E24" s="2">
        <f>374769-(D24+C24)</f>
        <v>131745</v>
      </c>
      <c r="F24" s="2">
        <f>560882-(E24+D24+C24)</f>
        <v>186113</v>
      </c>
      <c r="G24" s="2">
        <f t="shared" si="1"/>
        <v>560882</v>
      </c>
      <c r="H24">
        <v>4976</v>
      </c>
      <c r="I24">
        <f>12959-H24</f>
        <v>7983</v>
      </c>
      <c r="J24">
        <f>21158-(I24+H24)</f>
        <v>8199</v>
      </c>
      <c r="K24">
        <f>38953-(J24+I24+H24)</f>
        <v>17795</v>
      </c>
      <c r="L24">
        <f t="shared" si="3"/>
        <v>38953</v>
      </c>
      <c r="M24" s="2">
        <v>5511</v>
      </c>
      <c r="N24" s="2">
        <f>13631-M24</f>
        <v>8120</v>
      </c>
      <c r="O24" s="2">
        <f>22219-(N24+M24)</f>
        <v>8588</v>
      </c>
      <c r="P24" s="2">
        <f>40064-(O24+N24+M24)</f>
        <v>17845</v>
      </c>
      <c r="Q24" s="2">
        <f t="shared" si="5"/>
        <v>40064</v>
      </c>
      <c r="R24">
        <v>3509</v>
      </c>
      <c r="S24">
        <f>7129-R24</f>
        <v>3620</v>
      </c>
      <c r="T24">
        <f>14459-(S24+R24)</f>
        <v>7330</v>
      </c>
      <c r="U24">
        <f>25994-(T24+S24+R24)</f>
        <v>11535</v>
      </c>
      <c r="V24">
        <f t="shared" si="7"/>
        <v>25994</v>
      </c>
    </row>
    <row r="25" spans="1:22" x14ac:dyDescent="0.4">
      <c r="A25">
        <v>24</v>
      </c>
      <c r="B25" s="1" t="s">
        <v>53</v>
      </c>
      <c r="C25" s="2">
        <v>349621</v>
      </c>
      <c r="D25" s="2">
        <f>766414-C25</f>
        <v>416793</v>
      </c>
      <c r="E25" s="2">
        <f>1174690-(D25+C25)</f>
        <v>408276</v>
      </c>
      <c r="F25" s="2">
        <f>1751330-(E25+D25+C25)</f>
        <v>576640</v>
      </c>
      <c r="G25" s="2">
        <f t="shared" si="1"/>
        <v>1751330</v>
      </c>
      <c r="H25">
        <v>25907</v>
      </c>
      <c r="I25">
        <f>59852-H25</f>
        <v>33945</v>
      </c>
      <c r="J25">
        <f>92999-(I25+H25)</f>
        <v>33147</v>
      </c>
      <c r="K25">
        <f>167755-(J25+I25+H25)</f>
        <v>74756</v>
      </c>
      <c r="L25">
        <f t="shared" si="3"/>
        <v>167755</v>
      </c>
      <c r="M25" s="2">
        <v>27976</v>
      </c>
      <c r="N25" s="2">
        <f>62460-M25</f>
        <v>34484</v>
      </c>
      <c r="O25" s="2">
        <f>97300-(N25+M25)</f>
        <v>34840</v>
      </c>
      <c r="P25" s="2">
        <f>173347-(O25+N25+M25)</f>
        <v>76047</v>
      </c>
      <c r="Q25" s="2">
        <f t="shared" si="5"/>
        <v>173347</v>
      </c>
      <c r="R25">
        <v>21443</v>
      </c>
      <c r="S25">
        <f>44879-R25</f>
        <v>23436</v>
      </c>
      <c r="T25">
        <f>68679-(S25+R25)</f>
        <v>23800</v>
      </c>
      <c r="U25">
        <f>122087-(T25+S25+R25)</f>
        <v>53408</v>
      </c>
      <c r="V25">
        <f t="shared" si="7"/>
        <v>122087</v>
      </c>
    </row>
    <row r="26" spans="1:22" x14ac:dyDescent="0.4">
      <c r="A26">
        <v>25</v>
      </c>
      <c r="B26" s="1" t="s">
        <v>55</v>
      </c>
      <c r="C26" s="2">
        <v>446720</v>
      </c>
      <c r="D26" s="2">
        <f>965290-C26</f>
        <v>518570</v>
      </c>
      <c r="E26" s="2">
        <f>1498420-(D26+C26)</f>
        <v>533130</v>
      </c>
      <c r="F26" s="2">
        <f>2073043-(E26+D26+C26)</f>
        <v>574623</v>
      </c>
      <c r="G26" s="2">
        <f t="shared" si="1"/>
        <v>2073043</v>
      </c>
      <c r="H26">
        <v>25399</v>
      </c>
      <c r="I26">
        <f>72764-H26</f>
        <v>47365</v>
      </c>
      <c r="J26">
        <f>118424-(I26+H26)</f>
        <v>45660</v>
      </c>
      <c r="K26">
        <f>152871-(J26+I26+H26)</f>
        <v>34447</v>
      </c>
      <c r="L26">
        <f t="shared" si="3"/>
        <v>152871</v>
      </c>
      <c r="M26" s="2">
        <v>28112</v>
      </c>
      <c r="N26" s="2">
        <f>76751-M26</f>
        <v>48639</v>
      </c>
      <c r="O26" s="2">
        <f>125663-(N26+M26)</f>
        <v>48912</v>
      </c>
      <c r="P26" s="2">
        <f>159005-(O26+N26+M26)</f>
        <v>33342</v>
      </c>
      <c r="Q26" s="2">
        <f t="shared" si="5"/>
        <v>159005</v>
      </c>
      <c r="R26">
        <v>22733</v>
      </c>
      <c r="S26">
        <f>56813-R26</f>
        <v>34080</v>
      </c>
      <c r="T26">
        <f>91763-(S26+R26)</f>
        <v>34950</v>
      </c>
      <c r="U26">
        <f>113093-(T26+S26+R26)</f>
        <v>21330</v>
      </c>
      <c r="V26">
        <f t="shared" si="7"/>
        <v>113093</v>
      </c>
    </row>
    <row r="27" spans="1:22" x14ac:dyDescent="0.4">
      <c r="A27">
        <v>26</v>
      </c>
      <c r="B27" s="1" t="s">
        <v>56</v>
      </c>
      <c r="C27" s="2">
        <v>411126</v>
      </c>
      <c r="D27" s="2">
        <f>834850-C27</f>
        <v>423724</v>
      </c>
      <c r="E27" s="2">
        <f>1238776-(D27+C27)</f>
        <v>403926</v>
      </c>
      <c r="F27" s="2">
        <f>0-(E27+D27+C27)</f>
        <v>-1238776</v>
      </c>
      <c r="G27" s="2">
        <f t="shared" si="1"/>
        <v>0</v>
      </c>
      <c r="H27">
        <v>27805</v>
      </c>
      <c r="I27">
        <f>62379-H27</f>
        <v>34574</v>
      </c>
      <c r="J27">
        <f>97057-(I27+H27)</f>
        <v>34678</v>
      </c>
      <c r="K27">
        <f>0-(J27+I27+H27)</f>
        <v>-97057</v>
      </c>
      <c r="L27">
        <f t="shared" si="3"/>
        <v>0</v>
      </c>
      <c r="M27" s="2">
        <v>30668</v>
      </c>
      <c r="N27" s="2">
        <f>65272-M27</f>
        <v>34604</v>
      </c>
      <c r="O27" s="2">
        <f>103522-(N27+M27)</f>
        <v>38250</v>
      </c>
      <c r="P27" s="2">
        <f>0-(O27+N27+M27)</f>
        <v>-103522</v>
      </c>
      <c r="Q27" s="2">
        <f t="shared" si="5"/>
        <v>0</v>
      </c>
      <c r="R27">
        <v>24284</v>
      </c>
      <c r="S27">
        <f>47694-R27</f>
        <v>23410</v>
      </c>
      <c r="T27">
        <f>73853-(S27+R27)</f>
        <v>26159</v>
      </c>
      <c r="U27">
        <f>0-(T27+S27+R27)</f>
        <v>-73853</v>
      </c>
      <c r="V27">
        <f t="shared" si="7"/>
        <v>0</v>
      </c>
    </row>
    <row r="28" spans="1:22" x14ac:dyDescent="0.4">
      <c r="A28">
        <v>27</v>
      </c>
      <c r="B28" s="1" t="s">
        <v>57</v>
      </c>
      <c r="C28" s="2">
        <v>28686</v>
      </c>
      <c r="D28" s="2">
        <f>64065-C28</f>
        <v>35379</v>
      </c>
      <c r="E28" s="2">
        <f>98381-(D28+C28)</f>
        <v>34316</v>
      </c>
      <c r="F28" s="2">
        <f>134859-(E28+D28+C28)</f>
        <v>36478</v>
      </c>
      <c r="G28" s="2">
        <f t="shared" si="1"/>
        <v>134859</v>
      </c>
      <c r="H28">
        <v>583</v>
      </c>
      <c r="I28">
        <f>3090-H28</f>
        <v>2507</v>
      </c>
      <c r="J28">
        <f>5083-(I28+H28)</f>
        <v>1993</v>
      </c>
      <c r="K28">
        <f>7848-(J28+I28+H28)</f>
        <v>2765</v>
      </c>
      <c r="L28">
        <f t="shared" si="3"/>
        <v>7848</v>
      </c>
      <c r="M28" s="2">
        <v>496</v>
      </c>
      <c r="N28" s="2">
        <f>2906-M28</f>
        <v>2410</v>
      </c>
      <c r="O28" s="2">
        <f>4809-(N28+M28)</f>
        <v>1903</v>
      </c>
      <c r="P28" s="2">
        <f>4382-(O28+N28+M28)</f>
        <v>-427</v>
      </c>
      <c r="Q28" s="2">
        <f t="shared" si="5"/>
        <v>4382</v>
      </c>
      <c r="R28">
        <v>314</v>
      </c>
      <c r="S28">
        <f>1914-R28</f>
        <v>1600</v>
      </c>
      <c r="T28">
        <f>3215-(S28+R28)</f>
        <v>1301</v>
      </c>
      <c r="U28">
        <f>5109-(T28+S28+R28)</f>
        <v>1894</v>
      </c>
      <c r="V28">
        <f t="shared" si="7"/>
        <v>5109</v>
      </c>
    </row>
    <row r="29" spans="1:22" x14ac:dyDescent="0.4">
      <c r="A29">
        <v>28</v>
      </c>
      <c r="B29" s="1" t="s">
        <v>60</v>
      </c>
      <c r="C29" s="2">
        <v>192139</v>
      </c>
      <c r="D29" s="2">
        <f>414234-C29</f>
        <v>222095</v>
      </c>
      <c r="E29" s="2">
        <f>611097-(D29+C29)</f>
        <v>196863</v>
      </c>
      <c r="F29" s="2">
        <f>846029-(E29+D29+C29)</f>
        <v>234932</v>
      </c>
      <c r="G29" s="2">
        <f t="shared" si="1"/>
        <v>846029</v>
      </c>
      <c r="H29">
        <v>17359</v>
      </c>
      <c r="I29">
        <f>43635-H29</f>
        <v>26276</v>
      </c>
      <c r="J29">
        <f>61111-(I29+H29)</f>
        <v>17476</v>
      </c>
      <c r="K29">
        <f>85925-(J29+I29+H29)</f>
        <v>24814</v>
      </c>
      <c r="L29">
        <f t="shared" si="3"/>
        <v>85925</v>
      </c>
      <c r="M29" s="2">
        <v>17542</v>
      </c>
      <c r="N29" s="2">
        <f>43444-M29</f>
        <v>25902</v>
      </c>
      <c r="O29" s="2">
        <f>61292-(N29+M29)</f>
        <v>17848</v>
      </c>
      <c r="P29" s="2">
        <f>85253-(O29+N29+M29)</f>
        <v>23961</v>
      </c>
      <c r="Q29" s="2">
        <f t="shared" si="5"/>
        <v>85253</v>
      </c>
      <c r="R29">
        <v>12525</v>
      </c>
      <c r="S29">
        <f>30168-R29</f>
        <v>17643</v>
      </c>
      <c r="T29">
        <f>42273-(S29+R29)</f>
        <v>12105</v>
      </c>
      <c r="U29">
        <f>59851-(T29+S29+R29)</f>
        <v>17578</v>
      </c>
      <c r="V29">
        <f>SUM(R29:U29)</f>
        <v>59851</v>
      </c>
    </row>
    <row r="30" spans="1:22" x14ac:dyDescent="0.4">
      <c r="A30">
        <v>29</v>
      </c>
      <c r="B30" s="1" t="s">
        <v>61</v>
      </c>
      <c r="C30" s="2">
        <v>22235</v>
      </c>
      <c r="D30" s="2">
        <f>45005-C30</f>
        <v>22770</v>
      </c>
      <c r="E30" s="2">
        <f>68617-(D30+C30)</f>
        <v>23612</v>
      </c>
      <c r="F30" s="2">
        <f>94422-(E30+D30+C30)</f>
        <v>25805</v>
      </c>
      <c r="G30" s="2">
        <f t="shared" si="1"/>
        <v>94422</v>
      </c>
      <c r="H30">
        <v>915</v>
      </c>
      <c r="I30">
        <f>1515-H30</f>
        <v>600</v>
      </c>
      <c r="J30">
        <f>2379-(I30+H30)</f>
        <v>864</v>
      </c>
      <c r="K30">
        <f>3487-(J30+I30+H30)</f>
        <v>1108</v>
      </c>
      <c r="L30">
        <f t="shared" si="3"/>
        <v>3487</v>
      </c>
      <c r="M30" s="2">
        <v>1054</v>
      </c>
      <c r="N30" s="2">
        <f>1706-M30</f>
        <v>652</v>
      </c>
      <c r="O30" s="2">
        <f>2671-(N30+M30)</f>
        <v>965</v>
      </c>
      <c r="P30" s="2">
        <f>3821-(O30+N30+M30)</f>
        <v>1150</v>
      </c>
      <c r="Q30" s="2">
        <f t="shared" si="5"/>
        <v>3821</v>
      </c>
      <c r="R30">
        <v>742</v>
      </c>
      <c r="S30">
        <f>1085-R30</f>
        <v>343</v>
      </c>
      <c r="T30">
        <f>1989-(S30+R30)</f>
        <v>904</v>
      </c>
      <c r="U30">
        <f>2559-(T30+S30+R30)</f>
        <v>570</v>
      </c>
      <c r="V30">
        <f t="shared" si="7"/>
        <v>2559</v>
      </c>
    </row>
    <row r="31" spans="1:22" x14ac:dyDescent="0.4">
      <c r="A31">
        <v>30</v>
      </c>
      <c r="B31" s="1" t="s">
        <v>62</v>
      </c>
      <c r="C31" s="2">
        <v>427211</v>
      </c>
      <c r="D31" s="2">
        <f>947198-C31</f>
        <v>519987</v>
      </c>
      <c r="E31" s="2">
        <f>1437429-(D31+C31)</f>
        <v>490231</v>
      </c>
      <c r="F31" s="2">
        <f>2010751-(E31+D31+C31)</f>
        <v>573322</v>
      </c>
      <c r="G31" s="2">
        <f t="shared" si="1"/>
        <v>2010751</v>
      </c>
      <c r="H31">
        <v>19424</v>
      </c>
      <c r="I31">
        <f>59741-H31</f>
        <v>40317</v>
      </c>
      <c r="J31">
        <f>84772-(I31+H31)</f>
        <v>25031</v>
      </c>
      <c r="K31">
        <f>131987-(J31+I31+H31)</f>
        <v>47215</v>
      </c>
      <c r="L31">
        <f t="shared" si="3"/>
        <v>131987</v>
      </c>
      <c r="M31" s="2">
        <v>22751</v>
      </c>
      <c r="N31" s="2">
        <f>65069-M31</f>
        <v>42318</v>
      </c>
      <c r="O31" s="2">
        <f>94107-(N31+M31)</f>
        <v>29038</v>
      </c>
      <c r="P31" s="2">
        <f>146645-(O31+N31+M31)</f>
        <v>52538</v>
      </c>
      <c r="Q31" s="2">
        <f t="shared" si="5"/>
        <v>146645</v>
      </c>
      <c r="R31">
        <v>18922</v>
      </c>
      <c r="S31">
        <f>49810-R31</f>
        <v>30888</v>
      </c>
      <c r="T31">
        <f>69306-(S31+R31)</f>
        <v>19496</v>
      </c>
      <c r="U31">
        <f>103242-(T31+S31+R31)</f>
        <v>33936</v>
      </c>
      <c r="V31">
        <f t="shared" si="7"/>
        <v>103242</v>
      </c>
    </row>
    <row r="32" spans="1:22" x14ac:dyDescent="0.4">
      <c r="A32">
        <v>31</v>
      </c>
      <c r="B32" s="1" t="s">
        <v>63</v>
      </c>
      <c r="C32" s="2">
        <v>15063</v>
      </c>
      <c r="D32" s="2">
        <f>33361-C32</f>
        <v>18298</v>
      </c>
      <c r="E32" s="2">
        <f>51754-(D32+C32)</f>
        <v>18393</v>
      </c>
      <c r="F32" s="2">
        <f>71200-(E32+D32+C32)</f>
        <v>19446</v>
      </c>
      <c r="G32" s="2">
        <f t="shared" si="1"/>
        <v>71200</v>
      </c>
      <c r="H32">
        <v>412</v>
      </c>
      <c r="I32">
        <f>2332-H32</f>
        <v>1920</v>
      </c>
      <c r="J32">
        <f>3628-(I32+H32)</f>
        <v>1296</v>
      </c>
      <c r="K32">
        <f>4497-(J32+I32+H32)</f>
        <v>869</v>
      </c>
      <c r="L32">
        <f t="shared" si="3"/>
        <v>4497</v>
      </c>
      <c r="M32" s="2">
        <v>442</v>
      </c>
      <c r="N32" s="2">
        <f>2332-M32</f>
        <v>1890</v>
      </c>
      <c r="O32" s="2">
        <f>3628-(N32+M32)</f>
        <v>1296</v>
      </c>
      <c r="P32" s="2">
        <f>4409-(O32+N32+M32)</f>
        <v>781</v>
      </c>
      <c r="Q32" s="2">
        <f t="shared" si="5"/>
        <v>4409</v>
      </c>
      <c r="R32">
        <v>302</v>
      </c>
      <c r="S32">
        <f>1609-R32</f>
        <v>1307</v>
      </c>
      <c r="T32">
        <f>2484-(S32+R32)</f>
        <v>875</v>
      </c>
      <c r="U32">
        <f>2777-(T32+S32+R32)</f>
        <v>293</v>
      </c>
      <c r="V32">
        <f t="shared" si="7"/>
        <v>2777</v>
      </c>
    </row>
    <row r="33" spans="1:22" x14ac:dyDescent="0.4">
      <c r="A33">
        <v>32</v>
      </c>
      <c r="B33" s="1" t="s">
        <v>64</v>
      </c>
      <c r="C33" s="2">
        <v>37906</v>
      </c>
      <c r="D33" s="2">
        <f>84032-C33</f>
        <v>46126</v>
      </c>
      <c r="E33" s="2">
        <f>129857-(D33+C33)</f>
        <v>45825</v>
      </c>
      <c r="F33" s="2">
        <f>192842-(E33+D33+C33)</f>
        <v>62985</v>
      </c>
      <c r="G33" s="2">
        <f t="shared" si="1"/>
        <v>192842</v>
      </c>
      <c r="H33">
        <v>425</v>
      </c>
      <c r="I33">
        <f>3428-H33</f>
        <v>3003</v>
      </c>
      <c r="J33">
        <f>5268-(I33+H33)</f>
        <v>1840</v>
      </c>
      <c r="K33">
        <f>5815-(J33+I33+H33)</f>
        <v>547</v>
      </c>
      <c r="L33">
        <f t="shared" si="3"/>
        <v>5815</v>
      </c>
      <c r="M33" s="2">
        <v>491</v>
      </c>
      <c r="N33" s="2">
        <f>3474-M33</f>
        <v>2983</v>
      </c>
      <c r="O33" s="2">
        <f>5567-(N33+M33)</f>
        <v>2093</v>
      </c>
      <c r="P33" s="2">
        <f>6053-(O33+N33+M33)</f>
        <v>486</v>
      </c>
      <c r="Q33" s="2">
        <f t="shared" si="5"/>
        <v>6053</v>
      </c>
      <c r="R33">
        <v>237</v>
      </c>
      <c r="S33">
        <f>2264-R33</f>
        <v>2027</v>
      </c>
      <c r="T33">
        <f>3940-(S33+R33)</f>
        <v>1676</v>
      </c>
      <c r="U33">
        <f>4960-(T33+S33+R33)</f>
        <v>1020</v>
      </c>
      <c r="V33">
        <f t="shared" si="7"/>
        <v>4960</v>
      </c>
    </row>
    <row r="34" spans="1:22" x14ac:dyDescent="0.4">
      <c r="A34">
        <v>33</v>
      </c>
      <c r="B34" s="1" t="s">
        <v>65</v>
      </c>
      <c r="C34" s="2">
        <v>77733</v>
      </c>
      <c r="D34" s="2">
        <f>169548-C34</f>
        <v>91815</v>
      </c>
      <c r="E34" s="2">
        <f>268775-(D34+C34)</f>
        <v>99227</v>
      </c>
      <c r="F34" s="2">
        <f>391621-(E34+D34+C34)</f>
        <v>122846</v>
      </c>
      <c r="G34" s="2">
        <f t="shared" si="1"/>
        <v>391621</v>
      </c>
      <c r="H34">
        <v>4010</v>
      </c>
      <c r="I34">
        <f>9773-H34</f>
        <v>5763</v>
      </c>
      <c r="J34">
        <f>17824-(I34+H34)</f>
        <v>8051</v>
      </c>
      <c r="K34">
        <f>25313-(J34+I34+H34)</f>
        <v>7489</v>
      </c>
      <c r="L34">
        <f t="shared" si="3"/>
        <v>25313</v>
      </c>
      <c r="M34" s="2">
        <v>4398</v>
      </c>
      <c r="N34" s="2">
        <f>9930-M34</f>
        <v>5532</v>
      </c>
      <c r="O34" s="2">
        <f>18382-(N34+M34)</f>
        <v>8452</v>
      </c>
      <c r="P34" s="2">
        <f>25838-(O34+N34+M34)</f>
        <v>7456</v>
      </c>
      <c r="Q34" s="2">
        <f t="shared" si="5"/>
        <v>25838</v>
      </c>
      <c r="R34">
        <v>3038</v>
      </c>
      <c r="S34">
        <f>7595-R34</f>
        <v>4557</v>
      </c>
      <c r="T34">
        <f>14029-(S34+R34)</f>
        <v>6434</v>
      </c>
      <c r="U34">
        <f>18721-(T34+S34+R34)</f>
        <v>4692</v>
      </c>
      <c r="V34">
        <f t="shared" si="7"/>
        <v>18721</v>
      </c>
    </row>
    <row r="35" spans="1:22" x14ac:dyDescent="0.4">
      <c r="A35">
        <v>34</v>
      </c>
      <c r="B35" s="1" t="s">
        <v>66</v>
      </c>
      <c r="C35" s="2">
        <v>98383</v>
      </c>
      <c r="D35" s="2">
        <f>211006-C35</f>
        <v>112623</v>
      </c>
      <c r="E35" s="2">
        <f>332798-(D35+C35)</f>
        <v>121792</v>
      </c>
      <c r="F35" s="2">
        <f>472402-(E35+D35+C35)</f>
        <v>139604</v>
      </c>
      <c r="G35" s="2">
        <f t="shared" si="1"/>
        <v>472402</v>
      </c>
      <c r="H35">
        <v>4505</v>
      </c>
      <c r="I35">
        <f>12171-H35</f>
        <v>7666</v>
      </c>
      <c r="J35">
        <f>18185-(I35+H35)</f>
        <v>6014</v>
      </c>
      <c r="K35">
        <f>24765-(J35+I35+H35)</f>
        <v>6580</v>
      </c>
      <c r="L35">
        <f t="shared" si="3"/>
        <v>24765</v>
      </c>
      <c r="M35" s="2">
        <v>4454</v>
      </c>
      <c r="N35" s="2">
        <f>12025-M35</f>
        <v>7571</v>
      </c>
      <c r="O35" s="2">
        <f>17606-(N35+M35)</f>
        <v>5581</v>
      </c>
      <c r="P35" s="2">
        <f>23884-(O35+N35+M35)</f>
        <v>6278</v>
      </c>
      <c r="Q35" s="2">
        <f t="shared" si="5"/>
        <v>23884</v>
      </c>
      <c r="R35">
        <v>2876</v>
      </c>
      <c r="S35">
        <f>7923-R35</f>
        <v>5047</v>
      </c>
      <c r="T35">
        <f>11598-(S35+R35)</f>
        <v>3675</v>
      </c>
      <c r="U35">
        <f>15550-(T35+S35+R35)</f>
        <v>3952</v>
      </c>
      <c r="V35">
        <f t="shared" si="7"/>
        <v>15550</v>
      </c>
    </row>
    <row r="36" spans="1:22" x14ac:dyDescent="0.4">
      <c r="A36">
        <v>35</v>
      </c>
      <c r="B36" s="1" t="s">
        <v>67</v>
      </c>
      <c r="C36" s="2">
        <v>33461</v>
      </c>
      <c r="D36" s="2">
        <f>72354-C36</f>
        <v>38893</v>
      </c>
      <c r="E36" s="2">
        <f>112239-(D36+C36)</f>
        <v>39885</v>
      </c>
      <c r="F36" s="2">
        <f>162811-(E36+D36+C36)</f>
        <v>50572</v>
      </c>
      <c r="G36" s="2">
        <f t="shared" si="1"/>
        <v>162811</v>
      </c>
      <c r="H36">
        <v>728</v>
      </c>
      <c r="I36">
        <f>3019-H36</f>
        <v>2291</v>
      </c>
      <c r="J36">
        <f>4912-(I36+H36)</f>
        <v>1893</v>
      </c>
      <c r="K36">
        <f>8511-(J36+I36+H36)</f>
        <v>3599</v>
      </c>
      <c r="L36">
        <f t="shared" si="3"/>
        <v>8511</v>
      </c>
      <c r="M36" s="2">
        <v>680</v>
      </c>
      <c r="N36" s="2">
        <f>2966-M36</f>
        <v>2286</v>
      </c>
      <c r="O36" s="2">
        <f>5029-(N36+M36)</f>
        <v>2063</v>
      </c>
      <c r="P36" s="2">
        <f>8578-(O36+N36+M36)</f>
        <v>3549</v>
      </c>
      <c r="Q36" s="2">
        <f t="shared" si="5"/>
        <v>8578</v>
      </c>
      <c r="R36">
        <v>411</v>
      </c>
      <c r="S36">
        <f>1867-R36</f>
        <v>1456</v>
      </c>
      <c r="T36">
        <f>3497-(S36+R36)</f>
        <v>1630</v>
      </c>
      <c r="U36">
        <f>6647-(T36+S36+R36)</f>
        <v>3150</v>
      </c>
      <c r="V36">
        <f t="shared" si="7"/>
        <v>6647</v>
      </c>
    </row>
    <row r="37" spans="1:22" x14ac:dyDescent="0.4">
      <c r="A37">
        <v>36</v>
      </c>
      <c r="B37" s="1" t="s">
        <v>68</v>
      </c>
      <c r="C37" s="2">
        <v>112669</v>
      </c>
      <c r="D37" s="2">
        <f>237311-C37</f>
        <v>124642</v>
      </c>
      <c r="E37" s="2">
        <f>352642-(D37+C37)</f>
        <v>115331</v>
      </c>
      <c r="F37" s="2">
        <f>0-(E37+D37+C37)</f>
        <v>-352642</v>
      </c>
      <c r="G37" s="2">
        <f t="shared" si="1"/>
        <v>0</v>
      </c>
      <c r="H37">
        <v>8819</v>
      </c>
      <c r="I37">
        <f>18035-H37</f>
        <v>9216</v>
      </c>
      <c r="J37">
        <f>25683-(I37+H37)</f>
        <v>7648</v>
      </c>
      <c r="K37">
        <f>0-(J37+I37+H37)</f>
        <v>-25683</v>
      </c>
      <c r="L37">
        <f t="shared" si="3"/>
        <v>0</v>
      </c>
      <c r="M37" s="2">
        <v>10992</v>
      </c>
      <c r="N37" s="2">
        <f>20635-M37</f>
        <v>9643</v>
      </c>
      <c r="O37" s="2">
        <f>29873-(N37+M37)</f>
        <v>9238</v>
      </c>
      <c r="P37" s="2">
        <f>0-(O37+N37+M37)</f>
        <v>-29873</v>
      </c>
      <c r="Q37" s="2">
        <f t="shared" si="5"/>
        <v>0</v>
      </c>
      <c r="R37">
        <v>8775</v>
      </c>
      <c r="S37">
        <f>15894-R37</f>
        <v>7119</v>
      </c>
      <c r="T37">
        <f>23275-(S37+R37)</f>
        <v>7381</v>
      </c>
      <c r="U37">
        <f>0-(T37+S37+R37)</f>
        <v>-23275</v>
      </c>
      <c r="V37">
        <f t="shared" si="7"/>
        <v>0</v>
      </c>
    </row>
    <row r="38" spans="1:22" x14ac:dyDescent="0.4">
      <c r="A38">
        <v>37</v>
      </c>
      <c r="B38" s="1" t="s">
        <v>69</v>
      </c>
      <c r="C38" s="2">
        <v>20786</v>
      </c>
      <c r="D38" s="2">
        <f>50726-C38</f>
        <v>29940</v>
      </c>
      <c r="E38" s="2">
        <f>78732-(D38+C38)</f>
        <v>28006</v>
      </c>
      <c r="F38" s="2">
        <f>0-(E38+D38+C38)</f>
        <v>-78732</v>
      </c>
      <c r="G38" s="2">
        <f t="shared" si="1"/>
        <v>0</v>
      </c>
      <c r="H38">
        <v>293</v>
      </c>
      <c r="I38">
        <f>1312-H38</f>
        <v>1019</v>
      </c>
      <c r="J38">
        <f>2247-(I38+H38)</f>
        <v>935</v>
      </c>
      <c r="K38">
        <f>0-(J38+I38+H38)</f>
        <v>-2247</v>
      </c>
      <c r="L38">
        <f t="shared" si="3"/>
        <v>0</v>
      </c>
      <c r="M38" s="2">
        <v>347</v>
      </c>
      <c r="N38" s="2">
        <f>1442-M38</f>
        <v>1095</v>
      </c>
      <c r="O38" s="2">
        <f>2493-(N38+M38)</f>
        <v>1051</v>
      </c>
      <c r="P38" s="2">
        <f>0-(O38+N38+M38)</f>
        <v>-2493</v>
      </c>
      <c r="Q38" s="2">
        <f t="shared" si="5"/>
        <v>0</v>
      </c>
      <c r="R38">
        <v>147</v>
      </c>
      <c r="S38">
        <f>819-R38</f>
        <v>672</v>
      </c>
      <c r="T38">
        <f>1495-(S38+R38)</f>
        <v>676</v>
      </c>
      <c r="U38">
        <f>0-(T38+S38+R38)</f>
        <v>-1495</v>
      </c>
      <c r="V38">
        <f t="shared" si="7"/>
        <v>0</v>
      </c>
    </row>
    <row r="39" spans="1:22" x14ac:dyDescent="0.4">
      <c r="A39">
        <v>38</v>
      </c>
      <c r="B39" s="1" t="s">
        <v>70</v>
      </c>
      <c r="C39" s="2">
        <v>23194</v>
      </c>
      <c r="D39" s="2">
        <f>55721-C39</f>
        <v>32527</v>
      </c>
      <c r="E39" s="2">
        <f>88181-(D39+C39)</f>
        <v>32460</v>
      </c>
      <c r="F39" s="2">
        <f>146034-(E39+D39+C39)</f>
        <v>57853</v>
      </c>
      <c r="G39" s="2">
        <f t="shared" si="1"/>
        <v>146034</v>
      </c>
      <c r="H39">
        <v>1348</v>
      </c>
      <c r="I39">
        <f>4237-H39</f>
        <v>2889</v>
      </c>
      <c r="J39">
        <f>7849-(I39+H39)</f>
        <v>3612</v>
      </c>
      <c r="K39">
        <f>14858-(J39+I39+H39)</f>
        <v>7009</v>
      </c>
      <c r="L39">
        <f t="shared" si="3"/>
        <v>14858</v>
      </c>
      <c r="M39" s="2">
        <v>1532</v>
      </c>
      <c r="N39" s="2">
        <f>4522-M39</f>
        <v>2990</v>
      </c>
      <c r="O39" s="2">
        <f>8287-(N39+M39)</f>
        <v>3765</v>
      </c>
      <c r="P39" s="2">
        <f>15347-(O39+N39+M39)</f>
        <v>7060</v>
      </c>
      <c r="Q39" s="2">
        <f t="shared" si="5"/>
        <v>15347</v>
      </c>
      <c r="R39">
        <v>998</v>
      </c>
      <c r="S39">
        <f>3041-R39</f>
        <v>2043</v>
      </c>
      <c r="T39">
        <f>5745-(S39+R39)</f>
        <v>2704</v>
      </c>
      <c r="U39">
        <f>10657-(T39+S39+R39)</f>
        <v>4912</v>
      </c>
      <c r="V39">
        <f t="shared" si="7"/>
        <v>10657</v>
      </c>
    </row>
    <row r="40" spans="1:22" x14ac:dyDescent="0.4">
      <c r="A40">
        <v>39</v>
      </c>
      <c r="B40" s="1" t="s">
        <v>72</v>
      </c>
      <c r="C40" s="2">
        <v>20144</v>
      </c>
      <c r="D40" s="2">
        <f>40852-C40</f>
        <v>20708</v>
      </c>
      <c r="E40" s="2">
        <f>60771-(D40+C40)</f>
        <v>19919</v>
      </c>
      <c r="F40" s="2">
        <f>86513-(E40+D40+C40)</f>
        <v>25742</v>
      </c>
      <c r="G40" s="2">
        <f t="shared" si="1"/>
        <v>86513</v>
      </c>
      <c r="H40">
        <v>790</v>
      </c>
      <c r="I40">
        <f>2088-H40</f>
        <v>1298</v>
      </c>
      <c r="J40">
        <f>3216-(I40+H40)</f>
        <v>1128</v>
      </c>
      <c r="K40">
        <f>4381-(J40+I40+H40)</f>
        <v>1165</v>
      </c>
      <c r="L40">
        <f t="shared" si="3"/>
        <v>4381</v>
      </c>
      <c r="M40" s="2">
        <v>815</v>
      </c>
      <c r="N40" s="2">
        <f>2084-M40</f>
        <v>1269</v>
      </c>
      <c r="O40" s="2">
        <f>3207-(N40+M40)</f>
        <v>1123</v>
      </c>
      <c r="P40" s="2">
        <f>4241-(O40+N40+M40)</f>
        <v>1034</v>
      </c>
      <c r="Q40" s="2">
        <f t="shared" si="5"/>
        <v>4241</v>
      </c>
      <c r="R40">
        <v>570</v>
      </c>
      <c r="S40">
        <f>1444-R40</f>
        <v>874</v>
      </c>
      <c r="T40">
        <f>2204-(S40+R40)</f>
        <v>760</v>
      </c>
      <c r="U40">
        <f>2915-(T40+S40+R40)</f>
        <v>711</v>
      </c>
      <c r="V40">
        <f t="shared" si="7"/>
        <v>2915</v>
      </c>
    </row>
    <row r="41" spans="1:22" x14ac:dyDescent="0.4">
      <c r="A41">
        <v>40</v>
      </c>
      <c r="B41" s="1" t="s">
        <v>71</v>
      </c>
      <c r="C41" s="2">
        <v>119857</v>
      </c>
      <c r="D41" s="2">
        <f>235365-C41</f>
        <v>115508</v>
      </c>
      <c r="E41" s="2">
        <f>369924-(D41+C41)</f>
        <v>134559</v>
      </c>
      <c r="F41" s="2">
        <f>0-(E41+D41+C41)</f>
        <v>-369924</v>
      </c>
      <c r="G41" s="2">
        <f t="shared" si="1"/>
        <v>0</v>
      </c>
      <c r="H41">
        <v>8404</v>
      </c>
      <c r="I41">
        <f>15544-H41</f>
        <v>7140</v>
      </c>
      <c r="J41">
        <f>23507-(I41+H41)</f>
        <v>7963</v>
      </c>
      <c r="K41">
        <f>0-(J41+I41+H41)</f>
        <v>-23507</v>
      </c>
      <c r="L41">
        <f t="shared" si="3"/>
        <v>0</v>
      </c>
      <c r="M41" s="2">
        <v>9749</v>
      </c>
      <c r="N41" s="2">
        <f>16911-M41</f>
        <v>7162</v>
      </c>
      <c r="O41" s="2">
        <f>26059-(N41+M41)</f>
        <v>9148</v>
      </c>
      <c r="P41" s="2">
        <f>0-(O41+N41+M41)</f>
        <v>-26059</v>
      </c>
      <c r="Q41" s="2">
        <f t="shared" si="5"/>
        <v>0</v>
      </c>
      <c r="R41">
        <v>6769</v>
      </c>
      <c r="S41">
        <f>12286-R41</f>
        <v>5517</v>
      </c>
      <c r="T41">
        <f>18737-(S41+R41)</f>
        <v>6451</v>
      </c>
      <c r="U41">
        <f>0-(T41+S41+R41)</f>
        <v>-18737</v>
      </c>
      <c r="V41">
        <f t="shared" si="7"/>
        <v>0</v>
      </c>
    </row>
    <row r="42" spans="1:22" x14ac:dyDescent="0.4">
      <c r="A42">
        <v>41</v>
      </c>
      <c r="B42" s="1" t="s">
        <v>73</v>
      </c>
      <c r="C42" s="2">
        <v>89142</v>
      </c>
      <c r="D42" s="2">
        <f>200065-C42</f>
        <v>110923</v>
      </c>
      <c r="E42" s="2">
        <f>307235-(D42+C42)</f>
        <v>107170</v>
      </c>
      <c r="F42" s="2">
        <f>436151-(E42+D42+C42)</f>
        <v>128916</v>
      </c>
      <c r="G42" s="2">
        <f t="shared" si="1"/>
        <v>436151</v>
      </c>
      <c r="H42">
        <v>3665</v>
      </c>
      <c r="I42">
        <f>9619-H42</f>
        <v>5954</v>
      </c>
      <c r="J42">
        <f>15669-(I42+H42)</f>
        <v>6050</v>
      </c>
      <c r="K42">
        <f>25440-(J42+I42+H42)</f>
        <v>9771</v>
      </c>
      <c r="L42">
        <f t="shared" si="3"/>
        <v>25440</v>
      </c>
      <c r="M42" s="2">
        <v>3909</v>
      </c>
      <c r="N42" s="2">
        <f>9869-M42</f>
        <v>5960</v>
      </c>
      <c r="O42" s="2">
        <f>16021-(N42+M42)</f>
        <v>6152</v>
      </c>
      <c r="P42" s="2">
        <f>25718-(O42+N42+M42)</f>
        <v>9697</v>
      </c>
      <c r="Q42" s="2">
        <f t="shared" si="5"/>
        <v>25718</v>
      </c>
      <c r="R42">
        <v>3920</v>
      </c>
      <c r="S42">
        <f>7905-R42</f>
        <v>3985</v>
      </c>
      <c r="T42">
        <f>12336-(S42+R42)</f>
        <v>4431</v>
      </c>
      <c r="U42">
        <f>19447-(T42+S42+R42)</f>
        <v>7111</v>
      </c>
      <c r="V42">
        <f t="shared" si="7"/>
        <v>19447</v>
      </c>
    </row>
    <row r="43" spans="1:22" x14ac:dyDescent="0.4">
      <c r="A43">
        <v>42</v>
      </c>
      <c r="B43" s="1" t="s">
        <v>74</v>
      </c>
      <c r="C43" s="2">
        <v>21928</v>
      </c>
      <c r="D43" s="2">
        <f>47758-C43</f>
        <v>25830</v>
      </c>
      <c r="E43" s="2">
        <f>74788-(D43+C43)</f>
        <v>27030</v>
      </c>
      <c r="F43" s="2">
        <f>0-(E43+D43+C43)</f>
        <v>-74788</v>
      </c>
      <c r="G43" s="2">
        <f t="shared" si="1"/>
        <v>0</v>
      </c>
      <c r="H43">
        <v>880</v>
      </c>
      <c r="I43">
        <f>2289-H43</f>
        <v>1409</v>
      </c>
      <c r="J43">
        <f>3860-(I43+H43)</f>
        <v>1571</v>
      </c>
      <c r="K43">
        <f>0-(J43+I43+H43)</f>
        <v>-3860</v>
      </c>
      <c r="L43">
        <f t="shared" si="3"/>
        <v>0</v>
      </c>
      <c r="M43" s="2">
        <v>867</v>
      </c>
      <c r="N43" s="2">
        <f>2249-M43</f>
        <v>1382</v>
      </c>
      <c r="O43" s="2">
        <f>3840-(N43+M43)</f>
        <v>1591</v>
      </c>
      <c r="P43" s="2">
        <f>0-(O43+N43+M43)</f>
        <v>-3840</v>
      </c>
      <c r="Q43" s="2">
        <f t="shared" si="5"/>
        <v>0</v>
      </c>
      <c r="R43">
        <v>524</v>
      </c>
      <c r="S43">
        <f>1470-R43</f>
        <v>946</v>
      </c>
      <c r="T43">
        <f>2677-(S43+R43)</f>
        <v>1207</v>
      </c>
      <c r="U43">
        <f>0-(T43+S43+R43)</f>
        <v>-2677</v>
      </c>
      <c r="V43">
        <f t="shared" si="7"/>
        <v>0</v>
      </c>
    </row>
    <row r="44" spans="1:22" x14ac:dyDescent="0.4">
      <c r="A44">
        <v>43</v>
      </c>
      <c r="B44" s="1" t="s">
        <v>75</v>
      </c>
      <c r="C44" s="2">
        <v>8335</v>
      </c>
      <c r="D44" s="2">
        <f>18562-C44</f>
        <v>10227</v>
      </c>
      <c r="E44" s="2">
        <f>30128-(D44+C44)</f>
        <v>11566</v>
      </c>
      <c r="F44" s="2">
        <f>48748-(E44+D44+C44)</f>
        <v>18620</v>
      </c>
      <c r="G44" s="2">
        <f t="shared" si="1"/>
        <v>48748</v>
      </c>
      <c r="H44">
        <v>-624</v>
      </c>
      <c r="I44">
        <f>-482-H44</f>
        <v>142</v>
      </c>
      <c r="J44">
        <f>465-(I44+H44)</f>
        <v>947</v>
      </c>
      <c r="K44">
        <f>4065-(J44+I44+H44)</f>
        <v>3600</v>
      </c>
      <c r="L44">
        <f t="shared" si="3"/>
        <v>4065</v>
      </c>
      <c r="M44" s="2">
        <v>-639</v>
      </c>
      <c r="N44" s="2">
        <f>-550-M44</f>
        <v>89</v>
      </c>
      <c r="O44" s="2">
        <f>353-(N44+M44)</f>
        <v>903</v>
      </c>
      <c r="P44" s="2">
        <f>3881-(O44+N44+M44)</f>
        <v>3528</v>
      </c>
      <c r="Q44" s="2">
        <f t="shared" si="5"/>
        <v>3881</v>
      </c>
      <c r="R44">
        <v>-665</v>
      </c>
      <c r="S44">
        <f>-559-R44</f>
        <v>106</v>
      </c>
      <c r="T44">
        <f>321-(S44+R44)</f>
        <v>880</v>
      </c>
      <c r="U44">
        <f>2503-(T44+S44+R44)</f>
        <v>2182</v>
      </c>
      <c r="V44">
        <f t="shared" si="7"/>
        <v>2503</v>
      </c>
    </row>
    <row r="45" spans="1:22" x14ac:dyDescent="0.4">
      <c r="A45">
        <v>44</v>
      </c>
      <c r="B45" s="1" t="s">
        <v>79</v>
      </c>
      <c r="C45" s="2">
        <v>367768</v>
      </c>
      <c r="D45" s="2">
        <f>770077-C45</f>
        <v>402309</v>
      </c>
      <c r="E45" s="2">
        <f>1145939-(D45+C45)</f>
        <v>375862</v>
      </c>
      <c r="F45" s="2">
        <f>1586293-(E45+D45+C45)</f>
        <v>440354</v>
      </c>
      <c r="G45" s="2">
        <f t="shared" si="1"/>
        <v>1586293</v>
      </c>
      <c r="H45">
        <v>27907</v>
      </c>
      <c r="I45">
        <f>60008-H45</f>
        <v>32101</v>
      </c>
      <c r="J45">
        <f>88556-(I45+H45)</f>
        <v>28548</v>
      </c>
      <c r="K45">
        <f>127047-(J45+I45+H45)</f>
        <v>38491</v>
      </c>
      <c r="L45">
        <f t="shared" si="3"/>
        <v>127047</v>
      </c>
      <c r="M45" s="2">
        <v>29554</v>
      </c>
      <c r="N45" s="2">
        <f>62545-M45</f>
        <v>32991</v>
      </c>
      <c r="O45" s="2">
        <f>92366-(N45+M45)</f>
        <v>29821</v>
      </c>
      <c r="P45" s="2">
        <f>132240-(O45+N45+M45)</f>
        <v>39874</v>
      </c>
      <c r="Q45" s="2">
        <f t="shared" si="5"/>
        <v>132240</v>
      </c>
      <c r="R45">
        <v>20384</v>
      </c>
      <c r="S45">
        <f>42884-R45</f>
        <v>22500</v>
      </c>
      <c r="T45">
        <f>63028-(S45+R45)</f>
        <v>20144</v>
      </c>
      <c r="U45">
        <f>89930-(T45+S45+R45)</f>
        <v>26902</v>
      </c>
      <c r="V45">
        <f t="shared" si="7"/>
        <v>89930</v>
      </c>
    </row>
    <row r="46" spans="1:22" x14ac:dyDescent="0.4">
      <c r="A46">
        <v>45</v>
      </c>
      <c r="B46" s="1" t="s">
        <v>77</v>
      </c>
      <c r="C46" s="2">
        <v>84515</v>
      </c>
      <c r="D46" s="2">
        <f>190022-C46</f>
        <v>105507</v>
      </c>
      <c r="E46" s="2">
        <f>296092-(D46+C46)</f>
        <v>106070</v>
      </c>
      <c r="F46" s="2">
        <f>429066-(E46+D46+C46)</f>
        <v>132974</v>
      </c>
      <c r="G46" s="2">
        <f t="shared" si="1"/>
        <v>429066</v>
      </c>
      <c r="H46">
        <v>4094</v>
      </c>
      <c r="I46">
        <f>12287-H46</f>
        <v>8193</v>
      </c>
      <c r="J46">
        <f>22108-(I46+H46)</f>
        <v>9821</v>
      </c>
      <c r="K46">
        <f>36227-(J46+I46+H46)</f>
        <v>14119</v>
      </c>
      <c r="L46">
        <f t="shared" si="3"/>
        <v>36227</v>
      </c>
      <c r="M46" s="2">
        <v>5225</v>
      </c>
      <c r="N46" s="2">
        <f>13478-M46</f>
        <v>8253</v>
      </c>
      <c r="O46" s="2">
        <f>24085-(N46+M46)</f>
        <v>10607</v>
      </c>
      <c r="P46" s="2">
        <f>38226-(O46+N46+M46)</f>
        <v>14141</v>
      </c>
      <c r="Q46" s="2">
        <f t="shared" si="5"/>
        <v>38226</v>
      </c>
      <c r="R46">
        <v>3440</v>
      </c>
      <c r="S46">
        <f>7955-R46</f>
        <v>4515</v>
      </c>
      <c r="T46">
        <f>14575-(S46+R46)</f>
        <v>6620</v>
      </c>
      <c r="U46">
        <f>23594-(T46+S46+R46)</f>
        <v>9019</v>
      </c>
      <c r="V46">
        <f t="shared" si="7"/>
        <v>23594</v>
      </c>
    </row>
    <row r="47" spans="1:22" x14ac:dyDescent="0.4">
      <c r="A47">
        <v>46</v>
      </c>
      <c r="B47" s="1" t="s">
        <v>78</v>
      </c>
      <c r="C47" s="2">
        <v>16876</v>
      </c>
      <c r="D47" s="2">
        <f>41047-C47</f>
        <v>24171</v>
      </c>
      <c r="E47" s="2">
        <f>67195-(D47+C47)</f>
        <v>26148</v>
      </c>
      <c r="F47" s="2">
        <f>109123-(E47+D47+C47)</f>
        <v>41928</v>
      </c>
      <c r="G47" s="2">
        <f t="shared" si="1"/>
        <v>109123</v>
      </c>
      <c r="H47">
        <v>-852</v>
      </c>
      <c r="I47">
        <f>-38-H47</f>
        <v>814</v>
      </c>
      <c r="J47">
        <f>1603-(I47+H47)</f>
        <v>1641</v>
      </c>
      <c r="K47">
        <f>4753-(J47+I47+H47)</f>
        <v>3150</v>
      </c>
      <c r="L47">
        <f t="shared" si="3"/>
        <v>4753</v>
      </c>
      <c r="M47" s="2">
        <v>-837</v>
      </c>
      <c r="N47" s="2">
        <f>39-M47</f>
        <v>876</v>
      </c>
      <c r="O47" s="2">
        <f>1710-(N47+M47)</f>
        <v>1671</v>
      </c>
      <c r="P47" s="2">
        <f>4869-(O47+N47+M47)</f>
        <v>3159</v>
      </c>
      <c r="Q47" s="2">
        <f t="shared" si="5"/>
        <v>4869</v>
      </c>
      <c r="R47">
        <v>446</v>
      </c>
      <c r="S47">
        <f>975-R47</f>
        <v>529</v>
      </c>
      <c r="T47">
        <f>1989-(S47+R47)</f>
        <v>1014</v>
      </c>
      <c r="U47">
        <f>4116-(T47+S47+R47)</f>
        <v>2127</v>
      </c>
      <c r="V47">
        <f t="shared" si="7"/>
        <v>4116</v>
      </c>
    </row>
    <row r="48" spans="1:22" x14ac:dyDescent="0.4">
      <c r="A48">
        <v>47</v>
      </c>
      <c r="B48" s="1" t="s">
        <v>80</v>
      </c>
      <c r="C48" s="2">
        <v>50194</v>
      </c>
      <c r="D48" s="2">
        <f>108703-C48</f>
        <v>58509</v>
      </c>
      <c r="E48" s="2">
        <f>168230-(D48+C48)</f>
        <v>59527</v>
      </c>
      <c r="F48" s="2">
        <f>237812-(E48+D48+C48)</f>
        <v>69582</v>
      </c>
      <c r="G48" s="2">
        <f t="shared" si="1"/>
        <v>237812</v>
      </c>
      <c r="H48">
        <v>2325</v>
      </c>
      <c r="I48">
        <f>7737-H48</f>
        <v>5412</v>
      </c>
      <c r="J48">
        <f>12967-(I48+H48)</f>
        <v>5230</v>
      </c>
      <c r="K48">
        <f>19575-(J48+I48+H48)</f>
        <v>6608</v>
      </c>
      <c r="L48">
        <f t="shared" si="3"/>
        <v>19575</v>
      </c>
      <c r="M48" s="2">
        <v>2643</v>
      </c>
      <c r="N48" s="2">
        <f>8099-M48</f>
        <v>5456</v>
      </c>
      <c r="O48" s="2">
        <f>13496-(N48+M48)</f>
        <v>5397</v>
      </c>
      <c r="P48" s="2">
        <f>19877-(O48+N48+M48)</f>
        <v>6381</v>
      </c>
      <c r="Q48" s="2">
        <f t="shared" si="5"/>
        <v>19877</v>
      </c>
      <c r="R48">
        <v>8219</v>
      </c>
      <c r="S48">
        <f>11705-R48</f>
        <v>3486</v>
      </c>
      <c r="T48">
        <f>15304-(S48+R48)</f>
        <v>3599</v>
      </c>
      <c r="U48">
        <f>18826-(T48+S48+R48)</f>
        <v>3522</v>
      </c>
      <c r="V48">
        <f t="shared" si="7"/>
        <v>18826</v>
      </c>
    </row>
    <row r="49" spans="1:22" x14ac:dyDescent="0.4">
      <c r="A49">
        <v>48</v>
      </c>
      <c r="B49" s="1" t="s">
        <v>81</v>
      </c>
      <c r="C49" s="2">
        <v>31104</v>
      </c>
      <c r="D49" s="2">
        <f>66307-C49</f>
        <v>35203</v>
      </c>
      <c r="E49" s="2">
        <f>105923-(D49+C49)</f>
        <v>39616</v>
      </c>
      <c r="F49" s="2">
        <f>0-(E49+D49+C49)</f>
        <v>-105923</v>
      </c>
      <c r="G49" s="2">
        <f t="shared" si="1"/>
        <v>0</v>
      </c>
      <c r="H49">
        <v>495</v>
      </c>
      <c r="I49">
        <f>1947-H49</f>
        <v>1452</v>
      </c>
      <c r="J49">
        <f>4612-(I49+H49)</f>
        <v>2665</v>
      </c>
      <c r="K49">
        <f>0-(J49+I49+H49)</f>
        <v>-4612</v>
      </c>
      <c r="L49">
        <f t="shared" si="3"/>
        <v>0</v>
      </c>
      <c r="M49" s="2">
        <v>699</v>
      </c>
      <c r="N49" s="2">
        <f>2209-M49</f>
        <v>1510</v>
      </c>
      <c r="O49" s="2">
        <f>5077-(N49+M49)</f>
        <v>2868</v>
      </c>
      <c r="P49" s="2">
        <f>0-(O49+N49+M49)</f>
        <v>-5077</v>
      </c>
      <c r="Q49" s="2">
        <f t="shared" si="5"/>
        <v>0</v>
      </c>
      <c r="R49">
        <v>2094</v>
      </c>
      <c r="S49">
        <f>3052-R49</f>
        <v>958</v>
      </c>
      <c r="T49">
        <f>5012-(S49+R49)</f>
        <v>1960</v>
      </c>
      <c r="U49">
        <f>0-(T49+S49+R49)</f>
        <v>-5012</v>
      </c>
      <c r="V49">
        <f t="shared" si="7"/>
        <v>0</v>
      </c>
    </row>
    <row r="50" spans="1:22" x14ac:dyDescent="0.4">
      <c r="A50">
        <v>49</v>
      </c>
      <c r="B50" s="1" t="s">
        <v>82</v>
      </c>
      <c r="C50" s="2">
        <v>38624</v>
      </c>
      <c r="D50" s="2">
        <f>83876-C50</f>
        <v>45252</v>
      </c>
      <c r="E50" s="2">
        <f>133710-(D50+C50)</f>
        <v>49834</v>
      </c>
      <c r="F50" s="2">
        <f>190278-(E50+D50+C50)</f>
        <v>56568</v>
      </c>
      <c r="G50" s="2">
        <f t="shared" si="1"/>
        <v>190278</v>
      </c>
      <c r="H50">
        <v>1314</v>
      </c>
      <c r="I50">
        <f>3511-H50</f>
        <v>2197</v>
      </c>
      <c r="J50">
        <f>6337-(I50+H50)</f>
        <v>2826</v>
      </c>
      <c r="K50">
        <f>7957-(J50+I50+H50)</f>
        <v>1620</v>
      </c>
      <c r="L50">
        <f t="shared" si="3"/>
        <v>7957</v>
      </c>
      <c r="M50" s="2">
        <v>1214</v>
      </c>
      <c r="N50" s="2">
        <f>3279-M50</f>
        <v>2065</v>
      </c>
      <c r="O50" s="2">
        <f>6266-(N50+M50)</f>
        <v>2987</v>
      </c>
      <c r="P50" s="2">
        <f>7604-(O50+N50+M50)</f>
        <v>1338</v>
      </c>
      <c r="Q50" s="2">
        <f t="shared" si="5"/>
        <v>7604</v>
      </c>
      <c r="R50">
        <v>546</v>
      </c>
      <c r="S50">
        <f>2002-R50</f>
        <v>1456</v>
      </c>
      <c r="T50">
        <f>4019-(S50+R50)</f>
        <v>2017</v>
      </c>
      <c r="U50">
        <f>5007-(T50+S50+R50)</f>
        <v>988</v>
      </c>
      <c r="V50">
        <f t="shared" si="7"/>
        <v>5007</v>
      </c>
    </row>
    <row r="51" spans="1:22" x14ac:dyDescent="0.4">
      <c r="A51">
        <v>50</v>
      </c>
      <c r="B51" s="1" t="s">
        <v>83</v>
      </c>
      <c r="C51" s="2">
        <v>25359</v>
      </c>
      <c r="D51" s="2">
        <f>53556-C51</f>
        <v>28197</v>
      </c>
      <c r="E51" s="2">
        <f>80379-(D51+C51)</f>
        <v>26823</v>
      </c>
      <c r="F51" s="2">
        <f>107830-(E51+D51+C51)</f>
        <v>27451</v>
      </c>
      <c r="G51" s="2">
        <f t="shared" si="1"/>
        <v>107830</v>
      </c>
      <c r="H51">
        <v>1042</v>
      </c>
      <c r="I51">
        <f>2570-H51</f>
        <v>1528</v>
      </c>
      <c r="J51">
        <f>4295-(I51+H51)</f>
        <v>1725</v>
      </c>
      <c r="K51">
        <f>5039-(J51+I51+H51)</f>
        <v>744</v>
      </c>
      <c r="L51">
        <f t="shared" si="3"/>
        <v>5039</v>
      </c>
      <c r="M51" s="2">
        <v>1026</v>
      </c>
      <c r="N51" s="2">
        <f>2487-M51</f>
        <v>1461</v>
      </c>
      <c r="O51" s="2">
        <f>4231-(N51+M51)</f>
        <v>1744</v>
      </c>
      <c r="P51" s="2">
        <f>4746-(O51+N51+M51)</f>
        <v>515</v>
      </c>
      <c r="Q51" s="2">
        <f t="shared" si="5"/>
        <v>4746</v>
      </c>
      <c r="R51">
        <v>660</v>
      </c>
      <c r="S51">
        <f>1633-R51</f>
        <v>973</v>
      </c>
      <c r="T51">
        <f>2757-(S51+R51)</f>
        <v>1124</v>
      </c>
      <c r="U51">
        <f>2963-(T51+S51+R51)</f>
        <v>206</v>
      </c>
      <c r="V51">
        <f t="shared" si="7"/>
        <v>2963</v>
      </c>
    </row>
    <row r="52" spans="1:22" x14ac:dyDescent="0.4">
      <c r="A52">
        <v>51</v>
      </c>
      <c r="B52" s="1" t="s">
        <v>84</v>
      </c>
      <c r="C52" s="2">
        <v>38821</v>
      </c>
      <c r="D52" s="2">
        <f>86364-C52</f>
        <v>47543</v>
      </c>
      <c r="E52" s="2">
        <f>133121-(D52+C52)</f>
        <v>46757</v>
      </c>
      <c r="F52" s="2">
        <f>174805-(E52+D52+C52)</f>
        <v>41684</v>
      </c>
      <c r="G52" s="2">
        <f t="shared" si="1"/>
        <v>174805</v>
      </c>
      <c r="H52">
        <v>2237</v>
      </c>
      <c r="I52">
        <f>4857-H52</f>
        <v>2620</v>
      </c>
      <c r="J52">
        <f>7564-(I52+H52)</f>
        <v>2707</v>
      </c>
      <c r="K52">
        <f>9268-(J52+I52+H52)</f>
        <v>1704</v>
      </c>
      <c r="L52">
        <f t="shared" si="3"/>
        <v>9268</v>
      </c>
      <c r="M52" s="2">
        <v>2117</v>
      </c>
      <c r="N52" s="2">
        <f>4753-M52</f>
        <v>2636</v>
      </c>
      <c r="O52" s="2">
        <f>7473-(N52+M52)</f>
        <v>2720</v>
      </c>
      <c r="P52" s="2">
        <f>9168-(O52+N52+M52)</f>
        <v>1695</v>
      </c>
      <c r="Q52" s="2">
        <f t="shared" si="5"/>
        <v>9168</v>
      </c>
      <c r="R52">
        <v>1380</v>
      </c>
      <c r="S52">
        <f>3042-R52</f>
        <v>1662</v>
      </c>
      <c r="T52">
        <f>4805-(S52+R52)</f>
        <v>1763</v>
      </c>
      <c r="U52">
        <f>5766-(T52+S52+R52)</f>
        <v>961</v>
      </c>
      <c r="V52">
        <f t="shared" si="7"/>
        <v>5766</v>
      </c>
    </row>
    <row r="53" spans="1:22" x14ac:dyDescent="0.4">
      <c r="A53">
        <v>52</v>
      </c>
      <c r="B53" s="1" t="s">
        <v>85</v>
      </c>
      <c r="C53" s="2">
        <v>144756</v>
      </c>
      <c r="D53" s="2">
        <f>295224-C53</f>
        <v>150468</v>
      </c>
      <c r="E53" s="2">
        <f>436563-(D53+C53)</f>
        <v>141339</v>
      </c>
      <c r="F53" s="2">
        <f>573842-(E53+D53+C53)</f>
        <v>137279</v>
      </c>
      <c r="G53" s="2">
        <f t="shared" si="1"/>
        <v>573842</v>
      </c>
      <c r="H53">
        <v>8228</v>
      </c>
      <c r="I53">
        <f>17172-H53</f>
        <v>8944</v>
      </c>
      <c r="J53">
        <f>25823-(I53+H53)</f>
        <v>8651</v>
      </c>
      <c r="K53">
        <f>33161-(J53+I53+H53)</f>
        <v>7338</v>
      </c>
      <c r="L53">
        <f t="shared" si="3"/>
        <v>33161</v>
      </c>
      <c r="M53" s="2">
        <v>8134</v>
      </c>
      <c r="N53" s="2">
        <f>17359-M53</f>
        <v>9225</v>
      </c>
      <c r="O53" s="2">
        <f>25956-(N53+M53)</f>
        <v>8597</v>
      </c>
      <c r="P53" s="2">
        <f>32545-(O53+N53+M53)</f>
        <v>6589</v>
      </c>
      <c r="Q53" s="2">
        <f t="shared" si="5"/>
        <v>32545</v>
      </c>
      <c r="R53">
        <v>5918</v>
      </c>
      <c r="S53">
        <f>12073-R53</f>
        <v>6155</v>
      </c>
      <c r="T53">
        <f>17872-(S53+R53)</f>
        <v>5799</v>
      </c>
      <c r="U53">
        <f>23352-(T53+S53+R53)</f>
        <v>5480</v>
      </c>
      <c r="V53">
        <f t="shared" si="7"/>
        <v>23352</v>
      </c>
    </row>
    <row r="54" spans="1:22" x14ac:dyDescent="0.4">
      <c r="A54">
        <v>53</v>
      </c>
      <c r="B54" s="1" t="s">
        <v>86</v>
      </c>
      <c r="C54" s="2">
        <v>13150</v>
      </c>
      <c r="D54" s="2">
        <f>31139-C54</f>
        <v>17989</v>
      </c>
      <c r="E54" s="2">
        <f>50959-(D54+C54)</f>
        <v>19820</v>
      </c>
      <c r="F54" s="2">
        <f>78631-(E54+D54+C54)</f>
        <v>27672</v>
      </c>
      <c r="G54" s="2">
        <f t="shared" si="1"/>
        <v>78631</v>
      </c>
      <c r="H54">
        <v>123</v>
      </c>
      <c r="I54">
        <f>1438-H54</f>
        <v>1315</v>
      </c>
      <c r="J54">
        <f>3188-(I54+H54)</f>
        <v>1750</v>
      </c>
      <c r="K54">
        <f>5961-(J54+I54+H54)</f>
        <v>2773</v>
      </c>
      <c r="L54">
        <f t="shared" si="3"/>
        <v>5961</v>
      </c>
      <c r="M54" s="2">
        <v>121</v>
      </c>
      <c r="N54" s="2">
        <f>1433-M54</f>
        <v>1312</v>
      </c>
      <c r="O54" s="2">
        <f>3191-(N54+M54)</f>
        <v>1758</v>
      </c>
      <c r="P54" s="2">
        <f>6009-(O54+N54+M54)</f>
        <v>2818</v>
      </c>
      <c r="Q54" s="2">
        <f t="shared" si="5"/>
        <v>6009</v>
      </c>
      <c r="R54">
        <v>1521</v>
      </c>
      <c r="S54">
        <f>2625-R54</f>
        <v>1104</v>
      </c>
      <c r="T54">
        <f>4115-(S54+R54)</f>
        <v>1490</v>
      </c>
      <c r="U54">
        <f>6544-(T54+S54+R54)</f>
        <v>2429</v>
      </c>
      <c r="V54">
        <f t="shared" si="7"/>
        <v>6544</v>
      </c>
    </row>
    <row r="55" spans="1:22" x14ac:dyDescent="0.4">
      <c r="A55">
        <v>54</v>
      </c>
      <c r="B55" s="1" t="s">
        <v>87</v>
      </c>
      <c r="C55" s="2">
        <v>7948</v>
      </c>
      <c r="D55" s="2">
        <f>17832-C55</f>
        <v>9884</v>
      </c>
      <c r="E55" s="2">
        <f>26628-(D55+C55)</f>
        <v>8796</v>
      </c>
      <c r="F55" s="2">
        <f>0-(E55+D55+C55)</f>
        <v>-26628</v>
      </c>
      <c r="G55" s="2">
        <f t="shared" si="1"/>
        <v>0</v>
      </c>
      <c r="H55">
        <v>298</v>
      </c>
      <c r="I55">
        <f>827-H55</f>
        <v>529</v>
      </c>
      <c r="J55">
        <f>1495-(I55+H55)</f>
        <v>668</v>
      </c>
      <c r="K55">
        <f>0-(J55+I55+H55)</f>
        <v>-1495</v>
      </c>
      <c r="L55">
        <f t="shared" si="3"/>
        <v>0</v>
      </c>
      <c r="M55" s="2">
        <v>318</v>
      </c>
      <c r="N55" s="2">
        <f>842-M55</f>
        <v>524</v>
      </c>
      <c r="O55" s="2">
        <f>1537-(N55+M55)</f>
        <v>695</v>
      </c>
      <c r="P55" s="2">
        <f>0-(O55+N55+M55)</f>
        <v>-1537</v>
      </c>
      <c r="Q55" s="2">
        <f t="shared" si="5"/>
        <v>0</v>
      </c>
      <c r="R55">
        <v>190</v>
      </c>
      <c r="S55">
        <f>521-R55</f>
        <v>331</v>
      </c>
      <c r="T55">
        <f>961-(S55+R55)</f>
        <v>440</v>
      </c>
      <c r="U55">
        <f>0-(T55+S55+R55)</f>
        <v>-961</v>
      </c>
      <c r="V55">
        <f t="shared" si="7"/>
        <v>0</v>
      </c>
    </row>
    <row r="56" spans="1:22" x14ac:dyDescent="0.4">
      <c r="A56">
        <v>55</v>
      </c>
      <c r="B56" s="1" t="s">
        <v>88</v>
      </c>
      <c r="C56" s="2">
        <v>235009</v>
      </c>
      <c r="D56" s="2">
        <f>529748-C56</f>
        <v>294739</v>
      </c>
      <c r="E56" s="2">
        <f>802741-(D56+C56)</f>
        <v>272993</v>
      </c>
      <c r="F56" s="2">
        <f>0-(E56+D56+C56)</f>
        <v>-802741</v>
      </c>
      <c r="G56" s="2">
        <f t="shared" si="1"/>
        <v>0</v>
      </c>
      <c r="H56">
        <v>4512</v>
      </c>
      <c r="I56">
        <f>24992-H56</f>
        <v>20480</v>
      </c>
      <c r="J56">
        <f>38263-(I56+H56)</f>
        <v>13271</v>
      </c>
      <c r="K56">
        <f>0-(J56+I56+H56)</f>
        <v>-38263</v>
      </c>
      <c r="L56">
        <f t="shared" si="3"/>
        <v>0</v>
      </c>
      <c r="M56" s="2">
        <v>4979</v>
      </c>
      <c r="N56" s="2">
        <f>25689-M56</f>
        <v>20710</v>
      </c>
      <c r="O56" s="2">
        <f>43070-(N56+M56)</f>
        <v>17381</v>
      </c>
      <c r="P56" s="2">
        <f>0-(O56+N56+M56)</f>
        <v>-43070</v>
      </c>
      <c r="Q56" s="2">
        <f t="shared" si="5"/>
        <v>0</v>
      </c>
      <c r="R56">
        <v>565</v>
      </c>
      <c r="S56">
        <f>12591-R56</f>
        <v>12026</v>
      </c>
      <c r="T56">
        <f>22614-(S56+R56)</f>
        <v>10023</v>
      </c>
      <c r="U56">
        <f>0-(T56+S56+R56)</f>
        <v>-22614</v>
      </c>
      <c r="V56">
        <f t="shared" si="7"/>
        <v>0</v>
      </c>
    </row>
    <row r="57" spans="1:22" x14ac:dyDescent="0.4">
      <c r="A57">
        <v>56</v>
      </c>
      <c r="B57" s="1" t="s">
        <v>89</v>
      </c>
      <c r="C57" s="2">
        <v>2093</v>
      </c>
      <c r="D57" s="2">
        <f>10826-C57</f>
        <v>8733</v>
      </c>
      <c r="E57" s="2">
        <f>16251-(D57+C57)</f>
        <v>5425</v>
      </c>
      <c r="F57" s="2">
        <f>31683-(E57+D57+C57)</f>
        <v>15432</v>
      </c>
      <c r="G57" s="2">
        <f t="shared" si="1"/>
        <v>31683</v>
      </c>
      <c r="H57">
        <v>0</v>
      </c>
      <c r="I57">
        <f>892-H57</f>
        <v>892</v>
      </c>
      <c r="J57">
        <f>1064-(I57+H57)</f>
        <v>172</v>
      </c>
      <c r="K57">
        <f>2622-(J57+I57+H57)</f>
        <v>1558</v>
      </c>
      <c r="L57">
        <f t="shared" si="3"/>
        <v>2622</v>
      </c>
      <c r="M57" s="2">
        <v>110</v>
      </c>
      <c r="N57" s="2">
        <f>997-M57</f>
        <v>887</v>
      </c>
      <c r="O57" s="2">
        <f>1282-(N57+M57)</f>
        <v>285</v>
      </c>
      <c r="P57" s="2">
        <f>2800-(O57+N57+M57)</f>
        <v>1518</v>
      </c>
      <c r="Q57" s="2">
        <f t="shared" si="5"/>
        <v>2800</v>
      </c>
      <c r="R57">
        <v>114</v>
      </c>
      <c r="S57">
        <f>767-R57</f>
        <v>653</v>
      </c>
      <c r="T57">
        <f>924-(S57+R57)</f>
        <v>157</v>
      </c>
      <c r="U57">
        <f>2022-(T57+S57+R57)</f>
        <v>1098</v>
      </c>
      <c r="V57">
        <f t="shared" si="7"/>
        <v>2022</v>
      </c>
    </row>
    <row r="58" spans="1:22" x14ac:dyDescent="0.4">
      <c r="A58">
        <v>57</v>
      </c>
      <c r="B58" s="1" t="s">
        <v>90</v>
      </c>
      <c r="C58" s="2">
        <v>21766</v>
      </c>
      <c r="D58" s="2">
        <f>48000-C58</f>
        <v>26234</v>
      </c>
      <c r="E58" s="2">
        <f>74810-(D58+C58)</f>
        <v>26810</v>
      </c>
      <c r="F58" s="2">
        <f>106210-(E58+D58+C58)</f>
        <v>31400</v>
      </c>
      <c r="G58" s="2">
        <f t="shared" si="1"/>
        <v>106210</v>
      </c>
      <c r="H58">
        <v>1360</v>
      </c>
      <c r="I58">
        <f>3698-H58</f>
        <v>2338</v>
      </c>
      <c r="J58">
        <f>6589-(I58+H58)</f>
        <v>2891</v>
      </c>
      <c r="K58">
        <f>9874-(J58+I58+H58)</f>
        <v>3285</v>
      </c>
      <c r="L58">
        <f t="shared" si="3"/>
        <v>9874</v>
      </c>
      <c r="M58" s="2">
        <v>1443</v>
      </c>
      <c r="N58" s="2">
        <f>3990-M58</f>
        <v>2547</v>
      </c>
      <c r="O58" s="2">
        <f>6164-(N58+M58)</f>
        <v>2174</v>
      </c>
      <c r="P58" s="2">
        <f>9582-(O58+N58+M58)</f>
        <v>3418</v>
      </c>
      <c r="Q58" s="2">
        <f t="shared" si="5"/>
        <v>9582</v>
      </c>
      <c r="R58">
        <v>992</v>
      </c>
      <c r="S58">
        <f>2835-R58</f>
        <v>1843</v>
      </c>
      <c r="T58">
        <f>4017-(S58+R58)</f>
        <v>1182</v>
      </c>
      <c r="U58">
        <f>7066-(T58+S58+R58)</f>
        <v>3049</v>
      </c>
      <c r="V58">
        <f t="shared" si="7"/>
        <v>7066</v>
      </c>
    </row>
    <row r="59" spans="1:22" x14ac:dyDescent="0.4">
      <c r="A59">
        <v>58</v>
      </c>
      <c r="B59" s="1" t="s">
        <v>91</v>
      </c>
      <c r="C59" s="2">
        <v>13330</v>
      </c>
      <c r="D59" s="2">
        <f>28510-C59</f>
        <v>15180</v>
      </c>
      <c r="E59" s="2">
        <f>46924-(D59+C59)</f>
        <v>18414</v>
      </c>
      <c r="F59" s="2">
        <f>65516-(E59+D59+C59)</f>
        <v>18592</v>
      </c>
      <c r="G59" s="2">
        <f t="shared" si="1"/>
        <v>65516</v>
      </c>
      <c r="H59">
        <v>540</v>
      </c>
      <c r="I59">
        <f>1834-H59</f>
        <v>1294</v>
      </c>
      <c r="J59">
        <f>3653-(I59+H59)</f>
        <v>1819</v>
      </c>
      <c r="K59">
        <f>4903-(J59+I59+H59)</f>
        <v>1250</v>
      </c>
      <c r="L59">
        <f t="shared" si="3"/>
        <v>4903</v>
      </c>
      <c r="M59" s="2">
        <v>539</v>
      </c>
      <c r="N59" s="2">
        <f>1836-M59</f>
        <v>1297</v>
      </c>
      <c r="O59" s="2">
        <f>3698-(N59+M59)</f>
        <v>1862</v>
      </c>
      <c r="P59" s="2">
        <f>4880-(O59+N59+M59)</f>
        <v>1182</v>
      </c>
      <c r="Q59" s="2">
        <f t="shared" si="5"/>
        <v>4880</v>
      </c>
      <c r="R59">
        <v>333</v>
      </c>
      <c r="S59">
        <f>1195-R59</f>
        <v>862</v>
      </c>
      <c r="T59">
        <f>2452-(S59+R59)</f>
        <v>1257</v>
      </c>
      <c r="U59">
        <f>3258-(T59+S59+R59)</f>
        <v>806</v>
      </c>
      <c r="V59">
        <f t="shared" si="7"/>
        <v>3258</v>
      </c>
    </row>
    <row r="60" spans="1:22" x14ac:dyDescent="0.4">
      <c r="A60">
        <v>59</v>
      </c>
      <c r="B60" s="1" t="s">
        <v>92</v>
      </c>
      <c r="C60" s="2">
        <v>12237</v>
      </c>
      <c r="D60" s="2">
        <f>26332-C60</f>
        <v>14095</v>
      </c>
      <c r="E60" s="2">
        <f>38983-(D60+C60)</f>
        <v>12651</v>
      </c>
      <c r="F60" s="2">
        <f>61588-(E60+D60+C60)</f>
        <v>22605</v>
      </c>
      <c r="G60" s="2">
        <f t="shared" si="1"/>
        <v>61588</v>
      </c>
      <c r="H60">
        <v>145</v>
      </c>
      <c r="I60">
        <f>737-H60</f>
        <v>592</v>
      </c>
      <c r="J60">
        <f>1508-(I60+H60)</f>
        <v>771</v>
      </c>
      <c r="K60">
        <f>4529-(J60+I60+H60)</f>
        <v>3021</v>
      </c>
      <c r="L60">
        <f t="shared" si="3"/>
        <v>4529</v>
      </c>
      <c r="M60" s="2">
        <v>264</v>
      </c>
      <c r="N60" s="2">
        <f>1026-M60</f>
        <v>762</v>
      </c>
      <c r="O60" s="2">
        <f>1985-(N60+M60)</f>
        <v>959</v>
      </c>
      <c r="P60" s="2">
        <f>5150-(O60+N60+M60)</f>
        <v>3165</v>
      </c>
      <c r="Q60" s="2">
        <f t="shared" si="5"/>
        <v>5150</v>
      </c>
      <c r="R60">
        <v>153</v>
      </c>
      <c r="S60">
        <f>707-R60</f>
        <v>554</v>
      </c>
      <c r="T60">
        <f>1391-(S60+R60)</f>
        <v>684</v>
      </c>
      <c r="U60">
        <f>3634-(T60+S60+R60)</f>
        <v>2243</v>
      </c>
      <c r="V60">
        <f t="shared" si="7"/>
        <v>3634</v>
      </c>
    </row>
    <row r="61" spans="1:22" x14ac:dyDescent="0.4">
      <c r="A61">
        <v>60</v>
      </c>
      <c r="B61" s="1" t="s">
        <v>93</v>
      </c>
      <c r="C61" s="2">
        <v>126490</v>
      </c>
      <c r="D61" s="2">
        <f>278993-C61</f>
        <v>152503</v>
      </c>
      <c r="E61" s="2">
        <f>427978-(D61+C61)</f>
        <v>148985</v>
      </c>
      <c r="F61" s="2">
        <f>616143-(E61+D61+C61)</f>
        <v>188165</v>
      </c>
      <c r="G61" s="2">
        <f t="shared" si="1"/>
        <v>616143</v>
      </c>
      <c r="H61">
        <v>7022</v>
      </c>
      <c r="I61">
        <f>15247-H61</f>
        <v>8225</v>
      </c>
      <c r="J61">
        <f>21881-(I61+H61)</f>
        <v>6634</v>
      </c>
      <c r="K61">
        <f>34693-(J61+I61+H61)</f>
        <v>12812</v>
      </c>
      <c r="L61">
        <f t="shared" si="3"/>
        <v>34693</v>
      </c>
      <c r="M61" s="2">
        <v>7488</v>
      </c>
      <c r="N61" s="2">
        <f>15768-M61</f>
        <v>8280</v>
      </c>
      <c r="O61" s="2">
        <f>22717-(N61+M61)</f>
        <v>6949</v>
      </c>
      <c r="P61" s="2">
        <f>35565-(O61+N61+M61)</f>
        <v>12848</v>
      </c>
      <c r="Q61" s="2">
        <f t="shared" si="5"/>
        <v>35565</v>
      </c>
      <c r="R61">
        <v>4781</v>
      </c>
      <c r="S61">
        <f>9936-R61</f>
        <v>5155</v>
      </c>
      <c r="T61">
        <f>14467-(S61+R61)</f>
        <v>4531</v>
      </c>
      <c r="U61">
        <f>22515-(T61+S61+R61)</f>
        <v>8048</v>
      </c>
      <c r="V61">
        <f t="shared" si="7"/>
        <v>22515</v>
      </c>
    </row>
    <row r="62" spans="1:22" x14ac:dyDescent="0.4">
      <c r="A62">
        <v>61</v>
      </c>
      <c r="B62" s="1" t="s">
        <v>94</v>
      </c>
      <c r="C62" s="2">
        <v>14046</v>
      </c>
      <c r="D62" s="2">
        <f>28428-C62</f>
        <v>14382</v>
      </c>
      <c r="E62" s="2">
        <f>44878-(D62+C62)</f>
        <v>16450</v>
      </c>
      <c r="F62" s="2">
        <f>66520-(E62+D62+C62)</f>
        <v>21642</v>
      </c>
      <c r="G62" s="2">
        <f t="shared" si="1"/>
        <v>66520</v>
      </c>
      <c r="H62">
        <v>235</v>
      </c>
      <c r="I62">
        <f>898-H62</f>
        <v>663</v>
      </c>
      <c r="J62">
        <f>1902-(I62+H62)</f>
        <v>1004</v>
      </c>
      <c r="K62">
        <f>3918-(J62+I62+H62)</f>
        <v>2016</v>
      </c>
      <c r="L62">
        <f t="shared" si="3"/>
        <v>3918</v>
      </c>
      <c r="M62" s="2">
        <v>339</v>
      </c>
      <c r="N62" s="2">
        <f>1013-M62</f>
        <v>674</v>
      </c>
      <c r="O62" s="2">
        <f>2069-(N62+M62)</f>
        <v>1056</v>
      </c>
      <c r="P62" s="2">
        <f>3899-(O62+N62+M62)</f>
        <v>1830</v>
      </c>
      <c r="Q62" s="2">
        <f t="shared" si="5"/>
        <v>3899</v>
      </c>
      <c r="R62">
        <v>218</v>
      </c>
      <c r="S62">
        <f>672-R62</f>
        <v>454</v>
      </c>
      <c r="T62">
        <f>1198-(S62+R62)</f>
        <v>526</v>
      </c>
      <c r="U62">
        <f>2376-(T62+S62+R62)</f>
        <v>1178</v>
      </c>
      <c r="V62">
        <f t="shared" si="7"/>
        <v>2376</v>
      </c>
    </row>
    <row r="63" spans="1:22" x14ac:dyDescent="0.4">
      <c r="A63">
        <v>62</v>
      </c>
      <c r="B63" s="1" t="s">
        <v>95</v>
      </c>
      <c r="C63" s="2">
        <v>17590</v>
      </c>
      <c r="D63" s="2">
        <f>55133-C63</f>
        <v>37543</v>
      </c>
      <c r="E63" s="2">
        <f>91865-(D63+C63)</f>
        <v>36732</v>
      </c>
      <c r="F63" s="2">
        <f>198244-(E63+D63+C63)</f>
        <v>106379</v>
      </c>
      <c r="G63" s="2">
        <f t="shared" si="1"/>
        <v>198244</v>
      </c>
      <c r="H63">
        <v>-1077</v>
      </c>
      <c r="I63">
        <f t="shared" ref="I63" si="9">735-H63</f>
        <v>1812</v>
      </c>
      <c r="J63">
        <f>5006-(I63+H63)</f>
        <v>4271</v>
      </c>
      <c r="K63">
        <f>16495-(J63+I63+H63)</f>
        <v>11489</v>
      </c>
      <c r="L63">
        <f t="shared" si="3"/>
        <v>16495</v>
      </c>
      <c r="M63" s="2">
        <v>-682</v>
      </c>
      <c r="N63" s="2">
        <f>2110-M63</f>
        <v>2792</v>
      </c>
      <c r="O63" s="2">
        <f>5873-(N63+M63)</f>
        <v>3763</v>
      </c>
      <c r="P63" s="2">
        <f>17680-(O63+N63+M63)</f>
        <v>11807</v>
      </c>
      <c r="Q63" s="2">
        <f t="shared" si="5"/>
        <v>17680</v>
      </c>
      <c r="R63">
        <v>-563</v>
      </c>
      <c r="S63">
        <f>1022-R63</f>
        <v>1585</v>
      </c>
      <c r="T63">
        <f>3411-(S63+R63)</f>
        <v>2389</v>
      </c>
      <c r="U63">
        <f>11274-(T63+S63+R63)</f>
        <v>7863</v>
      </c>
      <c r="V63">
        <f t="shared" si="7"/>
        <v>11274</v>
      </c>
    </row>
    <row r="64" spans="1:22" x14ac:dyDescent="0.4">
      <c r="A64">
        <v>63</v>
      </c>
      <c r="B64" s="1" t="s">
        <v>96</v>
      </c>
      <c r="C64" s="2">
        <v>91722</v>
      </c>
      <c r="D64" s="2">
        <f>212302-C64</f>
        <v>120580</v>
      </c>
      <c r="E64" s="2">
        <f>333739-(D64+C64)</f>
        <v>121437</v>
      </c>
      <c r="F64" s="2">
        <f>524574-(E64+D64+C64)</f>
        <v>190835</v>
      </c>
      <c r="G64" s="2">
        <f t="shared" si="1"/>
        <v>524574</v>
      </c>
      <c r="H64">
        <v>3982</v>
      </c>
      <c r="I64">
        <f>10766-H64</f>
        <v>6784</v>
      </c>
      <c r="J64">
        <f>17571-(I64+H64)</f>
        <v>6805</v>
      </c>
      <c r="K64">
        <f>31100-(J64+I64+H64)</f>
        <v>13529</v>
      </c>
      <c r="L64">
        <f t="shared" si="3"/>
        <v>31100</v>
      </c>
      <c r="M64" s="2">
        <v>3856</v>
      </c>
      <c r="N64" s="2">
        <f>10658-M64</f>
        <v>6802</v>
      </c>
      <c r="O64" s="2">
        <f>17955-(N64+M64)</f>
        <v>7297</v>
      </c>
      <c r="P64" s="2">
        <f>30669-(O64+N64+M64)</f>
        <v>12714</v>
      </c>
      <c r="Q64" s="2">
        <f t="shared" si="5"/>
        <v>30669</v>
      </c>
      <c r="R64">
        <v>2344</v>
      </c>
      <c r="S64">
        <f>6275-R64</f>
        <v>3931</v>
      </c>
      <c r="T64">
        <f>10840-(S64+R64)</f>
        <v>4565</v>
      </c>
      <c r="U64">
        <f>15603-(T64+S64+R64)</f>
        <v>4763</v>
      </c>
      <c r="V64">
        <f t="shared" si="7"/>
        <v>15603</v>
      </c>
    </row>
    <row r="65" spans="1:22" x14ac:dyDescent="0.4">
      <c r="A65">
        <v>64</v>
      </c>
      <c r="B65" s="1" t="s">
        <v>97</v>
      </c>
      <c r="C65" s="2">
        <v>23522</v>
      </c>
      <c r="D65" s="2">
        <f>52209-C65</f>
        <v>28687</v>
      </c>
      <c r="E65" s="2">
        <f>80785-(D65+C65)</f>
        <v>28576</v>
      </c>
      <c r="F65" s="2">
        <f>120106-(E65+D65+C65)</f>
        <v>39321</v>
      </c>
      <c r="G65" s="2">
        <f t="shared" si="1"/>
        <v>120106</v>
      </c>
      <c r="H65">
        <v>-27</v>
      </c>
      <c r="I65">
        <f>1265-H65</f>
        <v>1292</v>
      </c>
      <c r="J65">
        <f>1935-(I65+H65)</f>
        <v>670</v>
      </c>
      <c r="K65">
        <f>6409-(J65+I65+H65)</f>
        <v>4474</v>
      </c>
      <c r="L65">
        <f t="shared" si="3"/>
        <v>6409</v>
      </c>
      <c r="M65" s="2">
        <v>203</v>
      </c>
      <c r="N65" s="2">
        <f>1530-M65</f>
        <v>1327</v>
      </c>
      <c r="O65" s="2">
        <f>2352-(N65+M65)</f>
        <v>822</v>
      </c>
      <c r="P65" s="2">
        <f>6810-(O65+N65+M65)</f>
        <v>4458</v>
      </c>
      <c r="Q65" s="2">
        <f t="shared" si="5"/>
        <v>6810</v>
      </c>
      <c r="R65">
        <v>182</v>
      </c>
      <c r="S65">
        <f>979-R65</f>
        <v>797</v>
      </c>
      <c r="T65">
        <f>1697-(S65+R65)</f>
        <v>718</v>
      </c>
      <c r="U65">
        <f>4603-(T65+S65+R65)</f>
        <v>2906</v>
      </c>
      <c r="V65">
        <f t="shared" si="7"/>
        <v>4603</v>
      </c>
    </row>
    <row r="66" spans="1:22" x14ac:dyDescent="0.4">
      <c r="A66">
        <v>65</v>
      </c>
      <c r="B66" s="1" t="s">
        <v>98</v>
      </c>
      <c r="C66" s="2">
        <v>34427</v>
      </c>
      <c r="D66" s="2">
        <f>24894</f>
        <v>24894</v>
      </c>
      <c r="E66" s="2">
        <v>24254</v>
      </c>
      <c r="F66" s="2">
        <v>34981</v>
      </c>
      <c r="G66" s="2">
        <f t="shared" si="1"/>
        <v>118556</v>
      </c>
      <c r="H66">
        <v>2174</v>
      </c>
      <c r="I66">
        <v>-1176</v>
      </c>
      <c r="J66">
        <v>-251</v>
      </c>
      <c r="K66">
        <v>6392</v>
      </c>
      <c r="L66">
        <f t="shared" si="3"/>
        <v>7139</v>
      </c>
      <c r="M66" s="2">
        <v>2880</v>
      </c>
      <c r="N66" s="2">
        <v>-935</v>
      </c>
      <c r="O66" s="2">
        <v>-250</v>
      </c>
      <c r="P66" s="2">
        <v>6304</v>
      </c>
      <c r="Q66" s="2">
        <f t="shared" si="5"/>
        <v>7999</v>
      </c>
      <c r="R66">
        <v>1850</v>
      </c>
      <c r="S66">
        <v>-638</v>
      </c>
      <c r="T66">
        <v>-272</v>
      </c>
      <c r="U66">
        <v>4318</v>
      </c>
      <c r="V66">
        <f t="shared" si="7"/>
        <v>5258</v>
      </c>
    </row>
    <row r="67" spans="1:22" x14ac:dyDescent="0.4">
      <c r="A67">
        <v>66</v>
      </c>
      <c r="B67" s="1" t="s">
        <v>99</v>
      </c>
      <c r="C67" s="2">
        <v>40882</v>
      </c>
      <c r="D67" s="2">
        <f>91845-C67</f>
        <v>50963</v>
      </c>
      <c r="E67" s="2">
        <f>143678-(D67+C67)</f>
        <v>51833</v>
      </c>
      <c r="F67" s="2">
        <f>207684-(E67+D67+C67)</f>
        <v>64006</v>
      </c>
      <c r="G67" s="2">
        <f t="shared" ref="G67:G101" si="10">SUM(C67:F67)</f>
        <v>207684</v>
      </c>
      <c r="H67">
        <v>322</v>
      </c>
      <c r="I67">
        <f>3191-H67</f>
        <v>2869</v>
      </c>
      <c r="J67">
        <f>5588-(I67+H67)</f>
        <v>2397</v>
      </c>
      <c r="K67">
        <f>10674-(J67+I67+H67)</f>
        <v>5086</v>
      </c>
      <c r="L67">
        <f t="shared" ref="L67:L101" si="11">SUM(H67:K67)</f>
        <v>10674</v>
      </c>
      <c r="M67" s="2">
        <v>547</v>
      </c>
      <c r="N67" s="2">
        <f>3503-M67</f>
        <v>2956</v>
      </c>
      <c r="O67" s="2">
        <f>6148-(N67+M67)</f>
        <v>2645</v>
      </c>
      <c r="P67" s="2">
        <f>11224-(O67+N67+M67)</f>
        <v>5076</v>
      </c>
      <c r="Q67" s="2">
        <f t="shared" ref="Q67:Q101" si="12">SUM(M67:P67)</f>
        <v>11224</v>
      </c>
      <c r="R67">
        <v>428</v>
      </c>
      <c r="S67">
        <f>2485-R67</f>
        <v>2057</v>
      </c>
      <c r="T67">
        <f>4300-(S67+R67)</f>
        <v>1815</v>
      </c>
      <c r="U67">
        <f>7576-(T67+S67+R67)</f>
        <v>3276</v>
      </c>
      <c r="V67">
        <f t="shared" ref="V67:V101" si="13">SUM(R67:U67)</f>
        <v>7576</v>
      </c>
    </row>
    <row r="68" spans="1:22" x14ac:dyDescent="0.4">
      <c r="A68">
        <v>67</v>
      </c>
      <c r="B68" s="1" t="s">
        <v>100</v>
      </c>
      <c r="C68" s="2">
        <v>23274</v>
      </c>
      <c r="D68" s="2">
        <f>52715-C68</f>
        <v>29441</v>
      </c>
      <c r="E68" s="2">
        <f>81167-(D68+C68)</f>
        <v>28452</v>
      </c>
      <c r="F68" s="2">
        <f>119459-(E68+D68+C68)</f>
        <v>38292</v>
      </c>
      <c r="G68" s="2">
        <f t="shared" si="10"/>
        <v>119459</v>
      </c>
      <c r="H68">
        <v>2050</v>
      </c>
      <c r="I68">
        <f>2454-H68</f>
        <v>404</v>
      </c>
      <c r="J68">
        <f>5132-(I68+H68)</f>
        <v>2678</v>
      </c>
      <c r="K68">
        <f>9450-(J68+I68+H68)</f>
        <v>4318</v>
      </c>
      <c r="L68">
        <f t="shared" si="11"/>
        <v>9450</v>
      </c>
      <c r="M68" s="2">
        <v>2133</v>
      </c>
      <c r="N68" s="2">
        <f>2491-M68</f>
        <v>358</v>
      </c>
      <c r="O68" s="2">
        <f>5375-(N68+M68)</f>
        <v>2884</v>
      </c>
      <c r="P68" s="2">
        <f>9580-(O68+N68+M68)</f>
        <v>4205</v>
      </c>
      <c r="Q68" s="2">
        <f t="shared" si="12"/>
        <v>9580</v>
      </c>
      <c r="R68">
        <v>1417</v>
      </c>
      <c r="S68">
        <f>1701-R68</f>
        <v>284</v>
      </c>
      <c r="T68">
        <f>3414-(S68+R68)</f>
        <v>1713</v>
      </c>
      <c r="U68">
        <f>6190-(T68+S68+R68)</f>
        <v>2776</v>
      </c>
      <c r="V68">
        <f t="shared" si="13"/>
        <v>6190</v>
      </c>
    </row>
    <row r="69" spans="1:22" x14ac:dyDescent="0.4">
      <c r="A69">
        <v>68</v>
      </c>
      <c r="B69" s="1" t="s">
        <v>101</v>
      </c>
      <c r="C69" s="2">
        <v>72424</v>
      </c>
      <c r="D69" s="2">
        <f>145457-C69</f>
        <v>73033</v>
      </c>
      <c r="E69" s="2">
        <f>224857-(D69+C69)</f>
        <v>79400</v>
      </c>
      <c r="F69" s="2">
        <f>0-(E69+D69+C69)</f>
        <v>-224857</v>
      </c>
      <c r="G69" s="2">
        <f t="shared" si="10"/>
        <v>0</v>
      </c>
      <c r="H69">
        <v>3201</v>
      </c>
      <c r="I69">
        <f>7630-H69</f>
        <v>4429</v>
      </c>
      <c r="J69">
        <f>11820-(I69+H69)</f>
        <v>4190</v>
      </c>
      <c r="K69">
        <f>0-(J69+I69+H69)</f>
        <v>-11820</v>
      </c>
      <c r="L69">
        <f t="shared" si="11"/>
        <v>0</v>
      </c>
      <c r="M69" s="2">
        <v>3844</v>
      </c>
      <c r="N69" s="2">
        <f>8506-M69</f>
        <v>4662</v>
      </c>
      <c r="O69" s="2">
        <f>13105-(N69+M69)</f>
        <v>4599</v>
      </c>
      <c r="P69" s="2">
        <f>0-(O69+N69+M69)</f>
        <v>-13105</v>
      </c>
      <c r="Q69" s="2">
        <f t="shared" si="12"/>
        <v>0</v>
      </c>
      <c r="R69">
        <v>2268</v>
      </c>
      <c r="S69">
        <f>5916-R69</f>
        <v>3648</v>
      </c>
      <c r="T69">
        <f t="shared" ref="T69:T101" si="14">1739-(S69+R69)</f>
        <v>-4177</v>
      </c>
      <c r="U69">
        <f>0-(T69+S69+R69)</f>
        <v>-1739</v>
      </c>
      <c r="V69">
        <f t="shared" si="13"/>
        <v>0</v>
      </c>
    </row>
    <row r="70" spans="1:22" x14ac:dyDescent="0.4">
      <c r="A70">
        <v>69</v>
      </c>
      <c r="B70" s="1" t="s">
        <v>102</v>
      </c>
      <c r="C70" s="2">
        <v>7801</v>
      </c>
      <c r="D70" s="2">
        <f>16539-C70</f>
        <v>8738</v>
      </c>
      <c r="E70" s="2">
        <f>24859-(D70+C70)</f>
        <v>8320</v>
      </c>
      <c r="F70" s="2">
        <f>33995-(E70+D70+C70)</f>
        <v>9136</v>
      </c>
      <c r="G70" s="2">
        <f t="shared" si="10"/>
        <v>33995</v>
      </c>
      <c r="H70">
        <v>368</v>
      </c>
      <c r="I70">
        <f>1122-H70</f>
        <v>754</v>
      </c>
      <c r="J70">
        <f>1650-(I70+H70)</f>
        <v>528</v>
      </c>
      <c r="K70">
        <f>2366-(J70+I70+H70)</f>
        <v>716</v>
      </c>
      <c r="L70">
        <f t="shared" si="11"/>
        <v>2366</v>
      </c>
      <c r="M70" s="2">
        <v>368</v>
      </c>
      <c r="N70" s="2">
        <f>1124-M70</f>
        <v>756</v>
      </c>
      <c r="O70" s="2">
        <f>165-(N70+M70)</f>
        <v>-959</v>
      </c>
      <c r="P70" s="2">
        <f>2366-(O70+N70+M70)</f>
        <v>2201</v>
      </c>
      <c r="Q70" s="2">
        <f t="shared" si="12"/>
        <v>2366</v>
      </c>
      <c r="R70">
        <v>226</v>
      </c>
      <c r="S70">
        <f>735-R70</f>
        <v>509</v>
      </c>
      <c r="T70">
        <f>1075-(S70+R70)</f>
        <v>340</v>
      </c>
      <c r="U70">
        <f>1236-(T70+S70+R70)</f>
        <v>161</v>
      </c>
      <c r="V70">
        <f t="shared" si="13"/>
        <v>1236</v>
      </c>
    </row>
    <row r="71" spans="1:22" x14ac:dyDescent="0.4">
      <c r="A71">
        <v>70</v>
      </c>
      <c r="B71" s="1" t="s">
        <v>103</v>
      </c>
      <c r="C71" s="2">
        <v>60537</v>
      </c>
      <c r="D71" s="2">
        <f>136270-C71</f>
        <v>75733</v>
      </c>
      <c r="E71" s="2">
        <f>214032-(D71+C71)</f>
        <v>77762</v>
      </c>
      <c r="F71" s="2">
        <f>303616-(E71+D71+C71)</f>
        <v>89584</v>
      </c>
      <c r="G71" s="2">
        <f t="shared" si="10"/>
        <v>303616</v>
      </c>
      <c r="H71">
        <v>-178</v>
      </c>
      <c r="I71">
        <f>4369-H71</f>
        <v>4547</v>
      </c>
      <c r="J71">
        <f>8208-(I71+H71)</f>
        <v>3839</v>
      </c>
      <c r="K71">
        <f>16245-(J71+I71+H71)</f>
        <v>8037</v>
      </c>
      <c r="L71">
        <f t="shared" si="11"/>
        <v>16245</v>
      </c>
      <c r="M71" s="2">
        <v>-251</v>
      </c>
      <c r="N71" s="2">
        <f>4335-M71</f>
        <v>4586</v>
      </c>
      <c r="O71" s="2">
        <f>8196-(N71+M71)</f>
        <v>3861</v>
      </c>
      <c r="P71" s="2">
        <f>15938-(O71+N71+M71)</f>
        <v>7742</v>
      </c>
      <c r="Q71" s="2">
        <f t="shared" si="12"/>
        <v>15938</v>
      </c>
      <c r="R71">
        <v>21</v>
      </c>
      <c r="S71">
        <f>2902-R71</f>
        <v>2881</v>
      </c>
      <c r="T71">
        <f>4296-(S71+R71)</f>
        <v>1394</v>
      </c>
      <c r="U71">
        <f>9422-(T71+S71+R71)</f>
        <v>5126</v>
      </c>
      <c r="V71">
        <f t="shared" si="13"/>
        <v>9422</v>
      </c>
    </row>
    <row r="72" spans="1:22" x14ac:dyDescent="0.4">
      <c r="A72">
        <v>71</v>
      </c>
      <c r="C72" s="2">
        <v>0</v>
      </c>
      <c r="D72" s="2">
        <f t="shared" ref="D72:D101" si="15">126884-C72</f>
        <v>126884</v>
      </c>
      <c r="E72" s="2">
        <f t="shared" ref="E72:E101" si="16">205436-(D72+C72)</f>
        <v>78552</v>
      </c>
      <c r="F72" s="2">
        <f t="shared" ref="F72:F101" si="17">262519-(E72+D72+C72)</f>
        <v>57083</v>
      </c>
      <c r="G72" s="2">
        <f t="shared" si="10"/>
        <v>262519</v>
      </c>
      <c r="H72">
        <v>0</v>
      </c>
      <c r="I72">
        <f t="shared" ref="I72:I101" si="18">735-H72</f>
        <v>735</v>
      </c>
      <c r="J72">
        <f t="shared" ref="J72:J101" si="19">2616-(I72+H72)</f>
        <v>1881</v>
      </c>
      <c r="K72">
        <f t="shared" ref="K72:K101" si="20">2918-(J72+I72+H72)</f>
        <v>302</v>
      </c>
      <c r="L72">
        <f t="shared" si="11"/>
        <v>2918</v>
      </c>
      <c r="M72" s="2">
        <v>0</v>
      </c>
      <c r="N72" s="2">
        <f t="shared" ref="N72:N101" si="21">1128-M72</f>
        <v>1128</v>
      </c>
      <c r="O72" s="2">
        <f t="shared" ref="O72:O101" si="22">2979-(N72+M72)</f>
        <v>1851</v>
      </c>
      <c r="P72" s="2">
        <f t="shared" ref="P72:P101" si="23">3608-(O72+N72+M72)</f>
        <v>629</v>
      </c>
      <c r="Q72" s="2">
        <f t="shared" si="12"/>
        <v>3608</v>
      </c>
      <c r="R72">
        <v>0</v>
      </c>
      <c r="S72">
        <f t="shared" ref="S72:S101" si="24">710-R72</f>
        <v>710</v>
      </c>
      <c r="T72">
        <f t="shared" si="14"/>
        <v>1029</v>
      </c>
      <c r="U72">
        <f t="shared" ref="U72:U101" si="25">2037-(T72+S72+R72)</f>
        <v>298</v>
      </c>
      <c r="V72">
        <f t="shared" si="13"/>
        <v>2037</v>
      </c>
    </row>
    <row r="73" spans="1:22" x14ac:dyDescent="0.4">
      <c r="A73">
        <v>72</v>
      </c>
      <c r="C73" s="2">
        <v>0</v>
      </c>
      <c r="D73" s="2">
        <f t="shared" si="15"/>
        <v>126884</v>
      </c>
      <c r="E73" s="2">
        <f t="shared" si="16"/>
        <v>78552</v>
      </c>
      <c r="F73" s="2">
        <f t="shared" si="17"/>
        <v>57083</v>
      </c>
      <c r="G73" s="2">
        <f t="shared" si="10"/>
        <v>262519</v>
      </c>
      <c r="H73">
        <v>0</v>
      </c>
      <c r="I73">
        <f t="shared" si="18"/>
        <v>735</v>
      </c>
      <c r="J73">
        <f t="shared" si="19"/>
        <v>1881</v>
      </c>
      <c r="K73">
        <f t="shared" si="20"/>
        <v>302</v>
      </c>
      <c r="L73">
        <f t="shared" si="11"/>
        <v>2918</v>
      </c>
      <c r="M73" s="2">
        <v>0</v>
      </c>
      <c r="N73" s="2">
        <f t="shared" si="21"/>
        <v>1128</v>
      </c>
      <c r="O73" s="2">
        <f t="shared" si="22"/>
        <v>1851</v>
      </c>
      <c r="P73" s="2">
        <f t="shared" si="23"/>
        <v>629</v>
      </c>
      <c r="Q73" s="2">
        <f t="shared" si="12"/>
        <v>3608</v>
      </c>
      <c r="R73">
        <v>0</v>
      </c>
      <c r="S73">
        <f t="shared" si="24"/>
        <v>710</v>
      </c>
      <c r="T73">
        <f t="shared" si="14"/>
        <v>1029</v>
      </c>
      <c r="U73">
        <f t="shared" si="25"/>
        <v>298</v>
      </c>
      <c r="V73">
        <f t="shared" si="13"/>
        <v>2037</v>
      </c>
    </row>
    <row r="74" spans="1:22" x14ac:dyDescent="0.4">
      <c r="A74">
        <v>73</v>
      </c>
      <c r="C74" s="2">
        <v>0</v>
      </c>
      <c r="D74" s="2">
        <f t="shared" si="15"/>
        <v>126884</v>
      </c>
      <c r="E74" s="2">
        <f t="shared" si="16"/>
        <v>78552</v>
      </c>
      <c r="F74" s="2">
        <f t="shared" si="17"/>
        <v>57083</v>
      </c>
      <c r="G74" s="2">
        <f t="shared" si="10"/>
        <v>262519</v>
      </c>
      <c r="H74">
        <v>0</v>
      </c>
      <c r="I74">
        <f t="shared" si="18"/>
        <v>735</v>
      </c>
      <c r="J74">
        <f t="shared" si="19"/>
        <v>1881</v>
      </c>
      <c r="K74">
        <f t="shared" si="20"/>
        <v>302</v>
      </c>
      <c r="L74">
        <f t="shared" si="11"/>
        <v>2918</v>
      </c>
      <c r="M74" s="2">
        <v>0</v>
      </c>
      <c r="N74" s="2">
        <f t="shared" si="21"/>
        <v>1128</v>
      </c>
      <c r="O74" s="2">
        <f t="shared" si="22"/>
        <v>1851</v>
      </c>
      <c r="P74" s="2">
        <f t="shared" si="23"/>
        <v>629</v>
      </c>
      <c r="Q74" s="2">
        <f t="shared" si="12"/>
        <v>3608</v>
      </c>
      <c r="R74">
        <v>0</v>
      </c>
      <c r="S74">
        <f t="shared" si="24"/>
        <v>710</v>
      </c>
      <c r="T74">
        <f t="shared" si="14"/>
        <v>1029</v>
      </c>
      <c r="U74">
        <f t="shared" si="25"/>
        <v>298</v>
      </c>
      <c r="V74">
        <f t="shared" si="13"/>
        <v>2037</v>
      </c>
    </row>
    <row r="75" spans="1:22" x14ac:dyDescent="0.4">
      <c r="A75">
        <v>74</v>
      </c>
      <c r="C75" s="2">
        <v>0</v>
      </c>
      <c r="D75" s="2">
        <f t="shared" si="15"/>
        <v>126884</v>
      </c>
      <c r="E75" s="2">
        <f t="shared" si="16"/>
        <v>78552</v>
      </c>
      <c r="F75" s="2">
        <f t="shared" si="17"/>
        <v>57083</v>
      </c>
      <c r="G75" s="2">
        <f t="shared" si="10"/>
        <v>262519</v>
      </c>
      <c r="H75">
        <v>0</v>
      </c>
      <c r="I75">
        <f t="shared" si="18"/>
        <v>735</v>
      </c>
      <c r="J75">
        <f t="shared" si="19"/>
        <v>1881</v>
      </c>
      <c r="K75">
        <f t="shared" si="20"/>
        <v>302</v>
      </c>
      <c r="L75">
        <f t="shared" si="11"/>
        <v>2918</v>
      </c>
      <c r="M75" s="2">
        <v>0</v>
      </c>
      <c r="N75" s="2">
        <f t="shared" si="21"/>
        <v>1128</v>
      </c>
      <c r="O75" s="2">
        <f t="shared" si="22"/>
        <v>1851</v>
      </c>
      <c r="P75" s="2">
        <f t="shared" si="23"/>
        <v>629</v>
      </c>
      <c r="Q75" s="2">
        <f t="shared" si="12"/>
        <v>3608</v>
      </c>
      <c r="R75">
        <v>0</v>
      </c>
      <c r="S75">
        <f t="shared" si="24"/>
        <v>710</v>
      </c>
      <c r="T75">
        <f t="shared" si="14"/>
        <v>1029</v>
      </c>
      <c r="U75">
        <f t="shared" si="25"/>
        <v>298</v>
      </c>
      <c r="V75">
        <f t="shared" si="13"/>
        <v>2037</v>
      </c>
    </row>
    <row r="76" spans="1:22" x14ac:dyDescent="0.4">
      <c r="A76">
        <v>75</v>
      </c>
      <c r="C76" s="2">
        <v>0</v>
      </c>
      <c r="D76" s="2">
        <f t="shared" si="15"/>
        <v>126884</v>
      </c>
      <c r="E76" s="2">
        <f t="shared" si="16"/>
        <v>78552</v>
      </c>
      <c r="F76" s="2">
        <f t="shared" si="17"/>
        <v>57083</v>
      </c>
      <c r="G76" s="2">
        <f t="shared" si="10"/>
        <v>262519</v>
      </c>
      <c r="H76">
        <v>0</v>
      </c>
      <c r="I76">
        <f t="shared" si="18"/>
        <v>735</v>
      </c>
      <c r="J76">
        <f t="shared" si="19"/>
        <v>1881</v>
      </c>
      <c r="K76">
        <f t="shared" si="20"/>
        <v>302</v>
      </c>
      <c r="L76">
        <f t="shared" si="11"/>
        <v>2918</v>
      </c>
      <c r="M76" s="2">
        <v>0</v>
      </c>
      <c r="N76" s="2">
        <f t="shared" si="21"/>
        <v>1128</v>
      </c>
      <c r="O76" s="2">
        <f t="shared" si="22"/>
        <v>1851</v>
      </c>
      <c r="P76" s="2">
        <f t="shared" si="23"/>
        <v>629</v>
      </c>
      <c r="Q76" s="2">
        <f t="shared" si="12"/>
        <v>3608</v>
      </c>
      <c r="R76">
        <v>0</v>
      </c>
      <c r="S76">
        <f t="shared" si="24"/>
        <v>710</v>
      </c>
      <c r="T76">
        <f t="shared" si="14"/>
        <v>1029</v>
      </c>
      <c r="U76">
        <f t="shared" si="25"/>
        <v>298</v>
      </c>
      <c r="V76">
        <f t="shared" si="13"/>
        <v>2037</v>
      </c>
    </row>
    <row r="77" spans="1:22" x14ac:dyDescent="0.4">
      <c r="A77">
        <v>76</v>
      </c>
      <c r="C77" s="2">
        <v>0</v>
      </c>
      <c r="D77" s="2">
        <f t="shared" si="15"/>
        <v>126884</v>
      </c>
      <c r="E77" s="2">
        <f t="shared" si="16"/>
        <v>78552</v>
      </c>
      <c r="F77" s="2">
        <f t="shared" si="17"/>
        <v>57083</v>
      </c>
      <c r="G77" s="2">
        <f t="shared" si="10"/>
        <v>262519</v>
      </c>
      <c r="H77">
        <v>0</v>
      </c>
      <c r="I77">
        <f t="shared" si="18"/>
        <v>735</v>
      </c>
      <c r="J77">
        <f t="shared" si="19"/>
        <v>1881</v>
      </c>
      <c r="K77">
        <f t="shared" si="20"/>
        <v>302</v>
      </c>
      <c r="L77">
        <f t="shared" si="11"/>
        <v>2918</v>
      </c>
      <c r="M77" s="2">
        <v>0</v>
      </c>
      <c r="N77" s="2">
        <f t="shared" si="21"/>
        <v>1128</v>
      </c>
      <c r="O77" s="2">
        <f t="shared" si="22"/>
        <v>1851</v>
      </c>
      <c r="P77" s="2">
        <f t="shared" si="23"/>
        <v>629</v>
      </c>
      <c r="Q77" s="2">
        <f t="shared" si="12"/>
        <v>3608</v>
      </c>
      <c r="R77">
        <v>0</v>
      </c>
      <c r="S77">
        <f t="shared" si="24"/>
        <v>710</v>
      </c>
      <c r="T77">
        <f t="shared" si="14"/>
        <v>1029</v>
      </c>
      <c r="U77">
        <f t="shared" si="25"/>
        <v>298</v>
      </c>
      <c r="V77">
        <f t="shared" si="13"/>
        <v>2037</v>
      </c>
    </row>
    <row r="78" spans="1:22" x14ac:dyDescent="0.4">
      <c r="A78">
        <v>77</v>
      </c>
      <c r="C78" s="2">
        <v>0</v>
      </c>
      <c r="D78" s="2">
        <f t="shared" si="15"/>
        <v>126884</v>
      </c>
      <c r="E78" s="2">
        <f t="shared" si="16"/>
        <v>78552</v>
      </c>
      <c r="F78" s="2">
        <f t="shared" si="17"/>
        <v>57083</v>
      </c>
      <c r="G78" s="2">
        <f t="shared" si="10"/>
        <v>262519</v>
      </c>
      <c r="H78">
        <v>0</v>
      </c>
      <c r="I78">
        <f t="shared" si="18"/>
        <v>735</v>
      </c>
      <c r="J78">
        <f t="shared" si="19"/>
        <v>1881</v>
      </c>
      <c r="K78">
        <f t="shared" si="20"/>
        <v>302</v>
      </c>
      <c r="L78">
        <f t="shared" si="11"/>
        <v>2918</v>
      </c>
      <c r="M78" s="2">
        <v>0</v>
      </c>
      <c r="N78" s="2">
        <f t="shared" si="21"/>
        <v>1128</v>
      </c>
      <c r="O78" s="2">
        <f t="shared" si="22"/>
        <v>1851</v>
      </c>
      <c r="P78" s="2">
        <f t="shared" si="23"/>
        <v>629</v>
      </c>
      <c r="Q78" s="2">
        <f t="shared" si="12"/>
        <v>3608</v>
      </c>
      <c r="R78">
        <v>0</v>
      </c>
      <c r="S78">
        <f t="shared" si="24"/>
        <v>710</v>
      </c>
      <c r="T78">
        <f t="shared" si="14"/>
        <v>1029</v>
      </c>
      <c r="U78">
        <f t="shared" si="25"/>
        <v>298</v>
      </c>
      <c r="V78">
        <f t="shared" si="13"/>
        <v>2037</v>
      </c>
    </row>
    <row r="79" spans="1:22" x14ac:dyDescent="0.4">
      <c r="A79">
        <v>78</v>
      </c>
      <c r="C79" s="2">
        <v>0</v>
      </c>
      <c r="D79" s="2">
        <f t="shared" si="15"/>
        <v>126884</v>
      </c>
      <c r="E79" s="2">
        <f t="shared" si="16"/>
        <v>78552</v>
      </c>
      <c r="F79" s="2">
        <f t="shared" si="17"/>
        <v>57083</v>
      </c>
      <c r="G79" s="2">
        <f t="shared" si="10"/>
        <v>262519</v>
      </c>
      <c r="H79">
        <v>0</v>
      </c>
      <c r="I79">
        <f t="shared" si="18"/>
        <v>735</v>
      </c>
      <c r="J79">
        <f t="shared" si="19"/>
        <v>1881</v>
      </c>
      <c r="K79">
        <f t="shared" si="20"/>
        <v>302</v>
      </c>
      <c r="L79">
        <f t="shared" si="11"/>
        <v>2918</v>
      </c>
      <c r="M79" s="2">
        <v>0</v>
      </c>
      <c r="N79" s="2">
        <f t="shared" si="21"/>
        <v>1128</v>
      </c>
      <c r="O79" s="2">
        <f t="shared" si="22"/>
        <v>1851</v>
      </c>
      <c r="P79" s="2">
        <f t="shared" si="23"/>
        <v>629</v>
      </c>
      <c r="Q79" s="2">
        <f t="shared" si="12"/>
        <v>3608</v>
      </c>
      <c r="R79">
        <v>0</v>
      </c>
      <c r="S79">
        <f t="shared" si="24"/>
        <v>710</v>
      </c>
      <c r="T79">
        <f t="shared" si="14"/>
        <v>1029</v>
      </c>
      <c r="U79">
        <f t="shared" si="25"/>
        <v>298</v>
      </c>
      <c r="V79">
        <f t="shared" si="13"/>
        <v>2037</v>
      </c>
    </row>
    <row r="80" spans="1:22" x14ac:dyDescent="0.4">
      <c r="A80">
        <v>79</v>
      </c>
      <c r="C80" s="2">
        <v>0</v>
      </c>
      <c r="D80" s="2">
        <f t="shared" si="15"/>
        <v>126884</v>
      </c>
      <c r="E80" s="2">
        <f t="shared" si="16"/>
        <v>78552</v>
      </c>
      <c r="F80" s="2">
        <f t="shared" si="17"/>
        <v>57083</v>
      </c>
      <c r="G80" s="2">
        <f t="shared" si="10"/>
        <v>262519</v>
      </c>
      <c r="H80">
        <v>0</v>
      </c>
      <c r="I80">
        <f t="shared" si="18"/>
        <v>735</v>
      </c>
      <c r="J80">
        <f t="shared" si="19"/>
        <v>1881</v>
      </c>
      <c r="K80">
        <f t="shared" si="20"/>
        <v>302</v>
      </c>
      <c r="L80">
        <f t="shared" si="11"/>
        <v>2918</v>
      </c>
      <c r="M80" s="2">
        <v>0</v>
      </c>
      <c r="N80" s="2">
        <f t="shared" si="21"/>
        <v>1128</v>
      </c>
      <c r="O80" s="2">
        <f t="shared" si="22"/>
        <v>1851</v>
      </c>
      <c r="P80" s="2">
        <f t="shared" si="23"/>
        <v>629</v>
      </c>
      <c r="Q80" s="2">
        <f t="shared" si="12"/>
        <v>3608</v>
      </c>
      <c r="R80">
        <v>0</v>
      </c>
      <c r="S80">
        <f t="shared" si="24"/>
        <v>710</v>
      </c>
      <c r="T80">
        <f t="shared" si="14"/>
        <v>1029</v>
      </c>
      <c r="U80">
        <f t="shared" si="25"/>
        <v>298</v>
      </c>
      <c r="V80">
        <f t="shared" si="13"/>
        <v>2037</v>
      </c>
    </row>
    <row r="81" spans="1:22" x14ac:dyDescent="0.4">
      <c r="A81">
        <v>80</v>
      </c>
      <c r="C81" s="2">
        <v>0</v>
      </c>
      <c r="D81" s="2">
        <f t="shared" si="15"/>
        <v>126884</v>
      </c>
      <c r="E81" s="2">
        <f t="shared" si="16"/>
        <v>78552</v>
      </c>
      <c r="F81" s="2">
        <f t="shared" si="17"/>
        <v>57083</v>
      </c>
      <c r="G81" s="2">
        <f t="shared" si="10"/>
        <v>262519</v>
      </c>
      <c r="H81">
        <v>0</v>
      </c>
      <c r="I81">
        <f t="shared" si="18"/>
        <v>735</v>
      </c>
      <c r="J81">
        <f t="shared" si="19"/>
        <v>1881</v>
      </c>
      <c r="K81">
        <f t="shared" si="20"/>
        <v>302</v>
      </c>
      <c r="L81">
        <f t="shared" si="11"/>
        <v>2918</v>
      </c>
      <c r="M81" s="2">
        <v>0</v>
      </c>
      <c r="N81" s="2">
        <f t="shared" si="21"/>
        <v>1128</v>
      </c>
      <c r="O81" s="2">
        <f t="shared" si="22"/>
        <v>1851</v>
      </c>
      <c r="P81" s="2">
        <f t="shared" si="23"/>
        <v>629</v>
      </c>
      <c r="Q81" s="2">
        <f t="shared" si="12"/>
        <v>3608</v>
      </c>
      <c r="R81">
        <v>0</v>
      </c>
      <c r="S81">
        <f t="shared" si="24"/>
        <v>710</v>
      </c>
      <c r="T81">
        <f t="shared" si="14"/>
        <v>1029</v>
      </c>
      <c r="U81">
        <f t="shared" si="25"/>
        <v>298</v>
      </c>
      <c r="V81">
        <f t="shared" si="13"/>
        <v>2037</v>
      </c>
    </row>
    <row r="82" spans="1:22" x14ac:dyDescent="0.4">
      <c r="A82">
        <v>81</v>
      </c>
      <c r="C82" s="2">
        <v>0</v>
      </c>
      <c r="D82" s="2">
        <f t="shared" si="15"/>
        <v>126884</v>
      </c>
      <c r="E82" s="2">
        <f t="shared" si="16"/>
        <v>78552</v>
      </c>
      <c r="F82" s="2">
        <f t="shared" si="17"/>
        <v>57083</v>
      </c>
      <c r="G82" s="2">
        <f t="shared" si="10"/>
        <v>262519</v>
      </c>
      <c r="H82">
        <v>0</v>
      </c>
      <c r="I82">
        <f t="shared" si="18"/>
        <v>735</v>
      </c>
      <c r="J82">
        <f t="shared" si="19"/>
        <v>1881</v>
      </c>
      <c r="K82">
        <f t="shared" si="20"/>
        <v>302</v>
      </c>
      <c r="L82">
        <f t="shared" si="11"/>
        <v>2918</v>
      </c>
      <c r="M82" s="2">
        <v>0</v>
      </c>
      <c r="N82" s="2">
        <f t="shared" si="21"/>
        <v>1128</v>
      </c>
      <c r="O82" s="2">
        <f t="shared" si="22"/>
        <v>1851</v>
      </c>
      <c r="P82" s="2">
        <f t="shared" si="23"/>
        <v>629</v>
      </c>
      <c r="Q82" s="2">
        <f t="shared" si="12"/>
        <v>3608</v>
      </c>
      <c r="R82">
        <v>0</v>
      </c>
      <c r="S82">
        <f t="shared" si="24"/>
        <v>710</v>
      </c>
      <c r="T82">
        <f t="shared" si="14"/>
        <v>1029</v>
      </c>
      <c r="U82">
        <f t="shared" si="25"/>
        <v>298</v>
      </c>
      <c r="V82">
        <f t="shared" si="13"/>
        <v>2037</v>
      </c>
    </row>
    <row r="83" spans="1:22" x14ac:dyDescent="0.4">
      <c r="A83">
        <v>82</v>
      </c>
      <c r="C83" s="2">
        <v>0</v>
      </c>
      <c r="D83" s="2">
        <f t="shared" si="15"/>
        <v>126884</v>
      </c>
      <c r="E83" s="2">
        <f t="shared" si="16"/>
        <v>78552</v>
      </c>
      <c r="F83" s="2">
        <f t="shared" si="17"/>
        <v>57083</v>
      </c>
      <c r="G83" s="2">
        <f t="shared" si="10"/>
        <v>262519</v>
      </c>
      <c r="H83">
        <v>0</v>
      </c>
      <c r="I83">
        <f t="shared" si="18"/>
        <v>735</v>
      </c>
      <c r="J83">
        <f t="shared" si="19"/>
        <v>1881</v>
      </c>
      <c r="K83">
        <f t="shared" si="20"/>
        <v>302</v>
      </c>
      <c r="L83">
        <f t="shared" si="11"/>
        <v>2918</v>
      </c>
      <c r="M83" s="2">
        <v>0</v>
      </c>
      <c r="N83" s="2">
        <f t="shared" si="21"/>
        <v>1128</v>
      </c>
      <c r="O83" s="2">
        <f t="shared" si="22"/>
        <v>1851</v>
      </c>
      <c r="P83" s="2">
        <f t="shared" si="23"/>
        <v>629</v>
      </c>
      <c r="Q83" s="2">
        <f t="shared" si="12"/>
        <v>3608</v>
      </c>
      <c r="R83">
        <v>0</v>
      </c>
      <c r="S83">
        <f t="shared" si="24"/>
        <v>710</v>
      </c>
      <c r="T83">
        <f t="shared" si="14"/>
        <v>1029</v>
      </c>
      <c r="U83">
        <f t="shared" si="25"/>
        <v>298</v>
      </c>
      <c r="V83">
        <f t="shared" si="13"/>
        <v>2037</v>
      </c>
    </row>
    <row r="84" spans="1:22" x14ac:dyDescent="0.4">
      <c r="A84">
        <v>83</v>
      </c>
      <c r="C84" s="2">
        <v>0</v>
      </c>
      <c r="D84" s="2">
        <f t="shared" si="15"/>
        <v>126884</v>
      </c>
      <c r="E84" s="2">
        <f t="shared" si="16"/>
        <v>78552</v>
      </c>
      <c r="F84" s="2">
        <f t="shared" si="17"/>
        <v>57083</v>
      </c>
      <c r="G84" s="2">
        <f t="shared" si="10"/>
        <v>262519</v>
      </c>
      <c r="H84">
        <v>0</v>
      </c>
      <c r="I84">
        <f t="shared" si="18"/>
        <v>735</v>
      </c>
      <c r="J84">
        <f t="shared" si="19"/>
        <v>1881</v>
      </c>
      <c r="K84">
        <f t="shared" si="20"/>
        <v>302</v>
      </c>
      <c r="L84">
        <f t="shared" si="11"/>
        <v>2918</v>
      </c>
      <c r="M84" s="2">
        <v>0</v>
      </c>
      <c r="N84" s="2">
        <f t="shared" si="21"/>
        <v>1128</v>
      </c>
      <c r="O84" s="2">
        <f t="shared" si="22"/>
        <v>1851</v>
      </c>
      <c r="P84" s="2">
        <f t="shared" si="23"/>
        <v>629</v>
      </c>
      <c r="Q84" s="2">
        <f t="shared" si="12"/>
        <v>3608</v>
      </c>
      <c r="R84">
        <v>0</v>
      </c>
      <c r="S84">
        <f t="shared" si="24"/>
        <v>710</v>
      </c>
      <c r="T84">
        <f t="shared" si="14"/>
        <v>1029</v>
      </c>
      <c r="U84">
        <f t="shared" si="25"/>
        <v>298</v>
      </c>
      <c r="V84">
        <f t="shared" si="13"/>
        <v>2037</v>
      </c>
    </row>
    <row r="85" spans="1:22" x14ac:dyDescent="0.4">
      <c r="A85">
        <v>84</v>
      </c>
      <c r="C85" s="2">
        <v>0</v>
      </c>
      <c r="D85" s="2">
        <f t="shared" si="15"/>
        <v>126884</v>
      </c>
      <c r="E85" s="2">
        <f t="shared" si="16"/>
        <v>78552</v>
      </c>
      <c r="F85" s="2">
        <f t="shared" si="17"/>
        <v>57083</v>
      </c>
      <c r="G85" s="2">
        <f t="shared" si="10"/>
        <v>262519</v>
      </c>
      <c r="H85">
        <v>0</v>
      </c>
      <c r="I85">
        <f t="shared" si="18"/>
        <v>735</v>
      </c>
      <c r="J85">
        <f t="shared" si="19"/>
        <v>1881</v>
      </c>
      <c r="K85">
        <f t="shared" si="20"/>
        <v>302</v>
      </c>
      <c r="L85">
        <f t="shared" si="11"/>
        <v>2918</v>
      </c>
      <c r="M85" s="2">
        <v>0</v>
      </c>
      <c r="N85" s="2">
        <f t="shared" si="21"/>
        <v>1128</v>
      </c>
      <c r="O85" s="2">
        <f t="shared" si="22"/>
        <v>1851</v>
      </c>
      <c r="P85" s="2">
        <f t="shared" si="23"/>
        <v>629</v>
      </c>
      <c r="Q85" s="2">
        <f t="shared" si="12"/>
        <v>3608</v>
      </c>
      <c r="R85">
        <v>0</v>
      </c>
      <c r="S85">
        <f t="shared" si="24"/>
        <v>710</v>
      </c>
      <c r="T85">
        <f t="shared" si="14"/>
        <v>1029</v>
      </c>
      <c r="U85">
        <f t="shared" si="25"/>
        <v>298</v>
      </c>
      <c r="V85">
        <f t="shared" si="13"/>
        <v>2037</v>
      </c>
    </row>
    <row r="86" spans="1:22" x14ac:dyDescent="0.4">
      <c r="A86">
        <v>85</v>
      </c>
      <c r="C86" s="2">
        <v>0</v>
      </c>
      <c r="D86" s="2">
        <f t="shared" si="15"/>
        <v>126884</v>
      </c>
      <c r="E86" s="2">
        <f t="shared" si="16"/>
        <v>78552</v>
      </c>
      <c r="F86" s="2">
        <f t="shared" si="17"/>
        <v>57083</v>
      </c>
      <c r="G86" s="2">
        <f t="shared" si="10"/>
        <v>262519</v>
      </c>
      <c r="H86">
        <v>0</v>
      </c>
      <c r="I86">
        <f t="shared" si="18"/>
        <v>735</v>
      </c>
      <c r="J86">
        <f t="shared" si="19"/>
        <v>1881</v>
      </c>
      <c r="K86">
        <f t="shared" si="20"/>
        <v>302</v>
      </c>
      <c r="L86">
        <f t="shared" si="11"/>
        <v>2918</v>
      </c>
      <c r="M86" s="2">
        <v>0</v>
      </c>
      <c r="N86" s="2">
        <f t="shared" si="21"/>
        <v>1128</v>
      </c>
      <c r="O86" s="2">
        <f t="shared" si="22"/>
        <v>1851</v>
      </c>
      <c r="P86" s="2">
        <f t="shared" si="23"/>
        <v>629</v>
      </c>
      <c r="Q86" s="2">
        <f t="shared" si="12"/>
        <v>3608</v>
      </c>
      <c r="R86">
        <v>0</v>
      </c>
      <c r="S86">
        <f t="shared" si="24"/>
        <v>710</v>
      </c>
      <c r="T86">
        <f t="shared" si="14"/>
        <v>1029</v>
      </c>
      <c r="U86">
        <f t="shared" si="25"/>
        <v>298</v>
      </c>
      <c r="V86">
        <f t="shared" si="13"/>
        <v>2037</v>
      </c>
    </row>
    <row r="87" spans="1:22" x14ac:dyDescent="0.4">
      <c r="A87">
        <v>86</v>
      </c>
      <c r="C87" s="2">
        <v>0</v>
      </c>
      <c r="D87" s="2">
        <f t="shared" si="15"/>
        <v>126884</v>
      </c>
      <c r="E87" s="2">
        <f t="shared" si="16"/>
        <v>78552</v>
      </c>
      <c r="F87" s="2">
        <f t="shared" si="17"/>
        <v>57083</v>
      </c>
      <c r="G87" s="2">
        <f t="shared" si="10"/>
        <v>262519</v>
      </c>
      <c r="H87">
        <v>0</v>
      </c>
      <c r="I87">
        <f t="shared" si="18"/>
        <v>735</v>
      </c>
      <c r="J87">
        <f t="shared" si="19"/>
        <v>1881</v>
      </c>
      <c r="K87">
        <f t="shared" si="20"/>
        <v>302</v>
      </c>
      <c r="L87">
        <f t="shared" si="11"/>
        <v>2918</v>
      </c>
      <c r="M87" s="2">
        <v>0</v>
      </c>
      <c r="N87" s="2">
        <f t="shared" si="21"/>
        <v>1128</v>
      </c>
      <c r="O87" s="2">
        <f t="shared" si="22"/>
        <v>1851</v>
      </c>
      <c r="P87" s="2">
        <f t="shared" si="23"/>
        <v>629</v>
      </c>
      <c r="Q87" s="2">
        <f t="shared" si="12"/>
        <v>3608</v>
      </c>
      <c r="R87">
        <v>0</v>
      </c>
      <c r="S87">
        <f t="shared" si="24"/>
        <v>710</v>
      </c>
      <c r="T87">
        <f t="shared" si="14"/>
        <v>1029</v>
      </c>
      <c r="U87">
        <f t="shared" si="25"/>
        <v>298</v>
      </c>
      <c r="V87">
        <f t="shared" si="13"/>
        <v>2037</v>
      </c>
    </row>
    <row r="88" spans="1:22" x14ac:dyDescent="0.4">
      <c r="A88">
        <v>87</v>
      </c>
      <c r="C88" s="2">
        <v>0</v>
      </c>
      <c r="D88" s="2">
        <f t="shared" si="15"/>
        <v>126884</v>
      </c>
      <c r="E88" s="2">
        <f t="shared" si="16"/>
        <v>78552</v>
      </c>
      <c r="F88" s="2">
        <f t="shared" si="17"/>
        <v>57083</v>
      </c>
      <c r="G88" s="2">
        <f t="shared" si="10"/>
        <v>262519</v>
      </c>
      <c r="H88">
        <v>0</v>
      </c>
      <c r="I88">
        <f t="shared" si="18"/>
        <v>735</v>
      </c>
      <c r="J88">
        <f t="shared" si="19"/>
        <v>1881</v>
      </c>
      <c r="K88">
        <f t="shared" si="20"/>
        <v>302</v>
      </c>
      <c r="L88">
        <f t="shared" si="11"/>
        <v>2918</v>
      </c>
      <c r="M88" s="2">
        <v>0</v>
      </c>
      <c r="N88" s="2">
        <f t="shared" si="21"/>
        <v>1128</v>
      </c>
      <c r="O88" s="2">
        <f t="shared" si="22"/>
        <v>1851</v>
      </c>
      <c r="P88" s="2">
        <f t="shared" si="23"/>
        <v>629</v>
      </c>
      <c r="Q88" s="2">
        <f t="shared" si="12"/>
        <v>3608</v>
      </c>
      <c r="R88">
        <v>0</v>
      </c>
      <c r="S88">
        <f t="shared" si="24"/>
        <v>710</v>
      </c>
      <c r="T88">
        <f t="shared" si="14"/>
        <v>1029</v>
      </c>
      <c r="U88">
        <f t="shared" si="25"/>
        <v>298</v>
      </c>
      <c r="V88">
        <f t="shared" si="13"/>
        <v>2037</v>
      </c>
    </row>
    <row r="89" spans="1:22" x14ac:dyDescent="0.4">
      <c r="A89">
        <v>88</v>
      </c>
      <c r="C89" s="2">
        <v>0</v>
      </c>
      <c r="D89" s="2">
        <f t="shared" si="15"/>
        <v>126884</v>
      </c>
      <c r="E89" s="2">
        <f t="shared" si="16"/>
        <v>78552</v>
      </c>
      <c r="F89" s="2">
        <f t="shared" si="17"/>
        <v>57083</v>
      </c>
      <c r="G89" s="2">
        <f t="shared" si="10"/>
        <v>262519</v>
      </c>
      <c r="H89">
        <v>0</v>
      </c>
      <c r="I89">
        <f t="shared" si="18"/>
        <v>735</v>
      </c>
      <c r="J89">
        <f t="shared" si="19"/>
        <v>1881</v>
      </c>
      <c r="K89">
        <f t="shared" si="20"/>
        <v>302</v>
      </c>
      <c r="L89">
        <f t="shared" si="11"/>
        <v>2918</v>
      </c>
      <c r="M89" s="2">
        <v>0</v>
      </c>
      <c r="N89" s="2">
        <f t="shared" si="21"/>
        <v>1128</v>
      </c>
      <c r="O89" s="2">
        <f t="shared" si="22"/>
        <v>1851</v>
      </c>
      <c r="P89" s="2">
        <f t="shared" si="23"/>
        <v>629</v>
      </c>
      <c r="Q89" s="2">
        <f t="shared" si="12"/>
        <v>3608</v>
      </c>
      <c r="R89">
        <v>0</v>
      </c>
      <c r="S89">
        <f t="shared" si="24"/>
        <v>710</v>
      </c>
      <c r="T89">
        <f t="shared" si="14"/>
        <v>1029</v>
      </c>
      <c r="U89">
        <f t="shared" si="25"/>
        <v>298</v>
      </c>
      <c r="V89">
        <f t="shared" si="13"/>
        <v>2037</v>
      </c>
    </row>
    <row r="90" spans="1:22" x14ac:dyDescent="0.4">
      <c r="A90">
        <v>89</v>
      </c>
      <c r="C90" s="2">
        <v>0</v>
      </c>
      <c r="D90" s="2">
        <f t="shared" si="15"/>
        <v>126884</v>
      </c>
      <c r="E90" s="2">
        <f t="shared" si="16"/>
        <v>78552</v>
      </c>
      <c r="F90" s="2">
        <f t="shared" si="17"/>
        <v>57083</v>
      </c>
      <c r="G90" s="2">
        <f t="shared" si="10"/>
        <v>262519</v>
      </c>
      <c r="H90">
        <v>0</v>
      </c>
      <c r="I90">
        <f t="shared" si="18"/>
        <v>735</v>
      </c>
      <c r="J90">
        <f t="shared" si="19"/>
        <v>1881</v>
      </c>
      <c r="K90">
        <f t="shared" si="20"/>
        <v>302</v>
      </c>
      <c r="L90">
        <f t="shared" si="11"/>
        <v>2918</v>
      </c>
      <c r="M90" s="2">
        <v>0</v>
      </c>
      <c r="N90" s="2">
        <f t="shared" si="21"/>
        <v>1128</v>
      </c>
      <c r="O90" s="2">
        <f t="shared" si="22"/>
        <v>1851</v>
      </c>
      <c r="P90" s="2">
        <f t="shared" si="23"/>
        <v>629</v>
      </c>
      <c r="Q90" s="2">
        <f t="shared" si="12"/>
        <v>3608</v>
      </c>
      <c r="R90">
        <v>0</v>
      </c>
      <c r="S90">
        <f t="shared" si="24"/>
        <v>710</v>
      </c>
      <c r="T90">
        <f t="shared" si="14"/>
        <v>1029</v>
      </c>
      <c r="U90">
        <f t="shared" si="25"/>
        <v>298</v>
      </c>
      <c r="V90">
        <f t="shared" si="13"/>
        <v>2037</v>
      </c>
    </row>
    <row r="91" spans="1:22" x14ac:dyDescent="0.4">
      <c r="A91">
        <v>90</v>
      </c>
      <c r="C91" s="2">
        <v>0</v>
      </c>
      <c r="D91" s="2">
        <f t="shared" si="15"/>
        <v>126884</v>
      </c>
      <c r="E91" s="2">
        <f t="shared" si="16"/>
        <v>78552</v>
      </c>
      <c r="F91" s="2">
        <f t="shared" si="17"/>
        <v>57083</v>
      </c>
      <c r="G91" s="2">
        <f t="shared" si="10"/>
        <v>262519</v>
      </c>
      <c r="H91">
        <v>0</v>
      </c>
      <c r="I91">
        <f t="shared" si="18"/>
        <v>735</v>
      </c>
      <c r="J91">
        <f t="shared" si="19"/>
        <v>1881</v>
      </c>
      <c r="K91">
        <f t="shared" si="20"/>
        <v>302</v>
      </c>
      <c r="L91">
        <f t="shared" si="11"/>
        <v>2918</v>
      </c>
      <c r="M91" s="2">
        <v>0</v>
      </c>
      <c r="N91" s="2">
        <f t="shared" si="21"/>
        <v>1128</v>
      </c>
      <c r="O91" s="2">
        <f t="shared" si="22"/>
        <v>1851</v>
      </c>
      <c r="P91" s="2">
        <f t="shared" si="23"/>
        <v>629</v>
      </c>
      <c r="Q91" s="2">
        <f t="shared" si="12"/>
        <v>3608</v>
      </c>
      <c r="R91">
        <v>0</v>
      </c>
      <c r="S91">
        <f t="shared" si="24"/>
        <v>710</v>
      </c>
      <c r="T91">
        <f t="shared" si="14"/>
        <v>1029</v>
      </c>
      <c r="U91">
        <f t="shared" si="25"/>
        <v>298</v>
      </c>
      <c r="V91">
        <f t="shared" si="13"/>
        <v>2037</v>
      </c>
    </row>
    <row r="92" spans="1:22" x14ac:dyDescent="0.4">
      <c r="A92">
        <v>91</v>
      </c>
      <c r="C92" s="2">
        <v>0</v>
      </c>
      <c r="D92" s="2">
        <f t="shared" si="15"/>
        <v>126884</v>
      </c>
      <c r="E92" s="2">
        <f t="shared" si="16"/>
        <v>78552</v>
      </c>
      <c r="F92" s="2">
        <f t="shared" si="17"/>
        <v>57083</v>
      </c>
      <c r="G92" s="2">
        <f t="shared" si="10"/>
        <v>262519</v>
      </c>
      <c r="H92">
        <v>0</v>
      </c>
      <c r="I92">
        <f t="shared" si="18"/>
        <v>735</v>
      </c>
      <c r="J92">
        <f t="shared" si="19"/>
        <v>1881</v>
      </c>
      <c r="K92">
        <f t="shared" si="20"/>
        <v>302</v>
      </c>
      <c r="L92">
        <f t="shared" si="11"/>
        <v>2918</v>
      </c>
      <c r="M92" s="2">
        <v>0</v>
      </c>
      <c r="N92" s="2">
        <f t="shared" si="21"/>
        <v>1128</v>
      </c>
      <c r="O92" s="2">
        <f t="shared" si="22"/>
        <v>1851</v>
      </c>
      <c r="P92" s="2">
        <f t="shared" si="23"/>
        <v>629</v>
      </c>
      <c r="Q92" s="2">
        <f t="shared" si="12"/>
        <v>3608</v>
      </c>
      <c r="R92">
        <v>0</v>
      </c>
      <c r="S92">
        <f t="shared" si="24"/>
        <v>710</v>
      </c>
      <c r="T92">
        <f t="shared" si="14"/>
        <v>1029</v>
      </c>
      <c r="U92">
        <f t="shared" si="25"/>
        <v>298</v>
      </c>
      <c r="V92">
        <f t="shared" si="13"/>
        <v>2037</v>
      </c>
    </row>
    <row r="93" spans="1:22" x14ac:dyDescent="0.4">
      <c r="A93">
        <v>92</v>
      </c>
      <c r="C93" s="2">
        <v>0</v>
      </c>
      <c r="D93" s="2">
        <f t="shared" si="15"/>
        <v>126884</v>
      </c>
      <c r="E93" s="2">
        <f t="shared" si="16"/>
        <v>78552</v>
      </c>
      <c r="F93" s="2">
        <f t="shared" si="17"/>
        <v>57083</v>
      </c>
      <c r="G93" s="2">
        <f t="shared" si="10"/>
        <v>262519</v>
      </c>
      <c r="H93">
        <v>0</v>
      </c>
      <c r="I93">
        <f t="shared" si="18"/>
        <v>735</v>
      </c>
      <c r="J93">
        <f t="shared" si="19"/>
        <v>1881</v>
      </c>
      <c r="K93">
        <f t="shared" si="20"/>
        <v>302</v>
      </c>
      <c r="L93">
        <f t="shared" si="11"/>
        <v>2918</v>
      </c>
      <c r="M93" s="2">
        <v>0</v>
      </c>
      <c r="N93" s="2">
        <f t="shared" si="21"/>
        <v>1128</v>
      </c>
      <c r="O93" s="2">
        <f t="shared" si="22"/>
        <v>1851</v>
      </c>
      <c r="P93" s="2">
        <f t="shared" si="23"/>
        <v>629</v>
      </c>
      <c r="Q93" s="2">
        <f t="shared" si="12"/>
        <v>3608</v>
      </c>
      <c r="R93">
        <v>0</v>
      </c>
      <c r="S93">
        <f t="shared" si="24"/>
        <v>710</v>
      </c>
      <c r="T93">
        <f t="shared" si="14"/>
        <v>1029</v>
      </c>
      <c r="U93">
        <f t="shared" si="25"/>
        <v>298</v>
      </c>
      <c r="V93">
        <f t="shared" si="13"/>
        <v>2037</v>
      </c>
    </row>
    <row r="94" spans="1:22" x14ac:dyDescent="0.4">
      <c r="A94">
        <v>93</v>
      </c>
      <c r="C94" s="2">
        <v>0</v>
      </c>
      <c r="D94" s="2">
        <f t="shared" si="15"/>
        <v>126884</v>
      </c>
      <c r="E94" s="2">
        <f t="shared" si="16"/>
        <v>78552</v>
      </c>
      <c r="F94" s="2">
        <f t="shared" si="17"/>
        <v>57083</v>
      </c>
      <c r="G94" s="2">
        <f t="shared" si="10"/>
        <v>262519</v>
      </c>
      <c r="H94">
        <v>0</v>
      </c>
      <c r="I94">
        <f t="shared" si="18"/>
        <v>735</v>
      </c>
      <c r="J94">
        <f t="shared" si="19"/>
        <v>1881</v>
      </c>
      <c r="K94">
        <f t="shared" si="20"/>
        <v>302</v>
      </c>
      <c r="L94">
        <f t="shared" si="11"/>
        <v>2918</v>
      </c>
      <c r="M94" s="2">
        <v>0</v>
      </c>
      <c r="N94" s="2">
        <f t="shared" si="21"/>
        <v>1128</v>
      </c>
      <c r="O94" s="2">
        <f t="shared" si="22"/>
        <v>1851</v>
      </c>
      <c r="P94" s="2">
        <f t="shared" si="23"/>
        <v>629</v>
      </c>
      <c r="Q94" s="2">
        <f t="shared" si="12"/>
        <v>3608</v>
      </c>
      <c r="R94">
        <v>0</v>
      </c>
      <c r="S94">
        <f t="shared" si="24"/>
        <v>710</v>
      </c>
      <c r="T94">
        <f t="shared" si="14"/>
        <v>1029</v>
      </c>
      <c r="U94">
        <f t="shared" si="25"/>
        <v>298</v>
      </c>
      <c r="V94">
        <f t="shared" si="13"/>
        <v>2037</v>
      </c>
    </row>
    <row r="95" spans="1:22" x14ac:dyDescent="0.4">
      <c r="A95">
        <v>94</v>
      </c>
      <c r="C95" s="2">
        <v>0</v>
      </c>
      <c r="D95" s="2">
        <f t="shared" si="15"/>
        <v>126884</v>
      </c>
      <c r="E95" s="2">
        <f t="shared" si="16"/>
        <v>78552</v>
      </c>
      <c r="F95" s="2">
        <f t="shared" si="17"/>
        <v>57083</v>
      </c>
      <c r="G95" s="2">
        <f t="shared" si="10"/>
        <v>262519</v>
      </c>
      <c r="H95">
        <v>0</v>
      </c>
      <c r="I95">
        <f t="shared" si="18"/>
        <v>735</v>
      </c>
      <c r="J95">
        <f t="shared" si="19"/>
        <v>1881</v>
      </c>
      <c r="K95">
        <f t="shared" si="20"/>
        <v>302</v>
      </c>
      <c r="L95">
        <f t="shared" si="11"/>
        <v>2918</v>
      </c>
      <c r="M95" s="2">
        <v>0</v>
      </c>
      <c r="N95" s="2">
        <f t="shared" si="21"/>
        <v>1128</v>
      </c>
      <c r="O95" s="2">
        <f t="shared" si="22"/>
        <v>1851</v>
      </c>
      <c r="P95" s="2">
        <f t="shared" si="23"/>
        <v>629</v>
      </c>
      <c r="Q95" s="2">
        <f t="shared" si="12"/>
        <v>3608</v>
      </c>
      <c r="R95">
        <v>0</v>
      </c>
      <c r="S95">
        <f t="shared" si="24"/>
        <v>710</v>
      </c>
      <c r="T95">
        <f t="shared" si="14"/>
        <v>1029</v>
      </c>
      <c r="U95">
        <f t="shared" si="25"/>
        <v>298</v>
      </c>
      <c r="V95">
        <f t="shared" si="13"/>
        <v>2037</v>
      </c>
    </row>
    <row r="96" spans="1:22" x14ac:dyDescent="0.4">
      <c r="A96">
        <v>95</v>
      </c>
      <c r="C96" s="2">
        <v>0</v>
      </c>
      <c r="D96" s="2">
        <f t="shared" si="15"/>
        <v>126884</v>
      </c>
      <c r="E96" s="2">
        <f t="shared" si="16"/>
        <v>78552</v>
      </c>
      <c r="F96" s="2">
        <f t="shared" si="17"/>
        <v>57083</v>
      </c>
      <c r="G96" s="2">
        <f t="shared" si="10"/>
        <v>262519</v>
      </c>
      <c r="H96">
        <v>0</v>
      </c>
      <c r="I96">
        <f t="shared" si="18"/>
        <v>735</v>
      </c>
      <c r="J96">
        <f t="shared" si="19"/>
        <v>1881</v>
      </c>
      <c r="K96">
        <f t="shared" si="20"/>
        <v>302</v>
      </c>
      <c r="L96">
        <f t="shared" si="11"/>
        <v>2918</v>
      </c>
      <c r="M96" s="2">
        <v>0</v>
      </c>
      <c r="N96" s="2">
        <f t="shared" si="21"/>
        <v>1128</v>
      </c>
      <c r="O96" s="2">
        <f t="shared" si="22"/>
        <v>1851</v>
      </c>
      <c r="P96" s="2">
        <f t="shared" si="23"/>
        <v>629</v>
      </c>
      <c r="Q96" s="2">
        <f t="shared" si="12"/>
        <v>3608</v>
      </c>
      <c r="R96">
        <v>0</v>
      </c>
      <c r="S96">
        <f t="shared" si="24"/>
        <v>710</v>
      </c>
      <c r="T96">
        <f t="shared" si="14"/>
        <v>1029</v>
      </c>
      <c r="U96">
        <f t="shared" si="25"/>
        <v>298</v>
      </c>
      <c r="V96">
        <f t="shared" si="13"/>
        <v>2037</v>
      </c>
    </row>
    <row r="97" spans="1:22" x14ac:dyDescent="0.4">
      <c r="A97">
        <v>96</v>
      </c>
      <c r="C97" s="2">
        <v>0</v>
      </c>
      <c r="D97" s="2">
        <f t="shared" si="15"/>
        <v>126884</v>
      </c>
      <c r="E97" s="2">
        <f t="shared" si="16"/>
        <v>78552</v>
      </c>
      <c r="F97" s="2">
        <f t="shared" si="17"/>
        <v>57083</v>
      </c>
      <c r="G97" s="2">
        <f t="shared" si="10"/>
        <v>262519</v>
      </c>
      <c r="H97">
        <v>0</v>
      </c>
      <c r="I97">
        <f t="shared" si="18"/>
        <v>735</v>
      </c>
      <c r="J97">
        <f t="shared" si="19"/>
        <v>1881</v>
      </c>
      <c r="K97">
        <f t="shared" si="20"/>
        <v>302</v>
      </c>
      <c r="L97">
        <f t="shared" si="11"/>
        <v>2918</v>
      </c>
      <c r="M97" s="2">
        <v>0</v>
      </c>
      <c r="N97" s="2">
        <f t="shared" si="21"/>
        <v>1128</v>
      </c>
      <c r="O97" s="2">
        <f t="shared" si="22"/>
        <v>1851</v>
      </c>
      <c r="P97" s="2">
        <f t="shared" si="23"/>
        <v>629</v>
      </c>
      <c r="Q97" s="2">
        <f t="shared" si="12"/>
        <v>3608</v>
      </c>
      <c r="R97">
        <v>0</v>
      </c>
      <c r="S97">
        <f t="shared" si="24"/>
        <v>710</v>
      </c>
      <c r="T97">
        <f t="shared" si="14"/>
        <v>1029</v>
      </c>
      <c r="U97">
        <f t="shared" si="25"/>
        <v>298</v>
      </c>
      <c r="V97">
        <f t="shared" si="13"/>
        <v>2037</v>
      </c>
    </row>
    <row r="98" spans="1:22" x14ac:dyDescent="0.4">
      <c r="A98">
        <v>97</v>
      </c>
      <c r="C98" s="2">
        <v>0</v>
      </c>
      <c r="D98" s="2">
        <f t="shared" si="15"/>
        <v>126884</v>
      </c>
      <c r="E98" s="2">
        <f t="shared" si="16"/>
        <v>78552</v>
      </c>
      <c r="F98" s="2">
        <f t="shared" si="17"/>
        <v>57083</v>
      </c>
      <c r="G98" s="2">
        <f t="shared" si="10"/>
        <v>262519</v>
      </c>
      <c r="H98">
        <v>0</v>
      </c>
      <c r="I98">
        <f t="shared" si="18"/>
        <v>735</v>
      </c>
      <c r="J98">
        <f t="shared" si="19"/>
        <v>1881</v>
      </c>
      <c r="K98">
        <f t="shared" si="20"/>
        <v>302</v>
      </c>
      <c r="L98">
        <f t="shared" si="11"/>
        <v>2918</v>
      </c>
      <c r="M98" s="2">
        <v>0</v>
      </c>
      <c r="N98" s="2">
        <f t="shared" si="21"/>
        <v>1128</v>
      </c>
      <c r="O98" s="2">
        <f t="shared" si="22"/>
        <v>1851</v>
      </c>
      <c r="P98" s="2">
        <f t="shared" si="23"/>
        <v>629</v>
      </c>
      <c r="Q98" s="2">
        <f t="shared" si="12"/>
        <v>3608</v>
      </c>
      <c r="R98">
        <v>0</v>
      </c>
      <c r="S98">
        <f t="shared" si="24"/>
        <v>710</v>
      </c>
      <c r="T98">
        <f t="shared" si="14"/>
        <v>1029</v>
      </c>
      <c r="U98">
        <f t="shared" si="25"/>
        <v>298</v>
      </c>
      <c r="V98">
        <f t="shared" si="13"/>
        <v>2037</v>
      </c>
    </row>
    <row r="99" spans="1:22" x14ac:dyDescent="0.4">
      <c r="A99">
        <v>98</v>
      </c>
      <c r="C99" s="2">
        <v>0</v>
      </c>
      <c r="D99" s="2">
        <f t="shared" si="15"/>
        <v>126884</v>
      </c>
      <c r="E99" s="2">
        <f t="shared" si="16"/>
        <v>78552</v>
      </c>
      <c r="F99" s="2">
        <f t="shared" si="17"/>
        <v>57083</v>
      </c>
      <c r="G99" s="2">
        <f t="shared" si="10"/>
        <v>262519</v>
      </c>
      <c r="H99">
        <v>0</v>
      </c>
      <c r="I99">
        <f t="shared" si="18"/>
        <v>735</v>
      </c>
      <c r="J99">
        <f t="shared" si="19"/>
        <v>1881</v>
      </c>
      <c r="K99">
        <f t="shared" si="20"/>
        <v>302</v>
      </c>
      <c r="L99">
        <f t="shared" si="11"/>
        <v>2918</v>
      </c>
      <c r="M99" s="2">
        <v>0</v>
      </c>
      <c r="N99" s="2">
        <f t="shared" si="21"/>
        <v>1128</v>
      </c>
      <c r="O99" s="2">
        <f t="shared" si="22"/>
        <v>1851</v>
      </c>
      <c r="P99" s="2">
        <f t="shared" si="23"/>
        <v>629</v>
      </c>
      <c r="Q99" s="2">
        <f t="shared" si="12"/>
        <v>3608</v>
      </c>
      <c r="R99">
        <v>0</v>
      </c>
      <c r="S99">
        <f t="shared" si="24"/>
        <v>710</v>
      </c>
      <c r="T99">
        <f t="shared" si="14"/>
        <v>1029</v>
      </c>
      <c r="U99">
        <f t="shared" si="25"/>
        <v>298</v>
      </c>
      <c r="V99">
        <f t="shared" si="13"/>
        <v>2037</v>
      </c>
    </row>
    <row r="100" spans="1:22" x14ac:dyDescent="0.4">
      <c r="A100">
        <v>99</v>
      </c>
      <c r="C100" s="2">
        <v>0</v>
      </c>
      <c r="D100" s="2">
        <f t="shared" si="15"/>
        <v>126884</v>
      </c>
      <c r="E100" s="2">
        <f t="shared" si="16"/>
        <v>78552</v>
      </c>
      <c r="F100" s="2">
        <f t="shared" si="17"/>
        <v>57083</v>
      </c>
      <c r="G100" s="2">
        <f t="shared" si="10"/>
        <v>262519</v>
      </c>
      <c r="H100">
        <v>0</v>
      </c>
      <c r="I100">
        <f t="shared" si="18"/>
        <v>735</v>
      </c>
      <c r="J100">
        <f t="shared" si="19"/>
        <v>1881</v>
      </c>
      <c r="K100">
        <f t="shared" si="20"/>
        <v>302</v>
      </c>
      <c r="L100">
        <f t="shared" si="11"/>
        <v>2918</v>
      </c>
      <c r="M100" s="2">
        <v>0</v>
      </c>
      <c r="N100" s="2">
        <f t="shared" si="21"/>
        <v>1128</v>
      </c>
      <c r="O100" s="2">
        <f t="shared" si="22"/>
        <v>1851</v>
      </c>
      <c r="P100" s="2">
        <f t="shared" si="23"/>
        <v>629</v>
      </c>
      <c r="Q100" s="2">
        <f t="shared" si="12"/>
        <v>3608</v>
      </c>
      <c r="R100">
        <v>0</v>
      </c>
      <c r="S100">
        <f t="shared" si="24"/>
        <v>710</v>
      </c>
      <c r="T100">
        <f t="shared" si="14"/>
        <v>1029</v>
      </c>
      <c r="U100">
        <f t="shared" si="25"/>
        <v>298</v>
      </c>
      <c r="V100">
        <f t="shared" si="13"/>
        <v>2037</v>
      </c>
    </row>
    <row r="101" spans="1:22" x14ac:dyDescent="0.4">
      <c r="A101">
        <v>100</v>
      </c>
      <c r="C101" s="2">
        <v>0</v>
      </c>
      <c r="D101" s="2">
        <f t="shared" si="15"/>
        <v>126884</v>
      </c>
      <c r="E101" s="2">
        <f t="shared" si="16"/>
        <v>78552</v>
      </c>
      <c r="F101" s="2">
        <f t="shared" si="17"/>
        <v>57083</v>
      </c>
      <c r="G101" s="2">
        <f t="shared" si="10"/>
        <v>262519</v>
      </c>
      <c r="H101">
        <v>0</v>
      </c>
      <c r="I101">
        <f t="shared" si="18"/>
        <v>735</v>
      </c>
      <c r="J101">
        <f t="shared" si="19"/>
        <v>1881</v>
      </c>
      <c r="K101">
        <f t="shared" si="20"/>
        <v>302</v>
      </c>
      <c r="L101">
        <f t="shared" si="11"/>
        <v>2918</v>
      </c>
      <c r="M101" s="2">
        <v>0</v>
      </c>
      <c r="N101" s="2">
        <f t="shared" si="21"/>
        <v>1128</v>
      </c>
      <c r="O101" s="2">
        <f t="shared" si="22"/>
        <v>1851</v>
      </c>
      <c r="P101" s="2">
        <f t="shared" si="23"/>
        <v>629</v>
      </c>
      <c r="Q101" s="2">
        <f t="shared" si="12"/>
        <v>3608</v>
      </c>
      <c r="R101">
        <v>0</v>
      </c>
      <c r="S101">
        <f t="shared" si="24"/>
        <v>710</v>
      </c>
      <c r="T101">
        <f t="shared" si="14"/>
        <v>1029</v>
      </c>
      <c r="U101">
        <f t="shared" si="25"/>
        <v>298</v>
      </c>
      <c r="V101">
        <f t="shared" si="13"/>
        <v>2037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pane ySplit="1" topLeftCell="A58" activePane="bottomLeft" state="frozen"/>
      <selection pane="bottomLeft" activeCell="A72" sqref="A72"/>
    </sheetView>
  </sheetViews>
  <sheetFormatPr defaultRowHeight="18.75" x14ac:dyDescent="0.4"/>
  <cols>
    <col min="2" max="2" width="26" bestFit="1" customWidth="1"/>
    <col min="6" max="6" width="10.375" bestFit="1" customWidth="1"/>
    <col min="12" max="12" width="10.625" bestFit="1" customWidth="1"/>
    <col min="17" max="17" width="11.25" bestFit="1" customWidth="1"/>
    <col min="22" max="22" width="14.62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  <c r="L1" t="s">
        <v>20</v>
      </c>
      <c r="M1" t="s">
        <v>10</v>
      </c>
      <c r="N1" t="s">
        <v>11</v>
      </c>
      <c r="O1" t="s">
        <v>12</v>
      </c>
      <c r="P1" t="s">
        <v>13</v>
      </c>
      <c r="Q1" t="s">
        <v>21</v>
      </c>
      <c r="R1" t="s">
        <v>14</v>
      </c>
      <c r="S1" t="s">
        <v>15</v>
      </c>
      <c r="T1" t="s">
        <v>16</v>
      </c>
      <c r="U1" t="s">
        <v>17</v>
      </c>
      <c r="V1" t="s">
        <v>22</v>
      </c>
    </row>
    <row r="2" spans="1:22" x14ac:dyDescent="0.4">
      <c r="A2">
        <v>1</v>
      </c>
      <c r="B2" s="1" t="s">
        <v>18</v>
      </c>
      <c r="C2" s="2">
        <v>57957</v>
      </c>
      <c r="D2" s="2">
        <f>119202-C2</f>
        <v>61245</v>
      </c>
      <c r="E2" s="2">
        <f>197783-(D2+C2)</f>
        <v>78581</v>
      </c>
      <c r="F2" s="2">
        <f>256151-(E2+D2+C2)</f>
        <v>58368</v>
      </c>
      <c r="G2" s="2">
        <f>SUM(C2:F2)</f>
        <v>256151</v>
      </c>
      <c r="H2">
        <v>565</v>
      </c>
      <c r="I2">
        <f>1072-H2</f>
        <v>507</v>
      </c>
      <c r="J2">
        <f>3280-(I2+H2)</f>
        <v>2208</v>
      </c>
      <c r="K2">
        <f>3831-(J2+I2+H2)</f>
        <v>551</v>
      </c>
      <c r="L2">
        <f>SUM(H2:K2)</f>
        <v>3831</v>
      </c>
      <c r="M2">
        <v>737</v>
      </c>
      <c r="N2">
        <f>1332-M2</f>
        <v>595</v>
      </c>
      <c r="O2">
        <f>3923-(N2+M2)</f>
        <v>2591</v>
      </c>
      <c r="P2">
        <f>4434-(O2+N2+M2)</f>
        <v>511</v>
      </c>
      <c r="Q2">
        <f>SUM(M2:P2)</f>
        <v>4434</v>
      </c>
      <c r="R2">
        <v>555</v>
      </c>
      <c r="S2">
        <f>824-R2</f>
        <v>269</v>
      </c>
      <c r="T2">
        <f>2501-(S2+R2)</f>
        <v>1677</v>
      </c>
      <c r="U2">
        <f>2914-(T2+S2+R2)</f>
        <v>413</v>
      </c>
      <c r="V2">
        <f>SUM(R2:U2)</f>
        <v>2914</v>
      </c>
    </row>
    <row r="3" spans="1:22" x14ac:dyDescent="0.4">
      <c r="A3">
        <v>2</v>
      </c>
      <c r="B3" t="s">
        <v>23</v>
      </c>
      <c r="C3" s="2">
        <v>174700</v>
      </c>
      <c r="D3" s="2">
        <f>350483-C3</f>
        <v>175783</v>
      </c>
      <c r="E3" s="2">
        <f>543261-(D3+C3)</f>
        <v>192778</v>
      </c>
      <c r="F3" s="2">
        <f t="shared" ref="F3" si="0">256151-(E3+D3+C3)</f>
        <v>-287110</v>
      </c>
      <c r="G3" s="2">
        <f t="shared" ref="G3:G66" si="1">SUM(C3:F3)</f>
        <v>256151</v>
      </c>
      <c r="H3" s="2">
        <v>7481</v>
      </c>
      <c r="I3" s="2">
        <f>10560-H3</f>
        <v>3079</v>
      </c>
      <c r="J3" s="2">
        <f>19899-(I3+H3)</f>
        <v>9339</v>
      </c>
      <c r="K3">
        <f t="shared" ref="K3" si="2">3831-(J3+I3+H3)</f>
        <v>-16068</v>
      </c>
      <c r="L3">
        <f t="shared" ref="L3:L66" si="3">SUM(H3:K3)</f>
        <v>3831</v>
      </c>
      <c r="M3" s="2">
        <v>8219</v>
      </c>
      <c r="N3" s="2">
        <f>11952-M3</f>
        <v>3733</v>
      </c>
      <c r="O3" s="2">
        <f>22812-(N3+M3)</f>
        <v>10860</v>
      </c>
      <c r="P3">
        <f t="shared" ref="P3" si="4">4434-(O3+N3+M3)</f>
        <v>-18378</v>
      </c>
      <c r="Q3">
        <f t="shared" ref="Q3:Q66" si="5">SUM(M3:P3)</f>
        <v>4434</v>
      </c>
      <c r="R3" s="2">
        <v>5234</v>
      </c>
      <c r="S3" s="2">
        <f>6919-R3</f>
        <v>1685</v>
      </c>
      <c r="T3" s="2">
        <f>15273-(S3+R3)</f>
        <v>8354</v>
      </c>
      <c r="U3">
        <f t="shared" ref="U3" si="6">2914-(T3+S3+R3)</f>
        <v>-12359</v>
      </c>
      <c r="V3">
        <f t="shared" ref="V3:V66" si="7">SUM(R3:U3)</f>
        <v>2914</v>
      </c>
    </row>
    <row r="4" spans="1:22" x14ac:dyDescent="0.4">
      <c r="A4">
        <v>3</v>
      </c>
      <c r="B4" s="1" t="s">
        <v>26</v>
      </c>
      <c r="C4" s="2">
        <v>224003</v>
      </c>
      <c r="D4" s="2">
        <f>448549-C4</f>
        <v>224546</v>
      </c>
      <c r="E4" s="2">
        <f>715159-(D4+C4)</f>
        <v>266610</v>
      </c>
      <c r="F4" s="2">
        <f>922468-(E4+D4+C4)</f>
        <v>207309</v>
      </c>
      <c r="G4" s="2">
        <f t="shared" si="1"/>
        <v>922468</v>
      </c>
      <c r="H4" s="2">
        <v>5180</v>
      </c>
      <c r="I4" s="2">
        <f>10215-H4</f>
        <v>5035</v>
      </c>
      <c r="J4" s="2">
        <f>20046-(I4+H4)</f>
        <v>9831</v>
      </c>
      <c r="K4" s="2">
        <f>21758-(J4+I4+H4)</f>
        <v>1712</v>
      </c>
      <c r="L4">
        <f t="shared" si="3"/>
        <v>21758</v>
      </c>
      <c r="M4" s="2">
        <v>6906</v>
      </c>
      <c r="N4" s="2">
        <f>11897-M4</f>
        <v>4991</v>
      </c>
      <c r="O4" s="2">
        <f>23478-(N4+M4)</f>
        <v>11581</v>
      </c>
      <c r="P4" s="2">
        <f>25233-(O4+N4+M4)</f>
        <v>1755</v>
      </c>
      <c r="Q4">
        <f t="shared" si="5"/>
        <v>25233</v>
      </c>
      <c r="R4" s="2">
        <v>4282</v>
      </c>
      <c r="S4" s="2">
        <f>8761-R4</f>
        <v>4479</v>
      </c>
      <c r="T4" s="2">
        <f>17285-(S4+R4)</f>
        <v>8524</v>
      </c>
      <c r="U4" s="2">
        <f>16695-(T4+S4+R4)</f>
        <v>-590</v>
      </c>
      <c r="V4">
        <f t="shared" si="7"/>
        <v>16695</v>
      </c>
    </row>
    <row r="5" spans="1:22" x14ac:dyDescent="0.4">
      <c r="A5">
        <v>4</v>
      </c>
      <c r="B5" s="1" t="s">
        <v>27</v>
      </c>
      <c r="C5" s="2">
        <v>18266</v>
      </c>
      <c r="D5" s="2">
        <f>37240-C5</f>
        <v>18974</v>
      </c>
      <c r="E5" s="2">
        <f>59285-(D5+C5)</f>
        <v>22045</v>
      </c>
      <c r="F5" s="2">
        <f>76880-(E5+D5+C5)</f>
        <v>17595</v>
      </c>
      <c r="G5" s="2">
        <f t="shared" si="1"/>
        <v>76880</v>
      </c>
      <c r="H5">
        <v>174</v>
      </c>
      <c r="I5">
        <f>333-H5</f>
        <v>159</v>
      </c>
      <c r="J5">
        <f>555-(I5+H5)</f>
        <v>222</v>
      </c>
      <c r="K5">
        <f>651-(J5+I5+H5)</f>
        <v>96</v>
      </c>
      <c r="L5">
        <f t="shared" si="3"/>
        <v>651</v>
      </c>
      <c r="M5">
        <v>87</v>
      </c>
      <c r="N5">
        <f>234-M5</f>
        <v>147</v>
      </c>
      <c r="O5">
        <f>444-(N5+M5)</f>
        <v>210</v>
      </c>
      <c r="P5">
        <f>524-(O5+N5+M5)</f>
        <v>80</v>
      </c>
      <c r="Q5">
        <f t="shared" si="5"/>
        <v>524</v>
      </c>
      <c r="R5">
        <v>34</v>
      </c>
      <c r="S5">
        <f>68-R5</f>
        <v>34</v>
      </c>
      <c r="T5">
        <f>144-(S5+R5)</f>
        <v>76</v>
      </c>
      <c r="U5">
        <f>335 -(T5+S5+R5)</f>
        <v>191</v>
      </c>
      <c r="V5">
        <f t="shared" si="7"/>
        <v>335</v>
      </c>
    </row>
    <row r="6" spans="1:22" x14ac:dyDescent="0.4">
      <c r="A6">
        <v>5</v>
      </c>
      <c r="B6" s="1" t="s">
        <v>28</v>
      </c>
      <c r="C6" s="2">
        <v>25309</v>
      </c>
      <c r="D6" s="2">
        <v>25156</v>
      </c>
      <c r="E6" s="2">
        <v>38960</v>
      </c>
      <c r="F6" s="2">
        <v>24245</v>
      </c>
      <c r="G6" s="2">
        <f t="shared" si="1"/>
        <v>113670</v>
      </c>
      <c r="H6">
        <v>508</v>
      </c>
      <c r="I6">
        <v>595</v>
      </c>
      <c r="J6">
        <v>4061</v>
      </c>
      <c r="K6">
        <v>184</v>
      </c>
      <c r="L6">
        <f t="shared" si="3"/>
        <v>5348</v>
      </c>
      <c r="M6">
        <v>501</v>
      </c>
      <c r="N6">
        <v>576</v>
      </c>
      <c r="O6">
        <v>4073</v>
      </c>
      <c r="P6">
        <v>163</v>
      </c>
      <c r="Q6">
        <f t="shared" si="5"/>
        <v>5313</v>
      </c>
      <c r="R6">
        <v>257</v>
      </c>
      <c r="S6">
        <v>210</v>
      </c>
      <c r="T6">
        <v>2466</v>
      </c>
      <c r="U6">
        <v>-53</v>
      </c>
      <c r="V6">
        <f t="shared" si="7"/>
        <v>2880</v>
      </c>
    </row>
    <row r="7" spans="1:22" x14ac:dyDescent="0.4">
      <c r="A7">
        <v>6</v>
      </c>
      <c r="B7" s="1" t="s">
        <v>29</v>
      </c>
      <c r="C7" s="2">
        <v>14714</v>
      </c>
      <c r="D7" s="2">
        <v>13215</v>
      </c>
      <c r="E7" s="2">
        <v>16420</v>
      </c>
      <c r="F7" s="2">
        <v>16656</v>
      </c>
      <c r="G7" s="2">
        <f t="shared" si="1"/>
        <v>61005</v>
      </c>
      <c r="H7">
        <v>1583</v>
      </c>
      <c r="I7">
        <v>2202</v>
      </c>
      <c r="J7">
        <v>3413</v>
      </c>
      <c r="K7">
        <v>4258</v>
      </c>
      <c r="L7">
        <f t="shared" si="3"/>
        <v>11456</v>
      </c>
      <c r="M7">
        <v>1795</v>
      </c>
      <c r="N7">
        <v>2247</v>
      </c>
      <c r="O7">
        <v>3528</v>
      </c>
      <c r="P7">
        <v>4307</v>
      </c>
      <c r="Q7">
        <f t="shared" si="5"/>
        <v>11877</v>
      </c>
      <c r="R7">
        <v>1048</v>
      </c>
      <c r="S7">
        <v>1483</v>
      </c>
      <c r="T7">
        <v>2385</v>
      </c>
      <c r="U7">
        <v>2903</v>
      </c>
      <c r="V7">
        <f t="shared" si="7"/>
        <v>7819</v>
      </c>
    </row>
    <row r="8" spans="1:22" x14ac:dyDescent="0.4">
      <c r="A8">
        <v>7</v>
      </c>
      <c r="B8" t="s">
        <v>30</v>
      </c>
      <c r="C8" s="2">
        <v>66067</v>
      </c>
      <c r="D8" s="2">
        <f>140358-C8</f>
        <v>74291</v>
      </c>
      <c r="E8" s="2">
        <f>230051-(D8+C8)</f>
        <v>89693</v>
      </c>
      <c r="F8" s="2">
        <f>375911-(E8+D8+C8)</f>
        <v>145860</v>
      </c>
      <c r="G8" s="2">
        <f t="shared" si="1"/>
        <v>375911</v>
      </c>
      <c r="H8" s="2">
        <v>1982</v>
      </c>
      <c r="I8" s="2">
        <f>5006-H8</f>
        <v>3024</v>
      </c>
      <c r="J8" s="2">
        <f>9860-(I8+H8)</f>
        <v>4854</v>
      </c>
      <c r="K8" s="2">
        <f>20699-(J8+I8+H8)</f>
        <v>10839</v>
      </c>
      <c r="L8">
        <f t="shared" si="3"/>
        <v>20699</v>
      </c>
      <c r="M8" s="2">
        <v>2349</v>
      </c>
      <c r="N8" s="2">
        <f>5688-M8</f>
        <v>3339</v>
      </c>
      <c r="O8" s="2">
        <f>10850-(N8+M8)</f>
        <v>5162</v>
      </c>
      <c r="P8" s="2">
        <f>21992-(O8+N8+M8)</f>
        <v>11142</v>
      </c>
      <c r="Q8">
        <f t="shared" si="5"/>
        <v>21992</v>
      </c>
      <c r="R8" s="2">
        <v>1337</v>
      </c>
      <c r="S8" s="2">
        <f>3600-R8</f>
        <v>2263</v>
      </c>
      <c r="T8" s="2">
        <f>8727-(S8+R8)</f>
        <v>5127</v>
      </c>
      <c r="U8" s="2">
        <f>25711-(T8+S8+R8)</f>
        <v>16984</v>
      </c>
      <c r="V8">
        <f t="shared" si="7"/>
        <v>25711</v>
      </c>
    </row>
    <row r="9" spans="1:22" x14ac:dyDescent="0.4">
      <c r="A9">
        <v>8</v>
      </c>
      <c r="B9" s="1" t="s">
        <v>32</v>
      </c>
      <c r="C9" s="2">
        <v>58602</v>
      </c>
      <c r="D9" s="2">
        <v>30034</v>
      </c>
      <c r="E9" s="2">
        <v>52822</v>
      </c>
      <c r="F9" s="2">
        <v>37925</v>
      </c>
      <c r="G9" s="2">
        <f t="shared" si="1"/>
        <v>179383</v>
      </c>
      <c r="H9">
        <v>4375</v>
      </c>
      <c r="I9">
        <v>-1756</v>
      </c>
      <c r="J9">
        <v>1256</v>
      </c>
      <c r="K9">
        <v>-636</v>
      </c>
      <c r="L9">
        <f t="shared" si="3"/>
        <v>3239</v>
      </c>
      <c r="M9">
        <v>4297</v>
      </c>
      <c r="N9">
        <v>-1789</v>
      </c>
      <c r="O9">
        <v>4847</v>
      </c>
      <c r="P9">
        <v>-636</v>
      </c>
      <c r="Q9">
        <f t="shared" si="5"/>
        <v>6719</v>
      </c>
      <c r="R9">
        <v>3102</v>
      </c>
      <c r="S9">
        <v>-1062</v>
      </c>
      <c r="T9">
        <v>3110</v>
      </c>
      <c r="U9">
        <v>-610</v>
      </c>
      <c r="V9">
        <f t="shared" si="7"/>
        <v>4540</v>
      </c>
    </row>
    <row r="10" spans="1:22" x14ac:dyDescent="0.4">
      <c r="A10">
        <v>9</v>
      </c>
      <c r="B10" s="1" t="s">
        <v>33</v>
      </c>
      <c r="C10" s="2">
        <v>4705</v>
      </c>
      <c r="D10" s="2">
        <v>4698</v>
      </c>
      <c r="E10" s="2">
        <v>5875</v>
      </c>
      <c r="F10" s="2">
        <v>4808</v>
      </c>
      <c r="G10" s="2">
        <f t="shared" si="1"/>
        <v>20086</v>
      </c>
      <c r="H10">
        <v>108</v>
      </c>
      <c r="I10">
        <v>150</v>
      </c>
      <c r="J10">
        <v>571</v>
      </c>
      <c r="K10">
        <v>359</v>
      </c>
      <c r="L10">
        <f t="shared" si="3"/>
        <v>1188</v>
      </c>
      <c r="M10">
        <v>106</v>
      </c>
      <c r="N10">
        <v>151</v>
      </c>
      <c r="O10">
        <v>571</v>
      </c>
      <c r="P10">
        <v>357</v>
      </c>
      <c r="Q10">
        <f t="shared" si="5"/>
        <v>1185</v>
      </c>
      <c r="R10">
        <v>54</v>
      </c>
      <c r="S10">
        <v>96</v>
      </c>
      <c r="T10">
        <v>398</v>
      </c>
      <c r="U10">
        <v>231</v>
      </c>
      <c r="V10">
        <f t="shared" si="7"/>
        <v>779</v>
      </c>
    </row>
    <row r="11" spans="1:22" x14ac:dyDescent="0.4">
      <c r="A11">
        <v>10</v>
      </c>
      <c r="B11" s="1" t="s">
        <v>34</v>
      </c>
      <c r="C11" s="2">
        <v>6162</v>
      </c>
      <c r="D11" s="2">
        <v>4553</v>
      </c>
      <c r="E11" s="2">
        <v>4391</v>
      </c>
      <c r="F11" s="2">
        <v>4515</v>
      </c>
      <c r="G11" s="2">
        <f t="shared" si="1"/>
        <v>19621</v>
      </c>
      <c r="H11">
        <v>826</v>
      </c>
      <c r="I11">
        <v>465</v>
      </c>
      <c r="J11">
        <v>479</v>
      </c>
      <c r="K11">
        <v>333</v>
      </c>
      <c r="L11">
        <f t="shared" si="3"/>
        <v>2103</v>
      </c>
      <c r="M11">
        <v>822</v>
      </c>
      <c r="N11">
        <v>463</v>
      </c>
      <c r="O11">
        <v>476</v>
      </c>
      <c r="P11">
        <v>335</v>
      </c>
      <c r="Q11">
        <f t="shared" si="5"/>
        <v>2096</v>
      </c>
      <c r="R11">
        <v>609</v>
      </c>
      <c r="S11">
        <v>317</v>
      </c>
      <c r="T11">
        <v>327</v>
      </c>
      <c r="U11">
        <v>221</v>
      </c>
      <c r="V11">
        <f t="shared" si="7"/>
        <v>1474</v>
      </c>
    </row>
    <row r="12" spans="1:22" x14ac:dyDescent="0.4">
      <c r="A12">
        <v>11</v>
      </c>
      <c r="B12" s="1" t="s">
        <v>36</v>
      </c>
      <c r="C12" s="2">
        <v>1058</v>
      </c>
      <c r="D12" s="2">
        <v>1415</v>
      </c>
      <c r="E12" s="2">
        <v>1675</v>
      </c>
      <c r="F12" s="2">
        <v>0</v>
      </c>
      <c r="G12" s="2">
        <f t="shared" si="1"/>
        <v>4148</v>
      </c>
      <c r="H12">
        <v>67</v>
      </c>
      <c r="I12">
        <v>81</v>
      </c>
      <c r="J12">
        <v>277</v>
      </c>
      <c r="K12">
        <v>65</v>
      </c>
      <c r="L12">
        <f>SUM(H12:K12)</f>
        <v>490</v>
      </c>
      <c r="M12">
        <v>65</v>
      </c>
      <c r="N12">
        <v>81</v>
      </c>
      <c r="O12">
        <v>275</v>
      </c>
      <c r="P12">
        <v>0</v>
      </c>
      <c r="Q12">
        <f t="shared" si="5"/>
        <v>421</v>
      </c>
      <c r="R12">
        <v>44</v>
      </c>
      <c r="S12">
        <v>329</v>
      </c>
      <c r="T12">
        <v>202</v>
      </c>
      <c r="U12">
        <v>0</v>
      </c>
      <c r="V12">
        <f t="shared" si="7"/>
        <v>575</v>
      </c>
    </row>
    <row r="13" spans="1:22" x14ac:dyDescent="0.4">
      <c r="A13">
        <v>12</v>
      </c>
      <c r="B13" s="1" t="s">
        <v>37</v>
      </c>
      <c r="C13" s="2">
        <v>22674</v>
      </c>
      <c r="D13" s="2">
        <v>13462</v>
      </c>
      <c r="E13" s="2">
        <v>28335</v>
      </c>
      <c r="F13" s="2">
        <v>4663</v>
      </c>
      <c r="G13" s="2">
        <f t="shared" si="1"/>
        <v>69134</v>
      </c>
      <c r="H13">
        <v>1635</v>
      </c>
      <c r="I13">
        <v>243</v>
      </c>
      <c r="J13">
        <v>-1830</v>
      </c>
      <c r="K13">
        <v>-4704</v>
      </c>
      <c r="L13">
        <f t="shared" si="3"/>
        <v>-4656</v>
      </c>
      <c r="M13">
        <v>1544</v>
      </c>
      <c r="N13">
        <v>216</v>
      </c>
      <c r="O13">
        <v>-1896</v>
      </c>
      <c r="P13">
        <v>-4893</v>
      </c>
      <c r="Q13">
        <f t="shared" si="5"/>
        <v>-5029</v>
      </c>
      <c r="R13">
        <v>987</v>
      </c>
      <c r="S13">
        <v>1792</v>
      </c>
      <c r="T13">
        <v>-2391</v>
      </c>
      <c r="U13">
        <v>-6045</v>
      </c>
      <c r="V13">
        <f t="shared" si="7"/>
        <v>-5657</v>
      </c>
    </row>
    <row r="14" spans="1:22" x14ac:dyDescent="0.4">
      <c r="A14">
        <v>13</v>
      </c>
      <c r="B14" s="1" t="s">
        <v>39</v>
      </c>
      <c r="C14" s="2">
        <v>2901</v>
      </c>
      <c r="D14" s="2">
        <v>3004</v>
      </c>
      <c r="E14" s="2">
        <v>3314</v>
      </c>
      <c r="F14" s="2">
        <v>3513</v>
      </c>
      <c r="G14" s="2">
        <f t="shared" si="1"/>
        <v>12732</v>
      </c>
      <c r="H14">
        <v>21</v>
      </c>
      <c r="I14">
        <v>104</v>
      </c>
      <c r="J14">
        <v>125</v>
      </c>
      <c r="K14">
        <v>228</v>
      </c>
      <c r="L14">
        <f t="shared" si="3"/>
        <v>478</v>
      </c>
      <c r="M14">
        <v>0</v>
      </c>
      <c r="N14">
        <v>97</v>
      </c>
      <c r="O14">
        <v>122</v>
      </c>
      <c r="P14">
        <v>231</v>
      </c>
      <c r="Q14">
        <f t="shared" si="5"/>
        <v>450</v>
      </c>
      <c r="R14">
        <v>-60</v>
      </c>
      <c r="S14">
        <v>76</v>
      </c>
      <c r="T14">
        <v>60</v>
      </c>
      <c r="U14">
        <v>137</v>
      </c>
      <c r="V14">
        <f t="shared" si="7"/>
        <v>213</v>
      </c>
    </row>
    <row r="15" spans="1:22" x14ac:dyDescent="0.4">
      <c r="A15">
        <v>14</v>
      </c>
      <c r="B15" s="1" t="s">
        <v>41</v>
      </c>
      <c r="C15" s="2">
        <v>0</v>
      </c>
      <c r="D15" s="2">
        <v>0</v>
      </c>
      <c r="E15" s="2">
        <v>55448</v>
      </c>
      <c r="F15" s="2">
        <v>0</v>
      </c>
      <c r="G15" s="2">
        <f t="shared" si="1"/>
        <v>55448</v>
      </c>
      <c r="H15">
        <v>0</v>
      </c>
      <c r="I15">
        <v>0</v>
      </c>
      <c r="J15">
        <v>2036</v>
      </c>
      <c r="K15">
        <v>0</v>
      </c>
      <c r="L15">
        <f t="shared" si="3"/>
        <v>2036</v>
      </c>
      <c r="M15">
        <v>0</v>
      </c>
      <c r="N15">
        <v>0</v>
      </c>
      <c r="O15">
        <v>1980</v>
      </c>
      <c r="P15">
        <v>0</v>
      </c>
      <c r="Q15">
        <f t="shared" si="5"/>
        <v>1980</v>
      </c>
      <c r="R15">
        <v>0</v>
      </c>
      <c r="S15">
        <v>0</v>
      </c>
      <c r="T15">
        <v>1124</v>
      </c>
      <c r="U15">
        <v>0</v>
      </c>
      <c r="V15">
        <f t="shared" si="7"/>
        <v>1124</v>
      </c>
    </row>
    <row r="16" spans="1:22" x14ac:dyDescent="0.4">
      <c r="A16">
        <v>15</v>
      </c>
      <c r="B16" s="1" t="s">
        <v>42</v>
      </c>
      <c r="C16" s="2">
        <v>4040</v>
      </c>
      <c r="D16" s="2">
        <v>8467</v>
      </c>
      <c r="E16" s="2">
        <v>14991</v>
      </c>
      <c r="F16" s="2">
        <v>19733</v>
      </c>
      <c r="G16" s="2">
        <f t="shared" si="1"/>
        <v>47231</v>
      </c>
      <c r="H16">
        <v>-5</v>
      </c>
      <c r="I16">
        <v>23</v>
      </c>
      <c r="J16">
        <v>104</v>
      </c>
      <c r="K16">
        <v>164</v>
      </c>
      <c r="L16">
        <f t="shared" si="3"/>
        <v>286</v>
      </c>
      <c r="M16">
        <v>-16</v>
      </c>
      <c r="N16">
        <v>403</v>
      </c>
      <c r="O16">
        <v>476</v>
      </c>
      <c r="P16">
        <v>2129</v>
      </c>
      <c r="Q16">
        <f t="shared" si="5"/>
        <v>2992</v>
      </c>
      <c r="R16">
        <v>661</v>
      </c>
      <c r="S16">
        <v>794</v>
      </c>
      <c r="T16">
        <v>849</v>
      </c>
      <c r="U16">
        <v>2594</v>
      </c>
      <c r="V16">
        <f t="shared" si="7"/>
        <v>4898</v>
      </c>
    </row>
    <row r="17" spans="1:22" x14ac:dyDescent="0.4">
      <c r="A17">
        <v>16</v>
      </c>
      <c r="B17" s="1" t="s">
        <v>43</v>
      </c>
      <c r="C17" s="2">
        <v>30812</v>
      </c>
      <c r="D17" s="2">
        <f>59358-C17</f>
        <v>28546</v>
      </c>
      <c r="E17" s="2">
        <f>93842-(D17+C17)</f>
        <v>34484</v>
      </c>
      <c r="F17" s="2">
        <f>123372-(E17+D17+C17)</f>
        <v>29530</v>
      </c>
      <c r="G17" s="2">
        <f t="shared" si="1"/>
        <v>123372</v>
      </c>
      <c r="H17">
        <v>2065</v>
      </c>
      <c r="I17">
        <f>4375-H17</f>
        <v>2310</v>
      </c>
      <c r="J17">
        <f>7018-(I17+H17)</f>
        <v>2643</v>
      </c>
      <c r="K17">
        <f>7479-(J17+I17+H17)</f>
        <v>461</v>
      </c>
      <c r="L17">
        <f t="shared" si="3"/>
        <v>7479</v>
      </c>
      <c r="M17">
        <v>2358</v>
      </c>
      <c r="N17">
        <f>4615-M17</f>
        <v>2257</v>
      </c>
      <c r="O17">
        <f>7024-(N17+M17)</f>
        <v>2409</v>
      </c>
      <c r="P17">
        <f>7356-(O17+N17+M17)</f>
        <v>332</v>
      </c>
      <c r="Q17">
        <f t="shared" si="5"/>
        <v>7356</v>
      </c>
      <c r="R17">
        <v>1675</v>
      </c>
      <c r="S17">
        <f>3517-R17</f>
        <v>1842</v>
      </c>
      <c r="T17">
        <f>4967-(S17+R17)</f>
        <v>1450</v>
      </c>
      <c r="U17">
        <f>5360-(T17+S17+R17)</f>
        <v>393</v>
      </c>
      <c r="V17">
        <f t="shared" si="7"/>
        <v>5360</v>
      </c>
    </row>
    <row r="18" spans="1:22" x14ac:dyDescent="0.4">
      <c r="A18">
        <v>17</v>
      </c>
      <c r="B18" s="1" t="s">
        <v>45</v>
      </c>
      <c r="C18" s="2">
        <v>18478</v>
      </c>
      <c r="D18" s="2">
        <f>37781-C18</f>
        <v>19303</v>
      </c>
      <c r="E18" s="2">
        <f>56577-(D18+C18)</f>
        <v>18796</v>
      </c>
      <c r="F18" s="2">
        <f>75702-(E18+D18+C18)</f>
        <v>19125</v>
      </c>
      <c r="G18" s="2">
        <f t="shared" si="1"/>
        <v>75702</v>
      </c>
      <c r="H18">
        <v>975</v>
      </c>
      <c r="I18">
        <f>1681-H18</f>
        <v>706</v>
      </c>
      <c r="J18">
        <f>3602-(I18+H18)</f>
        <v>1921</v>
      </c>
      <c r="K18">
        <f>5201-(J18+I18+H18)</f>
        <v>1599</v>
      </c>
      <c r="L18">
        <f t="shared" si="3"/>
        <v>5201</v>
      </c>
      <c r="M18">
        <v>1194</v>
      </c>
      <c r="N18">
        <f>2183-M18</f>
        <v>989</v>
      </c>
      <c r="O18">
        <f>4215-(N18+M18)</f>
        <v>2032</v>
      </c>
      <c r="P18">
        <f>5910-(O18+N18+M18)</f>
        <v>1695</v>
      </c>
      <c r="Q18">
        <f t="shared" si="5"/>
        <v>5910</v>
      </c>
      <c r="R18">
        <v>851</v>
      </c>
      <c r="S18">
        <f>1463-R18</f>
        <v>612</v>
      </c>
      <c r="T18">
        <f>2806-(S18+R18)</f>
        <v>1343</v>
      </c>
      <c r="U18">
        <f>2240-(T18+S18+R18)</f>
        <v>-566</v>
      </c>
      <c r="V18">
        <f t="shared" si="7"/>
        <v>2240</v>
      </c>
    </row>
    <row r="19" spans="1:22" x14ac:dyDescent="0.4">
      <c r="A19">
        <v>18</v>
      </c>
      <c r="B19" s="1" t="s">
        <v>46</v>
      </c>
      <c r="C19" s="2">
        <v>202351</v>
      </c>
      <c r="D19" s="2">
        <f>438205-C19</f>
        <v>235854</v>
      </c>
      <c r="E19" s="2">
        <f>971388-(D19+C19)</f>
        <v>533183</v>
      </c>
      <c r="F19" s="2">
        <v>287401</v>
      </c>
      <c r="G19" s="2">
        <f t="shared" si="1"/>
        <v>1258789</v>
      </c>
      <c r="H19">
        <v>103956</v>
      </c>
      <c r="I19">
        <f>226434-H19</f>
        <v>122478</v>
      </c>
      <c r="J19">
        <f>474281-(I19+H19)</f>
        <v>247847</v>
      </c>
      <c r="K19">
        <v>146277</v>
      </c>
      <c r="L19">
        <f t="shared" si="3"/>
        <v>620558</v>
      </c>
      <c r="M19">
        <v>116222</v>
      </c>
      <c r="N19">
        <f>246977-M19</f>
        <v>130755</v>
      </c>
      <c r="O19">
        <f>519278-(N19+M19)</f>
        <v>272301</v>
      </c>
      <c r="P19">
        <v>130968</v>
      </c>
      <c r="Q19">
        <f t="shared" si="5"/>
        <v>650246</v>
      </c>
      <c r="R19">
        <v>16812</v>
      </c>
      <c r="S19">
        <f>34034-R19</f>
        <v>17222</v>
      </c>
      <c r="T19">
        <f>96106-(S19+R19)</f>
        <v>62072</v>
      </c>
      <c r="U19">
        <v>29696</v>
      </c>
      <c r="V19">
        <f t="shared" si="7"/>
        <v>125802</v>
      </c>
    </row>
    <row r="20" spans="1:22" x14ac:dyDescent="0.4">
      <c r="A20">
        <v>19</v>
      </c>
      <c r="B20" s="1" t="s">
        <v>48</v>
      </c>
      <c r="C20" s="2">
        <v>57623</v>
      </c>
      <c r="D20" s="2">
        <f>115136-C20</f>
        <v>57513</v>
      </c>
      <c r="E20" s="2">
        <f>207425-(D20+C20)</f>
        <v>92289</v>
      </c>
      <c r="F20" s="2">
        <f>267980-(E20+D20+C20)</f>
        <v>60555</v>
      </c>
      <c r="G20" s="2">
        <f t="shared" si="1"/>
        <v>267980</v>
      </c>
      <c r="H20">
        <v>-2634</v>
      </c>
      <c r="I20">
        <f>-1183-H20</f>
        <v>1451</v>
      </c>
      <c r="J20">
        <f>1040-(I20+H20)</f>
        <v>2223</v>
      </c>
      <c r="K20">
        <f>2313-(J20+I20+H20)</f>
        <v>1273</v>
      </c>
      <c r="L20">
        <f t="shared" si="3"/>
        <v>2313</v>
      </c>
      <c r="M20">
        <v>-3181</v>
      </c>
      <c r="N20">
        <f>1293-M20</f>
        <v>4474</v>
      </c>
      <c r="O20">
        <f>12275-(N20+M20)</f>
        <v>10982</v>
      </c>
      <c r="P20">
        <f>12523-(O20+N20+M20)</f>
        <v>248</v>
      </c>
      <c r="Q20">
        <f t="shared" si="5"/>
        <v>12523</v>
      </c>
      <c r="R20">
        <v>-2261</v>
      </c>
      <c r="S20">
        <f>2433-R20</f>
        <v>4694</v>
      </c>
      <c r="T20">
        <f>11402-(S20+R20)</f>
        <v>8969</v>
      </c>
      <c r="U20">
        <f>14770-(T20+S20+R20)</f>
        <v>3368</v>
      </c>
      <c r="V20">
        <f t="shared" si="7"/>
        <v>14770</v>
      </c>
    </row>
    <row r="21" spans="1:22" x14ac:dyDescent="0.4">
      <c r="A21">
        <v>20</v>
      </c>
      <c r="B21" s="1" t="s">
        <v>49</v>
      </c>
      <c r="C21" s="2">
        <v>1046</v>
      </c>
      <c r="D21" s="2">
        <f>2347-C21</f>
        <v>1301</v>
      </c>
      <c r="E21" s="2">
        <f>4051-(D21+C21)</f>
        <v>1704</v>
      </c>
      <c r="F21" s="2">
        <f>5598-(E21+D21+C21)</f>
        <v>1547</v>
      </c>
      <c r="G21" s="2">
        <f t="shared" si="1"/>
        <v>5598</v>
      </c>
      <c r="H21">
        <v>92</v>
      </c>
      <c r="I21">
        <f>283-H21</f>
        <v>191</v>
      </c>
      <c r="J21">
        <f>439-(I21+H21)</f>
        <v>156</v>
      </c>
      <c r="K21">
        <f>774-(J21+I21+H21)</f>
        <v>335</v>
      </c>
      <c r="L21">
        <f t="shared" si="3"/>
        <v>774</v>
      </c>
      <c r="M21">
        <v>96</v>
      </c>
      <c r="N21">
        <f>288-M21</f>
        <v>192</v>
      </c>
      <c r="O21">
        <f>445-(N21+M21)</f>
        <v>157</v>
      </c>
      <c r="P21">
        <f>780-(O21+N21+M21)</f>
        <v>335</v>
      </c>
      <c r="Q21">
        <f t="shared" si="5"/>
        <v>780</v>
      </c>
      <c r="R21">
        <v>66</v>
      </c>
      <c r="S21">
        <f>199-R21</f>
        <v>133</v>
      </c>
      <c r="T21">
        <f>326-(S21+R21)</f>
        <v>127</v>
      </c>
      <c r="U21">
        <f>561-(T21+S21+R21)</f>
        <v>235</v>
      </c>
      <c r="V21">
        <f t="shared" si="7"/>
        <v>561</v>
      </c>
    </row>
    <row r="22" spans="1:22" x14ac:dyDescent="0.4">
      <c r="A22">
        <v>21</v>
      </c>
      <c r="B22" s="1" t="s">
        <v>50</v>
      </c>
      <c r="C22" s="2">
        <v>73204</v>
      </c>
      <c r="D22" s="2">
        <f>168610-C22</f>
        <v>95406</v>
      </c>
      <c r="E22" s="2">
        <f>253082-(D22+C22)</f>
        <v>84472</v>
      </c>
      <c r="F22" s="2">
        <f>359971-(E22+D22+C22)</f>
        <v>106889</v>
      </c>
      <c r="G22" s="2">
        <f t="shared" si="1"/>
        <v>359971</v>
      </c>
      <c r="H22">
        <v>2598</v>
      </c>
      <c r="I22">
        <f>6737-H22</f>
        <v>4139</v>
      </c>
      <c r="J22">
        <f>12191-(I22+H22)</f>
        <v>5454</v>
      </c>
      <c r="K22">
        <f>23692-(J22+I22+H22)</f>
        <v>11501</v>
      </c>
      <c r="L22">
        <f t="shared" si="3"/>
        <v>23692</v>
      </c>
      <c r="M22">
        <v>2490</v>
      </c>
      <c r="N22">
        <f>6172-M22</f>
        <v>3682</v>
      </c>
      <c r="O22">
        <f>11283-(N22+M22)</f>
        <v>5111</v>
      </c>
      <c r="P22">
        <f>22495-(O22+N22+M22)</f>
        <v>11212</v>
      </c>
      <c r="Q22">
        <f t="shared" si="5"/>
        <v>22495</v>
      </c>
      <c r="R22">
        <v>1514</v>
      </c>
      <c r="S22">
        <f>1869-R22</f>
        <v>355</v>
      </c>
      <c r="T22">
        <f>4927-(S22+R22)</f>
        <v>3058</v>
      </c>
      <c r="U22">
        <f>8862-(T22+S22+R22)</f>
        <v>3935</v>
      </c>
      <c r="V22">
        <f t="shared" si="7"/>
        <v>8862</v>
      </c>
    </row>
    <row r="23" spans="1:22" x14ac:dyDescent="0.4">
      <c r="A23">
        <v>22</v>
      </c>
      <c r="B23" s="1" t="s">
        <v>51</v>
      </c>
      <c r="C23" s="2">
        <v>61131</v>
      </c>
      <c r="D23" s="2">
        <f>154697-C23</f>
        <v>93566</v>
      </c>
      <c r="E23" s="2">
        <f>229816-(D23+C23)</f>
        <v>75119</v>
      </c>
      <c r="F23" s="2">
        <f>331437-(E23+D23+C23)</f>
        <v>101621</v>
      </c>
      <c r="G23" s="2">
        <f t="shared" si="1"/>
        <v>331437</v>
      </c>
      <c r="H23">
        <v>3653</v>
      </c>
      <c r="I23">
        <f>10897-H23</f>
        <v>7244</v>
      </c>
      <c r="J23">
        <f>16272-(I23+H23)</f>
        <v>5375</v>
      </c>
      <c r="K23">
        <f>21987-(J23+I23+H23)</f>
        <v>5715</v>
      </c>
      <c r="L23">
        <f t="shared" si="3"/>
        <v>21987</v>
      </c>
      <c r="M23">
        <v>3875</v>
      </c>
      <c r="N23">
        <f>11369-M23</f>
        <v>7494</v>
      </c>
      <c r="O23">
        <f>16995-(N23+M23)</f>
        <v>5626</v>
      </c>
      <c r="P23">
        <f>22932-(O23+N23+M23)</f>
        <v>5937</v>
      </c>
      <c r="Q23">
        <f t="shared" si="5"/>
        <v>22932</v>
      </c>
      <c r="R23">
        <v>2490</v>
      </c>
      <c r="S23">
        <f>7659-R23</f>
        <v>5169</v>
      </c>
      <c r="T23">
        <f>11517-(S23+R23)</f>
        <v>3858</v>
      </c>
      <c r="U23">
        <f>15504-(T23+S23+R23)</f>
        <v>3987</v>
      </c>
      <c r="V23">
        <f t="shared" si="7"/>
        <v>15504</v>
      </c>
    </row>
    <row r="24" spans="1:22" x14ac:dyDescent="0.4">
      <c r="A24">
        <v>23</v>
      </c>
      <c r="B24" s="1" t="s">
        <v>52</v>
      </c>
      <c r="C24" s="2">
        <v>82270</v>
      </c>
      <c r="D24" s="2">
        <f>177854-C24</f>
        <v>95584</v>
      </c>
      <c r="E24" s="2">
        <f>304303-(D24+C24)</f>
        <v>126449</v>
      </c>
      <c r="F24" s="2">
        <f>481783-(E24+D24+C24)</f>
        <v>177480</v>
      </c>
      <c r="G24" s="2">
        <f t="shared" si="1"/>
        <v>481783</v>
      </c>
      <c r="H24">
        <v>4043</v>
      </c>
      <c r="I24">
        <f>10974-H24</f>
        <v>6931</v>
      </c>
      <c r="J24">
        <f>19764-(I24+H24)</f>
        <v>8790</v>
      </c>
      <c r="K24">
        <f>35267-(J24+I24+H24)</f>
        <v>15503</v>
      </c>
      <c r="L24">
        <f t="shared" si="3"/>
        <v>35267</v>
      </c>
      <c r="M24">
        <v>4248</v>
      </c>
      <c r="N24">
        <f>11232-M24</f>
        <v>6984</v>
      </c>
      <c r="O24">
        <f>20436-(N24+M24)</f>
        <v>9204</v>
      </c>
      <c r="P24">
        <f>36071-(O24+N24+M24)</f>
        <v>15635</v>
      </c>
      <c r="Q24">
        <f t="shared" si="5"/>
        <v>36071</v>
      </c>
      <c r="R24">
        <v>2785</v>
      </c>
      <c r="S24">
        <f>7129-R24</f>
        <v>4344</v>
      </c>
      <c r="T24">
        <f>18272-(S24+R24)</f>
        <v>11143</v>
      </c>
      <c r="U24">
        <f>28018-(T24+S24+R24)</f>
        <v>9746</v>
      </c>
      <c r="V24">
        <f t="shared" si="7"/>
        <v>28018</v>
      </c>
    </row>
    <row r="25" spans="1:22" x14ac:dyDescent="0.4">
      <c r="A25">
        <v>24</v>
      </c>
      <c r="B25" s="1" t="s">
        <v>53</v>
      </c>
      <c r="C25" s="2">
        <v>318218</v>
      </c>
      <c r="D25" s="2">
        <f>704651-C25</f>
        <v>386433</v>
      </c>
      <c r="E25" s="2">
        <f>1097508-(D25+C25)</f>
        <v>392857</v>
      </c>
      <c r="F25" s="2">
        <f>1650877-(E25+D25+C25)</f>
        <v>553369</v>
      </c>
      <c r="G25" s="2">
        <f t="shared" si="1"/>
        <v>1650877</v>
      </c>
      <c r="H25">
        <v>15281</v>
      </c>
      <c r="I25">
        <f>48002-H25</f>
        <v>32721</v>
      </c>
      <c r="J25">
        <f>85437-(I25+H25)</f>
        <v>37435</v>
      </c>
      <c r="K25">
        <f>153323-(J25+I25+H25)</f>
        <v>67886</v>
      </c>
      <c r="L25">
        <f t="shared" si="3"/>
        <v>153323</v>
      </c>
      <c r="M25">
        <v>17451</v>
      </c>
      <c r="N25">
        <f>50263-M25</f>
        <v>32812</v>
      </c>
      <c r="O25">
        <f>89295-(N25+M25)</f>
        <v>39032</v>
      </c>
      <c r="P25">
        <f>157936-(O25+N25+M25)</f>
        <v>68641</v>
      </c>
      <c r="Q25">
        <f t="shared" si="5"/>
        <v>157936</v>
      </c>
      <c r="R25">
        <v>12964</v>
      </c>
      <c r="S25">
        <f>35226-R25</f>
        <v>22262</v>
      </c>
      <c r="T25">
        <f>62220-(S25+R25)</f>
        <v>26994</v>
      </c>
      <c r="U25">
        <f>112571-(T25+S25+R25)</f>
        <v>50351</v>
      </c>
      <c r="V25">
        <f t="shared" si="7"/>
        <v>112571</v>
      </c>
    </row>
    <row r="26" spans="1:22" x14ac:dyDescent="0.4">
      <c r="A26">
        <v>25</v>
      </c>
      <c r="B26" s="1" t="s">
        <v>54</v>
      </c>
      <c r="C26" s="2">
        <v>437307</v>
      </c>
      <c r="D26" s="2">
        <f>937138-C26</f>
        <v>499831</v>
      </c>
      <c r="E26" s="2">
        <f>1482513-(D26+C26)</f>
        <v>545375</v>
      </c>
      <c r="F26" s="2">
        <f>2039685-(E26+D26+C26)</f>
        <v>557172</v>
      </c>
      <c r="G26" s="2">
        <f t="shared" si="1"/>
        <v>2039685</v>
      </c>
      <c r="H26">
        <v>23075</v>
      </c>
      <c r="I26">
        <f>65028-H26</f>
        <v>41953</v>
      </c>
      <c r="J26">
        <f>106550-(I26+H26)</f>
        <v>41522</v>
      </c>
      <c r="K26">
        <f>155480-(J26+I26+H26)</f>
        <v>48930</v>
      </c>
      <c r="L26">
        <f t="shared" si="3"/>
        <v>155480</v>
      </c>
      <c r="M26">
        <v>25941</v>
      </c>
      <c r="N26">
        <f>69742-M26</f>
        <v>43801</v>
      </c>
      <c r="O26">
        <f>113076-(N26+M26)</f>
        <v>43334</v>
      </c>
      <c r="P26">
        <f>163054-(O26+N26+M26)</f>
        <v>49978</v>
      </c>
      <c r="Q26">
        <f t="shared" si="5"/>
        <v>163054</v>
      </c>
      <c r="R26">
        <v>17924</v>
      </c>
      <c r="S26">
        <f>48827-R26</f>
        <v>30903</v>
      </c>
      <c r="T26">
        <f>79175-(S26+R26)</f>
        <v>30348</v>
      </c>
      <c r="U26">
        <f>113155-(T26+S26+R26)</f>
        <v>33980</v>
      </c>
      <c r="V26">
        <f t="shared" si="7"/>
        <v>113155</v>
      </c>
    </row>
    <row r="27" spans="1:22" x14ac:dyDescent="0.4">
      <c r="A27">
        <v>26</v>
      </c>
      <c r="B27" s="1" t="s">
        <v>56</v>
      </c>
      <c r="C27" s="2">
        <v>357176</v>
      </c>
      <c r="D27" s="2">
        <v>729675</v>
      </c>
      <c r="E27" s="2">
        <f>1150611-(D27+C27)</f>
        <v>63760</v>
      </c>
      <c r="F27" s="2">
        <f>0-(E27+D27+C27)</f>
        <v>-1150611</v>
      </c>
      <c r="G27" s="2">
        <f t="shared" si="1"/>
        <v>0</v>
      </c>
      <c r="H27">
        <v>19886</v>
      </c>
      <c r="I27">
        <v>49306</v>
      </c>
      <c r="J27">
        <f>78074-(I27+H27)</f>
        <v>8882</v>
      </c>
      <c r="K27">
        <f>0-(J27+I27+H27)</f>
        <v>-78074</v>
      </c>
      <c r="L27">
        <f t="shared" si="3"/>
        <v>0</v>
      </c>
      <c r="M27">
        <v>22328</v>
      </c>
      <c r="N27">
        <v>51946</v>
      </c>
      <c r="O27">
        <f>82878-(N27+M27)</f>
        <v>8604</v>
      </c>
      <c r="P27">
        <f>0-(O27+N27+M27)</f>
        <v>-82878</v>
      </c>
      <c r="Q27">
        <f t="shared" si="5"/>
        <v>0</v>
      </c>
      <c r="R27">
        <v>15658</v>
      </c>
      <c r="S27">
        <v>36561</v>
      </c>
      <c r="T27">
        <f>57502-(S27+R27)</f>
        <v>5283</v>
      </c>
      <c r="U27">
        <f>0-(T27+S27+R27)</f>
        <v>-57502</v>
      </c>
      <c r="V27">
        <f t="shared" si="7"/>
        <v>0</v>
      </c>
    </row>
    <row r="28" spans="1:22" x14ac:dyDescent="0.4">
      <c r="A28">
        <v>27</v>
      </c>
      <c r="B28" s="1" t="s">
        <v>58</v>
      </c>
      <c r="C28" s="2">
        <v>30325</v>
      </c>
      <c r="D28" s="2">
        <f>60189-C28</f>
        <v>29864</v>
      </c>
      <c r="E28" s="2">
        <f>97695-(D28+C28)</f>
        <v>37506</v>
      </c>
      <c r="F28" s="2">
        <f>128866-(E28+D28+C28)</f>
        <v>31171</v>
      </c>
      <c r="G28" s="2">
        <f t="shared" si="1"/>
        <v>128866</v>
      </c>
      <c r="H28">
        <v>1122</v>
      </c>
      <c r="I28">
        <f>2121-H28</f>
        <v>999</v>
      </c>
      <c r="J28">
        <f>5083-(I28+H28)</f>
        <v>2962</v>
      </c>
      <c r="K28">
        <f>7220-(J28+I28+H28)</f>
        <v>2137</v>
      </c>
      <c r="L28">
        <f t="shared" si="3"/>
        <v>7220</v>
      </c>
      <c r="M28">
        <v>1378</v>
      </c>
      <c r="N28">
        <f>2324-M28</f>
        <v>946</v>
      </c>
      <c r="O28">
        <f>4809-(N28+M28)</f>
        <v>2485</v>
      </c>
      <c r="P28">
        <f>7019-(O28+N28+M28)</f>
        <v>2210</v>
      </c>
      <c r="Q28">
        <f t="shared" si="5"/>
        <v>7019</v>
      </c>
      <c r="R28">
        <v>1032</v>
      </c>
      <c r="S28">
        <f>1767-R28</f>
        <v>735</v>
      </c>
      <c r="T28">
        <f>3215-(S28+R28)</f>
        <v>1448</v>
      </c>
      <c r="U28">
        <f>5071-(T28+S28+R28)</f>
        <v>1856</v>
      </c>
      <c r="V28">
        <f t="shared" si="7"/>
        <v>5071</v>
      </c>
    </row>
    <row r="29" spans="1:22" x14ac:dyDescent="0.4">
      <c r="A29">
        <v>28</v>
      </c>
      <c r="B29" s="1" t="s">
        <v>59</v>
      </c>
      <c r="C29" s="2">
        <v>223528</v>
      </c>
      <c r="D29" s="2">
        <f>441090-C29</f>
        <v>217562</v>
      </c>
      <c r="E29" s="2">
        <f>655379-(D29+C29)</f>
        <v>214289</v>
      </c>
      <c r="F29" s="2">
        <f>890981-(E29+D29+C29)</f>
        <v>235602</v>
      </c>
      <c r="G29" s="2">
        <f t="shared" si="1"/>
        <v>890981</v>
      </c>
      <c r="H29">
        <v>23533</v>
      </c>
      <c r="I29">
        <f>46116-H29</f>
        <v>22583</v>
      </c>
      <c r="J29">
        <f>70963-(I29+H29)</f>
        <v>24847</v>
      </c>
      <c r="K29">
        <f>98430-(J29+I29+H29)</f>
        <v>27467</v>
      </c>
      <c r="L29">
        <f t="shared" si="3"/>
        <v>98430</v>
      </c>
      <c r="M29">
        <v>23795</v>
      </c>
      <c r="N29">
        <f>46372-M29</f>
        <v>22577</v>
      </c>
      <c r="O29">
        <f>71273-(N29+M29)</f>
        <v>24901</v>
      </c>
      <c r="P29">
        <f>100369-(O29+N29+M29)</f>
        <v>29096</v>
      </c>
      <c r="Q29">
        <f t="shared" si="5"/>
        <v>100369</v>
      </c>
      <c r="R29">
        <v>17012</v>
      </c>
      <c r="S29">
        <f>46376-R29</f>
        <v>29364</v>
      </c>
      <c r="T29">
        <f>63258-(S29+R29)</f>
        <v>16882</v>
      </c>
      <c r="U29">
        <f>87391-(T29+S29+R29)</f>
        <v>24133</v>
      </c>
      <c r="V29">
        <f t="shared" si="7"/>
        <v>87391</v>
      </c>
    </row>
    <row r="30" spans="1:22" x14ac:dyDescent="0.4">
      <c r="A30">
        <v>29</v>
      </c>
      <c r="B30" s="1" t="s">
        <v>61</v>
      </c>
      <c r="C30" s="2">
        <v>23877</v>
      </c>
      <c r="D30" s="2">
        <f>44628-C30</f>
        <v>20751</v>
      </c>
      <c r="E30" s="2">
        <f>65983-(D30+C30)</f>
        <v>21355</v>
      </c>
      <c r="F30" s="2">
        <f>92471-(E30+D30+C30)</f>
        <v>26488</v>
      </c>
      <c r="G30" s="2">
        <f t="shared" si="1"/>
        <v>92471</v>
      </c>
      <c r="H30">
        <v>2049</v>
      </c>
      <c r="I30">
        <f>3284-H30</f>
        <v>1235</v>
      </c>
      <c r="J30">
        <f>4123-(I30+H30)</f>
        <v>839</v>
      </c>
      <c r="K30">
        <f>4790-(J30+I30+H30)</f>
        <v>667</v>
      </c>
      <c r="L30">
        <f t="shared" si="3"/>
        <v>4790</v>
      </c>
      <c r="M30">
        <v>2184</v>
      </c>
      <c r="N30">
        <f>3462-M30</f>
        <v>1278</v>
      </c>
      <c r="O30">
        <f>4424-(N30+M30)</f>
        <v>962</v>
      </c>
      <c r="P30">
        <f>5147-(O30+N30+M30)</f>
        <v>723</v>
      </c>
      <c r="Q30">
        <f t="shared" si="5"/>
        <v>5147</v>
      </c>
      <c r="R30">
        <v>1516</v>
      </c>
      <c r="S30">
        <f>2387-R30</f>
        <v>871</v>
      </c>
      <c r="T30">
        <f>3041-(S30+R30)</f>
        <v>654</v>
      </c>
      <c r="U30">
        <f>3696-(T30+S30+R30)</f>
        <v>655</v>
      </c>
      <c r="V30">
        <f t="shared" si="7"/>
        <v>3696</v>
      </c>
    </row>
    <row r="31" spans="1:22" x14ac:dyDescent="0.4">
      <c r="A31">
        <v>30</v>
      </c>
      <c r="B31" s="1" t="s">
        <v>62</v>
      </c>
      <c r="C31" s="2">
        <v>416985</v>
      </c>
      <c r="D31" s="2">
        <f>897767-C31</f>
        <v>480782</v>
      </c>
      <c r="E31" s="2">
        <f>1405208-(D31+C31)</f>
        <v>507441</v>
      </c>
      <c r="F31" s="2">
        <f>1974269-(E31+D31+C31)</f>
        <v>569061</v>
      </c>
      <c r="G31" s="2">
        <f t="shared" si="1"/>
        <v>1974269</v>
      </c>
      <c r="H31">
        <v>30545</v>
      </c>
      <c r="I31">
        <f>60632-H31</f>
        <v>30087</v>
      </c>
      <c r="J31">
        <f>96218-(I31+H31)</f>
        <v>35586</v>
      </c>
      <c r="K31">
        <f>131987-(J31+I31+H31)</f>
        <v>35769</v>
      </c>
      <c r="L31">
        <f t="shared" si="3"/>
        <v>131987</v>
      </c>
      <c r="M31">
        <v>34133</v>
      </c>
      <c r="N31">
        <f>72125-M31</f>
        <v>37992</v>
      </c>
      <c r="O31">
        <f>112165-(N31+M31)</f>
        <v>40040</v>
      </c>
      <c r="P31">
        <f>146645-(O31+N31+M31)</f>
        <v>34480</v>
      </c>
      <c r="Q31">
        <f t="shared" si="5"/>
        <v>146645</v>
      </c>
      <c r="R31">
        <v>27525</v>
      </c>
      <c r="S31">
        <f>54523-R31</f>
        <v>26998</v>
      </c>
      <c r="T31">
        <f>81992-(S31+R31)</f>
        <v>27469</v>
      </c>
      <c r="U31">
        <f>103242-(T31+S31+R31)</f>
        <v>21250</v>
      </c>
      <c r="V31">
        <f t="shared" si="7"/>
        <v>103242</v>
      </c>
    </row>
    <row r="32" spans="1:22" x14ac:dyDescent="0.4">
      <c r="A32">
        <v>31</v>
      </c>
      <c r="B32" s="1" t="s">
        <v>63</v>
      </c>
      <c r="C32" s="2">
        <v>14437</v>
      </c>
      <c r="D32" s="2">
        <f>31882-C32</f>
        <v>17445</v>
      </c>
      <c r="E32" s="2">
        <f>47777-(D32+C32)</f>
        <v>15895</v>
      </c>
      <c r="F32" s="2">
        <f>67081-(E32+D32+C32)</f>
        <v>19304</v>
      </c>
      <c r="G32" s="2">
        <f t="shared" si="1"/>
        <v>67081</v>
      </c>
      <c r="H32">
        <v>605</v>
      </c>
      <c r="I32">
        <f>1898-H32</f>
        <v>1293</v>
      </c>
      <c r="J32">
        <f>2624-(I32+H32)</f>
        <v>726</v>
      </c>
      <c r="K32">
        <f>3582-(J32+I32+H32)</f>
        <v>958</v>
      </c>
      <c r="L32">
        <f t="shared" si="3"/>
        <v>3582</v>
      </c>
      <c r="M32">
        <v>679</v>
      </c>
      <c r="N32">
        <f>1954-M32</f>
        <v>1275</v>
      </c>
      <c r="O32">
        <f>2682-(N32+M32)</f>
        <v>728</v>
      </c>
      <c r="P32">
        <f>3643-(O32+N32+M32)</f>
        <v>961</v>
      </c>
      <c r="Q32">
        <f t="shared" si="5"/>
        <v>3643</v>
      </c>
      <c r="R32">
        <v>452</v>
      </c>
      <c r="S32">
        <f>1342-R32</f>
        <v>890</v>
      </c>
      <c r="T32">
        <f>1822-(S32+R32)</f>
        <v>480</v>
      </c>
      <c r="U32">
        <f>2438-(T32+S32+R32)</f>
        <v>616</v>
      </c>
      <c r="V32">
        <f t="shared" si="7"/>
        <v>2438</v>
      </c>
    </row>
    <row r="33" spans="1:22" x14ac:dyDescent="0.4">
      <c r="A33">
        <v>32</v>
      </c>
      <c r="B33" s="1" t="s">
        <v>64</v>
      </c>
      <c r="C33" s="2">
        <v>37360</v>
      </c>
      <c r="D33" s="2">
        <f>75803-C33</f>
        <v>38443</v>
      </c>
      <c r="E33" s="2">
        <f>120004-(D33+C33)</f>
        <v>44201</v>
      </c>
      <c r="F33" s="2">
        <f>174670-(E33+D33+C33)</f>
        <v>54666</v>
      </c>
      <c r="G33" s="2">
        <f t="shared" si="1"/>
        <v>174670</v>
      </c>
      <c r="H33">
        <v>1416</v>
      </c>
      <c r="I33">
        <f>3785-H33</f>
        <v>2369</v>
      </c>
      <c r="J33">
        <f>6051-(I33+H33)</f>
        <v>2266</v>
      </c>
      <c r="K33">
        <f>7573-(J33+I33+H33)</f>
        <v>1522</v>
      </c>
      <c r="L33">
        <f t="shared" si="3"/>
        <v>7573</v>
      </c>
      <c r="M33">
        <v>1755</v>
      </c>
      <c r="N33">
        <f>4138-M33</f>
        <v>2383</v>
      </c>
      <c r="O33">
        <f>6516-(N33+M33)</f>
        <v>2378</v>
      </c>
      <c r="P33">
        <f>6850-(O33+N33+M33)</f>
        <v>334</v>
      </c>
      <c r="Q33">
        <f t="shared" si="5"/>
        <v>6850</v>
      </c>
      <c r="R33">
        <v>1161</v>
      </c>
      <c r="S33">
        <f>2759-R33</f>
        <v>1598</v>
      </c>
      <c r="T33">
        <f>4284-(S33+R33)</f>
        <v>1525</v>
      </c>
      <c r="U33">
        <f>5587-(T33+S33+R33)</f>
        <v>1303</v>
      </c>
      <c r="V33">
        <f t="shared" si="7"/>
        <v>5587</v>
      </c>
    </row>
    <row r="34" spans="1:22" x14ac:dyDescent="0.4">
      <c r="A34">
        <v>33</v>
      </c>
      <c r="B34" s="1" t="s">
        <v>65</v>
      </c>
      <c r="C34" s="2">
        <v>64672</v>
      </c>
      <c r="D34" s="2">
        <f>145651-C34</f>
        <v>80979</v>
      </c>
      <c r="E34" s="2">
        <f>238438-(D34+C34)</f>
        <v>92787</v>
      </c>
      <c r="F34" s="2">
        <f>349318-(E34+D34+C34)</f>
        <v>110880</v>
      </c>
      <c r="G34" s="2">
        <f t="shared" si="1"/>
        <v>349318</v>
      </c>
      <c r="H34">
        <v>4102</v>
      </c>
      <c r="I34">
        <f>9063-H34</f>
        <v>4961</v>
      </c>
      <c r="J34">
        <f>15343-(I34+H34)</f>
        <v>6280</v>
      </c>
      <c r="K34">
        <f>24928-(J34+I34+H34)</f>
        <v>9585</v>
      </c>
      <c r="L34">
        <f t="shared" si="3"/>
        <v>24928</v>
      </c>
      <c r="M34">
        <v>4554</v>
      </c>
      <c r="N34">
        <f>9539-M34</f>
        <v>4985</v>
      </c>
      <c r="O34">
        <f>16213-(N34+M34)</f>
        <v>6674</v>
      </c>
      <c r="P34">
        <f>25985-(O34+N34+M34)</f>
        <v>9772</v>
      </c>
      <c r="Q34">
        <f t="shared" si="5"/>
        <v>25985</v>
      </c>
      <c r="R34">
        <v>3132</v>
      </c>
      <c r="S34">
        <f>6915-R34</f>
        <v>3783</v>
      </c>
      <c r="T34">
        <f>11646-(S34+R34)</f>
        <v>4731</v>
      </c>
      <c r="U34">
        <f>18784-(T34+S34+R34)</f>
        <v>7138</v>
      </c>
      <c r="V34">
        <f t="shared" si="7"/>
        <v>18784</v>
      </c>
    </row>
    <row r="35" spans="1:22" x14ac:dyDescent="0.4">
      <c r="A35">
        <v>34</v>
      </c>
      <c r="B35" s="1" t="s">
        <v>66</v>
      </c>
      <c r="C35" s="2">
        <v>86781</v>
      </c>
      <c r="D35" s="2">
        <f>191682-C35</f>
        <v>104901</v>
      </c>
      <c r="E35" s="2">
        <f>304564-(D35+C35)</f>
        <v>112882</v>
      </c>
      <c r="F35" s="2">
        <f>448758-(E35+D35+C35)</f>
        <v>144194</v>
      </c>
      <c r="G35" s="2">
        <f t="shared" si="1"/>
        <v>448758</v>
      </c>
      <c r="H35">
        <v>4343</v>
      </c>
      <c r="I35">
        <f>12519-H35</f>
        <v>8176</v>
      </c>
      <c r="J35">
        <f>20787-(I35+H35)</f>
        <v>8268</v>
      </c>
      <c r="K35">
        <f>29217-(J35+I35+H35)</f>
        <v>8430</v>
      </c>
      <c r="L35">
        <f t="shared" si="3"/>
        <v>29217</v>
      </c>
      <c r="M35">
        <v>4201</v>
      </c>
      <c r="N35">
        <f>12491-M35</f>
        <v>8290</v>
      </c>
      <c r="O35">
        <f>20715-(N35+M35)</f>
        <v>8224</v>
      </c>
      <c r="P35">
        <f>28862-(O35+N35+M35)</f>
        <v>8147</v>
      </c>
      <c r="Q35">
        <f t="shared" si="5"/>
        <v>28862</v>
      </c>
      <c r="R35">
        <v>2649</v>
      </c>
      <c r="S35">
        <f>8815-R35</f>
        <v>6166</v>
      </c>
      <c r="T35">
        <f>14311-(S35+R35)</f>
        <v>5496</v>
      </c>
      <c r="U35">
        <f>18828-(T35+S35+R35)</f>
        <v>4517</v>
      </c>
      <c r="V35">
        <f t="shared" si="7"/>
        <v>18828</v>
      </c>
    </row>
    <row r="36" spans="1:22" x14ac:dyDescent="0.4">
      <c r="A36">
        <v>35</v>
      </c>
      <c r="B36" s="1" t="s">
        <v>67</v>
      </c>
      <c r="C36" s="2">
        <v>30877</v>
      </c>
      <c r="D36" s="2">
        <f>67238-C36</f>
        <v>36361</v>
      </c>
      <c r="E36" s="2">
        <f>106068-(D36+C36)</f>
        <v>38830</v>
      </c>
      <c r="F36" s="2">
        <f>150777-(E36+D36+C36)</f>
        <v>44709</v>
      </c>
      <c r="G36" s="2">
        <f t="shared" si="1"/>
        <v>150777</v>
      </c>
      <c r="H36">
        <v>522</v>
      </c>
      <c r="I36">
        <f>4141-H36</f>
        <v>3619</v>
      </c>
      <c r="J36">
        <f>4912-(I36+H36)</f>
        <v>771</v>
      </c>
      <c r="K36">
        <f>9166-(J36+I36+H36)</f>
        <v>4254</v>
      </c>
      <c r="L36">
        <f t="shared" si="3"/>
        <v>9166</v>
      </c>
      <c r="M36">
        <v>560</v>
      </c>
      <c r="N36">
        <f>4237-M36</f>
        <v>3677</v>
      </c>
      <c r="O36">
        <f>5029-(N36+M36)</f>
        <v>792</v>
      </c>
      <c r="P36">
        <f>9191-(O36+N36+M36)</f>
        <v>4162</v>
      </c>
      <c r="Q36">
        <f t="shared" si="5"/>
        <v>9191</v>
      </c>
      <c r="R36">
        <v>384</v>
      </c>
      <c r="S36">
        <f>2783-R36</f>
        <v>2399</v>
      </c>
      <c r="T36">
        <f>3497-(S36+R36)</f>
        <v>714</v>
      </c>
      <c r="U36">
        <f>6141-(T36+S36+R36)</f>
        <v>2644</v>
      </c>
      <c r="V36">
        <f t="shared" si="7"/>
        <v>6141</v>
      </c>
    </row>
    <row r="37" spans="1:22" x14ac:dyDescent="0.4">
      <c r="A37">
        <v>36</v>
      </c>
      <c r="B37" s="1" t="s">
        <v>68</v>
      </c>
      <c r="C37" s="2">
        <v>105952</v>
      </c>
      <c r="D37" s="2">
        <f>221034-C37</f>
        <v>115082</v>
      </c>
      <c r="E37" s="2">
        <f>349401-(D37+C37)</f>
        <v>128367</v>
      </c>
      <c r="F37" s="2">
        <f>0-(E37+D37+C37)</f>
        <v>-349401</v>
      </c>
      <c r="G37" s="2">
        <f t="shared" si="1"/>
        <v>0</v>
      </c>
      <c r="H37">
        <v>7429</v>
      </c>
      <c r="I37">
        <f>16770-H37</f>
        <v>9341</v>
      </c>
      <c r="J37">
        <f>26212-(I37+H37)</f>
        <v>9442</v>
      </c>
      <c r="K37">
        <f>0-(J37+I37+H37)</f>
        <v>-26212</v>
      </c>
      <c r="L37">
        <f t="shared" si="3"/>
        <v>0</v>
      </c>
      <c r="M37">
        <v>8081</v>
      </c>
      <c r="N37">
        <f>17774-M37</f>
        <v>9693</v>
      </c>
      <c r="O37">
        <f>27864-(N37+M37)</f>
        <v>10090</v>
      </c>
      <c r="P37">
        <f>0-(O37+N37+M37)</f>
        <v>-27864</v>
      </c>
      <c r="Q37">
        <f t="shared" si="5"/>
        <v>0</v>
      </c>
      <c r="R37">
        <v>6040</v>
      </c>
      <c r="S37">
        <f>11886-R37</f>
        <v>5846</v>
      </c>
      <c r="T37">
        <f>18730-(S37+R37)</f>
        <v>6844</v>
      </c>
      <c r="U37">
        <f>0-(T37+S37+R37)</f>
        <v>-18730</v>
      </c>
      <c r="V37">
        <f t="shared" si="7"/>
        <v>0</v>
      </c>
    </row>
    <row r="38" spans="1:22" x14ac:dyDescent="0.4">
      <c r="A38">
        <v>37</v>
      </c>
      <c r="B38" s="1" t="s">
        <v>69</v>
      </c>
      <c r="C38" s="2">
        <v>26426</v>
      </c>
      <c r="D38" s="2">
        <f>56998-C38</f>
        <v>30572</v>
      </c>
      <c r="E38" s="2">
        <f>85657-(D38+C38)</f>
        <v>28659</v>
      </c>
      <c r="F38" s="2">
        <f>0-(E38+D38+C38)</f>
        <v>-85657</v>
      </c>
      <c r="G38" s="2">
        <f t="shared" si="1"/>
        <v>0</v>
      </c>
      <c r="H38">
        <v>1053</v>
      </c>
      <c r="I38">
        <f>2932-H38</f>
        <v>1879</v>
      </c>
      <c r="J38">
        <f>3885-(I38+H38)</f>
        <v>953</v>
      </c>
      <c r="K38">
        <f>0-(J38+I38+H38)</f>
        <v>-3885</v>
      </c>
      <c r="L38">
        <f t="shared" si="3"/>
        <v>0</v>
      </c>
      <c r="M38">
        <v>1231</v>
      </c>
      <c r="N38">
        <f>3248-M38</f>
        <v>2017</v>
      </c>
      <c r="O38">
        <f>4274-(N38+M38)</f>
        <v>1026</v>
      </c>
      <c r="P38">
        <f>0-(O38+N38+M38)</f>
        <v>-4274</v>
      </c>
      <c r="Q38">
        <f t="shared" si="5"/>
        <v>0</v>
      </c>
      <c r="R38">
        <v>877</v>
      </c>
      <c r="S38">
        <f>2303-R38</f>
        <v>1426</v>
      </c>
      <c r="T38">
        <f>2939-(S38+R38)</f>
        <v>636</v>
      </c>
      <c r="U38">
        <f>0-(T38+S38+R38)</f>
        <v>-2939</v>
      </c>
      <c r="V38">
        <f t="shared" si="7"/>
        <v>0</v>
      </c>
    </row>
    <row r="39" spans="1:22" x14ac:dyDescent="0.4">
      <c r="A39">
        <v>38</v>
      </c>
      <c r="B39" s="1" t="s">
        <v>70</v>
      </c>
      <c r="C39" s="2">
        <v>20868</v>
      </c>
      <c r="D39" s="2">
        <f>50816-C39</f>
        <v>29948</v>
      </c>
      <c r="E39" s="2">
        <f>82303-(D39+C39)</f>
        <v>31487</v>
      </c>
      <c r="F39" s="2">
        <f>134739-(E39+D39+C39)</f>
        <v>52436</v>
      </c>
      <c r="G39" s="2">
        <f t="shared" si="1"/>
        <v>134739</v>
      </c>
      <c r="H39">
        <v>474</v>
      </c>
      <c r="I39">
        <f>3356-H39</f>
        <v>2882</v>
      </c>
      <c r="J39">
        <f>6811-(I39+H39)</f>
        <v>3455</v>
      </c>
      <c r="K39">
        <f>12216-(J39+I39+H39)</f>
        <v>5405</v>
      </c>
      <c r="L39">
        <f t="shared" si="3"/>
        <v>12216</v>
      </c>
      <c r="M39">
        <v>657</v>
      </c>
      <c r="N39">
        <f>3569-M39</f>
        <v>2912</v>
      </c>
      <c r="O39">
        <f>7227-(N39+M39)</f>
        <v>3658</v>
      </c>
      <c r="P39">
        <f>12704-(O39+N39+M39)</f>
        <v>5477</v>
      </c>
      <c r="Q39">
        <f t="shared" si="5"/>
        <v>12704</v>
      </c>
      <c r="R39">
        <v>442</v>
      </c>
      <c r="S39">
        <f>2466-R39</f>
        <v>2024</v>
      </c>
      <c r="T39">
        <f>5036-(S39+R39)</f>
        <v>2570</v>
      </c>
      <c r="U39">
        <f>8862-(T39+S39+R39)</f>
        <v>3826</v>
      </c>
      <c r="V39">
        <f t="shared" si="7"/>
        <v>8862</v>
      </c>
    </row>
    <row r="40" spans="1:22" x14ac:dyDescent="0.4">
      <c r="A40">
        <v>39</v>
      </c>
      <c r="B40" s="1" t="s">
        <v>72</v>
      </c>
      <c r="C40" s="2">
        <v>15591</v>
      </c>
      <c r="D40" s="2">
        <f>40988-C40</f>
        <v>25397</v>
      </c>
      <c r="E40" s="2">
        <f>67437-(D40+C40)</f>
        <v>26449</v>
      </c>
      <c r="F40" s="2">
        <f>93824-(E40+D40+C40)</f>
        <v>26387</v>
      </c>
      <c r="G40" s="2">
        <f t="shared" si="1"/>
        <v>93824</v>
      </c>
      <c r="H40">
        <v>416</v>
      </c>
      <c r="I40">
        <f>1870-H40</f>
        <v>1454</v>
      </c>
      <c r="J40">
        <f>3347-(I40+H40)</f>
        <v>1477</v>
      </c>
      <c r="K40">
        <f>4618-(J40+I40+H40)</f>
        <v>1271</v>
      </c>
      <c r="L40">
        <f t="shared" si="3"/>
        <v>4618</v>
      </c>
      <c r="M40">
        <v>420</v>
      </c>
      <c r="N40">
        <f>1866-M40</f>
        <v>1446</v>
      </c>
      <c r="O40">
        <f>3335-(N40+M40)</f>
        <v>1469</v>
      </c>
      <c r="P40">
        <f>4590-(O40+N40+M40)</f>
        <v>1255</v>
      </c>
      <c r="Q40">
        <f t="shared" si="5"/>
        <v>4590</v>
      </c>
      <c r="R40">
        <v>187</v>
      </c>
      <c r="S40">
        <f>1269-R40</f>
        <v>1082</v>
      </c>
      <c r="T40">
        <f>2323-(S40+R40)</f>
        <v>1054</v>
      </c>
      <c r="U40">
        <f>3157-(T40+S40+R40)</f>
        <v>834</v>
      </c>
      <c r="V40">
        <f t="shared" si="7"/>
        <v>3157</v>
      </c>
    </row>
    <row r="41" spans="1:22" x14ac:dyDescent="0.4">
      <c r="A41">
        <v>40</v>
      </c>
      <c r="B41" s="1" t="s">
        <v>71</v>
      </c>
      <c r="C41" s="2">
        <v>90236</v>
      </c>
      <c r="D41" s="2">
        <f>203046-C41</f>
        <v>112810</v>
      </c>
      <c r="E41" s="2">
        <f>327821-(D41+C41)</f>
        <v>124775</v>
      </c>
      <c r="F41" s="2">
        <f>0-(E41+D41+C41)</f>
        <v>-327821</v>
      </c>
      <c r="G41" s="2">
        <f t="shared" si="1"/>
        <v>0</v>
      </c>
      <c r="H41">
        <v>3537</v>
      </c>
      <c r="I41">
        <f>10304-H41</f>
        <v>6767</v>
      </c>
      <c r="J41">
        <f>17205-(I41+H41)</f>
        <v>6901</v>
      </c>
      <c r="K41">
        <f>0-(J41+I41+H41)</f>
        <v>-17205</v>
      </c>
      <c r="L41">
        <f t="shared" si="3"/>
        <v>0</v>
      </c>
      <c r="M41">
        <v>4799</v>
      </c>
      <c r="N41">
        <f>11862-M41</f>
        <v>7063</v>
      </c>
      <c r="O41">
        <f>19901-(N41+M41)</f>
        <v>8039</v>
      </c>
      <c r="P41">
        <f>0-(O41+N41+M41)</f>
        <v>-19901</v>
      </c>
      <c r="Q41">
        <f t="shared" si="5"/>
        <v>0</v>
      </c>
      <c r="R41">
        <v>3413</v>
      </c>
      <c r="S41">
        <f>8262-R41</f>
        <v>4849</v>
      </c>
      <c r="T41">
        <f>14255-(S41+R41)</f>
        <v>5993</v>
      </c>
      <c r="U41">
        <f>0-(T41+S41+R41)</f>
        <v>-14255</v>
      </c>
      <c r="V41">
        <f t="shared" si="7"/>
        <v>0</v>
      </c>
    </row>
    <row r="42" spans="1:22" x14ac:dyDescent="0.4">
      <c r="A42">
        <v>41</v>
      </c>
      <c r="B42" s="1" t="s">
        <v>73</v>
      </c>
      <c r="C42" s="2">
        <v>80238</v>
      </c>
      <c r="D42" s="2">
        <f>172491-C42</f>
        <v>92253</v>
      </c>
      <c r="E42" s="2">
        <f>268902-(D42+C42)</f>
        <v>96411</v>
      </c>
      <c r="F42" s="2">
        <f>389058-(E42+D42+C42)</f>
        <v>120156</v>
      </c>
      <c r="G42" s="2">
        <f t="shared" si="1"/>
        <v>389058</v>
      </c>
      <c r="H42">
        <v>2034</v>
      </c>
      <c r="I42">
        <f>8210-H42</f>
        <v>6176</v>
      </c>
      <c r="J42">
        <f>14883-(I42+H42)</f>
        <v>6673</v>
      </c>
      <c r="K42">
        <f>26464-(J42+I42+H42)</f>
        <v>11581</v>
      </c>
      <c r="L42">
        <f t="shared" si="3"/>
        <v>26464</v>
      </c>
      <c r="M42">
        <v>2055</v>
      </c>
      <c r="N42">
        <f>8131-M42</f>
        <v>6076</v>
      </c>
      <c r="O42">
        <f>14912-(N42+M42)</f>
        <v>6781</v>
      </c>
      <c r="P42">
        <f>26553-(O42+N42+M42)</f>
        <v>11641</v>
      </c>
      <c r="Q42">
        <f t="shared" si="5"/>
        <v>26553</v>
      </c>
      <c r="R42">
        <v>1397</v>
      </c>
      <c r="S42">
        <f>4493-R42</f>
        <v>3096</v>
      </c>
      <c r="T42">
        <f>9063-(S42+R42)</f>
        <v>4570</v>
      </c>
      <c r="U42">
        <f>13312-(T42+S42+R42)</f>
        <v>4249</v>
      </c>
      <c r="V42">
        <f t="shared" si="7"/>
        <v>13312</v>
      </c>
    </row>
    <row r="43" spans="1:22" x14ac:dyDescent="0.4">
      <c r="A43">
        <v>42</v>
      </c>
      <c r="B43" s="1" t="s">
        <v>76</v>
      </c>
      <c r="C43" s="2">
        <v>22257</v>
      </c>
      <c r="D43" s="2">
        <f>48450-C43</f>
        <v>26193</v>
      </c>
      <c r="E43" s="2">
        <f>73713-(D43+C43)</f>
        <v>25263</v>
      </c>
      <c r="F43" s="2">
        <f>0-(E43+D43+C43)</f>
        <v>-73713</v>
      </c>
      <c r="G43" s="2">
        <f t="shared" si="1"/>
        <v>0</v>
      </c>
      <c r="H43">
        <v>-121</v>
      </c>
      <c r="I43">
        <f>1705-H43</f>
        <v>1826</v>
      </c>
      <c r="J43">
        <f>3675-(I43+H43)</f>
        <v>1970</v>
      </c>
      <c r="K43">
        <f>0-(J43+I43+H43)</f>
        <v>-3675</v>
      </c>
      <c r="L43">
        <f t="shared" si="3"/>
        <v>0</v>
      </c>
      <c r="M43">
        <v>-170</v>
      </c>
      <c r="N43">
        <f>1643-M43</f>
        <v>1813</v>
      </c>
      <c r="O43">
        <f>3586-(N43+M43)</f>
        <v>1943</v>
      </c>
      <c r="P43">
        <f>0-(O43+N43+M43)</f>
        <v>-3586</v>
      </c>
      <c r="Q43">
        <f t="shared" si="5"/>
        <v>0</v>
      </c>
      <c r="R43">
        <v>-424</v>
      </c>
      <c r="S43">
        <f>1149-R43</f>
        <v>1573</v>
      </c>
      <c r="T43">
        <f>2799-(S43+R43)</f>
        <v>1650</v>
      </c>
      <c r="U43">
        <f>0-(T43+S43+R43)</f>
        <v>-2799</v>
      </c>
      <c r="V43">
        <f t="shared" si="7"/>
        <v>0</v>
      </c>
    </row>
    <row r="44" spans="1:22" x14ac:dyDescent="0.4">
      <c r="A44">
        <v>43</v>
      </c>
      <c r="B44" s="1" t="s">
        <v>75</v>
      </c>
      <c r="C44" s="2">
        <v>7195</v>
      </c>
      <c r="D44" s="2">
        <f>16990-C44</f>
        <v>9795</v>
      </c>
      <c r="E44" s="2">
        <f>27896-(D44+C44)</f>
        <v>10906</v>
      </c>
      <c r="F44" s="2">
        <f>45825-(E44+D44+C44)</f>
        <v>17929</v>
      </c>
      <c r="G44" s="2">
        <f t="shared" si="1"/>
        <v>45825</v>
      </c>
      <c r="H44">
        <v>-662</v>
      </c>
      <c r="I44">
        <f>-509-H44</f>
        <v>153</v>
      </c>
      <c r="J44">
        <f>-371-(I44+H44)</f>
        <v>138</v>
      </c>
      <c r="K44">
        <f>2121-(J44+I44+H44)</f>
        <v>2492</v>
      </c>
      <c r="L44">
        <f t="shared" si="3"/>
        <v>2121</v>
      </c>
      <c r="M44">
        <v>-733</v>
      </c>
      <c r="N44">
        <f>-647-M44</f>
        <v>86</v>
      </c>
      <c r="O44">
        <f>-555-(N44+M44)</f>
        <v>92</v>
      </c>
      <c r="P44">
        <f>1762-(O44+N44+M44)</f>
        <v>2317</v>
      </c>
      <c r="Q44">
        <f t="shared" si="5"/>
        <v>1762</v>
      </c>
      <c r="R44">
        <v>-763</v>
      </c>
      <c r="S44">
        <f>-710-R44</f>
        <v>53</v>
      </c>
      <c r="T44">
        <f>917-(S44+R44)</f>
        <v>1627</v>
      </c>
      <c r="U44">
        <f>58-(T44+S44+R44)</f>
        <v>-859</v>
      </c>
      <c r="V44">
        <f t="shared" si="7"/>
        <v>58</v>
      </c>
    </row>
    <row r="45" spans="1:22" x14ac:dyDescent="0.4">
      <c r="A45">
        <v>44</v>
      </c>
      <c r="B45" s="1" t="s">
        <v>79</v>
      </c>
      <c r="C45" s="2">
        <v>380107</v>
      </c>
      <c r="D45" s="2">
        <f>799220-C45</f>
        <v>419113</v>
      </c>
      <c r="E45" s="2">
        <f>1175656-(D45+C45)</f>
        <v>376436</v>
      </c>
      <c r="F45" s="2">
        <f>1591178-(E45+D45+C45)</f>
        <v>415522</v>
      </c>
      <c r="G45" s="2">
        <f t="shared" si="1"/>
        <v>1591178</v>
      </c>
      <c r="H45">
        <v>34824</v>
      </c>
      <c r="I45">
        <f>75918-H45</f>
        <v>41094</v>
      </c>
      <c r="J45">
        <f>105065-(I45+H45)</f>
        <v>29147</v>
      </c>
      <c r="K45">
        <f>127956-(J45+I45+H45)</f>
        <v>22891</v>
      </c>
      <c r="L45">
        <f t="shared" si="3"/>
        <v>127956</v>
      </c>
      <c r="M45">
        <v>36315</v>
      </c>
      <c r="N45">
        <f>78661-M45</f>
        <v>42346</v>
      </c>
      <c r="O45">
        <f>108757-(N45+M45)</f>
        <v>30096</v>
      </c>
      <c r="P45">
        <f>132240-(O45+N45+M45)</f>
        <v>23483</v>
      </c>
      <c r="Q45">
        <f t="shared" si="5"/>
        <v>132240</v>
      </c>
      <c r="R45">
        <v>26112</v>
      </c>
      <c r="S45">
        <f>54661-R45</f>
        <v>28549</v>
      </c>
      <c r="T45">
        <f>75081-(S45+R45)</f>
        <v>20420</v>
      </c>
      <c r="U45">
        <f>89930-(T45+S45+R45)</f>
        <v>14849</v>
      </c>
      <c r="V45">
        <f t="shared" si="7"/>
        <v>89930</v>
      </c>
    </row>
    <row r="46" spans="1:22" x14ac:dyDescent="0.4">
      <c r="A46">
        <v>45</v>
      </c>
      <c r="B46" s="1" t="s">
        <v>77</v>
      </c>
      <c r="C46" s="2">
        <v>80554</v>
      </c>
      <c r="D46" s="2">
        <f>173032-C46</f>
        <v>92478</v>
      </c>
      <c r="E46" s="2">
        <f>285579-(D46+C46)</f>
        <v>112547</v>
      </c>
      <c r="F46" s="2">
        <f>413236-(E46+D46+C46)</f>
        <v>127657</v>
      </c>
      <c r="G46" s="2">
        <f t="shared" si="1"/>
        <v>413236</v>
      </c>
      <c r="H46">
        <v>4684</v>
      </c>
      <c r="I46">
        <f>11274-H46</f>
        <v>6590</v>
      </c>
      <c r="J46">
        <f>23628-(I46+H46)</f>
        <v>12354</v>
      </c>
      <c r="K46">
        <f>38656-(J46+I46+H46)</f>
        <v>15028</v>
      </c>
      <c r="L46">
        <f t="shared" si="3"/>
        <v>38656</v>
      </c>
      <c r="M46">
        <v>5633</v>
      </c>
      <c r="N46">
        <f>12530-M46</f>
        <v>6897</v>
      </c>
      <c r="O46">
        <f>25249-(N46+M46)</f>
        <v>12719</v>
      </c>
      <c r="P46">
        <f>39022-(O46+N46+M46)</f>
        <v>13773</v>
      </c>
      <c r="Q46">
        <f t="shared" si="5"/>
        <v>39022</v>
      </c>
      <c r="R46">
        <v>3264</v>
      </c>
      <c r="S46">
        <f>7575-R46</f>
        <v>4311</v>
      </c>
      <c r="T46">
        <f>16006-(S46+R46)</f>
        <v>8431</v>
      </c>
      <c r="U46">
        <f>25514-(T46+S46+R46)</f>
        <v>9508</v>
      </c>
      <c r="V46">
        <f t="shared" si="7"/>
        <v>25514</v>
      </c>
    </row>
    <row r="47" spans="1:22" x14ac:dyDescent="0.4">
      <c r="A47">
        <v>46</v>
      </c>
      <c r="B47" s="1" t="s">
        <v>78</v>
      </c>
      <c r="C47" s="2">
        <v>17903</v>
      </c>
      <c r="D47" s="2">
        <f>38407-C47</f>
        <v>20504</v>
      </c>
      <c r="E47" s="2">
        <f>61642-(D47+C47)</f>
        <v>23235</v>
      </c>
      <c r="F47" s="2">
        <f>103676-(E47+D47+C47)</f>
        <v>42034</v>
      </c>
      <c r="G47" s="2">
        <f t="shared" si="1"/>
        <v>103676</v>
      </c>
      <c r="H47">
        <v>-972</v>
      </c>
      <c r="I47">
        <f>-744-H47</f>
        <v>228</v>
      </c>
      <c r="J47">
        <f>470-(I47+H47)</f>
        <v>1214</v>
      </c>
      <c r="K47">
        <f>3653-(J47+I47+H47)</f>
        <v>3183</v>
      </c>
      <c r="L47">
        <f t="shared" si="3"/>
        <v>3653</v>
      </c>
      <c r="M47">
        <v>-870</v>
      </c>
      <c r="N47">
        <f>-656-M47</f>
        <v>214</v>
      </c>
      <c r="O47">
        <f>566-(N47+M47)</f>
        <v>1222</v>
      </c>
      <c r="P47">
        <f>3728-(O47+N47+M47)</f>
        <v>3162</v>
      </c>
      <c r="Q47">
        <f t="shared" si="5"/>
        <v>3728</v>
      </c>
      <c r="R47">
        <v>-635</v>
      </c>
      <c r="S47">
        <f>-562-R47</f>
        <v>73</v>
      </c>
      <c r="T47">
        <f>193-(S47+R47)</f>
        <v>755</v>
      </c>
      <c r="U47">
        <f>-231-(T47+S47+R47)</f>
        <v>-424</v>
      </c>
      <c r="V47">
        <f t="shared" si="7"/>
        <v>-231</v>
      </c>
    </row>
    <row r="48" spans="1:22" x14ac:dyDescent="0.4">
      <c r="A48">
        <v>47</v>
      </c>
      <c r="B48" s="1" t="s">
        <v>80</v>
      </c>
      <c r="C48" s="2">
        <v>48680</v>
      </c>
      <c r="D48" s="2">
        <f>98138-C48</f>
        <v>49458</v>
      </c>
      <c r="E48" s="2">
        <f>157145-(D48+C48)</f>
        <v>59007</v>
      </c>
      <c r="F48" s="2">
        <f>223757-(E48+D48+C48)</f>
        <v>66612</v>
      </c>
      <c r="G48" s="2">
        <f t="shared" si="1"/>
        <v>223757</v>
      </c>
      <c r="H48">
        <v>2361</v>
      </c>
      <c r="I48">
        <f>5576-H48</f>
        <v>3215</v>
      </c>
      <c r="J48">
        <f>9954-(I48+H48)</f>
        <v>4378</v>
      </c>
      <c r="K48">
        <f>17122-(J48+I48+H48)</f>
        <v>7168</v>
      </c>
      <c r="L48">
        <f t="shared" si="3"/>
        <v>17122</v>
      </c>
      <c r="M48">
        <v>2693</v>
      </c>
      <c r="N48">
        <f>5987-M48</f>
        <v>3294</v>
      </c>
      <c r="O48">
        <f>10435-(N48+M48)</f>
        <v>4448</v>
      </c>
      <c r="P48">
        <f>17636-(O48+N48+M48)</f>
        <v>7201</v>
      </c>
      <c r="Q48">
        <f t="shared" si="5"/>
        <v>17636</v>
      </c>
      <c r="R48">
        <v>1824</v>
      </c>
      <c r="S48">
        <f>3868-R48</f>
        <v>2044</v>
      </c>
      <c r="T48">
        <f>6624-(S48+R48)</f>
        <v>2756</v>
      </c>
      <c r="U48">
        <f>11482-(T48+S48+R48)</f>
        <v>4858</v>
      </c>
      <c r="V48">
        <f t="shared" si="7"/>
        <v>11482</v>
      </c>
    </row>
    <row r="49" spans="1:22" x14ac:dyDescent="0.4">
      <c r="A49">
        <v>48</v>
      </c>
      <c r="B49" s="1" t="s">
        <v>81</v>
      </c>
      <c r="C49" s="2">
        <v>31093</v>
      </c>
      <c r="D49" s="2">
        <f>63340-C49</f>
        <v>32247</v>
      </c>
      <c r="E49" s="2">
        <f>103508-(D49+C49)</f>
        <v>40168</v>
      </c>
      <c r="F49" s="2">
        <f>0-(E49+D49+C49)</f>
        <v>-103508</v>
      </c>
      <c r="G49" s="2">
        <f t="shared" si="1"/>
        <v>0</v>
      </c>
      <c r="H49">
        <v>598</v>
      </c>
      <c r="I49">
        <f>1644-H49</f>
        <v>1046</v>
      </c>
      <c r="J49">
        <f>4419-(I49+H49)</f>
        <v>2775</v>
      </c>
      <c r="K49">
        <f>0-(J49+I49+H49)</f>
        <v>-4419</v>
      </c>
      <c r="L49">
        <f t="shared" si="3"/>
        <v>0</v>
      </c>
      <c r="M49">
        <v>691</v>
      </c>
      <c r="N49">
        <f>1912-M49</f>
        <v>1221</v>
      </c>
      <c r="O49">
        <f>4748-(N49+M49)</f>
        <v>2836</v>
      </c>
      <c r="P49">
        <f>0-(O49+N49+M49)</f>
        <v>-4748</v>
      </c>
      <c r="Q49">
        <f t="shared" si="5"/>
        <v>0</v>
      </c>
      <c r="R49">
        <v>375</v>
      </c>
      <c r="S49">
        <f>1129-R49</f>
        <v>754</v>
      </c>
      <c r="T49">
        <f>2977-(S49+R49)</f>
        <v>1848</v>
      </c>
      <c r="U49">
        <f>0-(T49+S49+R49)</f>
        <v>-2977</v>
      </c>
      <c r="V49">
        <f t="shared" si="7"/>
        <v>0</v>
      </c>
    </row>
    <row r="50" spans="1:22" x14ac:dyDescent="0.4">
      <c r="A50">
        <v>49</v>
      </c>
      <c r="B50" s="1" t="s">
        <v>82</v>
      </c>
      <c r="C50" s="2">
        <v>34893</v>
      </c>
      <c r="D50" s="2">
        <f>71203-C50</f>
        <v>36310</v>
      </c>
      <c r="E50" s="2">
        <f>118021-(D50+C50)</f>
        <v>46818</v>
      </c>
      <c r="F50" s="2">
        <f>173692-(E50+D50+C50)</f>
        <v>55671</v>
      </c>
      <c r="G50" s="2">
        <f t="shared" si="1"/>
        <v>173692</v>
      </c>
      <c r="H50">
        <v>915</v>
      </c>
      <c r="I50">
        <f>977-H50</f>
        <v>62</v>
      </c>
      <c r="J50">
        <f>2623-(I50+H50)</f>
        <v>1646</v>
      </c>
      <c r="K50">
        <f>3980-(J50+I50+H50)</f>
        <v>1357</v>
      </c>
      <c r="L50">
        <f t="shared" si="3"/>
        <v>3980</v>
      </c>
      <c r="M50">
        <v>946</v>
      </c>
      <c r="N50">
        <f>985-M50</f>
        <v>39</v>
      </c>
      <c r="O50">
        <f>2586-(N50+M50)</f>
        <v>1601</v>
      </c>
      <c r="P50">
        <f>3943-(O50+N50+M50)</f>
        <v>1357</v>
      </c>
      <c r="Q50">
        <f t="shared" si="5"/>
        <v>3943</v>
      </c>
      <c r="R50">
        <v>576</v>
      </c>
      <c r="S50">
        <f>514-R50</f>
        <v>-62</v>
      </c>
      <c r="T50">
        <f>2189-(S50+R50)</f>
        <v>1675</v>
      </c>
      <c r="U50">
        <f>3072-(T50+S50+R50)</f>
        <v>883</v>
      </c>
      <c r="V50">
        <f t="shared" si="7"/>
        <v>3072</v>
      </c>
    </row>
    <row r="51" spans="1:22" x14ac:dyDescent="0.4">
      <c r="A51">
        <v>50</v>
      </c>
      <c r="B51" s="1" t="s">
        <v>83</v>
      </c>
      <c r="C51" s="2">
        <v>20059</v>
      </c>
      <c r="D51" s="2">
        <f>45476-C51</f>
        <v>25417</v>
      </c>
      <c r="E51" s="2">
        <f>69877-(D51+C51)</f>
        <v>24401</v>
      </c>
      <c r="F51" s="2">
        <f>99675-(E51+D51+C51)</f>
        <v>29798</v>
      </c>
      <c r="G51" s="2">
        <f t="shared" si="1"/>
        <v>99675</v>
      </c>
      <c r="H51">
        <v>548</v>
      </c>
      <c r="I51">
        <f>1959-H51</f>
        <v>1411</v>
      </c>
      <c r="J51">
        <f>2928-(I51+H51)</f>
        <v>969</v>
      </c>
      <c r="K51">
        <f>4607-(J51+I51+H51)</f>
        <v>1679</v>
      </c>
      <c r="L51">
        <f t="shared" si="3"/>
        <v>4607</v>
      </c>
      <c r="M51">
        <v>576</v>
      </c>
      <c r="N51">
        <f>1977-M51</f>
        <v>1401</v>
      </c>
      <c r="O51">
        <f>2742-(N51+M51)</f>
        <v>765</v>
      </c>
      <c r="P51">
        <f>4440-(O51+N51+M51)</f>
        <v>1698</v>
      </c>
      <c r="Q51">
        <f t="shared" si="5"/>
        <v>4440</v>
      </c>
      <c r="R51">
        <v>431</v>
      </c>
      <c r="S51">
        <f>1536-R51</f>
        <v>1105</v>
      </c>
      <c r="T51">
        <f>2150-(S51+R51)</f>
        <v>614</v>
      </c>
      <c r="U51">
        <f>3203-(T51+S51+R51)</f>
        <v>1053</v>
      </c>
      <c r="V51">
        <f t="shared" si="7"/>
        <v>3203</v>
      </c>
    </row>
    <row r="52" spans="1:22" x14ac:dyDescent="0.4">
      <c r="A52">
        <v>51</v>
      </c>
      <c r="B52" s="1" t="s">
        <v>84</v>
      </c>
      <c r="C52" s="2">
        <v>30571</v>
      </c>
      <c r="D52" s="2">
        <f>75617-C52</f>
        <v>45046</v>
      </c>
      <c r="E52" s="2">
        <f>116402-(D52+C52)</f>
        <v>40785</v>
      </c>
      <c r="F52" s="2">
        <f>163860-(E52+D52+C52)</f>
        <v>47458</v>
      </c>
      <c r="G52" s="2">
        <f t="shared" si="1"/>
        <v>163860</v>
      </c>
      <c r="H52">
        <v>971</v>
      </c>
      <c r="I52">
        <f>3281-H52</f>
        <v>2310</v>
      </c>
      <c r="J52">
        <f>4934-(I52+H52)</f>
        <v>1653</v>
      </c>
      <c r="K52">
        <f>7815-(J52+I52+H52)</f>
        <v>2881</v>
      </c>
      <c r="L52">
        <f t="shared" si="3"/>
        <v>7815</v>
      </c>
      <c r="M52">
        <v>1196</v>
      </c>
      <c r="N52">
        <f>3491-M52</f>
        <v>2295</v>
      </c>
      <c r="O52">
        <f>5246-(N52+M52)</f>
        <v>1755</v>
      </c>
      <c r="P52">
        <f>8069-(O52+N52+M52)</f>
        <v>2823</v>
      </c>
      <c r="Q52">
        <f t="shared" si="5"/>
        <v>8069</v>
      </c>
      <c r="R52">
        <v>721</v>
      </c>
      <c r="S52">
        <f>2190-R52</f>
        <v>1469</v>
      </c>
      <c r="T52">
        <f>3356-(S52+R52)</f>
        <v>1166</v>
      </c>
      <c r="U52">
        <f>5445-(T52+S52+R52)</f>
        <v>2089</v>
      </c>
      <c r="V52">
        <f t="shared" si="7"/>
        <v>5445</v>
      </c>
    </row>
    <row r="53" spans="1:22" x14ac:dyDescent="0.4">
      <c r="A53">
        <v>52</v>
      </c>
      <c r="B53" s="1" t="s">
        <v>85</v>
      </c>
      <c r="C53" s="2">
        <v>116398</v>
      </c>
      <c r="D53" s="2">
        <f>244478-C53</f>
        <v>128080</v>
      </c>
      <c r="E53" s="2">
        <f>385640-(D53+C53)</f>
        <v>141162</v>
      </c>
      <c r="F53" s="2">
        <f>541949-(E53+D53+C53)</f>
        <v>156309</v>
      </c>
      <c r="G53" s="2">
        <f t="shared" si="1"/>
        <v>541949</v>
      </c>
      <c r="H53">
        <v>6607</v>
      </c>
      <c r="I53">
        <f>15107-H53</f>
        <v>8500</v>
      </c>
      <c r="J53">
        <f>20755-(I53+H53)</f>
        <v>5648</v>
      </c>
      <c r="K53">
        <f>29232-(J53+I53+H53)</f>
        <v>8477</v>
      </c>
      <c r="L53">
        <f t="shared" si="3"/>
        <v>29232</v>
      </c>
      <c r="M53">
        <v>6756</v>
      </c>
      <c r="N53">
        <f>15080-M53</f>
        <v>8324</v>
      </c>
      <c r="O53">
        <f>18418-(N53+M53)</f>
        <v>3338</v>
      </c>
      <c r="P53">
        <f>26569-(O53+N53+M53)</f>
        <v>8151</v>
      </c>
      <c r="Q53">
        <f t="shared" si="5"/>
        <v>26569</v>
      </c>
      <c r="R53">
        <v>5119</v>
      </c>
      <c r="S53">
        <f>10852-R53</f>
        <v>5733</v>
      </c>
      <c r="T53">
        <f>13219-(S53+R53)</f>
        <v>2367</v>
      </c>
      <c r="U53">
        <f>18899-(T53+S53+R53)</f>
        <v>5680</v>
      </c>
      <c r="V53">
        <f t="shared" si="7"/>
        <v>18899</v>
      </c>
    </row>
    <row r="54" spans="1:22" x14ac:dyDescent="0.4">
      <c r="A54">
        <v>53</v>
      </c>
      <c r="B54" s="1" t="s">
        <v>86</v>
      </c>
      <c r="C54" s="2">
        <v>13250</v>
      </c>
      <c r="D54" s="2">
        <f>29680-C54</f>
        <v>16430</v>
      </c>
      <c r="E54" s="2">
        <f>47411-(D54+C54)</f>
        <v>17731</v>
      </c>
      <c r="F54" s="2">
        <f>74036-(E54+D54+C54)</f>
        <v>26625</v>
      </c>
      <c r="G54" s="2">
        <f t="shared" si="1"/>
        <v>74036</v>
      </c>
      <c r="H54">
        <v>210</v>
      </c>
      <c r="I54">
        <f>1390-H54</f>
        <v>1180</v>
      </c>
      <c r="J54">
        <f>2984-(I54+H54)</f>
        <v>1594</v>
      </c>
      <c r="K54">
        <f>5564-(J54+I54+H54)</f>
        <v>2580</v>
      </c>
      <c r="L54">
        <f t="shared" si="3"/>
        <v>5564</v>
      </c>
      <c r="M54">
        <v>209</v>
      </c>
      <c r="N54">
        <f>1392-M54</f>
        <v>1183</v>
      </c>
      <c r="O54">
        <f>2988-(N54+M54)</f>
        <v>1596</v>
      </c>
      <c r="P54">
        <f>5584-(O54+N54+M54)</f>
        <v>2596</v>
      </c>
      <c r="Q54">
        <f t="shared" si="5"/>
        <v>5584</v>
      </c>
      <c r="R54">
        <v>165</v>
      </c>
      <c r="S54">
        <f>1139-R54</f>
        <v>974</v>
      </c>
      <c r="T54">
        <f>2580-(S54+R54)</f>
        <v>1441</v>
      </c>
      <c r="U54">
        <f>3480-(T54+S54+R54)</f>
        <v>900</v>
      </c>
      <c r="V54">
        <f t="shared" si="7"/>
        <v>3480</v>
      </c>
    </row>
    <row r="55" spans="1:22" x14ac:dyDescent="0.4">
      <c r="A55">
        <v>54</v>
      </c>
      <c r="B55" s="1" t="s">
        <v>87</v>
      </c>
      <c r="C55" s="2">
        <v>7054</v>
      </c>
      <c r="D55" s="2">
        <f>15514-C55</f>
        <v>8460</v>
      </c>
      <c r="E55" s="2">
        <f>24266-(D55+C55)</f>
        <v>8752</v>
      </c>
      <c r="F55" s="2">
        <f>0-(E55+D55+C55)</f>
        <v>-24266</v>
      </c>
      <c r="G55" s="2">
        <f t="shared" si="1"/>
        <v>0</v>
      </c>
      <c r="H55">
        <v>85</v>
      </c>
      <c r="I55">
        <f>515-H55</f>
        <v>430</v>
      </c>
      <c r="J55">
        <f>983-(I55+H55)</f>
        <v>468</v>
      </c>
      <c r="K55">
        <f>0-(J55+I55+H55)</f>
        <v>-983</v>
      </c>
      <c r="L55">
        <f t="shared" si="3"/>
        <v>0</v>
      </c>
      <c r="M55">
        <v>95</v>
      </c>
      <c r="N55">
        <f>534-M55</f>
        <v>439</v>
      </c>
      <c r="O55">
        <f>1012-(N55+M55)</f>
        <v>478</v>
      </c>
      <c r="P55">
        <f>0-(O55+N55+M55)</f>
        <v>-1012</v>
      </c>
      <c r="Q55">
        <f t="shared" si="5"/>
        <v>0</v>
      </c>
      <c r="R55">
        <v>21</v>
      </c>
      <c r="S55">
        <f>306-R55</f>
        <v>285</v>
      </c>
      <c r="T55">
        <f>619-(S55+R55)</f>
        <v>313</v>
      </c>
      <c r="U55">
        <f>0-(T55+S55+R55)</f>
        <v>-619</v>
      </c>
      <c r="V55">
        <f t="shared" si="7"/>
        <v>0</v>
      </c>
    </row>
    <row r="56" spans="1:22" x14ac:dyDescent="0.4">
      <c r="A56">
        <v>55</v>
      </c>
      <c r="B56" s="1" t="s">
        <v>88</v>
      </c>
      <c r="C56" s="2">
        <v>249274</v>
      </c>
      <c r="D56" s="2">
        <f>592851-C56</f>
        <v>343577</v>
      </c>
      <c r="E56" s="2">
        <f>906981-(D56+C56)</f>
        <v>314130</v>
      </c>
      <c r="F56" s="2">
        <f>0-(E56+D56+C56)</f>
        <v>-906981</v>
      </c>
      <c r="G56" s="2">
        <f t="shared" si="1"/>
        <v>0</v>
      </c>
      <c r="H56">
        <v>-3871</v>
      </c>
      <c r="I56">
        <f>17305-H56</f>
        <v>21176</v>
      </c>
      <c r="J56">
        <f>38263-(I56+H56)</f>
        <v>20958</v>
      </c>
      <c r="K56">
        <f>0-(J56+I56+H56)</f>
        <v>-38263</v>
      </c>
      <c r="L56">
        <f t="shared" si="3"/>
        <v>0</v>
      </c>
      <c r="M56">
        <v>-2718</v>
      </c>
      <c r="N56">
        <f>18729-M56</f>
        <v>21447</v>
      </c>
      <c r="O56">
        <f>43070-(N56+M56)</f>
        <v>24341</v>
      </c>
      <c r="P56">
        <f>0-(O56+N56+M56)</f>
        <v>-43070</v>
      </c>
      <c r="Q56">
        <f t="shared" si="5"/>
        <v>0</v>
      </c>
      <c r="R56">
        <v>-3518</v>
      </c>
      <c r="S56">
        <f>10635-R56</f>
        <v>14153</v>
      </c>
      <c r="T56">
        <f>22614-(S56+R56)</f>
        <v>11979</v>
      </c>
      <c r="U56">
        <f>0-(T56+S56+R56)</f>
        <v>-22614</v>
      </c>
      <c r="V56">
        <f t="shared" si="7"/>
        <v>0</v>
      </c>
    </row>
    <row r="57" spans="1:22" x14ac:dyDescent="0.4">
      <c r="A57">
        <v>56</v>
      </c>
      <c r="B57" s="1" t="s">
        <v>89</v>
      </c>
      <c r="C57" s="2">
        <v>5381</v>
      </c>
      <c r="D57" s="2">
        <f>11526-C57</f>
        <v>6145</v>
      </c>
      <c r="E57" s="2">
        <f>21583-(D57+C57)</f>
        <v>10057</v>
      </c>
      <c r="F57" s="2">
        <f>32584-(E57+D57+C57)</f>
        <v>11001</v>
      </c>
      <c r="G57" s="2">
        <f t="shared" si="1"/>
        <v>32584</v>
      </c>
      <c r="H57">
        <v>679</v>
      </c>
      <c r="I57">
        <f>1088-H57</f>
        <v>409</v>
      </c>
      <c r="J57">
        <f>2211-(I57+H57)</f>
        <v>1123</v>
      </c>
      <c r="K57">
        <f>3195-(J57+I57+H57)</f>
        <v>984</v>
      </c>
      <c r="L57">
        <f t="shared" si="3"/>
        <v>3195</v>
      </c>
      <c r="M57">
        <v>833</v>
      </c>
      <c r="N57">
        <f>1230-M57</f>
        <v>397</v>
      </c>
      <c r="O57">
        <f>2469-(N57+M57)</f>
        <v>1239</v>
      </c>
      <c r="P57">
        <f>3423-(O57+N57+M57)</f>
        <v>954</v>
      </c>
      <c r="Q57">
        <f t="shared" si="5"/>
        <v>3423</v>
      </c>
      <c r="R57">
        <v>578</v>
      </c>
      <c r="S57">
        <f>815-R57</f>
        <v>237</v>
      </c>
      <c r="T57">
        <f>2311-(S57+R57)</f>
        <v>1496</v>
      </c>
      <c r="U57">
        <f>3086-(T57+S57+R57)</f>
        <v>775</v>
      </c>
      <c r="V57">
        <f t="shared" si="7"/>
        <v>3086</v>
      </c>
    </row>
    <row r="58" spans="1:22" x14ac:dyDescent="0.4">
      <c r="A58">
        <v>57</v>
      </c>
      <c r="B58" s="1" t="s">
        <v>90</v>
      </c>
      <c r="C58" s="2">
        <v>20837</v>
      </c>
      <c r="D58" s="2">
        <f>45847-C58</f>
        <v>25010</v>
      </c>
      <c r="E58" s="2">
        <f>73210-(D58+C58)</f>
        <v>27363</v>
      </c>
      <c r="F58" s="2">
        <f>102825-(E58+D58+C58)</f>
        <v>29615</v>
      </c>
      <c r="G58" s="2">
        <f t="shared" si="1"/>
        <v>102825</v>
      </c>
      <c r="H58">
        <v>1666</v>
      </c>
      <c r="I58">
        <f>3790-H58</f>
        <v>2124</v>
      </c>
      <c r="J58">
        <f>6818-(I58+H58)</f>
        <v>3028</v>
      </c>
      <c r="K58">
        <f>9702-(J58+I58+H58)</f>
        <v>2884</v>
      </c>
      <c r="L58">
        <f t="shared" si="3"/>
        <v>9702</v>
      </c>
      <c r="M58">
        <v>1735</v>
      </c>
      <c r="N58">
        <f>3951-M58</f>
        <v>2216</v>
      </c>
      <c r="O58">
        <f>6972-(N58+M58)</f>
        <v>3021</v>
      </c>
      <c r="P58">
        <f>10124-(O58+N58+M58)</f>
        <v>3152</v>
      </c>
      <c r="Q58">
        <f t="shared" si="5"/>
        <v>10124</v>
      </c>
      <c r="R58">
        <v>1196</v>
      </c>
      <c r="S58">
        <f>2734-R58</f>
        <v>1538</v>
      </c>
      <c r="T58">
        <f>4742-(S58+R58)</f>
        <v>2008</v>
      </c>
      <c r="U58">
        <f>6512-(T58+S58+R58)</f>
        <v>1770</v>
      </c>
      <c r="V58">
        <f t="shared" si="7"/>
        <v>6512</v>
      </c>
    </row>
    <row r="59" spans="1:22" x14ac:dyDescent="0.4">
      <c r="A59">
        <v>58</v>
      </c>
      <c r="B59" s="1" t="s">
        <v>91</v>
      </c>
      <c r="C59" s="2">
        <v>12310</v>
      </c>
      <c r="D59" s="2">
        <f>26638-C59</f>
        <v>14328</v>
      </c>
      <c r="E59" s="2">
        <f>44550-(D59+C59)</f>
        <v>17912</v>
      </c>
      <c r="F59" s="2">
        <f>63264-(E59+D59+C59)</f>
        <v>18714</v>
      </c>
      <c r="G59" s="2">
        <f t="shared" si="1"/>
        <v>63264</v>
      </c>
      <c r="H59">
        <v>277</v>
      </c>
      <c r="I59">
        <f>1096-H59</f>
        <v>819</v>
      </c>
      <c r="J59">
        <f>2701-(I59+H59)</f>
        <v>1605</v>
      </c>
      <c r="K59">
        <f>3970-(J59+I59+H59)</f>
        <v>1269</v>
      </c>
      <c r="L59">
        <f t="shared" si="3"/>
        <v>3970</v>
      </c>
      <c r="M59">
        <v>287</v>
      </c>
      <c r="N59">
        <f>1095-M59</f>
        <v>808</v>
      </c>
      <c r="O59">
        <f>2720-(N59+M59)</f>
        <v>1625</v>
      </c>
      <c r="P59">
        <f>4004-(O59+N59+M59)</f>
        <v>1284</v>
      </c>
      <c r="Q59">
        <f t="shared" si="5"/>
        <v>4004</v>
      </c>
      <c r="R59">
        <v>148</v>
      </c>
      <c r="S59">
        <f>668-R59</f>
        <v>520</v>
      </c>
      <c r="T59">
        <f>1767-(S59+R59)</f>
        <v>1099</v>
      </c>
      <c r="U59">
        <f>2721-(T59+S59+R59)</f>
        <v>954</v>
      </c>
      <c r="V59">
        <f t="shared" si="7"/>
        <v>2721</v>
      </c>
    </row>
    <row r="60" spans="1:22" x14ac:dyDescent="0.4">
      <c r="A60">
        <v>59</v>
      </c>
      <c r="B60" s="1" t="s">
        <v>92</v>
      </c>
      <c r="C60" s="2">
        <v>9019</v>
      </c>
      <c r="D60" s="2">
        <f>21717-C60</f>
        <v>12698</v>
      </c>
      <c r="E60" s="2">
        <f>36344-(D60+C60)</f>
        <v>14627</v>
      </c>
      <c r="F60" s="2">
        <f>57524-(E60+D60+C60)</f>
        <v>21180</v>
      </c>
      <c r="G60" s="2">
        <f t="shared" si="1"/>
        <v>57524</v>
      </c>
      <c r="H60">
        <v>-162</v>
      </c>
      <c r="I60">
        <f>545-H60</f>
        <v>707</v>
      </c>
      <c r="J60">
        <f>1963-(I60+H60)</f>
        <v>1418</v>
      </c>
      <c r="K60">
        <f>4171-(J60+I60+H60)</f>
        <v>2208</v>
      </c>
      <c r="L60">
        <f t="shared" si="3"/>
        <v>4171</v>
      </c>
      <c r="M60">
        <v>-20</v>
      </c>
      <c r="N60">
        <f>858-M60</f>
        <v>878</v>
      </c>
      <c r="O60">
        <f>2473-(N60+M60)</f>
        <v>1615</v>
      </c>
      <c r="P60">
        <f>4835-(O60+N60+M60)</f>
        <v>2362</v>
      </c>
      <c r="Q60">
        <f t="shared" si="5"/>
        <v>4835</v>
      </c>
      <c r="R60">
        <v>-27</v>
      </c>
      <c r="S60">
        <f>609-R60</f>
        <v>636</v>
      </c>
      <c r="T60">
        <f>1762-(S60+R60)</f>
        <v>1153</v>
      </c>
      <c r="U60">
        <f>3349-(T60+S60+R60)</f>
        <v>1587</v>
      </c>
      <c r="V60">
        <f t="shared" si="7"/>
        <v>3349</v>
      </c>
    </row>
    <row r="61" spans="1:22" x14ac:dyDescent="0.4">
      <c r="A61">
        <v>60</v>
      </c>
      <c r="B61" s="1" t="s">
        <v>93</v>
      </c>
      <c r="C61" s="2">
        <v>126737</v>
      </c>
      <c r="D61" s="2">
        <f>257976-C61</f>
        <v>131239</v>
      </c>
      <c r="E61" s="2">
        <f>387716-(D61+C61)</f>
        <v>129740</v>
      </c>
      <c r="F61" s="2">
        <f>563550-(E61+D61+C61)</f>
        <v>175834</v>
      </c>
      <c r="G61" s="2">
        <f t="shared" si="1"/>
        <v>563550</v>
      </c>
      <c r="H61">
        <v>6309</v>
      </c>
      <c r="I61">
        <f>14185-H61</f>
        <v>7876</v>
      </c>
      <c r="J61">
        <f>19197-(I61+H61)</f>
        <v>5012</v>
      </c>
      <c r="K61">
        <f>30012-(J61+I61+H61)</f>
        <v>10815</v>
      </c>
      <c r="L61">
        <f t="shared" si="3"/>
        <v>30012</v>
      </c>
      <c r="M61">
        <v>6747</v>
      </c>
      <c r="N61">
        <f>14682-M61</f>
        <v>7935</v>
      </c>
      <c r="O61">
        <f>19967-(N61+M61)</f>
        <v>5285</v>
      </c>
      <c r="P61">
        <f>30795-(O61+N61+M61)</f>
        <v>10828</v>
      </c>
      <c r="Q61">
        <f t="shared" si="5"/>
        <v>30795</v>
      </c>
      <c r="R61">
        <v>4308</v>
      </c>
      <c r="S61">
        <f>9349-R61</f>
        <v>5041</v>
      </c>
      <c r="T61">
        <f>12733-(S61+R61)</f>
        <v>3384</v>
      </c>
      <c r="U61">
        <f>19703-(T61+S61+R61)</f>
        <v>6970</v>
      </c>
      <c r="V61">
        <f t="shared" si="7"/>
        <v>19703</v>
      </c>
    </row>
    <row r="62" spans="1:22" x14ac:dyDescent="0.4">
      <c r="A62">
        <v>61</v>
      </c>
      <c r="B62" s="1" t="s">
        <v>94</v>
      </c>
      <c r="C62" s="2">
        <v>10720</v>
      </c>
      <c r="D62" s="2">
        <f>26439-C62</f>
        <v>15719</v>
      </c>
      <c r="E62" s="2">
        <f>42933-(D62+C62)</f>
        <v>16494</v>
      </c>
      <c r="F62" s="2">
        <f>68644-(E62+D62+C62)</f>
        <v>25711</v>
      </c>
      <c r="G62" s="2">
        <f t="shared" si="1"/>
        <v>68644</v>
      </c>
      <c r="H62">
        <v>58</v>
      </c>
      <c r="I62">
        <f>643-H62</f>
        <v>585</v>
      </c>
      <c r="J62">
        <f>1179-(I62+H62)</f>
        <v>536</v>
      </c>
      <c r="K62">
        <f>4822-(J62+I62+H62)</f>
        <v>3643</v>
      </c>
      <c r="L62">
        <f t="shared" si="3"/>
        <v>4822</v>
      </c>
      <c r="M62">
        <v>190</v>
      </c>
      <c r="N62">
        <f>780-M62</f>
        <v>590</v>
      </c>
      <c r="O62">
        <f>1362-(N62+M62)</f>
        <v>582</v>
      </c>
      <c r="P62">
        <f>5031-(O62+N62+M62)</f>
        <v>3669</v>
      </c>
      <c r="Q62">
        <f t="shared" si="5"/>
        <v>5031</v>
      </c>
      <c r="R62">
        <v>126</v>
      </c>
      <c r="S62">
        <f>516-R62</f>
        <v>390</v>
      </c>
      <c r="T62">
        <f>992-(S62+R62)</f>
        <v>476</v>
      </c>
      <c r="U62">
        <f>3508-(T62+S62+R62)</f>
        <v>2516</v>
      </c>
      <c r="V62">
        <f t="shared" si="7"/>
        <v>3508</v>
      </c>
    </row>
    <row r="63" spans="1:22" x14ac:dyDescent="0.4">
      <c r="A63">
        <v>62</v>
      </c>
      <c r="B63" s="1" t="s">
        <v>95</v>
      </c>
      <c r="C63" s="2">
        <v>17109</v>
      </c>
      <c r="D63" s="2">
        <f>47831-C63</f>
        <v>30722</v>
      </c>
      <c r="E63" s="2">
        <f>82410-(D63+C63)</f>
        <v>34579</v>
      </c>
      <c r="F63" s="2">
        <f>182464-(E63+D63+C63)</f>
        <v>100054</v>
      </c>
      <c r="G63" s="2">
        <f t="shared" si="1"/>
        <v>182464</v>
      </c>
      <c r="H63">
        <v>-767</v>
      </c>
      <c r="I63">
        <f>896-H63</f>
        <v>1663</v>
      </c>
      <c r="J63">
        <f>3791-(I63+H63)</f>
        <v>2895</v>
      </c>
      <c r="K63">
        <f>14851-(J63+I63+H63)</f>
        <v>11060</v>
      </c>
      <c r="L63">
        <f t="shared" si="3"/>
        <v>14851</v>
      </c>
      <c r="M63">
        <v>-393</v>
      </c>
      <c r="N63">
        <f>1316-M63</f>
        <v>1709</v>
      </c>
      <c r="O63">
        <f>4539-(N63+M63)</f>
        <v>3223</v>
      </c>
      <c r="P63">
        <f>15826-(O63+N63+M63)</f>
        <v>11287</v>
      </c>
      <c r="Q63">
        <f t="shared" si="5"/>
        <v>15826</v>
      </c>
      <c r="R63">
        <v>-448</v>
      </c>
      <c r="S63">
        <f>408-R63</f>
        <v>856</v>
      </c>
      <c r="T63">
        <f>2313-(S63+R63)</f>
        <v>1905</v>
      </c>
      <c r="U63">
        <f>9823-(T63+S63+R63)</f>
        <v>7510</v>
      </c>
      <c r="V63">
        <f t="shared" si="7"/>
        <v>9823</v>
      </c>
    </row>
    <row r="64" spans="1:22" x14ac:dyDescent="0.4">
      <c r="A64">
        <v>63</v>
      </c>
      <c r="B64" s="1" t="s">
        <v>96</v>
      </c>
      <c r="C64" s="2">
        <v>61898</v>
      </c>
      <c r="D64" s="2">
        <f>132889-C64</f>
        <v>70991</v>
      </c>
      <c r="E64" s="2">
        <f>247625-(D64+C64)</f>
        <v>114736</v>
      </c>
      <c r="F64" s="2">
        <f>423727-(E64+D64+C64)</f>
        <v>176102</v>
      </c>
      <c r="G64" s="2">
        <f t="shared" si="1"/>
        <v>423727</v>
      </c>
      <c r="H64">
        <v>3890</v>
      </c>
      <c r="I64">
        <f>8555-H64</f>
        <v>4665</v>
      </c>
      <c r="J64">
        <f>15801-(I64+H64)</f>
        <v>7246</v>
      </c>
      <c r="K64">
        <f>31716-(J64+I64+H64)</f>
        <v>15915</v>
      </c>
      <c r="L64">
        <f t="shared" si="3"/>
        <v>31716</v>
      </c>
      <c r="M64">
        <v>4204</v>
      </c>
      <c r="N64">
        <f>8932-M64</f>
        <v>4728</v>
      </c>
      <c r="O64">
        <f>17418-(N64+M64)</f>
        <v>8486</v>
      </c>
      <c r="P64">
        <f>33431-(O64+N64+M64)</f>
        <v>16013</v>
      </c>
      <c r="Q64">
        <f t="shared" si="5"/>
        <v>33431</v>
      </c>
      <c r="R64">
        <v>2728</v>
      </c>
      <c r="S64">
        <f>5899-R64</f>
        <v>3171</v>
      </c>
      <c r="T64">
        <f>29719-(S64+R64)</f>
        <v>23820</v>
      </c>
      <c r="U64">
        <f>40219-(T64+S64+R64)</f>
        <v>10500</v>
      </c>
      <c r="V64">
        <f t="shared" si="7"/>
        <v>40219</v>
      </c>
    </row>
    <row r="65" spans="1:22" x14ac:dyDescent="0.4">
      <c r="A65">
        <v>64</v>
      </c>
      <c r="B65" s="1" t="s">
        <v>97</v>
      </c>
      <c r="C65" s="2">
        <v>22719</v>
      </c>
      <c r="D65" s="2">
        <f>49219-C65</f>
        <v>26500</v>
      </c>
      <c r="E65" s="2">
        <f>80179-(D65+C65)</f>
        <v>30960</v>
      </c>
      <c r="F65" s="2">
        <f>122389-(E65+D65+C65)</f>
        <v>42210</v>
      </c>
      <c r="G65" s="2">
        <f t="shared" si="1"/>
        <v>122389</v>
      </c>
      <c r="H65">
        <v>-778</v>
      </c>
      <c r="I65">
        <f>363-H65</f>
        <v>1141</v>
      </c>
      <c r="J65">
        <f>1508-(I65+H65)</f>
        <v>1145</v>
      </c>
      <c r="K65">
        <f>3885-(J65+I65+H65)</f>
        <v>2377</v>
      </c>
      <c r="L65">
        <f t="shared" si="3"/>
        <v>3885</v>
      </c>
      <c r="M65">
        <v>-561</v>
      </c>
      <c r="N65">
        <f>569-M65</f>
        <v>1130</v>
      </c>
      <c r="O65">
        <f>1827-(N65+M65)</f>
        <v>1258</v>
      </c>
      <c r="P65">
        <f>4235-(O65+N65+M65)</f>
        <v>2408</v>
      </c>
      <c r="Q65">
        <f t="shared" si="5"/>
        <v>4235</v>
      </c>
      <c r="R65">
        <v>-247</v>
      </c>
      <c r="S65">
        <f>493-R65</f>
        <v>740</v>
      </c>
      <c r="T65">
        <f>1328-(S65+R65)</f>
        <v>835</v>
      </c>
      <c r="U65">
        <f>3095-(T65+S65+R65)</f>
        <v>1767</v>
      </c>
      <c r="V65">
        <f t="shared" si="7"/>
        <v>3095</v>
      </c>
    </row>
    <row r="66" spans="1:22" x14ac:dyDescent="0.4">
      <c r="A66">
        <v>65</v>
      </c>
      <c r="B66" s="1" t="s">
        <v>98</v>
      </c>
      <c r="C66" s="2">
        <v>38501</v>
      </c>
      <c r="D66" s="2">
        <v>17729</v>
      </c>
      <c r="E66" s="2">
        <v>21417</v>
      </c>
      <c r="F66" s="2">
        <v>35016</v>
      </c>
      <c r="G66" s="2">
        <f t="shared" si="1"/>
        <v>112663</v>
      </c>
      <c r="H66">
        <v>3430</v>
      </c>
      <c r="I66">
        <v>-1962</v>
      </c>
      <c r="J66">
        <v>-4779</v>
      </c>
      <c r="K66">
        <v>5753</v>
      </c>
      <c r="L66">
        <f t="shared" si="3"/>
        <v>2442</v>
      </c>
      <c r="M66">
        <v>3504</v>
      </c>
      <c r="N66">
        <v>-2061</v>
      </c>
      <c r="O66">
        <v>-840</v>
      </c>
      <c r="P66">
        <v>2994</v>
      </c>
      <c r="Q66">
        <f t="shared" si="5"/>
        <v>3597</v>
      </c>
      <c r="R66">
        <v>2136</v>
      </c>
      <c r="S66">
        <v>-1654</v>
      </c>
      <c r="T66">
        <v>-677</v>
      </c>
      <c r="U66">
        <v>3799</v>
      </c>
      <c r="V66">
        <f t="shared" si="7"/>
        <v>3604</v>
      </c>
    </row>
    <row r="67" spans="1:22" x14ac:dyDescent="0.4">
      <c r="A67">
        <v>66</v>
      </c>
      <c r="B67" s="1" t="s">
        <v>99</v>
      </c>
      <c r="C67" s="2">
        <v>35252</v>
      </c>
      <c r="D67" s="2">
        <f>80723-C67</f>
        <v>45471</v>
      </c>
      <c r="E67" s="2">
        <f>142046-(D67+C67)</f>
        <v>61323</v>
      </c>
      <c r="F67" s="2">
        <f>212314-(E67+D67+C67)</f>
        <v>70268</v>
      </c>
      <c r="G67" s="2">
        <f t="shared" ref="G67:G101" si="8">SUM(C67:F67)</f>
        <v>212314</v>
      </c>
      <c r="H67">
        <v>-242</v>
      </c>
      <c r="I67">
        <f>1126-H67</f>
        <v>1368</v>
      </c>
      <c r="J67">
        <f>4815-(I67+H67)</f>
        <v>3689</v>
      </c>
      <c r="K67">
        <f>10637-(J67+I67+H67)</f>
        <v>5822</v>
      </c>
      <c r="L67">
        <f t="shared" ref="L67:L101" si="9">SUM(H67:K67)</f>
        <v>10637</v>
      </c>
      <c r="M67">
        <v>92</v>
      </c>
      <c r="N67">
        <f>1540-M67</f>
        <v>1448</v>
      </c>
      <c r="O67">
        <f>5388-(N67+M67)</f>
        <v>3848</v>
      </c>
      <c r="P67">
        <f>11204-(O67+N67+M67)</f>
        <v>5816</v>
      </c>
      <c r="Q67">
        <f t="shared" ref="Q67:Q101" si="10">SUM(M67:P67)</f>
        <v>11204</v>
      </c>
      <c r="R67">
        <v>-66</v>
      </c>
      <c r="S67">
        <f>796-R67</f>
        <v>862</v>
      </c>
      <c r="T67">
        <f>2540-(S67+R67)</f>
        <v>1744</v>
      </c>
      <c r="U67">
        <f>9046-(T67+S67+R67)</f>
        <v>6506</v>
      </c>
      <c r="V67">
        <f t="shared" ref="V67:V101" si="11">SUM(R67:U67)</f>
        <v>9046</v>
      </c>
    </row>
    <row r="68" spans="1:22" x14ac:dyDescent="0.4">
      <c r="A68">
        <v>67</v>
      </c>
      <c r="B68" s="1" t="s">
        <v>100</v>
      </c>
      <c r="C68" s="2">
        <v>20627</v>
      </c>
      <c r="D68" s="2">
        <f>47066-C68</f>
        <v>26439</v>
      </c>
      <c r="E68" s="2">
        <f>68947-(D68+C68)</f>
        <v>21881</v>
      </c>
      <c r="F68" s="2">
        <f>101141-(E68+D68+C68)</f>
        <v>32194</v>
      </c>
      <c r="G68" s="2">
        <f t="shared" si="8"/>
        <v>101141</v>
      </c>
      <c r="H68">
        <v>862</v>
      </c>
      <c r="I68">
        <f>2616-H68</f>
        <v>1754</v>
      </c>
      <c r="J68">
        <f>3315-(I68+H68)</f>
        <v>699</v>
      </c>
      <c r="K68">
        <f>3491-(J68+I68+H68)</f>
        <v>176</v>
      </c>
      <c r="L68">
        <f t="shared" si="9"/>
        <v>3491</v>
      </c>
      <c r="M68">
        <v>1093</v>
      </c>
      <c r="N68">
        <f>2990-M68</f>
        <v>1897</v>
      </c>
      <c r="O68">
        <f>3703-(N68+M68)</f>
        <v>713</v>
      </c>
      <c r="P68">
        <f>4013-(O68+N68+M68)</f>
        <v>310</v>
      </c>
      <c r="Q68">
        <f t="shared" si="10"/>
        <v>4013</v>
      </c>
      <c r="R68">
        <v>739</v>
      </c>
      <c r="S68">
        <f>2024-R68</f>
        <v>1285</v>
      </c>
      <c r="T68">
        <f>2407-(S68+R68)</f>
        <v>383</v>
      </c>
      <c r="U68">
        <f>2795-(T68+S68+R68)</f>
        <v>388</v>
      </c>
      <c r="V68">
        <f t="shared" si="11"/>
        <v>2795</v>
      </c>
    </row>
    <row r="69" spans="1:22" x14ac:dyDescent="0.4">
      <c r="A69">
        <v>68</v>
      </c>
      <c r="B69" s="1" t="s">
        <v>101</v>
      </c>
      <c r="C69" s="2">
        <v>63442</v>
      </c>
      <c r="D69" s="2">
        <f>137655-C69</f>
        <v>74213</v>
      </c>
      <c r="E69" s="2">
        <f>220516-(D69+C69)</f>
        <v>82861</v>
      </c>
      <c r="F69" s="2">
        <f>0-(E69+D69+C69)</f>
        <v>-220516</v>
      </c>
      <c r="G69" s="2">
        <f t="shared" si="8"/>
        <v>0</v>
      </c>
      <c r="H69">
        <v>2485</v>
      </c>
      <c r="I69">
        <f>5899-H69</f>
        <v>3414</v>
      </c>
      <c r="J69">
        <f>10547-(I69+H69)</f>
        <v>4648</v>
      </c>
      <c r="K69">
        <f>0-(J69+I69+H69)</f>
        <v>-10547</v>
      </c>
      <c r="L69">
        <f t="shared" si="9"/>
        <v>0</v>
      </c>
      <c r="M69">
        <v>2962</v>
      </c>
      <c r="N69">
        <f>6436-M69</f>
        <v>3474</v>
      </c>
      <c r="O69">
        <f>11459-(N69+M69)</f>
        <v>5023</v>
      </c>
      <c r="P69">
        <f>0-(O69+N69+M69)</f>
        <v>-11459</v>
      </c>
      <c r="Q69">
        <f t="shared" si="10"/>
        <v>0</v>
      </c>
      <c r="R69">
        <v>1100</v>
      </c>
      <c r="S69">
        <f>4023-R69</f>
        <v>2923</v>
      </c>
      <c r="T69">
        <f>7315-(S69+R69)</f>
        <v>3292</v>
      </c>
      <c r="U69">
        <f>0-(T69+S69+R69)</f>
        <v>-7315</v>
      </c>
      <c r="V69">
        <f t="shared" si="11"/>
        <v>0</v>
      </c>
    </row>
    <row r="70" spans="1:22" x14ac:dyDescent="0.4">
      <c r="A70">
        <v>69</v>
      </c>
      <c r="B70" s="1" t="s">
        <v>102</v>
      </c>
      <c r="C70" s="2">
        <v>7396</v>
      </c>
      <c r="D70" s="2">
        <f>16714-C70</f>
        <v>9318</v>
      </c>
      <c r="E70" s="2">
        <f>26165-(D70+C70)</f>
        <v>9451</v>
      </c>
      <c r="F70" s="2">
        <f>36107-(E70+D70+C70)</f>
        <v>9942</v>
      </c>
      <c r="G70" s="2">
        <f t="shared" si="8"/>
        <v>36107</v>
      </c>
      <c r="H70">
        <v>184</v>
      </c>
      <c r="I70">
        <f>1069-H70</f>
        <v>885</v>
      </c>
      <c r="J70">
        <f>1884-(I70+H70)</f>
        <v>815</v>
      </c>
      <c r="K70">
        <f>2880-(J70+I70+H70)</f>
        <v>996</v>
      </c>
      <c r="L70">
        <f t="shared" si="9"/>
        <v>2880</v>
      </c>
      <c r="M70">
        <v>185</v>
      </c>
      <c r="N70">
        <f>1068-M70</f>
        <v>883</v>
      </c>
      <c r="O70">
        <f>2874-(N70+M70)</f>
        <v>1806</v>
      </c>
      <c r="P70">
        <f t="shared" ref="P70:P101" si="12">4434-(O70+N70+M70)</f>
        <v>1560</v>
      </c>
      <c r="Q70">
        <f t="shared" si="10"/>
        <v>4434</v>
      </c>
      <c r="R70">
        <v>85</v>
      </c>
      <c r="S70">
        <f>677-R70</f>
        <v>592</v>
      </c>
      <c r="T70">
        <f>1233-(S70+R70)</f>
        <v>556</v>
      </c>
      <c r="U70">
        <f>1943-(T70+S70+R70)</f>
        <v>710</v>
      </c>
      <c r="V70">
        <f t="shared" si="11"/>
        <v>1943</v>
      </c>
    </row>
    <row r="71" spans="1:22" x14ac:dyDescent="0.4">
      <c r="A71">
        <v>70</v>
      </c>
      <c r="B71" s="1" t="s">
        <v>103</v>
      </c>
      <c r="C71" s="2">
        <v>55455</v>
      </c>
      <c r="D71" s="2">
        <f>122506-C71</f>
        <v>67051</v>
      </c>
      <c r="E71" s="2">
        <f>190986-(D71+C71)</f>
        <v>68480</v>
      </c>
      <c r="F71" s="2">
        <f>277949-(E71+D71+C71)</f>
        <v>86963</v>
      </c>
      <c r="G71" s="2">
        <f t="shared" si="8"/>
        <v>277949</v>
      </c>
      <c r="H71">
        <v>-328</v>
      </c>
      <c r="I71">
        <f>2632-H71</f>
        <v>2960</v>
      </c>
      <c r="J71">
        <f>6283-(I71+H71)</f>
        <v>3651</v>
      </c>
      <c r="K71">
        <f>12774-(J71+I71+H71)</f>
        <v>6491</v>
      </c>
      <c r="L71">
        <f t="shared" si="9"/>
        <v>12774</v>
      </c>
      <c r="M71">
        <v>-340</v>
      </c>
      <c r="N71">
        <f>2900-M71</f>
        <v>3240</v>
      </c>
      <c r="O71">
        <f>6521-(N71+M71)</f>
        <v>3621</v>
      </c>
      <c r="P71">
        <f>13023-(O71+N71+M71)</f>
        <v>6502</v>
      </c>
      <c r="Q71">
        <f t="shared" si="10"/>
        <v>13023</v>
      </c>
      <c r="R71">
        <v>-205</v>
      </c>
      <c r="S71">
        <f>1911-R71</f>
        <v>2116</v>
      </c>
      <c r="T71">
        <f>4296-(S71+R71)</f>
        <v>2385</v>
      </c>
      <c r="U71">
        <f>8885-(T71+S71+R71)</f>
        <v>4589</v>
      </c>
      <c r="V71">
        <f t="shared" si="11"/>
        <v>8885</v>
      </c>
    </row>
    <row r="72" spans="1:22" x14ac:dyDescent="0.4">
      <c r="A72">
        <v>71</v>
      </c>
      <c r="C72" s="2">
        <v>0</v>
      </c>
      <c r="D72" s="2">
        <f t="shared" ref="D72:D101" si="13">119202-C72</f>
        <v>119202</v>
      </c>
      <c r="E72" s="2">
        <f t="shared" ref="E72:E101" si="14">197783-(D72+C72)</f>
        <v>78581</v>
      </c>
      <c r="F72" s="2">
        <f t="shared" ref="F72:F101" si="15">256151-(E72+D72+C72)</f>
        <v>58368</v>
      </c>
      <c r="G72" s="2">
        <f t="shared" si="8"/>
        <v>256151</v>
      </c>
      <c r="H72">
        <v>0</v>
      </c>
      <c r="I72">
        <f t="shared" ref="I72:I101" si="16">1072-H72</f>
        <v>1072</v>
      </c>
      <c r="J72">
        <f t="shared" ref="J72:J101" si="17">3280-(I72+H72)</f>
        <v>2208</v>
      </c>
      <c r="K72">
        <f t="shared" ref="K72:K101" si="18">3831-(J72+I72+H72)</f>
        <v>551</v>
      </c>
      <c r="L72">
        <f t="shared" si="9"/>
        <v>3831</v>
      </c>
      <c r="M72">
        <v>0</v>
      </c>
      <c r="N72">
        <f t="shared" ref="N72:N101" si="19">1332-M72</f>
        <v>1332</v>
      </c>
      <c r="O72">
        <f t="shared" ref="O72:O101" si="20">3923-(N72+M72)</f>
        <v>2591</v>
      </c>
      <c r="P72">
        <f t="shared" si="12"/>
        <v>511</v>
      </c>
      <c r="Q72">
        <f t="shared" si="10"/>
        <v>4434</v>
      </c>
      <c r="R72">
        <v>0</v>
      </c>
      <c r="S72">
        <f t="shared" ref="S72:S101" si="21">824-R72</f>
        <v>824</v>
      </c>
      <c r="T72">
        <f t="shared" ref="T72:T101" si="22">2501-(S72+R72)</f>
        <v>1677</v>
      </c>
      <c r="U72">
        <f t="shared" ref="U72:U101" si="23">2914-(T72+S72+R72)</f>
        <v>413</v>
      </c>
      <c r="V72">
        <f t="shared" si="11"/>
        <v>2914</v>
      </c>
    </row>
    <row r="73" spans="1:22" x14ac:dyDescent="0.4">
      <c r="A73">
        <v>72</v>
      </c>
      <c r="C73" s="2">
        <v>0</v>
      </c>
      <c r="D73" s="2">
        <f t="shared" si="13"/>
        <v>119202</v>
      </c>
      <c r="E73" s="2">
        <f t="shared" si="14"/>
        <v>78581</v>
      </c>
      <c r="F73" s="2">
        <f t="shared" si="15"/>
        <v>58368</v>
      </c>
      <c r="G73" s="2">
        <f t="shared" si="8"/>
        <v>256151</v>
      </c>
      <c r="H73">
        <v>0</v>
      </c>
      <c r="I73">
        <f t="shared" si="16"/>
        <v>1072</v>
      </c>
      <c r="J73">
        <f t="shared" si="17"/>
        <v>2208</v>
      </c>
      <c r="K73">
        <f t="shared" si="18"/>
        <v>551</v>
      </c>
      <c r="L73">
        <f t="shared" si="9"/>
        <v>3831</v>
      </c>
      <c r="M73">
        <v>0</v>
      </c>
      <c r="N73">
        <f t="shared" si="19"/>
        <v>1332</v>
      </c>
      <c r="O73">
        <f t="shared" si="20"/>
        <v>2591</v>
      </c>
      <c r="P73">
        <f t="shared" si="12"/>
        <v>511</v>
      </c>
      <c r="Q73">
        <f t="shared" si="10"/>
        <v>4434</v>
      </c>
      <c r="R73">
        <v>0</v>
      </c>
      <c r="S73">
        <f t="shared" si="21"/>
        <v>824</v>
      </c>
      <c r="T73">
        <f t="shared" si="22"/>
        <v>1677</v>
      </c>
      <c r="U73">
        <f t="shared" si="23"/>
        <v>413</v>
      </c>
      <c r="V73">
        <f t="shared" si="11"/>
        <v>2914</v>
      </c>
    </row>
    <row r="74" spans="1:22" x14ac:dyDescent="0.4">
      <c r="A74">
        <v>73</v>
      </c>
      <c r="C74" s="2">
        <v>0</v>
      </c>
      <c r="D74" s="2">
        <f t="shared" si="13"/>
        <v>119202</v>
      </c>
      <c r="E74" s="2">
        <f t="shared" si="14"/>
        <v>78581</v>
      </c>
      <c r="F74" s="2">
        <f t="shared" si="15"/>
        <v>58368</v>
      </c>
      <c r="G74" s="2">
        <f t="shared" si="8"/>
        <v>256151</v>
      </c>
      <c r="H74">
        <v>0</v>
      </c>
      <c r="I74">
        <f t="shared" si="16"/>
        <v>1072</v>
      </c>
      <c r="J74">
        <f t="shared" si="17"/>
        <v>2208</v>
      </c>
      <c r="K74">
        <f t="shared" si="18"/>
        <v>551</v>
      </c>
      <c r="L74">
        <f t="shared" si="9"/>
        <v>3831</v>
      </c>
      <c r="M74">
        <v>0</v>
      </c>
      <c r="N74">
        <f t="shared" si="19"/>
        <v>1332</v>
      </c>
      <c r="O74">
        <f t="shared" si="20"/>
        <v>2591</v>
      </c>
      <c r="P74">
        <f t="shared" si="12"/>
        <v>511</v>
      </c>
      <c r="Q74">
        <f t="shared" si="10"/>
        <v>4434</v>
      </c>
      <c r="R74">
        <v>0</v>
      </c>
      <c r="S74">
        <f t="shared" si="21"/>
        <v>824</v>
      </c>
      <c r="T74">
        <f t="shared" si="22"/>
        <v>1677</v>
      </c>
      <c r="U74">
        <f t="shared" si="23"/>
        <v>413</v>
      </c>
      <c r="V74">
        <f t="shared" si="11"/>
        <v>2914</v>
      </c>
    </row>
    <row r="75" spans="1:22" x14ac:dyDescent="0.4">
      <c r="A75">
        <v>74</v>
      </c>
      <c r="C75" s="2">
        <v>0</v>
      </c>
      <c r="D75" s="2">
        <f t="shared" si="13"/>
        <v>119202</v>
      </c>
      <c r="E75" s="2">
        <f t="shared" si="14"/>
        <v>78581</v>
      </c>
      <c r="F75" s="2">
        <f t="shared" si="15"/>
        <v>58368</v>
      </c>
      <c r="G75" s="2">
        <f t="shared" si="8"/>
        <v>256151</v>
      </c>
      <c r="H75">
        <v>0</v>
      </c>
      <c r="I75">
        <f t="shared" si="16"/>
        <v>1072</v>
      </c>
      <c r="J75">
        <f t="shared" si="17"/>
        <v>2208</v>
      </c>
      <c r="K75">
        <f t="shared" si="18"/>
        <v>551</v>
      </c>
      <c r="L75">
        <f t="shared" si="9"/>
        <v>3831</v>
      </c>
      <c r="M75">
        <v>0</v>
      </c>
      <c r="N75">
        <f t="shared" si="19"/>
        <v>1332</v>
      </c>
      <c r="O75">
        <f t="shared" si="20"/>
        <v>2591</v>
      </c>
      <c r="P75">
        <f t="shared" si="12"/>
        <v>511</v>
      </c>
      <c r="Q75">
        <f t="shared" si="10"/>
        <v>4434</v>
      </c>
      <c r="R75">
        <v>0</v>
      </c>
      <c r="S75">
        <f t="shared" si="21"/>
        <v>824</v>
      </c>
      <c r="T75">
        <f t="shared" si="22"/>
        <v>1677</v>
      </c>
      <c r="U75">
        <f t="shared" si="23"/>
        <v>413</v>
      </c>
      <c r="V75">
        <f t="shared" si="11"/>
        <v>2914</v>
      </c>
    </row>
    <row r="76" spans="1:22" x14ac:dyDescent="0.4">
      <c r="A76">
        <v>75</v>
      </c>
      <c r="C76" s="2">
        <v>0</v>
      </c>
      <c r="D76" s="2">
        <f t="shared" si="13"/>
        <v>119202</v>
      </c>
      <c r="E76" s="2">
        <f t="shared" si="14"/>
        <v>78581</v>
      </c>
      <c r="F76" s="2">
        <f t="shared" si="15"/>
        <v>58368</v>
      </c>
      <c r="G76" s="2">
        <f t="shared" si="8"/>
        <v>256151</v>
      </c>
      <c r="H76">
        <v>0</v>
      </c>
      <c r="I76">
        <f t="shared" si="16"/>
        <v>1072</v>
      </c>
      <c r="J76">
        <f t="shared" si="17"/>
        <v>2208</v>
      </c>
      <c r="K76">
        <f t="shared" si="18"/>
        <v>551</v>
      </c>
      <c r="L76">
        <f t="shared" si="9"/>
        <v>3831</v>
      </c>
      <c r="M76">
        <v>0</v>
      </c>
      <c r="N76">
        <f t="shared" si="19"/>
        <v>1332</v>
      </c>
      <c r="O76">
        <f t="shared" si="20"/>
        <v>2591</v>
      </c>
      <c r="P76">
        <f t="shared" si="12"/>
        <v>511</v>
      </c>
      <c r="Q76">
        <f t="shared" si="10"/>
        <v>4434</v>
      </c>
      <c r="R76">
        <v>0</v>
      </c>
      <c r="S76">
        <f t="shared" si="21"/>
        <v>824</v>
      </c>
      <c r="T76">
        <f t="shared" si="22"/>
        <v>1677</v>
      </c>
      <c r="U76">
        <f t="shared" si="23"/>
        <v>413</v>
      </c>
      <c r="V76">
        <f t="shared" si="11"/>
        <v>2914</v>
      </c>
    </row>
    <row r="77" spans="1:22" x14ac:dyDescent="0.4">
      <c r="A77">
        <v>76</v>
      </c>
      <c r="C77" s="2">
        <v>0</v>
      </c>
      <c r="D77" s="2">
        <f t="shared" si="13"/>
        <v>119202</v>
      </c>
      <c r="E77" s="2">
        <f t="shared" si="14"/>
        <v>78581</v>
      </c>
      <c r="F77" s="2">
        <f t="shared" si="15"/>
        <v>58368</v>
      </c>
      <c r="G77" s="2">
        <f t="shared" si="8"/>
        <v>256151</v>
      </c>
      <c r="H77">
        <v>0</v>
      </c>
      <c r="I77">
        <f t="shared" si="16"/>
        <v>1072</v>
      </c>
      <c r="J77">
        <f t="shared" si="17"/>
        <v>2208</v>
      </c>
      <c r="K77">
        <f t="shared" si="18"/>
        <v>551</v>
      </c>
      <c r="L77">
        <f t="shared" si="9"/>
        <v>3831</v>
      </c>
      <c r="M77">
        <v>0</v>
      </c>
      <c r="N77">
        <f t="shared" si="19"/>
        <v>1332</v>
      </c>
      <c r="O77">
        <f t="shared" si="20"/>
        <v>2591</v>
      </c>
      <c r="P77">
        <f t="shared" si="12"/>
        <v>511</v>
      </c>
      <c r="Q77">
        <f t="shared" si="10"/>
        <v>4434</v>
      </c>
      <c r="R77">
        <v>0</v>
      </c>
      <c r="S77">
        <f t="shared" si="21"/>
        <v>824</v>
      </c>
      <c r="T77">
        <f t="shared" si="22"/>
        <v>1677</v>
      </c>
      <c r="U77">
        <f t="shared" si="23"/>
        <v>413</v>
      </c>
      <c r="V77">
        <f t="shared" si="11"/>
        <v>2914</v>
      </c>
    </row>
    <row r="78" spans="1:22" x14ac:dyDescent="0.4">
      <c r="A78">
        <v>77</v>
      </c>
      <c r="C78" s="2">
        <v>0</v>
      </c>
      <c r="D78" s="2">
        <f t="shared" si="13"/>
        <v>119202</v>
      </c>
      <c r="E78" s="2">
        <f t="shared" si="14"/>
        <v>78581</v>
      </c>
      <c r="F78" s="2">
        <f t="shared" si="15"/>
        <v>58368</v>
      </c>
      <c r="G78" s="2">
        <f t="shared" si="8"/>
        <v>256151</v>
      </c>
      <c r="H78">
        <v>0</v>
      </c>
      <c r="I78">
        <f t="shared" si="16"/>
        <v>1072</v>
      </c>
      <c r="J78">
        <f t="shared" si="17"/>
        <v>2208</v>
      </c>
      <c r="K78">
        <f t="shared" si="18"/>
        <v>551</v>
      </c>
      <c r="L78">
        <f t="shared" si="9"/>
        <v>3831</v>
      </c>
      <c r="M78">
        <v>0</v>
      </c>
      <c r="N78">
        <f t="shared" si="19"/>
        <v>1332</v>
      </c>
      <c r="O78">
        <f t="shared" si="20"/>
        <v>2591</v>
      </c>
      <c r="P78">
        <f t="shared" si="12"/>
        <v>511</v>
      </c>
      <c r="Q78">
        <f t="shared" si="10"/>
        <v>4434</v>
      </c>
      <c r="R78">
        <v>0</v>
      </c>
      <c r="S78">
        <f t="shared" si="21"/>
        <v>824</v>
      </c>
      <c r="T78">
        <f t="shared" si="22"/>
        <v>1677</v>
      </c>
      <c r="U78">
        <f t="shared" si="23"/>
        <v>413</v>
      </c>
      <c r="V78">
        <f t="shared" si="11"/>
        <v>2914</v>
      </c>
    </row>
    <row r="79" spans="1:22" x14ac:dyDescent="0.4">
      <c r="A79">
        <v>78</v>
      </c>
      <c r="C79" s="2">
        <v>0</v>
      </c>
      <c r="D79" s="2">
        <f t="shared" si="13"/>
        <v>119202</v>
      </c>
      <c r="E79" s="2">
        <f t="shared" si="14"/>
        <v>78581</v>
      </c>
      <c r="F79" s="2">
        <f t="shared" si="15"/>
        <v>58368</v>
      </c>
      <c r="G79" s="2">
        <f t="shared" si="8"/>
        <v>256151</v>
      </c>
      <c r="H79">
        <v>0</v>
      </c>
      <c r="I79">
        <f t="shared" si="16"/>
        <v>1072</v>
      </c>
      <c r="J79">
        <f t="shared" si="17"/>
        <v>2208</v>
      </c>
      <c r="K79">
        <f t="shared" si="18"/>
        <v>551</v>
      </c>
      <c r="L79">
        <f t="shared" si="9"/>
        <v>3831</v>
      </c>
      <c r="M79">
        <v>0</v>
      </c>
      <c r="N79">
        <f t="shared" si="19"/>
        <v>1332</v>
      </c>
      <c r="O79">
        <f t="shared" si="20"/>
        <v>2591</v>
      </c>
      <c r="P79">
        <f t="shared" si="12"/>
        <v>511</v>
      </c>
      <c r="Q79">
        <f t="shared" si="10"/>
        <v>4434</v>
      </c>
      <c r="R79">
        <v>0</v>
      </c>
      <c r="S79">
        <f t="shared" si="21"/>
        <v>824</v>
      </c>
      <c r="T79">
        <f t="shared" si="22"/>
        <v>1677</v>
      </c>
      <c r="U79">
        <f t="shared" si="23"/>
        <v>413</v>
      </c>
      <c r="V79">
        <f t="shared" si="11"/>
        <v>2914</v>
      </c>
    </row>
    <row r="80" spans="1:22" x14ac:dyDescent="0.4">
      <c r="A80">
        <v>79</v>
      </c>
      <c r="C80" s="2">
        <v>0</v>
      </c>
      <c r="D80" s="2">
        <f t="shared" si="13"/>
        <v>119202</v>
      </c>
      <c r="E80" s="2">
        <f t="shared" si="14"/>
        <v>78581</v>
      </c>
      <c r="F80" s="2">
        <f t="shared" si="15"/>
        <v>58368</v>
      </c>
      <c r="G80" s="2">
        <f t="shared" si="8"/>
        <v>256151</v>
      </c>
      <c r="H80">
        <v>0</v>
      </c>
      <c r="I80">
        <f t="shared" si="16"/>
        <v>1072</v>
      </c>
      <c r="J80">
        <f t="shared" si="17"/>
        <v>2208</v>
      </c>
      <c r="K80">
        <f t="shared" si="18"/>
        <v>551</v>
      </c>
      <c r="L80">
        <f t="shared" si="9"/>
        <v>3831</v>
      </c>
      <c r="M80">
        <v>0</v>
      </c>
      <c r="N80">
        <f t="shared" si="19"/>
        <v>1332</v>
      </c>
      <c r="O80">
        <f t="shared" si="20"/>
        <v>2591</v>
      </c>
      <c r="P80">
        <f t="shared" si="12"/>
        <v>511</v>
      </c>
      <c r="Q80">
        <f t="shared" si="10"/>
        <v>4434</v>
      </c>
      <c r="R80">
        <v>0</v>
      </c>
      <c r="S80">
        <f t="shared" si="21"/>
        <v>824</v>
      </c>
      <c r="T80">
        <f t="shared" si="22"/>
        <v>1677</v>
      </c>
      <c r="U80">
        <f t="shared" si="23"/>
        <v>413</v>
      </c>
      <c r="V80">
        <f t="shared" si="11"/>
        <v>2914</v>
      </c>
    </row>
    <row r="81" spans="1:22" x14ac:dyDescent="0.4">
      <c r="A81">
        <v>80</v>
      </c>
      <c r="C81" s="2">
        <v>0</v>
      </c>
      <c r="D81" s="2">
        <f t="shared" si="13"/>
        <v>119202</v>
      </c>
      <c r="E81" s="2">
        <f t="shared" si="14"/>
        <v>78581</v>
      </c>
      <c r="F81" s="2">
        <f t="shared" si="15"/>
        <v>58368</v>
      </c>
      <c r="G81" s="2">
        <f t="shared" si="8"/>
        <v>256151</v>
      </c>
      <c r="H81">
        <v>0</v>
      </c>
      <c r="I81">
        <f t="shared" si="16"/>
        <v>1072</v>
      </c>
      <c r="J81">
        <f t="shared" si="17"/>
        <v>2208</v>
      </c>
      <c r="K81">
        <f t="shared" si="18"/>
        <v>551</v>
      </c>
      <c r="L81">
        <f t="shared" si="9"/>
        <v>3831</v>
      </c>
      <c r="M81">
        <v>0</v>
      </c>
      <c r="N81">
        <f t="shared" si="19"/>
        <v>1332</v>
      </c>
      <c r="O81">
        <f t="shared" si="20"/>
        <v>2591</v>
      </c>
      <c r="P81">
        <f t="shared" si="12"/>
        <v>511</v>
      </c>
      <c r="Q81">
        <f t="shared" si="10"/>
        <v>4434</v>
      </c>
      <c r="R81">
        <v>0</v>
      </c>
      <c r="S81">
        <f t="shared" si="21"/>
        <v>824</v>
      </c>
      <c r="T81">
        <f t="shared" si="22"/>
        <v>1677</v>
      </c>
      <c r="U81">
        <f t="shared" si="23"/>
        <v>413</v>
      </c>
      <c r="V81">
        <f t="shared" si="11"/>
        <v>2914</v>
      </c>
    </row>
    <row r="82" spans="1:22" x14ac:dyDescent="0.4">
      <c r="A82">
        <v>81</v>
      </c>
      <c r="C82" s="2">
        <v>0</v>
      </c>
      <c r="D82" s="2">
        <f t="shared" si="13"/>
        <v>119202</v>
      </c>
      <c r="E82" s="2">
        <f t="shared" si="14"/>
        <v>78581</v>
      </c>
      <c r="F82" s="2">
        <f t="shared" si="15"/>
        <v>58368</v>
      </c>
      <c r="G82" s="2">
        <f t="shared" si="8"/>
        <v>256151</v>
      </c>
      <c r="H82">
        <v>0</v>
      </c>
      <c r="I82">
        <f t="shared" si="16"/>
        <v>1072</v>
      </c>
      <c r="J82">
        <f t="shared" si="17"/>
        <v>2208</v>
      </c>
      <c r="K82">
        <f t="shared" si="18"/>
        <v>551</v>
      </c>
      <c r="L82">
        <f t="shared" si="9"/>
        <v>3831</v>
      </c>
      <c r="M82">
        <v>0</v>
      </c>
      <c r="N82">
        <f t="shared" si="19"/>
        <v>1332</v>
      </c>
      <c r="O82">
        <f t="shared" si="20"/>
        <v>2591</v>
      </c>
      <c r="P82">
        <f t="shared" si="12"/>
        <v>511</v>
      </c>
      <c r="Q82">
        <f t="shared" si="10"/>
        <v>4434</v>
      </c>
      <c r="R82">
        <v>0</v>
      </c>
      <c r="S82">
        <f t="shared" si="21"/>
        <v>824</v>
      </c>
      <c r="T82">
        <f t="shared" si="22"/>
        <v>1677</v>
      </c>
      <c r="U82">
        <f t="shared" si="23"/>
        <v>413</v>
      </c>
      <c r="V82">
        <f t="shared" si="11"/>
        <v>2914</v>
      </c>
    </row>
    <row r="83" spans="1:22" x14ac:dyDescent="0.4">
      <c r="A83">
        <v>82</v>
      </c>
      <c r="C83" s="2">
        <v>0</v>
      </c>
      <c r="D83" s="2">
        <f t="shared" si="13"/>
        <v>119202</v>
      </c>
      <c r="E83" s="2">
        <f t="shared" si="14"/>
        <v>78581</v>
      </c>
      <c r="F83" s="2">
        <f t="shared" si="15"/>
        <v>58368</v>
      </c>
      <c r="G83" s="2">
        <f t="shared" si="8"/>
        <v>256151</v>
      </c>
      <c r="H83">
        <v>0</v>
      </c>
      <c r="I83">
        <f t="shared" si="16"/>
        <v>1072</v>
      </c>
      <c r="J83">
        <f t="shared" si="17"/>
        <v>2208</v>
      </c>
      <c r="K83">
        <f t="shared" si="18"/>
        <v>551</v>
      </c>
      <c r="L83">
        <f t="shared" si="9"/>
        <v>3831</v>
      </c>
      <c r="M83">
        <v>0</v>
      </c>
      <c r="N83">
        <f t="shared" si="19"/>
        <v>1332</v>
      </c>
      <c r="O83">
        <f t="shared" si="20"/>
        <v>2591</v>
      </c>
      <c r="P83">
        <f t="shared" si="12"/>
        <v>511</v>
      </c>
      <c r="Q83">
        <f t="shared" si="10"/>
        <v>4434</v>
      </c>
      <c r="R83">
        <v>0</v>
      </c>
      <c r="S83">
        <f t="shared" si="21"/>
        <v>824</v>
      </c>
      <c r="T83">
        <f t="shared" si="22"/>
        <v>1677</v>
      </c>
      <c r="U83">
        <f t="shared" si="23"/>
        <v>413</v>
      </c>
      <c r="V83">
        <f t="shared" si="11"/>
        <v>2914</v>
      </c>
    </row>
    <row r="84" spans="1:22" x14ac:dyDescent="0.4">
      <c r="A84">
        <v>83</v>
      </c>
      <c r="C84" s="2">
        <v>0</v>
      </c>
      <c r="D84" s="2">
        <f t="shared" si="13"/>
        <v>119202</v>
      </c>
      <c r="E84" s="2">
        <f t="shared" si="14"/>
        <v>78581</v>
      </c>
      <c r="F84" s="2">
        <f t="shared" si="15"/>
        <v>58368</v>
      </c>
      <c r="G84" s="2">
        <f t="shared" si="8"/>
        <v>256151</v>
      </c>
      <c r="H84">
        <v>0</v>
      </c>
      <c r="I84">
        <f t="shared" si="16"/>
        <v>1072</v>
      </c>
      <c r="J84">
        <f t="shared" si="17"/>
        <v>2208</v>
      </c>
      <c r="K84">
        <f t="shared" si="18"/>
        <v>551</v>
      </c>
      <c r="L84">
        <f t="shared" si="9"/>
        <v>3831</v>
      </c>
      <c r="M84">
        <v>0</v>
      </c>
      <c r="N84">
        <f t="shared" si="19"/>
        <v>1332</v>
      </c>
      <c r="O84">
        <f t="shared" si="20"/>
        <v>2591</v>
      </c>
      <c r="P84">
        <f t="shared" si="12"/>
        <v>511</v>
      </c>
      <c r="Q84">
        <f t="shared" si="10"/>
        <v>4434</v>
      </c>
      <c r="R84">
        <v>0</v>
      </c>
      <c r="S84">
        <f t="shared" si="21"/>
        <v>824</v>
      </c>
      <c r="T84">
        <f t="shared" si="22"/>
        <v>1677</v>
      </c>
      <c r="U84">
        <f t="shared" si="23"/>
        <v>413</v>
      </c>
      <c r="V84">
        <f t="shared" si="11"/>
        <v>2914</v>
      </c>
    </row>
    <row r="85" spans="1:22" x14ac:dyDescent="0.4">
      <c r="A85">
        <v>84</v>
      </c>
      <c r="C85" s="2">
        <v>0</v>
      </c>
      <c r="D85" s="2">
        <f t="shared" si="13"/>
        <v>119202</v>
      </c>
      <c r="E85" s="2">
        <f t="shared" si="14"/>
        <v>78581</v>
      </c>
      <c r="F85" s="2">
        <f t="shared" si="15"/>
        <v>58368</v>
      </c>
      <c r="G85" s="2">
        <f t="shared" si="8"/>
        <v>256151</v>
      </c>
      <c r="H85">
        <v>0</v>
      </c>
      <c r="I85">
        <f t="shared" si="16"/>
        <v>1072</v>
      </c>
      <c r="J85">
        <f t="shared" si="17"/>
        <v>2208</v>
      </c>
      <c r="K85">
        <f t="shared" si="18"/>
        <v>551</v>
      </c>
      <c r="L85">
        <f t="shared" si="9"/>
        <v>3831</v>
      </c>
      <c r="M85">
        <v>0</v>
      </c>
      <c r="N85">
        <f t="shared" si="19"/>
        <v>1332</v>
      </c>
      <c r="O85">
        <f t="shared" si="20"/>
        <v>2591</v>
      </c>
      <c r="P85">
        <f t="shared" si="12"/>
        <v>511</v>
      </c>
      <c r="Q85">
        <f t="shared" si="10"/>
        <v>4434</v>
      </c>
      <c r="R85">
        <v>0</v>
      </c>
      <c r="S85">
        <f t="shared" si="21"/>
        <v>824</v>
      </c>
      <c r="T85">
        <f t="shared" si="22"/>
        <v>1677</v>
      </c>
      <c r="U85">
        <f t="shared" si="23"/>
        <v>413</v>
      </c>
      <c r="V85">
        <f t="shared" si="11"/>
        <v>2914</v>
      </c>
    </row>
    <row r="86" spans="1:22" x14ac:dyDescent="0.4">
      <c r="A86">
        <v>85</v>
      </c>
      <c r="C86" s="2">
        <v>0</v>
      </c>
      <c r="D86" s="2">
        <f t="shared" si="13"/>
        <v>119202</v>
      </c>
      <c r="E86" s="2">
        <f t="shared" si="14"/>
        <v>78581</v>
      </c>
      <c r="F86" s="2">
        <f t="shared" si="15"/>
        <v>58368</v>
      </c>
      <c r="G86" s="2">
        <f t="shared" si="8"/>
        <v>256151</v>
      </c>
      <c r="H86">
        <v>0</v>
      </c>
      <c r="I86">
        <f t="shared" si="16"/>
        <v>1072</v>
      </c>
      <c r="J86">
        <f t="shared" si="17"/>
        <v>2208</v>
      </c>
      <c r="K86">
        <f t="shared" si="18"/>
        <v>551</v>
      </c>
      <c r="L86">
        <f t="shared" si="9"/>
        <v>3831</v>
      </c>
      <c r="M86">
        <v>0</v>
      </c>
      <c r="N86">
        <f t="shared" si="19"/>
        <v>1332</v>
      </c>
      <c r="O86">
        <f t="shared" si="20"/>
        <v>2591</v>
      </c>
      <c r="P86">
        <f t="shared" si="12"/>
        <v>511</v>
      </c>
      <c r="Q86">
        <f t="shared" si="10"/>
        <v>4434</v>
      </c>
      <c r="R86">
        <v>0</v>
      </c>
      <c r="S86">
        <f t="shared" si="21"/>
        <v>824</v>
      </c>
      <c r="T86">
        <f t="shared" si="22"/>
        <v>1677</v>
      </c>
      <c r="U86">
        <f t="shared" si="23"/>
        <v>413</v>
      </c>
      <c r="V86">
        <f t="shared" si="11"/>
        <v>2914</v>
      </c>
    </row>
    <row r="87" spans="1:22" x14ac:dyDescent="0.4">
      <c r="A87">
        <v>86</v>
      </c>
      <c r="C87" s="2">
        <v>0</v>
      </c>
      <c r="D87" s="2">
        <f t="shared" si="13"/>
        <v>119202</v>
      </c>
      <c r="E87" s="2">
        <f t="shared" si="14"/>
        <v>78581</v>
      </c>
      <c r="F87" s="2">
        <f t="shared" si="15"/>
        <v>58368</v>
      </c>
      <c r="G87" s="2">
        <f t="shared" si="8"/>
        <v>256151</v>
      </c>
      <c r="H87">
        <v>0</v>
      </c>
      <c r="I87">
        <f t="shared" si="16"/>
        <v>1072</v>
      </c>
      <c r="J87">
        <f t="shared" si="17"/>
        <v>2208</v>
      </c>
      <c r="K87">
        <f t="shared" si="18"/>
        <v>551</v>
      </c>
      <c r="L87">
        <f t="shared" si="9"/>
        <v>3831</v>
      </c>
      <c r="M87">
        <v>0</v>
      </c>
      <c r="N87">
        <f t="shared" si="19"/>
        <v>1332</v>
      </c>
      <c r="O87">
        <f t="shared" si="20"/>
        <v>2591</v>
      </c>
      <c r="P87">
        <f t="shared" si="12"/>
        <v>511</v>
      </c>
      <c r="Q87">
        <f t="shared" si="10"/>
        <v>4434</v>
      </c>
      <c r="R87">
        <v>0</v>
      </c>
      <c r="S87">
        <f t="shared" si="21"/>
        <v>824</v>
      </c>
      <c r="T87">
        <f t="shared" si="22"/>
        <v>1677</v>
      </c>
      <c r="U87">
        <f t="shared" si="23"/>
        <v>413</v>
      </c>
      <c r="V87">
        <f t="shared" si="11"/>
        <v>2914</v>
      </c>
    </row>
    <row r="88" spans="1:22" x14ac:dyDescent="0.4">
      <c r="A88">
        <v>87</v>
      </c>
      <c r="C88" s="2">
        <v>0</v>
      </c>
      <c r="D88" s="2">
        <f t="shared" si="13"/>
        <v>119202</v>
      </c>
      <c r="E88" s="2">
        <f t="shared" si="14"/>
        <v>78581</v>
      </c>
      <c r="F88" s="2">
        <f t="shared" si="15"/>
        <v>58368</v>
      </c>
      <c r="G88" s="2">
        <f t="shared" si="8"/>
        <v>256151</v>
      </c>
      <c r="H88">
        <v>0</v>
      </c>
      <c r="I88">
        <f t="shared" si="16"/>
        <v>1072</v>
      </c>
      <c r="J88">
        <f t="shared" si="17"/>
        <v>2208</v>
      </c>
      <c r="K88">
        <f t="shared" si="18"/>
        <v>551</v>
      </c>
      <c r="L88">
        <f t="shared" si="9"/>
        <v>3831</v>
      </c>
      <c r="M88">
        <v>0</v>
      </c>
      <c r="N88">
        <f t="shared" si="19"/>
        <v>1332</v>
      </c>
      <c r="O88">
        <f t="shared" si="20"/>
        <v>2591</v>
      </c>
      <c r="P88">
        <f t="shared" si="12"/>
        <v>511</v>
      </c>
      <c r="Q88">
        <f t="shared" si="10"/>
        <v>4434</v>
      </c>
      <c r="R88">
        <v>0</v>
      </c>
      <c r="S88">
        <f t="shared" si="21"/>
        <v>824</v>
      </c>
      <c r="T88">
        <f t="shared" si="22"/>
        <v>1677</v>
      </c>
      <c r="U88">
        <f t="shared" si="23"/>
        <v>413</v>
      </c>
      <c r="V88">
        <f t="shared" si="11"/>
        <v>2914</v>
      </c>
    </row>
    <row r="89" spans="1:22" x14ac:dyDescent="0.4">
      <c r="A89">
        <v>88</v>
      </c>
      <c r="C89" s="2">
        <v>0</v>
      </c>
      <c r="D89" s="2">
        <f t="shared" si="13"/>
        <v>119202</v>
      </c>
      <c r="E89" s="2">
        <f t="shared" si="14"/>
        <v>78581</v>
      </c>
      <c r="F89" s="2">
        <f t="shared" si="15"/>
        <v>58368</v>
      </c>
      <c r="G89" s="2">
        <f t="shared" si="8"/>
        <v>256151</v>
      </c>
      <c r="H89">
        <v>0</v>
      </c>
      <c r="I89">
        <f t="shared" si="16"/>
        <v>1072</v>
      </c>
      <c r="J89">
        <f t="shared" si="17"/>
        <v>2208</v>
      </c>
      <c r="K89">
        <f t="shared" si="18"/>
        <v>551</v>
      </c>
      <c r="L89">
        <f t="shared" si="9"/>
        <v>3831</v>
      </c>
      <c r="M89">
        <v>0</v>
      </c>
      <c r="N89">
        <f t="shared" si="19"/>
        <v>1332</v>
      </c>
      <c r="O89">
        <f t="shared" si="20"/>
        <v>2591</v>
      </c>
      <c r="P89">
        <f t="shared" si="12"/>
        <v>511</v>
      </c>
      <c r="Q89">
        <f t="shared" si="10"/>
        <v>4434</v>
      </c>
      <c r="R89">
        <v>0</v>
      </c>
      <c r="S89">
        <f t="shared" si="21"/>
        <v>824</v>
      </c>
      <c r="T89">
        <f t="shared" si="22"/>
        <v>1677</v>
      </c>
      <c r="U89">
        <f t="shared" si="23"/>
        <v>413</v>
      </c>
      <c r="V89">
        <f t="shared" si="11"/>
        <v>2914</v>
      </c>
    </row>
    <row r="90" spans="1:22" x14ac:dyDescent="0.4">
      <c r="A90">
        <v>89</v>
      </c>
      <c r="C90" s="2">
        <v>0</v>
      </c>
      <c r="D90" s="2">
        <f t="shared" si="13"/>
        <v>119202</v>
      </c>
      <c r="E90" s="2">
        <f t="shared" si="14"/>
        <v>78581</v>
      </c>
      <c r="F90" s="2">
        <f t="shared" si="15"/>
        <v>58368</v>
      </c>
      <c r="G90" s="2">
        <f t="shared" si="8"/>
        <v>256151</v>
      </c>
      <c r="H90">
        <v>0</v>
      </c>
      <c r="I90">
        <f t="shared" si="16"/>
        <v>1072</v>
      </c>
      <c r="J90">
        <f t="shared" si="17"/>
        <v>2208</v>
      </c>
      <c r="K90">
        <f t="shared" si="18"/>
        <v>551</v>
      </c>
      <c r="L90">
        <f t="shared" si="9"/>
        <v>3831</v>
      </c>
      <c r="M90">
        <v>0</v>
      </c>
      <c r="N90">
        <f t="shared" si="19"/>
        <v>1332</v>
      </c>
      <c r="O90">
        <f t="shared" si="20"/>
        <v>2591</v>
      </c>
      <c r="P90">
        <f t="shared" si="12"/>
        <v>511</v>
      </c>
      <c r="Q90">
        <f t="shared" si="10"/>
        <v>4434</v>
      </c>
      <c r="R90">
        <v>0</v>
      </c>
      <c r="S90">
        <f t="shared" si="21"/>
        <v>824</v>
      </c>
      <c r="T90">
        <f t="shared" si="22"/>
        <v>1677</v>
      </c>
      <c r="U90">
        <f t="shared" si="23"/>
        <v>413</v>
      </c>
      <c r="V90">
        <f t="shared" si="11"/>
        <v>2914</v>
      </c>
    </row>
    <row r="91" spans="1:22" x14ac:dyDescent="0.4">
      <c r="A91">
        <v>90</v>
      </c>
      <c r="C91" s="2">
        <v>0</v>
      </c>
      <c r="D91" s="2">
        <f t="shared" si="13"/>
        <v>119202</v>
      </c>
      <c r="E91" s="2">
        <f t="shared" si="14"/>
        <v>78581</v>
      </c>
      <c r="F91" s="2">
        <f t="shared" si="15"/>
        <v>58368</v>
      </c>
      <c r="G91" s="2">
        <f t="shared" si="8"/>
        <v>256151</v>
      </c>
      <c r="H91">
        <v>0</v>
      </c>
      <c r="I91">
        <f t="shared" si="16"/>
        <v>1072</v>
      </c>
      <c r="J91">
        <f t="shared" si="17"/>
        <v>2208</v>
      </c>
      <c r="K91">
        <f t="shared" si="18"/>
        <v>551</v>
      </c>
      <c r="L91">
        <f t="shared" si="9"/>
        <v>3831</v>
      </c>
      <c r="M91">
        <v>0</v>
      </c>
      <c r="N91">
        <f t="shared" si="19"/>
        <v>1332</v>
      </c>
      <c r="O91">
        <f t="shared" si="20"/>
        <v>2591</v>
      </c>
      <c r="P91">
        <f t="shared" si="12"/>
        <v>511</v>
      </c>
      <c r="Q91">
        <f t="shared" si="10"/>
        <v>4434</v>
      </c>
      <c r="R91">
        <v>0</v>
      </c>
      <c r="S91">
        <f t="shared" si="21"/>
        <v>824</v>
      </c>
      <c r="T91">
        <f t="shared" si="22"/>
        <v>1677</v>
      </c>
      <c r="U91">
        <f t="shared" si="23"/>
        <v>413</v>
      </c>
      <c r="V91">
        <f t="shared" si="11"/>
        <v>2914</v>
      </c>
    </row>
    <row r="92" spans="1:22" x14ac:dyDescent="0.4">
      <c r="A92">
        <v>91</v>
      </c>
      <c r="C92" s="2">
        <v>0</v>
      </c>
      <c r="D92" s="2">
        <f t="shared" si="13"/>
        <v>119202</v>
      </c>
      <c r="E92" s="2">
        <f t="shared" si="14"/>
        <v>78581</v>
      </c>
      <c r="F92" s="2">
        <f t="shared" si="15"/>
        <v>58368</v>
      </c>
      <c r="G92" s="2">
        <f t="shared" si="8"/>
        <v>256151</v>
      </c>
      <c r="H92">
        <v>0</v>
      </c>
      <c r="I92">
        <f t="shared" si="16"/>
        <v>1072</v>
      </c>
      <c r="J92">
        <f t="shared" si="17"/>
        <v>2208</v>
      </c>
      <c r="K92">
        <f t="shared" si="18"/>
        <v>551</v>
      </c>
      <c r="L92">
        <f t="shared" si="9"/>
        <v>3831</v>
      </c>
      <c r="M92">
        <v>0</v>
      </c>
      <c r="N92">
        <f t="shared" si="19"/>
        <v>1332</v>
      </c>
      <c r="O92">
        <f t="shared" si="20"/>
        <v>2591</v>
      </c>
      <c r="P92">
        <f t="shared" si="12"/>
        <v>511</v>
      </c>
      <c r="Q92">
        <f t="shared" si="10"/>
        <v>4434</v>
      </c>
      <c r="R92">
        <v>0</v>
      </c>
      <c r="S92">
        <f t="shared" si="21"/>
        <v>824</v>
      </c>
      <c r="T92">
        <f t="shared" si="22"/>
        <v>1677</v>
      </c>
      <c r="U92">
        <f t="shared" si="23"/>
        <v>413</v>
      </c>
      <c r="V92">
        <f t="shared" si="11"/>
        <v>2914</v>
      </c>
    </row>
    <row r="93" spans="1:22" x14ac:dyDescent="0.4">
      <c r="A93">
        <v>92</v>
      </c>
      <c r="C93" s="2">
        <v>0</v>
      </c>
      <c r="D93" s="2">
        <f t="shared" si="13"/>
        <v>119202</v>
      </c>
      <c r="E93" s="2">
        <f t="shared" si="14"/>
        <v>78581</v>
      </c>
      <c r="F93" s="2">
        <f t="shared" si="15"/>
        <v>58368</v>
      </c>
      <c r="G93" s="2">
        <f t="shared" si="8"/>
        <v>256151</v>
      </c>
      <c r="H93">
        <v>0</v>
      </c>
      <c r="I93">
        <f t="shared" si="16"/>
        <v>1072</v>
      </c>
      <c r="J93">
        <f t="shared" si="17"/>
        <v>2208</v>
      </c>
      <c r="K93">
        <f t="shared" si="18"/>
        <v>551</v>
      </c>
      <c r="L93">
        <f t="shared" si="9"/>
        <v>3831</v>
      </c>
      <c r="M93">
        <v>0</v>
      </c>
      <c r="N93">
        <f t="shared" si="19"/>
        <v>1332</v>
      </c>
      <c r="O93">
        <f t="shared" si="20"/>
        <v>2591</v>
      </c>
      <c r="P93">
        <f t="shared" si="12"/>
        <v>511</v>
      </c>
      <c r="Q93">
        <f t="shared" si="10"/>
        <v>4434</v>
      </c>
      <c r="R93">
        <v>0</v>
      </c>
      <c r="S93">
        <f t="shared" si="21"/>
        <v>824</v>
      </c>
      <c r="T93">
        <f t="shared" si="22"/>
        <v>1677</v>
      </c>
      <c r="U93">
        <f t="shared" si="23"/>
        <v>413</v>
      </c>
      <c r="V93">
        <f t="shared" si="11"/>
        <v>2914</v>
      </c>
    </row>
    <row r="94" spans="1:22" x14ac:dyDescent="0.4">
      <c r="A94">
        <v>93</v>
      </c>
      <c r="C94" s="2">
        <v>0</v>
      </c>
      <c r="D94" s="2">
        <f t="shared" si="13"/>
        <v>119202</v>
      </c>
      <c r="E94" s="2">
        <f t="shared" si="14"/>
        <v>78581</v>
      </c>
      <c r="F94" s="2">
        <f t="shared" si="15"/>
        <v>58368</v>
      </c>
      <c r="G94" s="2">
        <f t="shared" si="8"/>
        <v>256151</v>
      </c>
      <c r="H94">
        <v>0</v>
      </c>
      <c r="I94">
        <f t="shared" si="16"/>
        <v>1072</v>
      </c>
      <c r="J94">
        <f t="shared" si="17"/>
        <v>2208</v>
      </c>
      <c r="K94">
        <f t="shared" si="18"/>
        <v>551</v>
      </c>
      <c r="L94">
        <f t="shared" si="9"/>
        <v>3831</v>
      </c>
      <c r="M94">
        <v>0</v>
      </c>
      <c r="N94">
        <f t="shared" si="19"/>
        <v>1332</v>
      </c>
      <c r="O94">
        <f t="shared" si="20"/>
        <v>2591</v>
      </c>
      <c r="P94">
        <f t="shared" si="12"/>
        <v>511</v>
      </c>
      <c r="Q94">
        <f t="shared" si="10"/>
        <v>4434</v>
      </c>
      <c r="R94">
        <v>0</v>
      </c>
      <c r="S94">
        <f t="shared" si="21"/>
        <v>824</v>
      </c>
      <c r="T94">
        <f t="shared" si="22"/>
        <v>1677</v>
      </c>
      <c r="U94">
        <f t="shared" si="23"/>
        <v>413</v>
      </c>
      <c r="V94">
        <f t="shared" si="11"/>
        <v>2914</v>
      </c>
    </row>
    <row r="95" spans="1:22" x14ac:dyDescent="0.4">
      <c r="A95">
        <v>94</v>
      </c>
      <c r="C95" s="2">
        <v>0</v>
      </c>
      <c r="D95" s="2">
        <f t="shared" si="13"/>
        <v>119202</v>
      </c>
      <c r="E95" s="2">
        <f t="shared" si="14"/>
        <v>78581</v>
      </c>
      <c r="F95" s="2">
        <f t="shared" si="15"/>
        <v>58368</v>
      </c>
      <c r="G95" s="2">
        <f t="shared" si="8"/>
        <v>256151</v>
      </c>
      <c r="H95">
        <v>0</v>
      </c>
      <c r="I95">
        <f t="shared" si="16"/>
        <v>1072</v>
      </c>
      <c r="J95">
        <f t="shared" si="17"/>
        <v>2208</v>
      </c>
      <c r="K95">
        <f t="shared" si="18"/>
        <v>551</v>
      </c>
      <c r="L95">
        <f t="shared" si="9"/>
        <v>3831</v>
      </c>
      <c r="M95">
        <v>0</v>
      </c>
      <c r="N95">
        <f t="shared" si="19"/>
        <v>1332</v>
      </c>
      <c r="O95">
        <f t="shared" si="20"/>
        <v>2591</v>
      </c>
      <c r="P95">
        <f t="shared" si="12"/>
        <v>511</v>
      </c>
      <c r="Q95">
        <f t="shared" si="10"/>
        <v>4434</v>
      </c>
      <c r="R95">
        <v>0</v>
      </c>
      <c r="S95">
        <f t="shared" si="21"/>
        <v>824</v>
      </c>
      <c r="T95">
        <f t="shared" si="22"/>
        <v>1677</v>
      </c>
      <c r="U95">
        <f t="shared" si="23"/>
        <v>413</v>
      </c>
      <c r="V95">
        <f t="shared" si="11"/>
        <v>2914</v>
      </c>
    </row>
    <row r="96" spans="1:22" x14ac:dyDescent="0.4">
      <c r="A96">
        <v>95</v>
      </c>
      <c r="C96" s="2">
        <v>0</v>
      </c>
      <c r="D96" s="2">
        <f t="shared" si="13"/>
        <v>119202</v>
      </c>
      <c r="E96" s="2">
        <f t="shared" si="14"/>
        <v>78581</v>
      </c>
      <c r="F96" s="2">
        <f t="shared" si="15"/>
        <v>58368</v>
      </c>
      <c r="G96" s="2">
        <f t="shared" si="8"/>
        <v>256151</v>
      </c>
      <c r="H96">
        <v>0</v>
      </c>
      <c r="I96">
        <f t="shared" si="16"/>
        <v>1072</v>
      </c>
      <c r="J96">
        <f t="shared" si="17"/>
        <v>2208</v>
      </c>
      <c r="K96">
        <f t="shared" si="18"/>
        <v>551</v>
      </c>
      <c r="L96">
        <f t="shared" si="9"/>
        <v>3831</v>
      </c>
      <c r="M96">
        <v>0</v>
      </c>
      <c r="N96">
        <f t="shared" si="19"/>
        <v>1332</v>
      </c>
      <c r="O96">
        <f t="shared" si="20"/>
        <v>2591</v>
      </c>
      <c r="P96">
        <f t="shared" si="12"/>
        <v>511</v>
      </c>
      <c r="Q96">
        <f t="shared" si="10"/>
        <v>4434</v>
      </c>
      <c r="R96">
        <v>0</v>
      </c>
      <c r="S96">
        <f t="shared" si="21"/>
        <v>824</v>
      </c>
      <c r="T96">
        <f t="shared" si="22"/>
        <v>1677</v>
      </c>
      <c r="U96">
        <f t="shared" si="23"/>
        <v>413</v>
      </c>
      <c r="V96">
        <f t="shared" si="11"/>
        <v>2914</v>
      </c>
    </row>
    <row r="97" spans="1:22" x14ac:dyDescent="0.4">
      <c r="A97">
        <v>96</v>
      </c>
      <c r="C97" s="2">
        <v>0</v>
      </c>
      <c r="D97" s="2">
        <f t="shared" si="13"/>
        <v>119202</v>
      </c>
      <c r="E97" s="2">
        <f t="shared" si="14"/>
        <v>78581</v>
      </c>
      <c r="F97" s="2">
        <f t="shared" si="15"/>
        <v>58368</v>
      </c>
      <c r="G97" s="2">
        <f t="shared" si="8"/>
        <v>256151</v>
      </c>
      <c r="H97">
        <v>0</v>
      </c>
      <c r="I97">
        <f t="shared" si="16"/>
        <v>1072</v>
      </c>
      <c r="J97">
        <f t="shared" si="17"/>
        <v>2208</v>
      </c>
      <c r="K97">
        <f t="shared" si="18"/>
        <v>551</v>
      </c>
      <c r="L97">
        <f t="shared" si="9"/>
        <v>3831</v>
      </c>
      <c r="M97">
        <v>0</v>
      </c>
      <c r="N97">
        <f t="shared" si="19"/>
        <v>1332</v>
      </c>
      <c r="O97">
        <f t="shared" si="20"/>
        <v>2591</v>
      </c>
      <c r="P97">
        <f t="shared" si="12"/>
        <v>511</v>
      </c>
      <c r="Q97">
        <f t="shared" si="10"/>
        <v>4434</v>
      </c>
      <c r="R97">
        <v>0</v>
      </c>
      <c r="S97">
        <f t="shared" si="21"/>
        <v>824</v>
      </c>
      <c r="T97">
        <f t="shared" si="22"/>
        <v>1677</v>
      </c>
      <c r="U97">
        <f t="shared" si="23"/>
        <v>413</v>
      </c>
      <c r="V97">
        <f t="shared" si="11"/>
        <v>2914</v>
      </c>
    </row>
    <row r="98" spans="1:22" x14ac:dyDescent="0.4">
      <c r="A98">
        <v>97</v>
      </c>
      <c r="C98" s="2">
        <v>0</v>
      </c>
      <c r="D98" s="2">
        <f t="shared" si="13"/>
        <v>119202</v>
      </c>
      <c r="E98" s="2">
        <f t="shared" si="14"/>
        <v>78581</v>
      </c>
      <c r="F98" s="2">
        <f t="shared" si="15"/>
        <v>58368</v>
      </c>
      <c r="G98" s="2">
        <f t="shared" si="8"/>
        <v>256151</v>
      </c>
      <c r="H98">
        <v>0</v>
      </c>
      <c r="I98">
        <f t="shared" si="16"/>
        <v>1072</v>
      </c>
      <c r="J98">
        <f t="shared" si="17"/>
        <v>2208</v>
      </c>
      <c r="K98">
        <f t="shared" si="18"/>
        <v>551</v>
      </c>
      <c r="L98">
        <f t="shared" si="9"/>
        <v>3831</v>
      </c>
      <c r="M98">
        <v>0</v>
      </c>
      <c r="N98">
        <f t="shared" si="19"/>
        <v>1332</v>
      </c>
      <c r="O98">
        <f t="shared" si="20"/>
        <v>2591</v>
      </c>
      <c r="P98">
        <f t="shared" si="12"/>
        <v>511</v>
      </c>
      <c r="Q98">
        <f t="shared" si="10"/>
        <v>4434</v>
      </c>
      <c r="R98">
        <v>0</v>
      </c>
      <c r="S98">
        <f t="shared" si="21"/>
        <v>824</v>
      </c>
      <c r="T98">
        <f t="shared" si="22"/>
        <v>1677</v>
      </c>
      <c r="U98">
        <f t="shared" si="23"/>
        <v>413</v>
      </c>
      <c r="V98">
        <f t="shared" si="11"/>
        <v>2914</v>
      </c>
    </row>
    <row r="99" spans="1:22" x14ac:dyDescent="0.4">
      <c r="A99">
        <v>98</v>
      </c>
      <c r="C99" s="2">
        <v>0</v>
      </c>
      <c r="D99" s="2">
        <f t="shared" si="13"/>
        <v>119202</v>
      </c>
      <c r="E99" s="2">
        <f t="shared" si="14"/>
        <v>78581</v>
      </c>
      <c r="F99" s="2">
        <f t="shared" si="15"/>
        <v>58368</v>
      </c>
      <c r="G99" s="2">
        <f t="shared" si="8"/>
        <v>256151</v>
      </c>
      <c r="H99">
        <v>0</v>
      </c>
      <c r="I99">
        <f t="shared" si="16"/>
        <v>1072</v>
      </c>
      <c r="J99">
        <f t="shared" si="17"/>
        <v>2208</v>
      </c>
      <c r="K99">
        <f t="shared" si="18"/>
        <v>551</v>
      </c>
      <c r="L99">
        <f t="shared" si="9"/>
        <v>3831</v>
      </c>
      <c r="M99">
        <v>0</v>
      </c>
      <c r="N99">
        <f t="shared" si="19"/>
        <v>1332</v>
      </c>
      <c r="O99">
        <f t="shared" si="20"/>
        <v>2591</v>
      </c>
      <c r="P99">
        <f t="shared" si="12"/>
        <v>511</v>
      </c>
      <c r="Q99">
        <f t="shared" si="10"/>
        <v>4434</v>
      </c>
      <c r="R99">
        <v>0</v>
      </c>
      <c r="S99">
        <f t="shared" si="21"/>
        <v>824</v>
      </c>
      <c r="T99">
        <f t="shared" si="22"/>
        <v>1677</v>
      </c>
      <c r="U99">
        <f t="shared" si="23"/>
        <v>413</v>
      </c>
      <c r="V99">
        <f t="shared" si="11"/>
        <v>2914</v>
      </c>
    </row>
    <row r="100" spans="1:22" x14ac:dyDescent="0.4">
      <c r="A100">
        <v>99</v>
      </c>
      <c r="C100" s="2">
        <v>0</v>
      </c>
      <c r="D100" s="2">
        <f t="shared" si="13"/>
        <v>119202</v>
      </c>
      <c r="E100" s="2">
        <f t="shared" si="14"/>
        <v>78581</v>
      </c>
      <c r="F100" s="2">
        <f t="shared" si="15"/>
        <v>58368</v>
      </c>
      <c r="G100" s="2">
        <f t="shared" si="8"/>
        <v>256151</v>
      </c>
      <c r="H100">
        <v>0</v>
      </c>
      <c r="I100">
        <f t="shared" si="16"/>
        <v>1072</v>
      </c>
      <c r="J100">
        <f t="shared" si="17"/>
        <v>2208</v>
      </c>
      <c r="K100">
        <f t="shared" si="18"/>
        <v>551</v>
      </c>
      <c r="L100">
        <f t="shared" si="9"/>
        <v>3831</v>
      </c>
      <c r="M100">
        <v>0</v>
      </c>
      <c r="N100">
        <f t="shared" si="19"/>
        <v>1332</v>
      </c>
      <c r="O100">
        <f t="shared" si="20"/>
        <v>2591</v>
      </c>
      <c r="P100">
        <f t="shared" si="12"/>
        <v>511</v>
      </c>
      <c r="Q100">
        <f t="shared" si="10"/>
        <v>4434</v>
      </c>
      <c r="R100">
        <v>0</v>
      </c>
      <c r="S100">
        <f t="shared" si="21"/>
        <v>824</v>
      </c>
      <c r="T100">
        <f t="shared" si="22"/>
        <v>1677</v>
      </c>
      <c r="U100">
        <f t="shared" si="23"/>
        <v>413</v>
      </c>
      <c r="V100">
        <f t="shared" si="11"/>
        <v>2914</v>
      </c>
    </row>
    <row r="101" spans="1:22" x14ac:dyDescent="0.4">
      <c r="A101">
        <v>100</v>
      </c>
      <c r="C101" s="2">
        <v>0</v>
      </c>
      <c r="D101" s="2">
        <f t="shared" si="13"/>
        <v>119202</v>
      </c>
      <c r="E101" s="2">
        <f t="shared" si="14"/>
        <v>78581</v>
      </c>
      <c r="F101" s="2">
        <f t="shared" si="15"/>
        <v>58368</v>
      </c>
      <c r="G101" s="2">
        <f t="shared" si="8"/>
        <v>256151</v>
      </c>
      <c r="H101">
        <v>0</v>
      </c>
      <c r="I101">
        <f t="shared" si="16"/>
        <v>1072</v>
      </c>
      <c r="J101">
        <f t="shared" si="17"/>
        <v>2208</v>
      </c>
      <c r="K101">
        <f t="shared" si="18"/>
        <v>551</v>
      </c>
      <c r="L101">
        <f t="shared" si="9"/>
        <v>3831</v>
      </c>
      <c r="M101">
        <v>0</v>
      </c>
      <c r="N101">
        <f t="shared" si="19"/>
        <v>1332</v>
      </c>
      <c r="O101">
        <f t="shared" si="20"/>
        <v>2591</v>
      </c>
      <c r="P101">
        <f t="shared" si="12"/>
        <v>511</v>
      </c>
      <c r="Q101">
        <f t="shared" si="10"/>
        <v>4434</v>
      </c>
      <c r="R101">
        <v>0</v>
      </c>
      <c r="S101">
        <f t="shared" si="21"/>
        <v>824</v>
      </c>
      <c r="T101">
        <f t="shared" si="22"/>
        <v>1677</v>
      </c>
      <c r="U101">
        <f t="shared" si="23"/>
        <v>413</v>
      </c>
      <c r="V101">
        <f t="shared" si="11"/>
        <v>2914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2020-05-18T07:29:08Z</dcterms:created>
  <dcterms:modified xsi:type="dcterms:W3CDTF">2020-05-24T05:31:01Z</dcterms:modified>
</cp:coreProperties>
</file>