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45621"/>
</workbook>
</file>

<file path=xl/calcChain.xml><?xml version="1.0" encoding="utf-8"?>
<calcChain xmlns="http://schemas.openxmlformats.org/spreadsheetml/2006/main">
  <c r="D63" i="1" l="1"/>
  <c r="C76" i="1"/>
  <c r="C72" i="1"/>
  <c r="C77" i="1"/>
  <c r="C78" i="1"/>
  <c r="C79" i="1"/>
  <c r="G74" i="1"/>
  <c r="F74" i="1"/>
  <c r="E74" i="1"/>
  <c r="D74" i="1"/>
  <c r="E70" i="1"/>
  <c r="F70" i="1"/>
  <c r="G70" i="1"/>
  <c r="K49" i="1" l="1"/>
  <c r="D62" i="1"/>
  <c r="D64" i="1" s="1"/>
  <c r="E68" i="1" s="1"/>
  <c r="E72" i="1" s="1"/>
  <c r="D60" i="1"/>
  <c r="D59" i="1"/>
  <c r="K45" i="1"/>
  <c r="J44" i="1"/>
  <c r="J45" i="1" s="1"/>
  <c r="K43" i="1"/>
  <c r="J43" i="1"/>
  <c r="J46" i="1" l="1"/>
  <c r="J49" i="1" s="1"/>
  <c r="J51" i="1" s="1"/>
  <c r="D47" i="1"/>
  <c r="D61" i="1"/>
  <c r="D58" i="1"/>
  <c r="D45" i="1"/>
  <c r="D44" i="1"/>
  <c r="D43" i="1"/>
  <c r="D41" i="1"/>
  <c r="G40" i="1"/>
  <c r="D35" i="1"/>
  <c r="D29" i="1"/>
  <c r="E18" i="1"/>
  <c r="D34" i="1"/>
  <c r="E52" i="1"/>
  <c r="C74" i="1"/>
  <c r="D30" i="1" l="1"/>
  <c r="D32" i="1" l="1"/>
  <c r="E53" i="1"/>
  <c r="E54" i="1" l="1"/>
  <c r="C69" i="1" s="1"/>
  <c r="C75" i="1" l="1"/>
  <c r="E76" i="1"/>
  <c r="D76" i="1"/>
  <c r="G76" i="1"/>
  <c r="F76" i="1"/>
  <c r="D40" i="1"/>
  <c r="D42" i="1" l="1"/>
  <c r="D31" i="1" l="1"/>
  <c r="D28" i="1"/>
  <c r="H6" i="1"/>
  <c r="D33" i="1" l="1"/>
  <c r="D36" i="1" l="1"/>
  <c r="D37" i="1" s="1"/>
  <c r="D46" i="1" s="1"/>
  <c r="D70" i="1" l="1"/>
  <c r="D68" i="1" l="1"/>
  <c r="F68" i="1"/>
  <c r="F72" i="1" s="1"/>
  <c r="G68" i="1"/>
  <c r="D72" i="1" l="1"/>
  <c r="D77" i="1"/>
  <c r="D78" i="1" s="1"/>
  <c r="D75" i="1"/>
  <c r="D79" i="1" s="1"/>
  <c r="G77" i="1"/>
  <c r="G78" i="1" s="1"/>
  <c r="G72" i="1"/>
  <c r="G75" i="1" s="1"/>
  <c r="F75" i="1"/>
  <c r="F77" i="1"/>
  <c r="F78" i="1" s="1"/>
  <c r="E75" i="1"/>
  <c r="E77" i="1"/>
  <c r="E78" i="1" s="1"/>
  <c r="E79" i="1" l="1"/>
  <c r="F79" i="1" s="1"/>
  <c r="G79" i="1" s="1"/>
</calcChain>
</file>

<file path=xl/sharedStrings.xml><?xml version="1.0" encoding="utf-8"?>
<sst xmlns="http://schemas.openxmlformats.org/spreadsheetml/2006/main" count="135" uniqueCount="122">
  <si>
    <t>Норма амартизац от4исл = 1/срок полезн исп(мес) * 100</t>
  </si>
  <si>
    <t xml:space="preserve">срок полезного использования </t>
  </si>
  <si>
    <t>мес</t>
  </si>
  <si>
    <t>1. Стоимость основного комплекта оборудования</t>
  </si>
  <si>
    <t>С</t>
  </si>
  <si>
    <t>руб.</t>
  </si>
  <si>
    <t>2. Потребляемая мощность</t>
  </si>
  <si>
    <t>W</t>
  </si>
  <si>
    <t>кВТ/ч</t>
  </si>
  <si>
    <t>3. Коэффициент использования по мощности</t>
  </si>
  <si>
    <r>
      <t>K</t>
    </r>
    <r>
      <rPr>
        <b/>
        <vertAlign val="subscript"/>
        <sz val="16"/>
        <color theme="1"/>
        <rFont val="Times New Roman"/>
        <family val="1"/>
        <charset val="204"/>
      </rPr>
      <t>и</t>
    </r>
  </si>
  <si>
    <t>4. Цена 1 кВт/ч электроэнергии</t>
  </si>
  <si>
    <r>
      <t>Ц</t>
    </r>
    <r>
      <rPr>
        <b/>
        <vertAlign val="subscript"/>
        <sz val="16"/>
        <color theme="1"/>
        <rFont val="Times New Roman"/>
        <family val="1"/>
        <charset val="204"/>
      </rPr>
      <t>э</t>
    </r>
  </si>
  <si>
    <t>5. Номинальный фонд времени работы ЭВМ</t>
  </si>
  <si>
    <r>
      <t>F</t>
    </r>
    <r>
      <rPr>
        <b/>
        <vertAlign val="subscript"/>
        <sz val="16"/>
        <color theme="1"/>
        <rFont val="Times New Roman"/>
        <family val="1"/>
        <charset val="204"/>
      </rPr>
      <t>ном</t>
    </r>
  </si>
  <si>
    <t>час</t>
  </si>
  <si>
    <r>
      <t>П</t>
    </r>
    <r>
      <rPr>
        <b/>
        <vertAlign val="subscript"/>
        <sz val="16"/>
        <color theme="1"/>
        <rFont val="Times New Roman"/>
        <family val="1"/>
        <charset val="204"/>
      </rPr>
      <t>пот</t>
    </r>
  </si>
  <si>
    <t>%</t>
  </si>
  <si>
    <t>7. Коэффициент годовых затрат на ремонт (от стоимости оборудования)</t>
  </si>
  <si>
    <r>
      <t>К</t>
    </r>
    <r>
      <rPr>
        <b/>
        <vertAlign val="subscript"/>
        <sz val="16"/>
        <color theme="1"/>
        <rFont val="Times New Roman"/>
        <family val="1"/>
        <charset val="204"/>
      </rPr>
      <t>р</t>
    </r>
  </si>
  <si>
    <t>8. Коэффициент сменности</t>
  </si>
  <si>
    <r>
      <t>К</t>
    </r>
    <r>
      <rPr>
        <b/>
        <vertAlign val="subscript"/>
        <sz val="16"/>
        <color theme="1"/>
        <rFont val="Times New Roman"/>
        <family val="1"/>
        <charset val="204"/>
      </rPr>
      <t>см</t>
    </r>
  </si>
  <si>
    <t>9. Норма амортизационных отчислений  на оборудование</t>
  </si>
  <si>
    <r>
      <t>Н</t>
    </r>
    <r>
      <rPr>
        <b/>
        <vertAlign val="subscript"/>
        <sz val="16"/>
        <color theme="1"/>
        <rFont val="Times New Roman"/>
        <family val="1"/>
        <charset val="204"/>
      </rPr>
      <t>об</t>
    </r>
  </si>
  <si>
    <t>10. Норма амортизационных отчислений на здания</t>
  </si>
  <si>
    <r>
      <t>Н</t>
    </r>
    <r>
      <rPr>
        <b/>
        <vertAlign val="subscript"/>
        <sz val="16"/>
        <color theme="1"/>
        <rFont val="Times New Roman"/>
        <family val="1"/>
        <charset val="204"/>
      </rPr>
      <t>зд</t>
    </r>
  </si>
  <si>
    <r>
      <t>С</t>
    </r>
    <r>
      <rPr>
        <b/>
        <vertAlign val="subscript"/>
        <sz val="16"/>
        <color theme="1"/>
        <rFont val="Times New Roman"/>
        <family val="1"/>
        <charset val="204"/>
      </rPr>
      <t>бал</t>
    </r>
  </si>
  <si>
    <t>12. Общая производственная площадь</t>
  </si>
  <si>
    <t>S</t>
  </si>
  <si>
    <t>кв. м.</t>
  </si>
  <si>
    <t>13. Коэффициент начислений на фонд оплаты труда</t>
  </si>
  <si>
    <r>
      <t>К</t>
    </r>
    <r>
      <rPr>
        <b/>
        <vertAlign val="subscript"/>
        <sz val="16"/>
        <color theme="1"/>
        <rFont val="Times New Roman"/>
        <family val="1"/>
        <charset val="204"/>
      </rPr>
      <t>н</t>
    </r>
  </si>
  <si>
    <t>14. Коэффициент накладных расходов (% от ФОТ)</t>
  </si>
  <si>
    <r>
      <t>К</t>
    </r>
    <r>
      <rPr>
        <b/>
        <vertAlign val="subscript"/>
        <sz val="16"/>
        <color theme="1"/>
        <rFont val="Times New Roman"/>
        <family val="1"/>
        <charset val="204"/>
      </rPr>
      <t>нр</t>
    </r>
  </si>
  <si>
    <t>15. Коэффициент материальных затрат (% от стоимости оборудования)</t>
  </si>
  <si>
    <r>
      <t>К</t>
    </r>
    <r>
      <rPr>
        <b/>
        <vertAlign val="subscript"/>
        <sz val="16"/>
        <color theme="1"/>
        <rFont val="Times New Roman"/>
        <family val="1"/>
        <charset val="204"/>
      </rPr>
      <t>мз</t>
    </r>
  </si>
  <si>
    <t>16. Оклад разработчика</t>
  </si>
  <si>
    <r>
      <t>О</t>
    </r>
    <r>
      <rPr>
        <b/>
        <vertAlign val="subscript"/>
        <sz val="16"/>
        <color theme="1"/>
        <rFont val="Times New Roman"/>
        <family val="1"/>
        <charset val="204"/>
      </rPr>
      <t>кр</t>
    </r>
  </si>
  <si>
    <t>Рас4ет мат затрат</t>
  </si>
  <si>
    <t>Зэ = Fном×Цэ×W×Ки×Ксм, руб.</t>
  </si>
  <si>
    <t>Затраты на эл энергию</t>
  </si>
  <si>
    <t>Оплата труда</t>
  </si>
  <si>
    <t>Расчет отчислений от заработной платы</t>
  </si>
  <si>
    <r>
      <t>О</t>
    </r>
    <r>
      <rPr>
        <b/>
        <vertAlign val="subscript"/>
        <sz val="16"/>
        <color theme="1"/>
        <rFont val="Times New Roman"/>
        <family val="1"/>
        <charset val="204"/>
      </rPr>
      <t>тч</t>
    </r>
    <r>
      <rPr>
        <b/>
        <sz val="16"/>
        <color theme="1"/>
        <rFont val="Times New Roman"/>
        <family val="1"/>
        <charset val="204"/>
      </rPr>
      <t xml:space="preserve"> = ФОТ×К</t>
    </r>
    <r>
      <rPr>
        <b/>
        <vertAlign val="subscript"/>
        <sz val="16"/>
        <color theme="1"/>
        <rFont val="Times New Roman"/>
        <family val="1"/>
        <charset val="204"/>
      </rPr>
      <t>н</t>
    </r>
    <r>
      <rPr>
        <b/>
        <sz val="16"/>
        <color theme="1"/>
        <rFont val="Times New Roman"/>
        <family val="1"/>
        <charset val="204"/>
      </rPr>
      <t>/100, руб.</t>
    </r>
  </si>
  <si>
    <t>Расчет затрат на ремонт</t>
  </si>
  <si>
    <r>
      <t>З</t>
    </r>
    <r>
      <rPr>
        <b/>
        <vertAlign val="subscript"/>
        <sz val="16"/>
        <color theme="1"/>
        <rFont val="Times New Roman"/>
        <family val="1"/>
        <charset val="204"/>
      </rPr>
      <t>р</t>
    </r>
    <r>
      <rPr>
        <b/>
        <sz val="16"/>
        <color theme="1"/>
        <rFont val="Times New Roman"/>
        <family val="1"/>
        <charset val="204"/>
      </rPr>
      <t xml:space="preserve"> = С×К</t>
    </r>
    <r>
      <rPr>
        <b/>
        <vertAlign val="subscript"/>
        <sz val="16"/>
        <color theme="1"/>
        <rFont val="Times New Roman"/>
        <family val="1"/>
        <charset val="204"/>
      </rPr>
      <t>р</t>
    </r>
    <r>
      <rPr>
        <b/>
        <sz val="16"/>
        <color theme="1"/>
        <rFont val="Times New Roman"/>
        <family val="1"/>
        <charset val="204"/>
      </rPr>
      <t>/100, руб..</t>
    </r>
  </si>
  <si>
    <t>Расчет накладных расходов</t>
  </si>
  <si>
    <t>Расчет амортизационных отчислений на оборудование</t>
  </si>
  <si>
    <t>Норма амортизац от4ислений</t>
  </si>
  <si>
    <t>срок полезного использовани</t>
  </si>
  <si>
    <t>Спи</t>
  </si>
  <si>
    <t>Ноб=1/Спи * 100</t>
  </si>
  <si>
    <t>Себестоимость часа машинного времени</t>
  </si>
  <si>
    <t>сумма годовых эксплуатационных затрат</t>
  </si>
  <si>
    <r>
      <t>∑З</t>
    </r>
    <r>
      <rPr>
        <b/>
        <vertAlign val="subscript"/>
        <sz val="16"/>
        <color theme="1"/>
        <rFont val="Times New Roman"/>
        <family val="1"/>
        <charset val="204"/>
      </rPr>
      <t>i</t>
    </r>
  </si>
  <si>
    <r>
      <t>С</t>
    </r>
    <r>
      <rPr>
        <b/>
        <vertAlign val="subscript"/>
        <sz val="16"/>
        <color theme="1"/>
        <rFont val="Times New Roman"/>
        <family val="1"/>
        <charset val="204"/>
      </rPr>
      <t xml:space="preserve"> ч.м.в.</t>
    </r>
    <r>
      <rPr>
        <b/>
        <sz val="16"/>
        <color theme="1"/>
        <rFont val="Times New Roman"/>
        <family val="1"/>
        <charset val="204"/>
      </rPr>
      <t>=∑З</t>
    </r>
    <r>
      <rPr>
        <b/>
        <vertAlign val="subscript"/>
        <sz val="16"/>
        <color theme="1"/>
        <rFont val="Times New Roman"/>
        <family val="1"/>
        <charset val="204"/>
      </rPr>
      <t>i</t>
    </r>
    <r>
      <rPr>
        <b/>
        <sz val="16"/>
        <color theme="1"/>
        <rFont val="Times New Roman"/>
        <family val="1"/>
        <charset val="204"/>
      </rPr>
      <t>/(F</t>
    </r>
    <r>
      <rPr>
        <b/>
        <vertAlign val="subscript"/>
        <sz val="16"/>
        <color theme="1"/>
        <rFont val="Times New Roman"/>
        <family val="1"/>
        <charset val="204"/>
      </rPr>
      <t>эф.об</t>
    </r>
    <r>
      <rPr>
        <b/>
        <sz val="16"/>
        <color theme="1"/>
        <rFont val="Times New Roman"/>
        <family val="1"/>
        <charset val="204"/>
      </rPr>
      <t>×К</t>
    </r>
    <r>
      <rPr>
        <b/>
        <vertAlign val="subscript"/>
        <sz val="16"/>
        <color theme="1"/>
        <rFont val="Times New Roman"/>
        <family val="1"/>
        <charset val="204"/>
      </rPr>
      <t>см)</t>
    </r>
  </si>
  <si>
    <t>F эф об</t>
  </si>
  <si>
    <t>-</t>
  </si>
  <si>
    <t xml:space="preserve">Кр=Цтс+Зтр+Зм+Цпо   </t>
  </si>
  <si>
    <t>Кр  Капитальные затраты</t>
  </si>
  <si>
    <t>Цтс Цена на закупку оборудования</t>
  </si>
  <si>
    <t>Зтр Транспортные затраты, 5% от Цтс</t>
  </si>
  <si>
    <t>Зм  Затраты на монтаж, 8% от Цтс</t>
  </si>
  <si>
    <r>
      <t xml:space="preserve">6. Потери времени на ремонт и профилактику (% от </t>
    </r>
    <r>
      <rPr>
        <b/>
        <sz val="16"/>
        <color theme="1"/>
        <rFont val="Times New Roman"/>
        <family val="1"/>
        <charset val="204"/>
      </rPr>
      <t>F</t>
    </r>
    <r>
      <rPr>
        <b/>
        <vertAlign val="subscript"/>
        <sz val="16"/>
        <color theme="1"/>
        <rFont val="Times New Roman"/>
        <family val="1"/>
        <charset val="204"/>
      </rPr>
      <t>ном</t>
    </r>
    <r>
      <rPr>
        <sz val="16"/>
        <color theme="1"/>
        <rFont val="Times New Roman"/>
        <family val="1"/>
        <charset val="204"/>
      </rPr>
      <t>)</t>
    </r>
  </si>
  <si>
    <r>
      <t>11. Балансовая стоимость 1м</t>
    </r>
    <r>
      <rPr>
        <vertAlign val="superscript"/>
        <sz val="16"/>
        <color theme="1"/>
        <rFont val="Times New Roman"/>
        <family val="1"/>
        <charset val="204"/>
      </rPr>
      <t>2</t>
    </r>
    <r>
      <rPr>
        <sz val="16"/>
        <color theme="1"/>
        <rFont val="Times New Roman"/>
        <family val="1"/>
        <charset val="204"/>
      </rPr>
      <t>.</t>
    </r>
  </si>
  <si>
    <t>Иполн=Ипост+Ипер</t>
  </si>
  <si>
    <r>
      <t>Ипост=</t>
    </r>
    <r>
      <rPr>
        <sz val="16"/>
        <color theme="1"/>
        <rFont val="Calibri"/>
        <family val="2"/>
        <charset val="204"/>
      </rPr>
      <t>Σ</t>
    </r>
    <r>
      <rPr>
        <sz val="11.2"/>
        <color theme="1"/>
        <rFont val="Calibri"/>
        <family val="2"/>
      </rPr>
      <t>затр проектир</t>
    </r>
  </si>
  <si>
    <t>Ипер=Зрек+Зрд+Ззащ</t>
  </si>
  <si>
    <t>В=Иполн+Прибыль</t>
  </si>
  <si>
    <t>Цед=B/N</t>
  </si>
  <si>
    <t>Цпо=</t>
  </si>
  <si>
    <t>Зрд=</t>
  </si>
  <si>
    <t>Ззащ</t>
  </si>
  <si>
    <t>ЗПосн. = Ч × Срр × Оклад,</t>
  </si>
  <si>
    <t>Кдоп</t>
  </si>
  <si>
    <t>Отчисл</t>
  </si>
  <si>
    <t>Знакл</t>
  </si>
  <si>
    <t>Зпо</t>
  </si>
  <si>
    <t>Ср=</t>
  </si>
  <si>
    <t>Срр</t>
  </si>
  <si>
    <t>Cpm=</t>
  </si>
  <si>
    <t>N</t>
  </si>
  <si>
    <t>Pt=Цед*Nt</t>
  </si>
  <si>
    <t>Nt</t>
  </si>
  <si>
    <t>Kt</t>
  </si>
  <si>
    <t>Иt</t>
  </si>
  <si>
    <t>2016 г</t>
  </si>
  <si>
    <t>2017 г</t>
  </si>
  <si>
    <t>2018 г</t>
  </si>
  <si>
    <t>2019 г</t>
  </si>
  <si>
    <t>2020 г</t>
  </si>
  <si>
    <t>t</t>
  </si>
  <si>
    <t>At=Кр/4</t>
  </si>
  <si>
    <t>Прt=Pt-Иt-At/4</t>
  </si>
  <si>
    <r>
      <rPr>
        <sz val="16"/>
        <color theme="1"/>
        <rFont val="Calibri"/>
        <family val="2"/>
        <charset val="204"/>
      </rPr>
      <t>α</t>
    </r>
    <r>
      <rPr>
        <sz val="16"/>
        <color theme="1"/>
        <rFont val="Calibri"/>
        <family val="2"/>
        <scheme val="minor"/>
      </rPr>
      <t>t=1/(1+E)^t</t>
    </r>
  </si>
  <si>
    <t>Цпо затраты на покупку лицензии 2,5т</t>
  </si>
  <si>
    <t>ФОТ=11,8*Ксм*Окр</t>
  </si>
  <si>
    <t xml:space="preserve">Зрек= </t>
  </si>
  <si>
    <t>Зм=С*Кмз/100</t>
  </si>
  <si>
    <r>
      <t>З</t>
    </r>
    <r>
      <rPr>
        <b/>
        <vertAlign val="subscript"/>
        <sz val="16"/>
        <color theme="1"/>
        <rFont val="Times New Roman"/>
        <family val="1"/>
        <charset val="204"/>
      </rPr>
      <t>н</t>
    </r>
    <r>
      <rPr>
        <b/>
        <sz val="16"/>
        <color theme="1"/>
        <rFont val="Times New Roman"/>
        <family val="1"/>
        <charset val="204"/>
      </rPr>
      <t xml:space="preserve"> = (ФОТ+Зр+От4+Зэ+Зм)×К</t>
    </r>
    <r>
      <rPr>
        <b/>
        <vertAlign val="subscript"/>
        <sz val="16"/>
        <color theme="1"/>
        <rFont val="Times New Roman"/>
        <family val="1"/>
        <charset val="204"/>
      </rPr>
      <t>нр</t>
    </r>
    <r>
      <rPr>
        <b/>
        <sz val="16"/>
        <color theme="1"/>
        <rFont val="Times New Roman"/>
        <family val="1"/>
        <charset val="204"/>
      </rPr>
      <t>/100</t>
    </r>
  </si>
  <si>
    <t>ФОТ=ЗПосн+ЗПдоп</t>
  </si>
  <si>
    <t>ЗПдоп</t>
  </si>
  <si>
    <t>E</t>
  </si>
  <si>
    <t>ЧДДП=ЧДП*α</t>
  </si>
  <si>
    <r>
      <t>А</t>
    </r>
    <r>
      <rPr>
        <b/>
        <vertAlign val="subscript"/>
        <sz val="16"/>
        <color theme="1"/>
        <rFont val="Times New Roman"/>
        <family val="1"/>
        <charset val="204"/>
      </rPr>
      <t>об</t>
    </r>
    <r>
      <rPr>
        <b/>
        <sz val="16"/>
        <color theme="1"/>
        <rFont val="Times New Roman"/>
        <family val="1"/>
        <charset val="204"/>
      </rPr>
      <t xml:space="preserve"> = С×Н</t>
    </r>
    <r>
      <rPr>
        <b/>
        <vertAlign val="subscript"/>
        <sz val="16"/>
        <color theme="1"/>
        <rFont val="Times New Roman"/>
        <family val="1"/>
        <charset val="204"/>
      </rPr>
      <t>обxСр</t>
    </r>
    <r>
      <rPr>
        <b/>
        <sz val="16"/>
        <color theme="1"/>
        <rFont val="Times New Roman"/>
        <family val="1"/>
        <charset val="204"/>
      </rPr>
      <t>/100</t>
    </r>
    <r>
      <rPr>
        <sz val="16"/>
        <color theme="1"/>
        <rFont val="Times New Roman"/>
        <family val="1"/>
        <charset val="204"/>
      </rPr>
      <t>, руб.</t>
    </r>
  </si>
  <si>
    <t>ФОТ_отч=Отч + ФОТ * 0,342</t>
  </si>
  <si>
    <t>Зпроек</t>
  </si>
  <si>
    <t>Uпост</t>
  </si>
  <si>
    <t>Uперем</t>
  </si>
  <si>
    <t>Uполн</t>
  </si>
  <si>
    <t>В</t>
  </si>
  <si>
    <t>ЧДП=Pt-(Kt+Иt)</t>
  </si>
  <si>
    <t>ИЭЭ</t>
  </si>
  <si>
    <t>Рo=Прt/k</t>
  </si>
  <si>
    <t>Амортизацию считаем прямолинейным методом</t>
  </si>
  <si>
    <t>Ро</t>
  </si>
  <si>
    <t>Прt</t>
  </si>
  <si>
    <t>At</t>
  </si>
  <si>
    <t>ЧДДП</t>
  </si>
  <si>
    <t>ЧДП</t>
  </si>
  <si>
    <t>Интегральный экономический эффект</t>
  </si>
  <si>
    <t>Прибыль=Иполн*15%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</si>
</sst>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vertAlign val="subscript"/>
      <sz val="16"/>
      <color theme="1"/>
      <name val="Times New Roman"/>
      <family val="1"/>
      <charset val="204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  <charset val="204"/>
    </font>
    <font>
      <vertAlign val="superscript"/>
      <sz val="16"/>
      <color theme="1"/>
      <name val="Times New Roman"/>
      <family val="1"/>
      <charset val="204"/>
    </font>
    <font>
      <sz val="16"/>
      <color theme="1"/>
      <name val="Calibri"/>
      <family val="2"/>
      <charset val="204"/>
    </font>
    <font>
      <sz val="11.2"/>
      <color theme="1"/>
      <name val="Calibri"/>
      <family val="2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2" fontId="1" fillId="0" borderId="2" xfId="0" applyNumberFormat="1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/>
    <xf numFmtId="0" fontId="1" fillId="0" borderId="0" xfId="0" applyNumberFormat="1" applyFont="1"/>
    <xf numFmtId="2" fontId="3" fillId="0" borderId="0" xfId="0" applyNumberFormat="1" applyFont="1"/>
    <xf numFmtId="2" fontId="4" fillId="0" borderId="1" xfId="0" applyNumberFormat="1" applyFont="1" applyBorder="1" applyAlignment="1">
      <alignment vertical="center" wrapText="1"/>
    </xf>
    <xf numFmtId="2" fontId="4" fillId="0" borderId="2" xfId="0" applyNumberFormat="1" applyFont="1" applyBorder="1" applyAlignment="1">
      <alignment horizontal="center" vertical="center" wrapText="1"/>
    </xf>
    <xf numFmtId="2" fontId="4" fillId="0" borderId="3" xfId="0" applyNumberFormat="1" applyFont="1" applyBorder="1" applyAlignment="1">
      <alignment vertical="center" wrapText="1"/>
    </xf>
    <xf numFmtId="2" fontId="4" fillId="0" borderId="4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2" fontId="3" fillId="0" borderId="5" xfId="0" applyNumberFormat="1" applyFont="1" applyBorder="1"/>
    <xf numFmtId="2" fontId="8" fillId="0" borderId="5" xfId="0" applyNumberFormat="1" applyFont="1" applyBorder="1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/>
    <xf numFmtId="2" fontId="9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Перем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Лист1!$J$42:$K$42</c:f>
              <c:numCache>
                <c:formatCode>General</c:formatCode>
                <c:ptCount val="2"/>
                <c:pt idx="0">
                  <c:v>10</c:v>
                </c:pt>
                <c:pt idx="1">
                  <c:v>0</c:v>
                </c:pt>
              </c:numCache>
            </c:numRef>
          </c:xVal>
          <c:yVal>
            <c:numRef>
              <c:f>Лист1!$J$44:$K$44</c:f>
              <c:numCache>
                <c:formatCode>General</c:formatCode>
                <c:ptCount val="2"/>
                <c:pt idx="0" formatCode="0.00">
                  <c:v>3300</c:v>
                </c:pt>
                <c:pt idx="1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Пост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Лист1!$J$42:$K$42</c:f>
              <c:numCache>
                <c:formatCode>General</c:formatCode>
                <c:ptCount val="2"/>
                <c:pt idx="0">
                  <c:v>10</c:v>
                </c:pt>
                <c:pt idx="1">
                  <c:v>0</c:v>
                </c:pt>
              </c:numCache>
            </c:numRef>
          </c:xVal>
          <c:yVal>
            <c:numRef>
              <c:f>Лист1!$J$43:$K$43</c:f>
              <c:numCache>
                <c:formatCode>0.00</c:formatCode>
                <c:ptCount val="2"/>
                <c:pt idx="0">
                  <c:v>46620.214630649753</c:v>
                </c:pt>
                <c:pt idx="1">
                  <c:v>46620.214630649753</c:v>
                </c:pt>
              </c:numCache>
            </c:numRef>
          </c:yVal>
          <c:smooth val="1"/>
        </c:ser>
        <c:ser>
          <c:idx val="0"/>
          <c:order val="2"/>
          <c:tx>
            <c:v>полн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Лист1!$J$42:$K$42</c:f>
              <c:numCache>
                <c:formatCode>General</c:formatCode>
                <c:ptCount val="2"/>
                <c:pt idx="0">
                  <c:v>10</c:v>
                </c:pt>
                <c:pt idx="1">
                  <c:v>0</c:v>
                </c:pt>
              </c:numCache>
            </c:numRef>
          </c:xVal>
          <c:yVal>
            <c:numRef>
              <c:f>Лист1!$J$45:$K$45</c:f>
              <c:numCache>
                <c:formatCode>0.00</c:formatCode>
                <c:ptCount val="2"/>
                <c:pt idx="0" formatCode="General">
                  <c:v>49920.214630649753</c:v>
                </c:pt>
                <c:pt idx="1">
                  <c:v>46620.214630649753</c:v>
                </c:pt>
              </c:numCache>
            </c:numRef>
          </c:yVal>
          <c:smooth val="1"/>
        </c:ser>
        <c:ser>
          <c:idx val="3"/>
          <c:order val="3"/>
          <c:tx>
            <c:v>В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Лист1!$J$42:$K$42</c:f>
              <c:numCache>
                <c:formatCode>General</c:formatCode>
                <c:ptCount val="2"/>
                <c:pt idx="0">
                  <c:v>10</c:v>
                </c:pt>
                <c:pt idx="1">
                  <c:v>0</c:v>
                </c:pt>
              </c:numCache>
            </c:numRef>
          </c:xVal>
          <c:yVal>
            <c:numRef>
              <c:f>Лист1!$J$46:$K$46</c:f>
              <c:numCache>
                <c:formatCode>General</c:formatCode>
                <c:ptCount val="2"/>
                <c:pt idx="0" formatCode="0.00">
                  <c:v>57408.246825247217</c:v>
                </c:pt>
                <c:pt idx="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143232"/>
        <c:axId val="350145152"/>
      </c:scatterChart>
      <c:valAx>
        <c:axId val="350143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50145152"/>
        <c:crosses val="autoZero"/>
        <c:crossBetween val="midCat"/>
      </c:valAx>
      <c:valAx>
        <c:axId val="35014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50143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Лист1!$A$79</c:f>
              <c:strCache>
                <c:ptCount val="1"/>
                <c:pt idx="0">
                  <c:v>ИЭЭ</c:v>
                </c:pt>
              </c:strCache>
            </c:strRef>
          </c:tx>
          <c:xVal>
            <c:strRef>
              <c:f>Лист1!$C$67:$G$67</c:f>
              <c:strCache>
                <c:ptCount val="5"/>
                <c:pt idx="0">
                  <c:v>2016 г</c:v>
                </c:pt>
                <c:pt idx="1">
                  <c:v>2017 г</c:v>
                </c:pt>
                <c:pt idx="2">
                  <c:v>2018 г</c:v>
                </c:pt>
                <c:pt idx="3">
                  <c:v>2019 г</c:v>
                </c:pt>
                <c:pt idx="4">
                  <c:v>2020 г</c:v>
                </c:pt>
              </c:strCache>
            </c:strRef>
          </c:xVal>
          <c:yVal>
            <c:numRef>
              <c:f>Лист1!$C$79:$G$79</c:f>
              <c:numCache>
                <c:formatCode>0.00</c:formatCode>
                <c:ptCount val="5"/>
                <c:pt idx="0">
                  <c:v>-33010</c:v>
                </c:pt>
                <c:pt idx="1">
                  <c:v>-27040.586579561968</c:v>
                </c:pt>
                <c:pt idx="2">
                  <c:v>-12117.053028466902</c:v>
                </c:pt>
                <c:pt idx="3">
                  <c:v>255.7745330277321</c:v>
                </c:pt>
                <c:pt idx="4">
                  <c:v>1955.3387585077642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Лист1!$A$77</c:f>
              <c:strCache>
                <c:ptCount val="1"/>
                <c:pt idx="0">
                  <c:v>Прt</c:v>
                </c:pt>
              </c:strCache>
            </c:strRef>
          </c:tx>
          <c:xVal>
            <c:strRef>
              <c:f>Лист1!$C$67:$G$67</c:f>
              <c:strCache>
                <c:ptCount val="5"/>
                <c:pt idx="0">
                  <c:v>2016 г</c:v>
                </c:pt>
                <c:pt idx="1">
                  <c:v>2017 г</c:v>
                </c:pt>
                <c:pt idx="2">
                  <c:v>2018 г</c:v>
                </c:pt>
                <c:pt idx="3">
                  <c:v>2019 г</c:v>
                </c:pt>
                <c:pt idx="4">
                  <c:v>2020 г</c:v>
                </c:pt>
              </c:strCache>
            </c:strRef>
          </c:xVal>
          <c:yVal>
            <c:numRef>
              <c:f>Лист1!$C$77:$G$77</c:f>
              <c:numCache>
                <c:formatCode>0.00</c:formatCode>
                <c:ptCount val="5"/>
                <c:pt idx="0">
                  <c:v>-2063.125</c:v>
                </c:pt>
                <c:pt idx="1">
                  <c:v>5424.9071945974647</c:v>
                </c:pt>
                <c:pt idx="2">
                  <c:v>18903.365144872896</c:v>
                </c:pt>
                <c:pt idx="3">
                  <c:v>17405.758705953402</c:v>
                </c:pt>
                <c:pt idx="4">
                  <c:v>932.08787783898515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Лист1!$A$75</c:f>
              <c:strCache>
                <c:ptCount val="1"/>
                <c:pt idx="0">
                  <c:v>ЧДДП</c:v>
                </c:pt>
              </c:strCache>
            </c:strRef>
          </c:tx>
          <c:xVal>
            <c:strRef>
              <c:f>Лист1!$C$67:$G$67</c:f>
              <c:strCache>
                <c:ptCount val="5"/>
                <c:pt idx="0">
                  <c:v>2016 г</c:v>
                </c:pt>
                <c:pt idx="1">
                  <c:v>2017 г</c:v>
                </c:pt>
                <c:pt idx="2">
                  <c:v>2018 г</c:v>
                </c:pt>
                <c:pt idx="3">
                  <c:v>2019 г</c:v>
                </c:pt>
                <c:pt idx="4">
                  <c:v>2020 г</c:v>
                </c:pt>
              </c:strCache>
            </c:strRef>
          </c:xVal>
          <c:yVal>
            <c:numRef>
              <c:f>Лист1!$C$75:$G$75</c:f>
              <c:numCache>
                <c:formatCode>0.00</c:formatCode>
                <c:ptCount val="5"/>
                <c:pt idx="0">
                  <c:v>-33010</c:v>
                </c:pt>
                <c:pt idx="1">
                  <c:v>5969.4134204380298</c:v>
                </c:pt>
                <c:pt idx="2">
                  <c:v>14923.533551095066</c:v>
                </c:pt>
                <c:pt idx="3">
                  <c:v>12372.827561494634</c:v>
                </c:pt>
                <c:pt idx="4">
                  <c:v>1699.5642254800321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Лист1!$A$72</c:f>
              <c:strCache>
                <c:ptCount val="1"/>
                <c:pt idx="0">
                  <c:v>ЧДП</c:v>
                </c:pt>
              </c:strCache>
            </c:strRef>
          </c:tx>
          <c:xVal>
            <c:strRef>
              <c:f>Лист1!$C$67:$G$67</c:f>
              <c:strCache>
                <c:ptCount val="5"/>
                <c:pt idx="0">
                  <c:v>2016 г</c:v>
                </c:pt>
                <c:pt idx="1">
                  <c:v>2017 г</c:v>
                </c:pt>
                <c:pt idx="2">
                  <c:v>2018 г</c:v>
                </c:pt>
                <c:pt idx="3">
                  <c:v>2019 г</c:v>
                </c:pt>
                <c:pt idx="4">
                  <c:v>2020 г</c:v>
                </c:pt>
              </c:strCache>
            </c:strRef>
          </c:xVal>
          <c:yVal>
            <c:numRef>
              <c:f>Лист1!$C$72:$G$72</c:f>
              <c:numCache>
                <c:formatCode>0.00</c:formatCode>
                <c:ptCount val="5"/>
                <c:pt idx="0">
                  <c:v>-33010</c:v>
                </c:pt>
                <c:pt idx="1">
                  <c:v>7488.0321945974647</c:v>
                </c:pt>
                <c:pt idx="2">
                  <c:v>20966.490144872896</c:v>
                </c:pt>
                <c:pt idx="3">
                  <c:v>19468.883705953402</c:v>
                </c:pt>
                <c:pt idx="4">
                  <c:v>2995.2128778389852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501888"/>
        <c:axId val="372500352"/>
      </c:scatterChart>
      <c:valAx>
        <c:axId val="372501888"/>
        <c:scaling>
          <c:orientation val="minMax"/>
        </c:scaling>
        <c:delete val="0"/>
        <c:axPos val="b"/>
        <c:majorTickMark val="out"/>
        <c:minorTickMark val="none"/>
        <c:tickLblPos val="nextTo"/>
        <c:crossAx val="372500352"/>
        <c:crosses val="autoZero"/>
        <c:crossBetween val="midCat"/>
      </c:valAx>
      <c:valAx>
        <c:axId val="37250035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3725018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51</xdr:row>
      <xdr:rowOff>54428</xdr:rowOff>
    </xdr:from>
    <xdr:to>
      <xdr:col>16</xdr:col>
      <xdr:colOff>299357</xdr:colOff>
      <xdr:row>65</xdr:row>
      <xdr:rowOff>122463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544285</xdr:colOff>
      <xdr:row>67</xdr:row>
      <xdr:rowOff>23132</xdr:rowOff>
    </xdr:from>
    <xdr:to>
      <xdr:col>16</xdr:col>
      <xdr:colOff>598713</xdr:colOff>
      <xdr:row>85</xdr:row>
      <xdr:rowOff>231321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87"/>
  <sheetViews>
    <sheetView tabSelected="1" topLeftCell="A64" zoomScale="70" zoomScaleNormal="70" workbookViewId="0">
      <selection activeCell="D63" sqref="D63"/>
    </sheetView>
  </sheetViews>
  <sheetFormatPr defaultRowHeight="21" x14ac:dyDescent="0.35"/>
  <cols>
    <col min="1" max="1" width="9.140625" style="8"/>
    <col min="2" max="2" width="25.85546875" style="8" customWidth="1"/>
    <col min="3" max="7" width="17.7109375" style="8" customWidth="1"/>
    <col min="8" max="8" width="9.42578125" style="8" bestFit="1" customWidth="1"/>
    <col min="9" max="9" width="13" style="8" bestFit="1" customWidth="1"/>
    <col min="10" max="10" width="14.140625" style="8" customWidth="1"/>
    <col min="11" max="11" width="14.28515625" style="8" customWidth="1"/>
    <col min="12" max="12" width="13.28515625" style="8" customWidth="1"/>
    <col min="13" max="13" width="13.85546875" style="8" customWidth="1"/>
    <col min="14" max="14" width="15" style="8" customWidth="1"/>
    <col min="15" max="15" width="14.42578125" style="8" customWidth="1"/>
    <col min="16" max="16" width="12.5703125" style="8" customWidth="1"/>
    <col min="17" max="17" width="12.85546875" style="8" customWidth="1"/>
    <col min="18" max="18" width="13" style="8" customWidth="1"/>
    <col min="19" max="16384" width="9.140625" style="8"/>
  </cols>
  <sheetData>
    <row r="4" spans="2:9" x14ac:dyDescent="0.35">
      <c r="B4" s="8" t="s">
        <v>1</v>
      </c>
      <c r="H4" s="8">
        <v>24</v>
      </c>
      <c r="I4" s="8" t="s">
        <v>2</v>
      </c>
    </row>
    <row r="6" spans="2:9" x14ac:dyDescent="0.35">
      <c r="B6" s="8" t="s">
        <v>0</v>
      </c>
      <c r="H6" s="8">
        <f>100/H4</f>
        <v>4.166666666666667</v>
      </c>
    </row>
    <row r="9" spans="2:9" ht="21.75" thickBot="1" x14ac:dyDescent="0.4"/>
    <row r="10" spans="2:9" ht="61.5" customHeight="1" thickTop="1" thickBot="1" x14ac:dyDescent="0.4">
      <c r="B10" s="9" t="s">
        <v>3</v>
      </c>
      <c r="C10" s="2" t="s">
        <v>4</v>
      </c>
      <c r="D10" s="10" t="s">
        <v>5</v>
      </c>
      <c r="E10" s="10">
        <v>27000</v>
      </c>
    </row>
    <row r="11" spans="2:9" ht="42" thickTop="1" thickBot="1" x14ac:dyDescent="0.4">
      <c r="B11" s="11" t="s">
        <v>6</v>
      </c>
      <c r="C11" s="3" t="s">
        <v>7</v>
      </c>
      <c r="D11" s="12" t="s">
        <v>8</v>
      </c>
      <c r="E11" s="12">
        <v>0.35</v>
      </c>
    </row>
    <row r="12" spans="2:9" ht="56.25" customHeight="1" thickTop="1" thickBot="1" x14ac:dyDescent="0.4">
      <c r="B12" s="11" t="s">
        <v>9</v>
      </c>
      <c r="C12" s="3" t="s">
        <v>10</v>
      </c>
      <c r="D12" s="12"/>
      <c r="E12" s="12">
        <v>0.7</v>
      </c>
    </row>
    <row r="13" spans="2:9" ht="33.75" customHeight="1" thickTop="1" thickBot="1" x14ac:dyDescent="0.4">
      <c r="B13" s="11" t="s">
        <v>11</v>
      </c>
      <c r="C13" s="3" t="s">
        <v>12</v>
      </c>
      <c r="D13" s="12" t="s">
        <v>5</v>
      </c>
      <c r="E13" s="12">
        <v>2.5299999999999998</v>
      </c>
    </row>
    <row r="14" spans="2:9" ht="54.75" customHeight="1" thickTop="1" thickBot="1" x14ac:dyDescent="0.4">
      <c r="B14" s="11" t="s">
        <v>13</v>
      </c>
      <c r="C14" s="3" t="s">
        <v>14</v>
      </c>
      <c r="D14" s="12" t="s">
        <v>15</v>
      </c>
      <c r="E14" s="12">
        <v>1974</v>
      </c>
    </row>
    <row r="15" spans="2:9" ht="51.75" customHeight="1" thickTop="1" thickBot="1" x14ac:dyDescent="0.4">
      <c r="B15" s="11" t="s">
        <v>63</v>
      </c>
      <c r="C15" s="3" t="s">
        <v>16</v>
      </c>
      <c r="D15" s="12" t="s">
        <v>17</v>
      </c>
      <c r="E15" s="12">
        <v>4</v>
      </c>
    </row>
    <row r="16" spans="2:9" ht="69" customHeight="1" thickTop="1" thickBot="1" x14ac:dyDescent="0.4">
      <c r="B16" s="11" t="s">
        <v>18</v>
      </c>
      <c r="C16" s="3" t="s">
        <v>19</v>
      </c>
      <c r="D16" s="12" t="s">
        <v>17</v>
      </c>
      <c r="E16" s="12">
        <v>6</v>
      </c>
    </row>
    <row r="17" spans="2:10" ht="42" thickTop="1" thickBot="1" x14ac:dyDescent="0.4">
      <c r="B17" s="11" t="s">
        <v>20</v>
      </c>
      <c r="C17" s="3" t="s">
        <v>21</v>
      </c>
      <c r="D17" s="12"/>
      <c r="E17" s="12">
        <v>1</v>
      </c>
    </row>
    <row r="18" spans="2:10" ht="50.25" customHeight="1" thickTop="1" thickBot="1" x14ac:dyDescent="0.4">
      <c r="B18" s="11" t="s">
        <v>22</v>
      </c>
      <c r="C18" s="3" t="s">
        <v>23</v>
      </c>
      <c r="D18" s="12" t="s">
        <v>17</v>
      </c>
      <c r="E18" s="12">
        <f>D34</f>
        <v>4.166666666666667</v>
      </c>
    </row>
    <row r="19" spans="2:10" ht="82.5" thickTop="1" thickBot="1" x14ac:dyDescent="0.4">
      <c r="B19" s="11" t="s">
        <v>24</v>
      </c>
      <c r="C19" s="3" t="s">
        <v>25</v>
      </c>
      <c r="D19" s="12" t="s">
        <v>17</v>
      </c>
      <c r="E19" s="12" t="s">
        <v>57</v>
      </c>
    </row>
    <row r="20" spans="2:10" ht="45.75" thickTop="1" thickBot="1" x14ac:dyDescent="0.4">
      <c r="B20" s="11" t="s">
        <v>64</v>
      </c>
      <c r="C20" s="3" t="s">
        <v>26</v>
      </c>
      <c r="D20" s="12" t="s">
        <v>5</v>
      </c>
      <c r="E20" s="12" t="s">
        <v>57</v>
      </c>
    </row>
    <row r="21" spans="2:10" ht="62.25" thickTop="1" thickBot="1" x14ac:dyDescent="0.4">
      <c r="B21" s="11" t="s">
        <v>27</v>
      </c>
      <c r="C21" s="3" t="s">
        <v>28</v>
      </c>
      <c r="D21" s="12" t="s">
        <v>29</v>
      </c>
      <c r="E21" s="12" t="s">
        <v>57</v>
      </c>
    </row>
    <row r="22" spans="2:10" ht="82.5" thickTop="1" thickBot="1" x14ac:dyDescent="0.4">
      <c r="B22" s="11" t="s">
        <v>30</v>
      </c>
      <c r="C22" s="3" t="s">
        <v>31</v>
      </c>
      <c r="D22" s="12" t="s">
        <v>17</v>
      </c>
      <c r="E22" s="12">
        <v>34.200000000000003</v>
      </c>
    </row>
    <row r="23" spans="2:10" ht="82.5" thickTop="1" thickBot="1" x14ac:dyDescent="0.4">
      <c r="B23" s="11" t="s">
        <v>32</v>
      </c>
      <c r="C23" s="3" t="s">
        <v>33</v>
      </c>
      <c r="D23" s="12" t="s">
        <v>17</v>
      </c>
      <c r="E23" s="12">
        <v>22</v>
      </c>
    </row>
    <row r="24" spans="2:10" ht="102.75" thickTop="1" thickBot="1" x14ac:dyDescent="0.4">
      <c r="B24" s="11" t="s">
        <v>34</v>
      </c>
      <c r="C24" s="3" t="s">
        <v>35</v>
      </c>
      <c r="D24" s="12" t="s">
        <v>17</v>
      </c>
      <c r="E24" s="12">
        <v>7</v>
      </c>
    </row>
    <row r="25" spans="2:10" ht="42" thickTop="1" thickBot="1" x14ac:dyDescent="0.4">
      <c r="B25" s="11" t="s">
        <v>36</v>
      </c>
      <c r="C25" s="3" t="s">
        <v>37</v>
      </c>
      <c r="D25" s="12" t="s">
        <v>5</v>
      </c>
      <c r="E25" s="12">
        <v>10000</v>
      </c>
    </row>
    <row r="26" spans="2:10" ht="21.75" thickTop="1" x14ac:dyDescent="0.35">
      <c r="B26" s="8" t="s">
        <v>49</v>
      </c>
      <c r="C26" s="8" t="s">
        <v>50</v>
      </c>
      <c r="D26" s="8" t="s">
        <v>2</v>
      </c>
      <c r="E26" s="8">
        <v>24</v>
      </c>
    </row>
    <row r="27" spans="2:10" x14ac:dyDescent="0.35">
      <c r="B27" s="8" t="s">
        <v>56</v>
      </c>
      <c r="C27" s="8">
        <v>1904.91</v>
      </c>
    </row>
    <row r="28" spans="2:10" x14ac:dyDescent="0.35">
      <c r="B28" s="4" t="s">
        <v>98</v>
      </c>
      <c r="C28" s="4"/>
      <c r="D28" s="5">
        <f>E24*E10/100</f>
        <v>1890</v>
      </c>
      <c r="E28" s="6"/>
      <c r="F28" s="6" t="s">
        <v>38</v>
      </c>
      <c r="G28" s="6"/>
      <c r="H28" s="6"/>
      <c r="I28" s="6"/>
      <c r="J28" s="6"/>
    </row>
    <row r="29" spans="2:10" x14ac:dyDescent="0.35">
      <c r="B29" s="6" t="s">
        <v>39</v>
      </c>
      <c r="C29" s="6"/>
      <c r="D29" s="7">
        <f>E14*E13*E11*E12*E17</f>
        <v>1223.5838999999996</v>
      </c>
      <c r="E29" s="6"/>
      <c r="F29" s="6" t="s">
        <v>40</v>
      </c>
      <c r="G29" s="6"/>
      <c r="H29" s="6"/>
      <c r="I29" s="6"/>
      <c r="J29" s="6"/>
    </row>
    <row r="30" spans="2:10" x14ac:dyDescent="0.35">
      <c r="B30" s="6" t="s">
        <v>96</v>
      </c>
      <c r="C30" s="6"/>
      <c r="D30" s="6">
        <f>E25*11.8*E17</f>
        <v>118000</v>
      </c>
      <c r="E30" s="6"/>
      <c r="F30" s="6" t="s">
        <v>41</v>
      </c>
      <c r="G30" s="6"/>
      <c r="H30" s="6"/>
      <c r="I30" s="6"/>
      <c r="J30" s="6"/>
    </row>
    <row r="31" spans="2:10" ht="23.25" x14ac:dyDescent="0.4">
      <c r="B31" s="1" t="s">
        <v>43</v>
      </c>
      <c r="C31" s="6"/>
      <c r="D31" s="6">
        <f>D30*E22/100</f>
        <v>40356.000000000007</v>
      </c>
      <c r="E31" s="6"/>
      <c r="F31" s="1" t="s">
        <v>42</v>
      </c>
      <c r="G31" s="6"/>
      <c r="H31" s="6"/>
      <c r="I31" s="6"/>
      <c r="J31" s="6"/>
    </row>
    <row r="32" spans="2:10" ht="23.25" x14ac:dyDescent="0.4">
      <c r="B32" s="1" t="s">
        <v>45</v>
      </c>
      <c r="C32" s="6"/>
      <c r="D32" s="6">
        <f>E10*E16/100</f>
        <v>1620</v>
      </c>
      <c r="E32" s="6"/>
      <c r="F32" s="1" t="s">
        <v>44</v>
      </c>
      <c r="G32" s="6"/>
      <c r="H32" s="6"/>
      <c r="I32" s="6"/>
    </row>
    <row r="33" spans="1:11" ht="23.25" x14ac:dyDescent="0.4">
      <c r="A33" s="6"/>
      <c r="B33" s="1" t="s">
        <v>99</v>
      </c>
      <c r="C33" s="6"/>
      <c r="D33" s="6">
        <f>(D30+D32+D31+D29+D28)*E23/100</f>
        <v>35879.708458000001</v>
      </c>
      <c r="E33" s="6"/>
      <c r="F33" s="6" t="s">
        <v>46</v>
      </c>
      <c r="G33" s="6"/>
      <c r="H33" s="6"/>
      <c r="I33" s="6"/>
      <c r="J33" s="6"/>
      <c r="K33" s="6"/>
    </row>
    <row r="34" spans="1:11" x14ac:dyDescent="0.35">
      <c r="A34" s="6"/>
      <c r="B34" s="18" t="s">
        <v>51</v>
      </c>
      <c r="C34" s="18"/>
      <c r="D34" s="6">
        <f>100/E26</f>
        <v>4.166666666666667</v>
      </c>
      <c r="E34" s="6"/>
      <c r="F34" s="6" t="s">
        <v>48</v>
      </c>
      <c r="G34" s="6"/>
      <c r="H34" s="6"/>
      <c r="I34" s="6"/>
      <c r="J34" s="6"/>
      <c r="K34" s="6"/>
    </row>
    <row r="35" spans="1:11" ht="23.25" x14ac:dyDescent="0.4">
      <c r="A35" s="6"/>
      <c r="B35" s="1" t="s">
        <v>104</v>
      </c>
      <c r="C35" s="6"/>
      <c r="D35" s="6">
        <f>E10*D34*11.8/100</f>
        <v>13275.000000000002</v>
      </c>
      <c r="E35" s="6"/>
      <c r="F35" s="13" t="s">
        <v>47</v>
      </c>
      <c r="G35" s="13"/>
      <c r="H35" s="6"/>
      <c r="I35" s="6"/>
      <c r="J35" s="6"/>
      <c r="K35" s="6"/>
    </row>
    <row r="36" spans="1:11" ht="23.25" x14ac:dyDescent="0.4">
      <c r="A36" s="6"/>
      <c r="B36" s="19" t="s">
        <v>54</v>
      </c>
      <c r="C36" s="19"/>
      <c r="D36" s="6">
        <f>D35+D33+D32+D31+D30+D29+D28</f>
        <v>212244.29235800001</v>
      </c>
      <c r="E36" s="6"/>
      <c r="F36" s="14" t="s">
        <v>53</v>
      </c>
      <c r="G36" s="6"/>
      <c r="H36" s="6"/>
      <c r="I36" s="6"/>
      <c r="J36" s="6"/>
      <c r="K36" s="6"/>
    </row>
    <row r="37" spans="1:11" ht="23.25" x14ac:dyDescent="0.4">
      <c r="A37" s="6"/>
      <c r="B37" s="1" t="s">
        <v>55</v>
      </c>
      <c r="C37" s="6"/>
      <c r="D37" s="6">
        <f>D36/(C27*E17)</f>
        <v>111.41959061477969</v>
      </c>
      <c r="E37" s="6"/>
      <c r="F37" s="14" t="s">
        <v>52</v>
      </c>
      <c r="G37" s="6"/>
      <c r="H37" s="6"/>
      <c r="I37" s="6"/>
      <c r="J37" s="6"/>
      <c r="K37" s="6"/>
    </row>
    <row r="38" spans="1:1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x14ac:dyDescent="0.35">
      <c r="A39" s="6"/>
      <c r="B39" s="15"/>
      <c r="C39" s="6"/>
      <c r="D39" s="6"/>
      <c r="E39" s="6"/>
      <c r="F39" s="6" t="s">
        <v>78</v>
      </c>
      <c r="G39" s="6">
        <v>1.66</v>
      </c>
      <c r="H39" s="6"/>
      <c r="I39" s="6"/>
      <c r="J39" s="6"/>
      <c r="K39" s="6"/>
    </row>
    <row r="40" spans="1:11" x14ac:dyDescent="0.35">
      <c r="A40" s="6"/>
      <c r="B40" s="15" t="s">
        <v>73</v>
      </c>
      <c r="D40" s="8">
        <f>1*G40*E25</f>
        <v>6599.9999999999991</v>
      </c>
      <c r="F40" s="8" t="s">
        <v>79</v>
      </c>
      <c r="G40" s="8">
        <f>G39-G41</f>
        <v>0.65999999999999992</v>
      </c>
      <c r="H40" s="6"/>
      <c r="I40" s="6"/>
      <c r="J40" s="6"/>
      <c r="K40" s="6"/>
    </row>
    <row r="41" spans="1:11" x14ac:dyDescent="0.35">
      <c r="A41" s="6"/>
      <c r="B41" s="15" t="s">
        <v>101</v>
      </c>
      <c r="D41" s="8">
        <f>G42*D40</f>
        <v>1979.9999999999995</v>
      </c>
      <c r="F41" s="8" t="s">
        <v>80</v>
      </c>
      <c r="G41" s="8">
        <v>1</v>
      </c>
      <c r="H41" s="6"/>
      <c r="I41" s="6"/>
      <c r="J41" s="6"/>
      <c r="K41" s="6"/>
    </row>
    <row r="42" spans="1:11" x14ac:dyDescent="0.35">
      <c r="A42" s="6"/>
      <c r="B42" s="15" t="s">
        <v>100</v>
      </c>
      <c r="D42" s="8">
        <f>D40+D41</f>
        <v>8579.9999999999982</v>
      </c>
      <c r="F42" s="15" t="s">
        <v>74</v>
      </c>
      <c r="G42" s="8">
        <v>0.3</v>
      </c>
      <c r="H42" s="6"/>
      <c r="I42" s="20"/>
      <c r="J42" s="20">
        <v>10</v>
      </c>
      <c r="K42" s="20">
        <v>0</v>
      </c>
    </row>
    <row r="43" spans="1:11" x14ac:dyDescent="0.35">
      <c r="A43" s="6"/>
      <c r="B43" s="15" t="s">
        <v>75</v>
      </c>
      <c r="D43" s="8">
        <f>0.342*D42</f>
        <v>2934.3599999999997</v>
      </c>
      <c r="H43" s="6"/>
      <c r="I43" s="20" t="s">
        <v>107</v>
      </c>
      <c r="J43" s="21">
        <f>D47</f>
        <v>46620.214630649753</v>
      </c>
      <c r="K43" s="21">
        <f>D47</f>
        <v>46620.214630649753</v>
      </c>
    </row>
    <row r="44" spans="1:11" x14ac:dyDescent="0.35">
      <c r="A44" s="6"/>
      <c r="B44" s="15" t="s">
        <v>105</v>
      </c>
      <c r="D44" s="8">
        <f>D42+D43</f>
        <v>11514.359999999997</v>
      </c>
      <c r="H44" s="6"/>
      <c r="I44" s="20" t="s">
        <v>108</v>
      </c>
      <c r="J44" s="21">
        <f>D61</f>
        <v>3300</v>
      </c>
      <c r="K44" s="20">
        <v>0</v>
      </c>
    </row>
    <row r="45" spans="1:11" x14ac:dyDescent="0.35">
      <c r="A45" s="6"/>
      <c r="B45" s="15" t="s">
        <v>76</v>
      </c>
      <c r="D45" s="8">
        <f>E23/100*D44</f>
        <v>2533.1591999999991</v>
      </c>
      <c r="H45" s="6"/>
      <c r="I45" s="20" t="s">
        <v>109</v>
      </c>
      <c r="J45" s="20">
        <f>J43+J44</f>
        <v>49920.214630649753</v>
      </c>
      <c r="K45" s="21">
        <f>J43</f>
        <v>46620.214630649753</v>
      </c>
    </row>
    <row r="46" spans="1:11" x14ac:dyDescent="0.35">
      <c r="A46" s="6"/>
      <c r="B46" s="15" t="s">
        <v>77</v>
      </c>
      <c r="D46" s="8">
        <f>G39*D37*168*G41</f>
        <v>31072.695430649757</v>
      </c>
      <c r="H46" s="6"/>
      <c r="I46" s="20" t="s">
        <v>110</v>
      </c>
      <c r="J46" s="21">
        <f>D62</f>
        <v>57408.246825247217</v>
      </c>
      <c r="K46" s="20">
        <v>0</v>
      </c>
    </row>
    <row r="47" spans="1:11" x14ac:dyDescent="0.35">
      <c r="B47" s="8" t="s">
        <v>106</v>
      </c>
      <c r="D47" s="8">
        <f>D46+D44+D45+1500</f>
        <v>46620.214630649753</v>
      </c>
      <c r="I47" s="20"/>
      <c r="J47" s="20"/>
      <c r="K47" s="20"/>
    </row>
    <row r="48" spans="1:11" x14ac:dyDescent="0.35">
      <c r="I48" s="20"/>
      <c r="J48" s="20"/>
      <c r="K48" s="20"/>
    </row>
    <row r="49" spans="2:11" x14ac:dyDescent="0.35">
      <c r="B49" s="15"/>
      <c r="C49" s="15"/>
      <c r="D49" s="15"/>
      <c r="E49" s="15"/>
      <c r="F49" s="15"/>
      <c r="G49" s="15"/>
      <c r="I49" s="20"/>
      <c r="J49" s="20">
        <f>J46/10</f>
        <v>5740.8246825247215</v>
      </c>
      <c r="K49" s="20">
        <f>J44/10</f>
        <v>330</v>
      </c>
    </row>
    <row r="50" spans="2:11" x14ac:dyDescent="0.35">
      <c r="C50" s="6"/>
      <c r="D50" s="6"/>
      <c r="E50" s="6"/>
      <c r="F50" s="6"/>
      <c r="G50" s="6"/>
      <c r="I50" s="20"/>
      <c r="J50" s="20"/>
      <c r="K50" s="20"/>
    </row>
    <row r="51" spans="2:11" x14ac:dyDescent="0.35">
      <c r="B51" s="6" t="s">
        <v>59</v>
      </c>
      <c r="C51" s="6"/>
      <c r="D51" s="6"/>
      <c r="E51" s="6"/>
      <c r="F51" s="6"/>
      <c r="G51" s="6"/>
      <c r="I51" s="20"/>
      <c r="J51" s="20">
        <f>J43/(J49-K49)</f>
        <v>8.6161014939586806</v>
      </c>
      <c r="K51" s="20"/>
    </row>
    <row r="52" spans="2:11" x14ac:dyDescent="0.35">
      <c r="B52" s="6" t="s">
        <v>60</v>
      </c>
      <c r="C52" s="6"/>
      <c r="D52" s="6"/>
      <c r="E52" s="6">
        <f>E10</f>
        <v>27000</v>
      </c>
      <c r="F52" s="6" t="s">
        <v>70</v>
      </c>
      <c r="G52" s="6">
        <v>2500</v>
      </c>
    </row>
    <row r="53" spans="2:11" x14ac:dyDescent="0.35">
      <c r="B53" s="8" t="s">
        <v>61</v>
      </c>
      <c r="E53" s="8">
        <f>0.05*E52</f>
        <v>1350</v>
      </c>
    </row>
    <row r="54" spans="2:11" x14ac:dyDescent="0.35">
      <c r="B54" s="8" t="s">
        <v>62</v>
      </c>
      <c r="E54" s="8">
        <f>0.08*E52</f>
        <v>2160</v>
      </c>
    </row>
    <row r="55" spans="2:11" x14ac:dyDescent="0.35">
      <c r="B55" s="8" t="s">
        <v>95</v>
      </c>
      <c r="E55" s="8" t="s">
        <v>71</v>
      </c>
      <c r="F55" s="8">
        <v>2000</v>
      </c>
    </row>
    <row r="56" spans="2:11" x14ac:dyDescent="0.35">
      <c r="E56" s="8" t="s">
        <v>72</v>
      </c>
      <c r="F56" s="8">
        <v>800</v>
      </c>
    </row>
    <row r="57" spans="2:11" x14ac:dyDescent="0.35">
      <c r="E57" s="8" t="s">
        <v>97</v>
      </c>
      <c r="F57" s="8">
        <v>500</v>
      </c>
    </row>
    <row r="58" spans="2:11" x14ac:dyDescent="0.35">
      <c r="B58" s="6" t="s">
        <v>58</v>
      </c>
      <c r="D58" s="8">
        <f>E52+G52+E53+E54</f>
        <v>33010</v>
      </c>
    </row>
    <row r="59" spans="2:11" x14ac:dyDescent="0.35">
      <c r="B59" s="8" t="s">
        <v>65</v>
      </c>
      <c r="D59" s="8">
        <f>D60+D61</f>
        <v>49920.214630649753</v>
      </c>
    </row>
    <row r="60" spans="2:11" x14ac:dyDescent="0.35">
      <c r="B60" s="8" t="s">
        <v>66</v>
      </c>
      <c r="D60" s="8">
        <f>D47</f>
        <v>46620.214630649753</v>
      </c>
    </row>
    <row r="61" spans="2:11" x14ac:dyDescent="0.35">
      <c r="B61" s="8" t="s">
        <v>67</v>
      </c>
      <c r="D61" s="8">
        <f>F55+F56+F57</f>
        <v>3300</v>
      </c>
    </row>
    <row r="62" spans="2:11" x14ac:dyDescent="0.35">
      <c r="B62" s="8" t="s">
        <v>68</v>
      </c>
      <c r="D62" s="8">
        <f>D59+D63</f>
        <v>57408.246825247217</v>
      </c>
    </row>
    <row r="63" spans="2:11" x14ac:dyDescent="0.35">
      <c r="B63" s="8" t="s">
        <v>121</v>
      </c>
      <c r="D63" s="8">
        <f>D59*0.15</f>
        <v>7488.0321945974629</v>
      </c>
    </row>
    <row r="64" spans="2:11" x14ac:dyDescent="0.35">
      <c r="B64" s="8" t="s">
        <v>69</v>
      </c>
      <c r="D64" s="8">
        <f>D62/D65</f>
        <v>5740.8246825247215</v>
      </c>
    </row>
    <row r="65" spans="1:7" x14ac:dyDescent="0.35">
      <c r="B65" s="8" t="s">
        <v>81</v>
      </c>
      <c r="D65" s="8">
        <v>10</v>
      </c>
    </row>
    <row r="67" spans="1:7" x14ac:dyDescent="0.35">
      <c r="B67" s="16"/>
      <c r="C67" s="16" t="s">
        <v>86</v>
      </c>
      <c r="D67" s="16" t="s">
        <v>87</v>
      </c>
      <c r="E67" s="16" t="s">
        <v>88</v>
      </c>
      <c r="F67" s="16" t="s">
        <v>89</v>
      </c>
      <c r="G67" s="16" t="s">
        <v>90</v>
      </c>
    </row>
    <row r="68" spans="1:7" x14ac:dyDescent="0.35">
      <c r="B68" s="16" t="s">
        <v>82</v>
      </c>
      <c r="C68" s="16">
        <v>0</v>
      </c>
      <c r="D68" s="16">
        <f>$D$64*D71</f>
        <v>57408.246825247217</v>
      </c>
      <c r="E68" s="16">
        <f>$D$64*E71</f>
        <v>45926.597460197772</v>
      </c>
      <c r="F68" s="16">
        <f>$D$64*F71</f>
        <v>34444.948095148327</v>
      </c>
      <c r="G68" s="16">
        <f>$D$64*G71</f>
        <v>22963.298730098886</v>
      </c>
    </row>
    <row r="69" spans="1:7" x14ac:dyDescent="0.35">
      <c r="B69" s="16" t="s">
        <v>84</v>
      </c>
      <c r="C69" s="16">
        <f>D58</f>
        <v>33010</v>
      </c>
      <c r="D69" s="16">
        <v>0</v>
      </c>
      <c r="E69" s="16">
        <v>0</v>
      </c>
      <c r="F69" s="16">
        <v>0</v>
      </c>
      <c r="G69" s="16">
        <v>0</v>
      </c>
    </row>
    <row r="70" spans="1:7" x14ac:dyDescent="0.35">
      <c r="B70" s="16" t="s">
        <v>85</v>
      </c>
      <c r="C70" s="16">
        <v>0</v>
      </c>
      <c r="D70" s="16">
        <f>D59</f>
        <v>49920.214630649753</v>
      </c>
      <c r="E70" s="16">
        <f>0.5*$D$70</f>
        <v>24960.107315324876</v>
      </c>
      <c r="F70" s="16">
        <f>0.3*$D$70</f>
        <v>14976.064389194926</v>
      </c>
      <c r="G70" s="16">
        <f>0.4*$D$70</f>
        <v>19968.085852259901</v>
      </c>
    </row>
    <row r="71" spans="1:7" x14ac:dyDescent="0.35">
      <c r="B71" s="16" t="s">
        <v>83</v>
      </c>
      <c r="C71" s="16">
        <v>0</v>
      </c>
      <c r="D71" s="16">
        <v>10</v>
      </c>
      <c r="E71" s="16">
        <v>8</v>
      </c>
      <c r="F71" s="16">
        <v>6</v>
      </c>
      <c r="G71" s="16">
        <v>4</v>
      </c>
    </row>
    <row r="72" spans="1:7" x14ac:dyDescent="0.35">
      <c r="A72" s="8" t="s">
        <v>119</v>
      </c>
      <c r="B72" s="16" t="s">
        <v>111</v>
      </c>
      <c r="C72" s="16">
        <f>C68-(C69+C70)</f>
        <v>-33010</v>
      </c>
      <c r="D72" s="16">
        <f>D68-(D69+D70)</f>
        <v>7488.0321945974647</v>
      </c>
      <c r="E72" s="16">
        <f>E68-(E69+E70)</f>
        <v>20966.490144872896</v>
      </c>
      <c r="F72" s="16">
        <f>F68-(F69+F70)</f>
        <v>19468.883705953402</v>
      </c>
      <c r="G72" s="16">
        <f t="shared" ref="D72:G72" si="0">G68-(G69+G70)</f>
        <v>2995.2128778389852</v>
      </c>
    </row>
    <row r="73" spans="1:7" x14ac:dyDescent="0.35">
      <c r="B73" s="16" t="s">
        <v>91</v>
      </c>
      <c r="C73" s="16">
        <v>1</v>
      </c>
      <c r="D73" s="16">
        <v>2</v>
      </c>
      <c r="E73" s="16">
        <v>3</v>
      </c>
      <c r="F73" s="16">
        <v>4</v>
      </c>
      <c r="G73" s="16">
        <v>5</v>
      </c>
    </row>
    <row r="74" spans="1:7" x14ac:dyDescent="0.35">
      <c r="B74" s="17" t="s">
        <v>94</v>
      </c>
      <c r="C74" s="16">
        <f>1/(1+C81)^0</f>
        <v>1</v>
      </c>
      <c r="D74" s="16">
        <f>1/(1+$C$81)^2</f>
        <v>0.79719387755102034</v>
      </c>
      <c r="E74" s="16">
        <f>1/(1+$C$81)^3</f>
        <v>0.71178024781341087</v>
      </c>
      <c r="F74" s="16">
        <f>1/(1+$C$81)^4</f>
        <v>0.63551807840483121</v>
      </c>
      <c r="G74" s="16">
        <f>1/(1+$C$81)^5</f>
        <v>0.56742685571859919</v>
      </c>
    </row>
    <row r="75" spans="1:7" x14ac:dyDescent="0.35">
      <c r="A75" s="8" t="s">
        <v>118</v>
      </c>
      <c r="B75" s="16" t="s">
        <v>103</v>
      </c>
      <c r="C75" s="16">
        <f>C72*C74</f>
        <v>-33010</v>
      </c>
      <c r="D75" s="16">
        <f>D72*D74</f>
        <v>5969.4134204380298</v>
      </c>
      <c r="E75" s="16">
        <f>E72*E74</f>
        <v>14923.533551095066</v>
      </c>
      <c r="F75" s="16">
        <f>F72*F74</f>
        <v>12372.827561494634</v>
      </c>
      <c r="G75" s="16">
        <f>G72*G74</f>
        <v>1699.5642254800321</v>
      </c>
    </row>
    <row r="76" spans="1:7" x14ac:dyDescent="0.35">
      <c r="A76" s="8" t="s">
        <v>117</v>
      </c>
      <c r="B76" s="16" t="s">
        <v>92</v>
      </c>
      <c r="C76" s="16">
        <f>$C$69/4</f>
        <v>8252.5</v>
      </c>
      <c r="D76" s="16">
        <f>$C$69/4</f>
        <v>8252.5</v>
      </c>
      <c r="E76" s="16">
        <f>$C$69/4</f>
        <v>8252.5</v>
      </c>
      <c r="F76" s="16">
        <f>$C$69/4</f>
        <v>8252.5</v>
      </c>
      <c r="G76" s="16">
        <f>$C$69/4</f>
        <v>8252.5</v>
      </c>
    </row>
    <row r="77" spans="1:7" x14ac:dyDescent="0.35">
      <c r="A77" s="8" t="s">
        <v>116</v>
      </c>
      <c r="B77" s="16" t="s">
        <v>93</v>
      </c>
      <c r="C77" s="16">
        <f>C68-C70-C76/4</f>
        <v>-2063.125</v>
      </c>
      <c r="D77" s="16">
        <f>D68-D70-D76/4</f>
        <v>5424.9071945974647</v>
      </c>
      <c r="E77" s="16">
        <f t="shared" ref="D77:G77" si="1">E68-E70-E76/4</f>
        <v>18903.365144872896</v>
      </c>
      <c r="F77" s="16">
        <f t="shared" si="1"/>
        <v>17405.758705953402</v>
      </c>
      <c r="G77" s="16">
        <f t="shared" si="1"/>
        <v>932.08787783898515</v>
      </c>
    </row>
    <row r="78" spans="1:7" x14ac:dyDescent="0.35">
      <c r="A78" s="8" t="s">
        <v>115</v>
      </c>
      <c r="B78" s="16" t="s">
        <v>113</v>
      </c>
      <c r="C78" s="16">
        <f>C77/$C$69</f>
        <v>-6.25E-2</v>
      </c>
      <c r="D78" s="16">
        <f>D77/$C$69</f>
        <v>0.16434132670698165</v>
      </c>
      <c r="E78" s="16">
        <f>E77/$C$69</f>
        <v>0.57265571477954846</v>
      </c>
      <c r="F78" s="16">
        <f>F77/$C$69</f>
        <v>0.52728744943815209</v>
      </c>
      <c r="G78" s="16">
        <f>G77/$C$69</f>
        <v>2.8236530682792645E-2</v>
      </c>
    </row>
    <row r="79" spans="1:7" x14ac:dyDescent="0.35">
      <c r="A79" s="8" t="s">
        <v>112</v>
      </c>
      <c r="B79" s="16" t="s">
        <v>112</v>
      </c>
      <c r="C79" s="16">
        <f>-C69</f>
        <v>-33010</v>
      </c>
      <c r="D79" s="16">
        <f>C79+D75</f>
        <v>-27040.586579561968</v>
      </c>
      <c r="E79" s="16">
        <f>D79+E75</f>
        <v>-12117.053028466902</v>
      </c>
      <c r="F79" s="16">
        <f>E79+F75</f>
        <v>255.7745330277321</v>
      </c>
      <c r="G79" s="16">
        <f>F79+G75</f>
        <v>1955.3387585077642</v>
      </c>
    </row>
    <row r="81" spans="2:3" x14ac:dyDescent="0.35">
      <c r="B81" s="8" t="s">
        <v>102</v>
      </c>
      <c r="C81" s="8">
        <v>0.12</v>
      </c>
    </row>
    <row r="84" spans="2:3" x14ac:dyDescent="0.35">
      <c r="B84" s="8" t="s">
        <v>114</v>
      </c>
    </row>
    <row r="87" spans="2:3" x14ac:dyDescent="0.35">
      <c r="B87" s="8" t="s">
        <v>120</v>
      </c>
    </row>
  </sheetData>
  <mergeCells count="2">
    <mergeCell ref="B34:C34"/>
    <mergeCell ref="B36:C36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2016-03-23T19:58:49Z</dcterms:modified>
</cp:coreProperties>
</file>