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9105" windowHeight="70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9" i="2" l="1"/>
  <c r="C77" i="2" l="1"/>
  <c r="B14" i="1"/>
  <c r="B12" i="1"/>
  <c r="B32" i="1"/>
  <c r="B31" i="1"/>
  <c r="B26" i="1"/>
  <c r="C24" i="1"/>
  <c r="C21" i="1" l="1"/>
  <c r="C25" i="1"/>
  <c r="C26" i="1" s="1"/>
  <c r="B28" i="1" s="1"/>
  <c r="C22" i="1"/>
  <c r="C23" i="1"/>
  <c r="G71" i="3" l="1"/>
  <c r="F71" i="3"/>
  <c r="E71" i="3"/>
  <c r="C75" i="3"/>
  <c r="F57" i="3"/>
  <c r="D46" i="2"/>
  <c r="I22" i="2" l="1"/>
  <c r="D34" i="3" l="1"/>
  <c r="D35" i="3" s="1"/>
  <c r="H7" i="3"/>
  <c r="E18" i="3"/>
  <c r="D76" i="3"/>
  <c r="E76" i="3"/>
  <c r="F76" i="3"/>
  <c r="G76" i="3"/>
  <c r="C76" i="3"/>
  <c r="D76" i="2"/>
  <c r="E76" i="2"/>
  <c r="F76" i="2"/>
  <c r="G76" i="2"/>
  <c r="C76" i="2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D33" i="3" l="1"/>
  <c r="D36" i="3" s="1"/>
  <c r="D37" i="3" s="1"/>
  <c r="D46" i="3" s="1"/>
  <c r="D41" i="3"/>
  <c r="D42" i="3" s="1"/>
  <c r="E54" i="3"/>
  <c r="D58" i="3" s="1"/>
  <c r="C70" i="3" s="1"/>
  <c r="G73" i="2"/>
  <c r="F73" i="2"/>
  <c r="E73" i="2"/>
  <c r="D73" i="2"/>
  <c r="C73" i="2"/>
  <c r="E54" i="2"/>
  <c r="E53" i="2"/>
  <c r="D58" i="2" s="1"/>
  <c r="C70" i="2" s="1"/>
  <c r="E52" i="2"/>
  <c r="G40" i="2"/>
  <c r="D40" i="2" s="1"/>
  <c r="D41" i="2" s="1"/>
  <c r="D42" i="2" s="1"/>
  <c r="D34" i="2"/>
  <c r="D35" i="2" s="1"/>
  <c r="D32" i="2"/>
  <c r="D30" i="2"/>
  <c r="D31" i="2" s="1"/>
  <c r="D33" i="2" s="1"/>
  <c r="D29" i="2"/>
  <c r="D28" i="2"/>
  <c r="H6" i="2"/>
  <c r="C72" i="3" l="1"/>
  <c r="C74" i="3" s="1"/>
  <c r="C77" i="3"/>
  <c r="C78" i="3" s="1"/>
  <c r="D43" i="3"/>
  <c r="D44" i="3" s="1"/>
  <c r="D43" i="2"/>
  <c r="D44" i="2" s="1"/>
  <c r="D45" i="2" s="1"/>
  <c r="D36" i="2"/>
  <c r="D37" i="2" s="1"/>
  <c r="C78" i="2"/>
  <c r="C72" i="2"/>
  <c r="C74" i="2" s="1"/>
  <c r="E18" i="2"/>
  <c r="D45" i="3" l="1"/>
  <c r="D48" i="3" s="1"/>
  <c r="D48" i="2"/>
  <c r="F57" i="2" s="1"/>
  <c r="D61" i="2" s="1"/>
  <c r="J44" i="2" s="1"/>
  <c r="O45" i="2" s="1"/>
  <c r="K43" i="3" l="1"/>
  <c r="J43" i="3"/>
  <c r="D60" i="3"/>
  <c r="D61" i="3"/>
  <c r="J44" i="3" s="1"/>
  <c r="K47" i="3" s="1"/>
  <c r="D59" i="3" l="1"/>
  <c r="K45" i="3"/>
  <c r="J45" i="3"/>
  <c r="K43" i="2"/>
  <c r="D60" i="2"/>
  <c r="D59" i="2" s="1"/>
  <c r="J43" i="2"/>
  <c r="D63" i="3" l="1"/>
  <c r="D62" i="3" s="1"/>
  <c r="D71" i="3"/>
  <c r="K45" i="2"/>
  <c r="J45" i="2"/>
  <c r="D71" i="2"/>
  <c r="D63" i="2"/>
  <c r="D62" i="2" s="1"/>
  <c r="D64" i="3" l="1"/>
  <c r="J46" i="3"/>
  <c r="J47" i="3" s="1"/>
  <c r="J48" i="3" s="1"/>
  <c r="D64" i="2"/>
  <c r="J46" i="2"/>
  <c r="N45" i="2" s="1"/>
  <c r="F71" i="2"/>
  <c r="E71" i="2"/>
  <c r="G71" i="2"/>
  <c r="N44" i="2" l="1"/>
  <c r="L46" i="2" s="1"/>
  <c r="L42" i="2"/>
  <c r="F69" i="3"/>
  <c r="G69" i="3"/>
  <c r="E69" i="3"/>
  <c r="E72" i="3" s="1"/>
  <c r="D69" i="3"/>
  <c r="G69" i="2"/>
  <c r="G77" i="2" s="1"/>
  <c r="F69" i="2"/>
  <c r="F77" i="2" s="1"/>
  <c r="D69" i="2"/>
  <c r="E69" i="2"/>
  <c r="E77" i="2" s="1"/>
  <c r="D77" i="2" l="1"/>
  <c r="D72" i="2"/>
  <c r="F72" i="3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F72" i="2"/>
  <c r="F74" i="2" s="1"/>
  <c r="F78" i="2"/>
  <c r="G78" i="2"/>
  <c r="G72" i="2"/>
  <c r="G74" i="2" s="1"/>
  <c r="E72" i="2"/>
  <c r="E74" i="2" s="1"/>
  <c r="E78" i="2"/>
  <c r="D78" i="2"/>
  <c r="D74" i="2"/>
  <c r="D75" i="2" s="1"/>
  <c r="E75" i="2" l="1"/>
  <c r="E75" i="3"/>
  <c r="F75" i="3" s="1"/>
  <c r="G75" i="3" s="1"/>
  <c r="F75" i="2"/>
  <c r="G75" i="2" s="1"/>
</calcChain>
</file>

<file path=xl/sharedStrings.xml><?xml version="1.0" encoding="utf-8"?>
<sst xmlns="http://schemas.openxmlformats.org/spreadsheetml/2006/main" count="297" uniqueCount="153">
  <si>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</si>
  <si>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</si>
  <si>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</si>
  <si>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</si>
  <si>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</si>
  <si>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</si>
  <si>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</si>
  <si>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</si>
  <si>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</si>
  <si>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</si>
  <si>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</si>
  <si>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</si>
  <si>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</si>
  <si>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</si>
  <si>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</si>
  <si>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</si>
  <si>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</si>
  <si>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</si>
  <si>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</si>
  <si>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</si>
  <si>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</si>
  <si>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</si>
  <si>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</si>
  <si>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</si>
  <si>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</si>
  <si>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</si>
  <si>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</si>
  <si>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</si>
  <si>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</si>
  <si>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</si>
  <si>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</si>
  <si>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</si>
  <si>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</si>
  <si>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</si>
  <si>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</si>
  <si>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</si>
  <si>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</si>
  <si>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</si>
  <si>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</si>
  <si>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</si>
  <si>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</si>
  <si>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</si>
  <si>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</si>
  <si>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</si>
  <si>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</si>
  <si>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</si>
  <si>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</si>
  <si>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</si>
  <si>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</si>
  <si>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</si>
  <si>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</si>
  <si>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</si>
  <si>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</si>
  <si>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</si>
  <si>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</si>
  <si>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</si>
  <si>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</si>
  <si>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</si>
  <si>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</si>
  <si>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</si>
  <si>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</si>
  <si>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</si>
  <si>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</si>
  <si>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</si>
  <si>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</si>
  <si>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</si>
  <si>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</si>
  <si>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</si>
  <si>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</si>
  <si>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</si>
  <si>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</si>
  <si>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</si>
  <si>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</si>
  <si>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</si>
  <si>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</si>
  <si>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</si>
  <si>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</si>
  <si>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</si>
  <si>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</si>
  <si>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</si>
  <si>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</si>
  <si>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</si>
  <si>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</si>
  <si>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</si>
  <si>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</si>
  <si>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</si>
  <si>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</si>
  <si>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</si>
  <si>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</si>
  <si>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</si>
  <si>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</si>
  <si>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</si>
  <si>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</si>
  <si>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</si>
  <si>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</si>
  <si>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</si>
  <si>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</si>
  <si>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</si>
  <si>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</si>
  <si>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</si>
  <si>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</si>
  <si>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</si>
  <si>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</si>
  <si>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</si>
  <si>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</si>
  <si>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</si>
  <si>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</si>
  <si>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</si>
  <si>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</si>
  <si>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</si>
  <si>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</si>
  <si>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</si>
  <si>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</si>
  <si>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</si>
  <si>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</si>
  <si>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</si>
  <si>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</si>
  <si>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</si>
  <si>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</si>
  <si>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</si>
  <si>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</si>
  <si>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</si>
  <si>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</si>
  <si>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</si>
  <si>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</si>
  <si>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</si>
  <si>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</si>
  <si>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</si>
  <si>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</si>
  <si>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</si>
  <si>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</si>
  <si>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</si>
  <si>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монитор системы (управление работой комплекса ПС ВТ)</t>
  </si>
  <si>
    <t>- управление внешними устройствами и объектами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</si>
  <si>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</si>
  <si>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</si>
  <si>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</si>
  <si>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</si>
  <si>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</si>
  <si>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</si>
  <si>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</si>
  <si>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</si>
  <si>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</si>
  <si>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</si>
  <si>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</si>
  <si>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</si>
  <si>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</si>
  <si>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</si>
  <si>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Ср</t>
  </si>
  <si>
    <t>Фном</t>
  </si>
  <si>
    <t>Фэо</t>
  </si>
  <si>
    <t>Фэр</t>
  </si>
  <si>
    <t>Коэффициент сложности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</si>
</sst>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0" fillId="0" borderId="5" xfId="0" applyBorder="1"/>
    <xf numFmtId="0" fontId="11" fillId="0" borderId="6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Лист1!$J$44:$K$44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Лист1!$J$43:$K$43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25376"/>
        <c:axId val="297127296"/>
      </c:scatterChart>
      <c:valAx>
        <c:axId val="2971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7127296"/>
        <c:crosses val="autoZero"/>
        <c:crossBetween val="midCat"/>
      </c:valAx>
      <c:valAx>
        <c:axId val="2971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71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Лист1!$A$75</c:f>
              <c:strCache>
                <c:ptCount val="1"/>
              </c:strCache>
            </c:strRef>
          </c:tx>
          <c:xVal>
            <c:numRef>
              <c:f>Лист1!$C$67:$G$67</c:f>
              <c:numCache>
                <c:formatCode>0.00</c:formatCode>
                <c:ptCount val="5"/>
              </c:numCache>
            </c:numRef>
          </c:xVal>
          <c:yVal>
            <c:numRef>
              <c:f>Лист1!$C$75:$G$75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5488"/>
        <c:axId val="297022592"/>
      </c:scatterChart>
      <c:valAx>
        <c:axId val="297135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97022592"/>
        <c:crosses val="autoZero"/>
        <c:crossBetween val="midCat"/>
        <c:majorUnit val="1"/>
      </c:valAx>
      <c:valAx>
        <c:axId val="297022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713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496323692445696E-2"/>
          <c:y val="0.10602998956679111"/>
          <c:w val="0.81719674987981117"/>
          <c:h val="0.7590432961286830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Лист2!$I$43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8.4996371266779089</c:v>
                </c:pt>
              </c:numCache>
            </c:numRef>
          </c:xVal>
          <c:yVal>
            <c:numRef>
              <c:f>Лист2!$J$43:$L$43</c:f>
              <c:numCache>
                <c:formatCode>0.00</c:formatCode>
                <c:ptCount val="3"/>
                <c:pt idx="0">
                  <c:v>36455.754022961984</c:v>
                </c:pt>
                <c:pt idx="1">
                  <c:v>36455.754022961984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Лист2!$I$44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8.4996371266779089</c:v>
                </c:pt>
              </c:numCache>
            </c:numRef>
          </c:xVal>
          <c:yVal>
            <c:numRef>
              <c:f>Лист2!$J$44:$L$44</c:f>
              <c:numCache>
                <c:formatCode>General</c:formatCode>
                <c:ptCount val="3"/>
                <c:pt idx="0" formatCode="0.00">
                  <c:v>6445.5754022961992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Лист2!$I$45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8.4996371266779089</c:v>
                </c:pt>
              </c:numCache>
            </c:numRef>
          </c:xVal>
          <c:yVal>
            <c:numRef>
              <c:f>Лист2!$J$45:$L$45</c:f>
              <c:numCache>
                <c:formatCode>0.00</c:formatCode>
                <c:ptCount val="3"/>
                <c:pt idx="0" formatCode="General">
                  <c:v>42901.329425258184</c:v>
                </c:pt>
                <c:pt idx="1">
                  <c:v>36455.754022961984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Лист2!$I$46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690102303279666E-2"/>
                  <c:y val="0.5659946099076799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8.4996371266779089</c:v>
                </c:pt>
              </c:numCache>
            </c:numRef>
          </c:xVal>
          <c:yVal>
            <c:numRef>
              <c:f>Лист2!$J$46:$L$46</c:f>
              <c:numCache>
                <c:formatCode>General</c:formatCode>
                <c:ptCount val="3"/>
                <c:pt idx="0" formatCode="0.00">
                  <c:v>49336.528839046914</c:v>
                </c:pt>
                <c:pt idx="1">
                  <c:v>0</c:v>
                </c:pt>
                <c:pt idx="2" formatCode="0.00">
                  <c:v>41934.259222177847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12"/>
        <c:axId val="1390848"/>
      </c:scatterChart>
      <c:valAx>
        <c:axId val="13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90848"/>
        <c:crosses val="autoZero"/>
        <c:crossBetween val="midCat"/>
      </c:valAx>
      <c:valAx>
        <c:axId val="1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8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53909298925718E-2"/>
          <c:y val="3.6301539471990836E-2"/>
          <c:w val="0.87980238621624196"/>
          <c:h val="0.917490422402294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Лист2!$C$67:$G$67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Лист2!$C$75:$G$75</c:f>
              <c:numCache>
                <c:formatCode>0.00</c:formatCode>
                <c:ptCount val="5"/>
                <c:pt idx="0">
                  <c:v>0</c:v>
                </c:pt>
                <c:pt idx="1">
                  <c:v>-2736.0541725292187</c:v>
                </c:pt>
                <c:pt idx="2">
                  <c:v>7035.5678722179964</c:v>
                </c:pt>
                <c:pt idx="3">
                  <c:v>24348.57009993698</c:v>
                </c:pt>
                <c:pt idx="4">
                  <c:v>40171.758300186324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08"/>
        <c:axId val="1425792"/>
      </c:scatterChart>
      <c:valAx>
        <c:axId val="1415808"/>
        <c:scaling>
          <c:orientation val="minMax"/>
        </c:scaling>
        <c:delete val="0"/>
        <c:axPos val="b"/>
        <c:numFmt formatCode="0.00" sourceLinked="1"/>
        <c:majorTickMark val="out"/>
        <c:minorTickMark val="cross"/>
        <c:tickLblPos val="nextTo"/>
        <c:spPr>
          <a:ln/>
        </c:spPr>
        <c:crossAx val="1425792"/>
        <c:crosses val="autoZero"/>
        <c:crossBetween val="midCat"/>
        <c:majorUnit val="1"/>
      </c:valAx>
      <c:valAx>
        <c:axId val="142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808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89312"/>
        <c:axId val="297790848"/>
      </c:scatterChart>
      <c:valAx>
        <c:axId val="2977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7790848"/>
        <c:crosses val="autoZero"/>
        <c:crossBetween val="midCat"/>
      </c:valAx>
      <c:valAx>
        <c:axId val="2977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77893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80256"/>
        <c:axId val="297714816"/>
      </c:scatterChart>
      <c:valAx>
        <c:axId val="297680256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297714816"/>
        <c:crosses val="autoZero"/>
        <c:crossBetween val="midCat"/>
        <c:majorUnit val="1"/>
      </c:valAx>
      <c:valAx>
        <c:axId val="297714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crossAx val="29768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51</xdr:row>
      <xdr:rowOff>54428</xdr:rowOff>
    </xdr:from>
    <xdr:to>
      <xdr:col>16</xdr:col>
      <xdr:colOff>299357</xdr:colOff>
      <xdr:row>65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66</xdr:row>
      <xdr:rowOff>104776</xdr:rowOff>
    </xdr:from>
    <xdr:to>
      <xdr:col>16</xdr:col>
      <xdr:colOff>426355</xdr:colOff>
      <xdr:row>87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437213</xdr:colOff>
      <xdr:row>48</xdr:row>
      <xdr:rowOff>218606</xdr:rowOff>
    </xdr:from>
    <xdr:to>
      <xdr:col>16</xdr:col>
      <xdr:colOff>468443</xdr:colOff>
      <xdr:row>65</xdr:row>
      <xdr:rowOff>60004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405983</xdr:colOff>
      <xdr:row>65</xdr:row>
      <xdr:rowOff>136007</xdr:rowOff>
    </xdr:from>
    <xdr:to>
      <xdr:col>16</xdr:col>
      <xdr:colOff>499224</xdr:colOff>
      <xdr:row>87</xdr:row>
      <xdr:rowOff>52050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16" zoomScale="70" zoomScaleNormal="70" workbookViewId="0">
      <selection activeCell="B28" sqref="B28"/>
    </sheetView>
  </sheetViews>
  <sheetFormatPr defaultColWidth="9.140625" defaultRowHeight="21" x14ac:dyDescent="0.35"/>
  <cols>
    <col min="1" max="1" width="39.140625" style="8" customWidth="1"/>
    <col min="2" max="2" width="21.5703125" style="8" customWidth="1"/>
    <col min="3" max="4" width="17.7109375" style="8" customWidth="1"/>
    <col min="5" max="5" width="55" style="8" customWidth="1"/>
    <col min="6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1" spans="1:5" ht="39" thickTop="1" thickBot="1" x14ac:dyDescent="0.4">
      <c r="A1" s="21" t="s">
        <v>118</v>
      </c>
      <c r="B1" s="21" t="s">
        <v>119</v>
      </c>
      <c r="C1"/>
      <c r="D1" s="21" t="s">
        <v>120</v>
      </c>
      <c r="E1" s="22" t="s">
        <v>121</v>
      </c>
    </row>
    <row r="2" spans="1:5" ht="63" customHeight="1" thickTop="1" thickBot="1" x14ac:dyDescent="0.4">
      <c r="A2" s="23" t="s">
        <v>122</v>
      </c>
      <c r="B2" s="24">
        <v>0.33500000000000002</v>
      </c>
      <c r="C2"/>
      <c r="D2" s="40">
        <v>2</v>
      </c>
      <c r="E2" s="25" t="s">
        <v>123</v>
      </c>
    </row>
    <row r="3" spans="1:5" ht="63" customHeight="1" thickTop="1" thickBot="1" x14ac:dyDescent="0.4">
      <c r="A3" s="23" t="s">
        <v>124</v>
      </c>
      <c r="B3" s="24">
        <v>1.05</v>
      </c>
      <c r="C3"/>
      <c r="D3" s="41"/>
      <c r="E3" s="25" t="s">
        <v>125</v>
      </c>
    </row>
    <row r="4" spans="1:5" ht="63" customHeight="1" thickTop="1" thickBot="1" x14ac:dyDescent="0.4">
      <c r="A4" s="23" t="s">
        <v>126</v>
      </c>
      <c r="B4" s="24">
        <v>3.2250000000000001</v>
      </c>
      <c r="C4"/>
      <c r="D4" s="41"/>
      <c r="E4" s="25" t="s">
        <v>127</v>
      </c>
    </row>
    <row r="5" spans="1:5" ht="63" customHeight="1" thickTop="1" thickBot="1" x14ac:dyDescent="0.4">
      <c r="A5" s="26" t="s">
        <v>128</v>
      </c>
      <c r="B5" s="24">
        <v>2.0049999999999999</v>
      </c>
      <c r="C5"/>
      <c r="D5" s="41"/>
      <c r="E5" s="25" t="s">
        <v>129</v>
      </c>
    </row>
    <row r="6" spans="1:5" ht="63" customHeight="1" thickTop="1" thickBot="1" x14ac:dyDescent="0.4">
      <c r="A6" s="26" t="s">
        <v>130</v>
      </c>
      <c r="B6" s="24">
        <v>1.5549999999999999</v>
      </c>
      <c r="C6"/>
      <c r="D6" s="42"/>
      <c r="E6" s="27" t="s">
        <v>131</v>
      </c>
    </row>
    <row r="7" spans="1:5" ht="63" customHeight="1" thickTop="1" thickBot="1" x14ac:dyDescent="0.4">
      <c r="A7" s="28" t="s">
        <v>132</v>
      </c>
      <c r="B7" s="29">
        <v>4.55</v>
      </c>
      <c r="C7"/>
      <c r="D7" s="30"/>
      <c r="E7"/>
    </row>
    <row r="8" spans="1:5" ht="80.099999999999994" customHeight="1" thickTop="1" thickBot="1" x14ac:dyDescent="0.4">
      <c r="A8" s="28" t="s">
        <v>133</v>
      </c>
      <c r="B8" s="29">
        <v>3.25</v>
      </c>
      <c r="C8"/>
      <c r="D8"/>
      <c r="E8"/>
    </row>
    <row r="9" spans="1:5" ht="63" customHeight="1" thickTop="1" thickBot="1" x14ac:dyDescent="0.4">
      <c r="A9" s="35" t="s">
        <v>134</v>
      </c>
      <c r="B9" s="36">
        <v>2.6</v>
      </c>
      <c r="C9"/>
      <c r="D9"/>
      <c r="E9"/>
    </row>
    <row r="10" spans="1:5" ht="63" customHeight="1" thickBot="1" x14ac:dyDescent="0.4">
      <c r="A10" s="38" t="s">
        <v>135</v>
      </c>
      <c r="B10" s="39">
        <v>0.22500000000000001</v>
      </c>
      <c r="C10"/>
      <c r="D10"/>
      <c r="E10"/>
    </row>
    <row r="11" spans="1:5" x14ac:dyDescent="0.35">
      <c r="A11" s="31" t="s">
        <v>152</v>
      </c>
      <c r="B11" s="37">
        <v>0.06</v>
      </c>
      <c r="C11"/>
      <c r="D11"/>
      <c r="E11"/>
    </row>
    <row r="12" spans="1:5" x14ac:dyDescent="0.35">
      <c r="A12"/>
      <c r="B12">
        <f>SUM(B2:B11)</f>
        <v>18.855</v>
      </c>
      <c r="C12"/>
      <c r="D12"/>
      <c r="E12"/>
    </row>
    <row r="13" spans="1:5" x14ac:dyDescent="0.35">
      <c r="A13" t="s">
        <v>136</v>
      </c>
      <c r="B13"/>
      <c r="C13"/>
      <c r="D13"/>
      <c r="E13"/>
    </row>
    <row r="14" spans="1:5" x14ac:dyDescent="0.35">
      <c r="A14">
        <v>327.60000000000002</v>
      </c>
      <c r="B14">
        <f>A14*(1+B11)</f>
        <v>347.25600000000003</v>
      </c>
      <c r="C14"/>
      <c r="D14"/>
      <c r="E14"/>
    </row>
    <row r="15" spans="1:5" x14ac:dyDescent="0.35">
      <c r="A15"/>
      <c r="B15"/>
      <c r="C15"/>
      <c r="D15"/>
      <c r="E15"/>
    </row>
    <row r="16" spans="1:5" x14ac:dyDescent="0.35">
      <c r="A16" s="34" t="s">
        <v>137</v>
      </c>
      <c r="B16" s="34" t="s">
        <v>138</v>
      </c>
      <c r="C16"/>
      <c r="D16"/>
      <c r="E16"/>
    </row>
    <row r="17" spans="1:5" x14ac:dyDescent="0.35">
      <c r="A17" s="34" t="s">
        <v>139</v>
      </c>
      <c r="B17" s="34" t="s">
        <v>140</v>
      </c>
      <c r="C17"/>
      <c r="D17"/>
      <c r="E17"/>
    </row>
    <row r="18" spans="1:5" x14ac:dyDescent="0.35">
      <c r="A18" s="34" t="s">
        <v>141</v>
      </c>
      <c r="B18" s="34">
        <v>0.7</v>
      </c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 t="s">
        <v>142</v>
      </c>
      <c r="B21">
        <v>0.11</v>
      </c>
      <c r="C21">
        <f>B21*$B$14</f>
        <v>38.198160000000001</v>
      </c>
      <c r="D21"/>
      <c r="E21"/>
    </row>
    <row r="22" spans="1:5" x14ac:dyDescent="0.35">
      <c r="A22" t="s">
        <v>143</v>
      </c>
      <c r="B22">
        <v>0.09</v>
      </c>
      <c r="C22">
        <f t="shared" ref="C22:C25" si="0">B22*$B$14</f>
        <v>31.253040000000002</v>
      </c>
      <c r="D22"/>
      <c r="E22"/>
    </row>
    <row r="23" spans="1:5" x14ac:dyDescent="0.35">
      <c r="A23" t="s">
        <v>144</v>
      </c>
      <c r="B23">
        <v>0.11</v>
      </c>
      <c r="C23">
        <f t="shared" si="0"/>
        <v>38.198160000000001</v>
      </c>
      <c r="D23"/>
      <c r="E23"/>
    </row>
    <row r="24" spans="1:5" x14ac:dyDescent="0.35">
      <c r="A24" t="s">
        <v>145</v>
      </c>
      <c r="B24">
        <v>0.55000000000000004</v>
      </c>
      <c r="C24">
        <f>B24*$B$14*B18</f>
        <v>133.69356000000002</v>
      </c>
      <c r="D24"/>
      <c r="E24"/>
    </row>
    <row r="25" spans="1:5" x14ac:dyDescent="0.35">
      <c r="A25" t="s">
        <v>146</v>
      </c>
      <c r="B25">
        <v>0.14000000000000001</v>
      </c>
      <c r="C25">
        <f t="shared" si="0"/>
        <v>48.615840000000006</v>
      </c>
      <c r="D25"/>
      <c r="E25"/>
    </row>
    <row r="26" spans="1:5" x14ac:dyDescent="0.35">
      <c r="A26" t="s">
        <v>147</v>
      </c>
      <c r="B26">
        <f>SUM(B21:B25)</f>
        <v>1</v>
      </c>
      <c r="C26">
        <f>SUM(C21:C25)</f>
        <v>289.95876000000004</v>
      </c>
      <c r="D26"/>
      <c r="E26"/>
    </row>
    <row r="27" spans="1:5" x14ac:dyDescent="0.35">
      <c r="A27"/>
      <c r="B27"/>
      <c r="C27"/>
      <c r="D27"/>
      <c r="E27"/>
    </row>
    <row r="28" spans="1:5" x14ac:dyDescent="0.35">
      <c r="A28" t="s">
        <v>148</v>
      </c>
      <c r="B28">
        <f>C26/(1*20.56*8)</f>
        <v>1.7628815661478603</v>
      </c>
      <c r="C28"/>
      <c r="D28"/>
      <c r="E28"/>
    </row>
    <row r="29" spans="1:5" x14ac:dyDescent="0.35">
      <c r="A29"/>
      <c r="B29"/>
      <c r="C29"/>
      <c r="D29"/>
      <c r="E29"/>
    </row>
    <row r="30" spans="1:5" x14ac:dyDescent="0.35">
      <c r="A30" t="s">
        <v>149</v>
      </c>
      <c r="B30">
        <v>1974</v>
      </c>
      <c r="C30"/>
      <c r="D30"/>
      <c r="E30"/>
    </row>
    <row r="31" spans="1:5" x14ac:dyDescent="0.35">
      <c r="A31" t="s">
        <v>150</v>
      </c>
      <c r="B31">
        <f>$B$30*(1-C31/100)</f>
        <v>1904.9099999999999</v>
      </c>
      <c r="C31">
        <v>3.5</v>
      </c>
      <c r="D31"/>
      <c r="E31"/>
    </row>
    <row r="32" spans="1:5" x14ac:dyDescent="0.35">
      <c r="A32" t="s">
        <v>151</v>
      </c>
      <c r="B32">
        <f>$B$30*(1-C32/100)</f>
        <v>1746.99</v>
      </c>
      <c r="C32">
        <v>11.5</v>
      </c>
      <c r="D32"/>
      <c r="E32"/>
    </row>
    <row r="33" spans="1:11" x14ac:dyDescent="0.3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35">
      <c r="A34" s="6"/>
      <c r="B34" s="32"/>
      <c r="C34" s="32"/>
      <c r="D34" s="6"/>
      <c r="E34" s="6"/>
      <c r="F34" s="6"/>
      <c r="G34" s="6"/>
      <c r="H34" s="6"/>
      <c r="I34" s="6"/>
      <c r="J34" s="6"/>
      <c r="K34" s="6"/>
    </row>
    <row r="35" spans="1:11" x14ac:dyDescent="0.35">
      <c r="A35" s="6"/>
      <c r="B35" s="1"/>
      <c r="C35" s="6"/>
      <c r="D35" s="6"/>
      <c r="E35" s="6"/>
      <c r="F35" s="13"/>
      <c r="G35" s="13"/>
      <c r="H35" s="6"/>
      <c r="I35" s="6"/>
      <c r="J35" s="6"/>
      <c r="K35" s="6"/>
    </row>
    <row r="36" spans="1:11" x14ac:dyDescent="0.35">
      <c r="A36" s="6"/>
      <c r="B36" s="33"/>
      <c r="C36" s="33"/>
      <c r="D36" s="6"/>
      <c r="E36" s="6"/>
      <c r="F36" s="14"/>
      <c r="G36" s="6"/>
      <c r="H36" s="6"/>
      <c r="I36" s="6"/>
      <c r="J36" s="6"/>
      <c r="K36" s="6"/>
    </row>
    <row r="37" spans="1:11" x14ac:dyDescent="0.35">
      <c r="A37" s="6"/>
      <c r="B37" s="1"/>
      <c r="C37" s="6"/>
      <c r="D37" s="6"/>
      <c r="E37" s="6"/>
      <c r="F37" s="14"/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35">
      <c r="A40" s="6"/>
      <c r="B40" s="15"/>
      <c r="H40" s="6"/>
      <c r="I40" s="6"/>
      <c r="J40" s="6"/>
      <c r="K40" s="6"/>
    </row>
    <row r="41" spans="1:11" x14ac:dyDescent="0.35">
      <c r="A41" s="6"/>
      <c r="B41" s="15"/>
      <c r="H41" s="6"/>
      <c r="I41" s="6"/>
      <c r="J41" s="6"/>
      <c r="K41" s="6"/>
    </row>
    <row r="42" spans="1:11" x14ac:dyDescent="0.35">
      <c r="A42" s="6"/>
      <c r="B42" s="15"/>
      <c r="F42" s="15"/>
      <c r="H42" s="6"/>
      <c r="I42" s="18"/>
      <c r="J42" s="18"/>
      <c r="K42" s="18"/>
    </row>
    <row r="43" spans="1:11" x14ac:dyDescent="0.35">
      <c r="A43" s="6"/>
      <c r="B43" s="15"/>
      <c r="H43" s="6"/>
      <c r="I43" s="18"/>
      <c r="J43" s="19"/>
      <c r="K43" s="19"/>
    </row>
    <row r="44" spans="1:11" x14ac:dyDescent="0.35">
      <c r="A44" s="6"/>
      <c r="B44" s="15"/>
      <c r="H44" s="6"/>
      <c r="I44" s="18"/>
      <c r="J44" s="19"/>
      <c r="K44" s="18"/>
    </row>
    <row r="45" spans="1:11" x14ac:dyDescent="0.35">
      <c r="A45" s="6"/>
      <c r="B45" s="15"/>
      <c r="H45" s="6"/>
      <c r="I45" s="18"/>
      <c r="J45" s="18"/>
      <c r="K45" s="19"/>
    </row>
    <row r="46" spans="1:11" x14ac:dyDescent="0.35">
      <c r="A46" s="6"/>
      <c r="B46" s="15"/>
      <c r="F46" s="20"/>
      <c r="H46" s="6"/>
      <c r="I46" s="18"/>
      <c r="J46" s="19"/>
      <c r="K46" s="18"/>
    </row>
    <row r="47" spans="1:11" x14ac:dyDescent="0.35">
      <c r="I47" s="18"/>
      <c r="J47" s="18"/>
      <c r="K47" s="18"/>
    </row>
    <row r="48" spans="1:11" x14ac:dyDescent="0.35">
      <c r="I48" s="18"/>
      <c r="J48" s="18"/>
      <c r="K48" s="18"/>
    </row>
    <row r="49" spans="2:11" x14ac:dyDescent="0.35">
      <c r="B49" s="15"/>
      <c r="C49" s="15"/>
      <c r="D49" s="15"/>
      <c r="E49" s="15"/>
      <c r="F49" s="15"/>
      <c r="G49" s="15"/>
      <c r="I49" s="18"/>
      <c r="J49" s="18"/>
      <c r="K49" s="18"/>
    </row>
    <row r="50" spans="2:11" x14ac:dyDescent="0.35">
      <c r="C50" s="6"/>
      <c r="D50" s="6"/>
      <c r="E50" s="6"/>
      <c r="F50" s="6"/>
      <c r="G50" s="6"/>
      <c r="I50" s="18"/>
      <c r="J50" s="18"/>
      <c r="K50" s="18"/>
    </row>
    <row r="51" spans="2:11" x14ac:dyDescent="0.35">
      <c r="B51" s="6"/>
      <c r="C51" s="6"/>
      <c r="D51" s="6"/>
      <c r="E51" s="6"/>
      <c r="F51" s="6"/>
      <c r="G51" s="6"/>
      <c r="I51" s="18"/>
      <c r="J51" s="18"/>
      <c r="K51" s="18"/>
    </row>
    <row r="52" spans="2:11" x14ac:dyDescent="0.35">
      <c r="B52" s="6"/>
      <c r="C52" s="6"/>
      <c r="D52" s="6"/>
      <c r="E52" s="6"/>
      <c r="F52" s="6"/>
      <c r="G52" s="6"/>
    </row>
    <row r="58" spans="2:11" x14ac:dyDescent="0.35">
      <c r="B58" s="6"/>
    </row>
    <row r="67" spans="2:7" x14ac:dyDescent="0.35">
      <c r="B67" s="16"/>
      <c r="C67" s="16"/>
      <c r="D67" s="16"/>
      <c r="E67" s="16"/>
      <c r="F67" s="16"/>
      <c r="G67" s="16"/>
    </row>
    <row r="68" spans="2:7" x14ac:dyDescent="0.35">
      <c r="B68" s="16"/>
      <c r="C68" s="16"/>
      <c r="D68" s="16"/>
      <c r="E68" s="16"/>
      <c r="F68" s="16"/>
      <c r="G68" s="16"/>
    </row>
    <row r="69" spans="2:7" x14ac:dyDescent="0.35">
      <c r="B69" s="16"/>
      <c r="C69" s="16"/>
      <c r="D69" s="16"/>
      <c r="E69" s="16"/>
      <c r="F69" s="16"/>
      <c r="G69" s="16"/>
    </row>
    <row r="70" spans="2:7" x14ac:dyDescent="0.35">
      <c r="B70" s="16"/>
      <c r="C70" s="16"/>
      <c r="D70" s="16"/>
      <c r="E70" s="16"/>
      <c r="F70" s="16"/>
      <c r="G70" s="16"/>
    </row>
    <row r="71" spans="2:7" x14ac:dyDescent="0.35">
      <c r="B71" s="16"/>
      <c r="C71" s="16"/>
      <c r="D71" s="16"/>
      <c r="E71" s="16"/>
      <c r="F71" s="16"/>
      <c r="G71" s="16"/>
    </row>
    <row r="72" spans="2:7" x14ac:dyDescent="0.35">
      <c r="B72" s="16"/>
      <c r="C72" s="16"/>
      <c r="D72" s="16"/>
      <c r="E72" s="16"/>
      <c r="F72" s="16"/>
      <c r="G72" s="16"/>
    </row>
    <row r="73" spans="2:7" x14ac:dyDescent="0.35">
      <c r="B73" s="17"/>
      <c r="C73" s="16"/>
      <c r="D73" s="16"/>
      <c r="E73" s="16"/>
      <c r="F73" s="16"/>
      <c r="G73" s="16"/>
    </row>
    <row r="74" spans="2:7" x14ac:dyDescent="0.35">
      <c r="B74" s="16"/>
      <c r="C74" s="16"/>
      <c r="D74" s="16"/>
      <c r="E74" s="16"/>
      <c r="F74" s="16"/>
      <c r="G74" s="16"/>
    </row>
    <row r="75" spans="2:7" x14ac:dyDescent="0.35">
      <c r="B75" s="16"/>
      <c r="C75" s="16"/>
      <c r="D75" s="16"/>
      <c r="E75" s="16"/>
      <c r="F75" s="16"/>
      <c r="G75" s="16"/>
    </row>
    <row r="76" spans="2:7" x14ac:dyDescent="0.35">
      <c r="B76" s="16"/>
      <c r="C76" s="16"/>
      <c r="D76" s="16"/>
      <c r="E76" s="16"/>
      <c r="F76" s="16"/>
      <c r="G76" s="16"/>
    </row>
    <row r="77" spans="2:7" x14ac:dyDescent="0.35">
      <c r="B77" s="16"/>
      <c r="C77" s="16"/>
      <c r="D77" s="16"/>
      <c r="E77" s="16"/>
      <c r="F77" s="16"/>
      <c r="G77" s="16"/>
    </row>
    <row r="78" spans="2:7" x14ac:dyDescent="0.35">
      <c r="B78" s="16"/>
      <c r="C78" s="16"/>
      <c r="D78" s="16"/>
      <c r="E78" s="16"/>
      <c r="F78" s="16"/>
      <c r="G78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6"/>
  <sheetViews>
    <sheetView tabSelected="1" topLeftCell="B31" zoomScale="70" zoomScaleNormal="70" workbookViewId="0">
      <selection activeCell="J37" sqref="J37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0.28515625" style="8" customWidth="1"/>
    <col min="10" max="10" width="14.140625" style="8" customWidth="1"/>
    <col min="11" max="11" width="14.28515625" style="8" customWidth="1"/>
    <col min="12" max="12" width="13.28515625" style="8" customWidth="1"/>
    <col min="13" max="13" width="26.14062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27000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6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D34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  <c r="I22" s="8">
        <f>327*1.06</f>
        <v>346.62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22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7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10000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1904.91</v>
      </c>
    </row>
    <row r="28" spans="2:10" x14ac:dyDescent="0.35">
      <c r="B28" s="4" t="s">
        <v>90</v>
      </c>
      <c r="C28" s="4"/>
      <c r="D28" s="5">
        <f>E24*E10/100</f>
        <v>1890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1223.5838999999996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118000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40356.000000000007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1620</v>
      </c>
      <c r="E32" s="6"/>
      <c r="F32" s="1" t="s">
        <v>43</v>
      </c>
      <c r="G32" s="6"/>
      <c r="H32" s="6"/>
      <c r="I32" s="6"/>
    </row>
    <row r="33" spans="1:15" ht="23.25" x14ac:dyDescent="0.4">
      <c r="A33" s="6"/>
      <c r="B33" s="1" t="s">
        <v>91</v>
      </c>
      <c r="C33" s="6"/>
      <c r="D33" s="6">
        <f>(D30+D32+D31+D29+D28)*E23/100</f>
        <v>35879.708458000001</v>
      </c>
      <c r="E33" s="6"/>
      <c r="F33" s="6" t="s">
        <v>45</v>
      </c>
      <c r="G33" s="6"/>
      <c r="H33" s="6"/>
      <c r="I33" s="6"/>
      <c r="J33" s="6"/>
      <c r="K33" s="6"/>
    </row>
    <row r="34" spans="1:15" x14ac:dyDescent="0.35">
      <c r="A34" s="6"/>
      <c r="B34" s="43" t="s">
        <v>49</v>
      </c>
      <c r="C34" s="43"/>
      <c r="D34" s="6">
        <f>100/E26</f>
        <v>4.166666666666667</v>
      </c>
      <c r="E34" s="6"/>
      <c r="F34" s="6" t="s">
        <v>112</v>
      </c>
      <c r="G34" s="6"/>
      <c r="H34" s="6"/>
      <c r="I34" s="6"/>
      <c r="J34" s="6"/>
      <c r="K34" s="6"/>
    </row>
    <row r="35" spans="1:15" ht="23.25" x14ac:dyDescent="0.4">
      <c r="A35" s="6"/>
      <c r="B35" s="1" t="s">
        <v>96</v>
      </c>
      <c r="C35" s="6"/>
      <c r="D35" s="6">
        <f>E10*D34*11.8/100</f>
        <v>13275.000000000002</v>
      </c>
      <c r="E35" s="6"/>
      <c r="F35" s="13" t="s">
        <v>46</v>
      </c>
      <c r="G35" s="13"/>
      <c r="H35" s="6"/>
      <c r="I35" s="6"/>
      <c r="J35" s="6"/>
      <c r="K35" s="6"/>
    </row>
    <row r="36" spans="1:15" ht="23.25" x14ac:dyDescent="0.4">
      <c r="A36" s="6"/>
      <c r="B36" s="44" t="s">
        <v>52</v>
      </c>
      <c r="C36" s="44"/>
      <c r="D36" s="6">
        <f>D35+D33+D32+D31+D30+D29+D28</f>
        <v>212244.29235800001</v>
      </c>
      <c r="E36" s="6"/>
      <c r="F36" s="14" t="s">
        <v>51</v>
      </c>
      <c r="G36" s="6"/>
      <c r="H36" s="6"/>
      <c r="I36" s="6"/>
      <c r="J36" s="6"/>
      <c r="K36" s="6"/>
    </row>
    <row r="37" spans="1:15" ht="23.25" x14ac:dyDescent="0.4">
      <c r="A37" s="6"/>
      <c r="B37" s="1" t="s">
        <v>53</v>
      </c>
      <c r="C37" s="6"/>
      <c r="D37" s="6">
        <f>D36/(C27*E17)</f>
        <v>111.41959061477969</v>
      </c>
      <c r="E37" s="6"/>
      <c r="F37" s="14" t="s">
        <v>50</v>
      </c>
      <c r="G37" s="6"/>
      <c r="H37" s="6"/>
      <c r="I37" s="6"/>
      <c r="J37" s="6"/>
      <c r="K37" s="6"/>
    </row>
    <row r="38" spans="1:1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5" x14ac:dyDescent="0.35">
      <c r="A39" s="6"/>
      <c r="B39" s="15"/>
      <c r="C39" s="6"/>
      <c r="D39" s="6"/>
      <c r="E39" s="6"/>
      <c r="F39" s="6" t="s">
        <v>76</v>
      </c>
      <c r="G39" s="6">
        <f>Лист1!B28</f>
        <v>1.7628815661478603</v>
      </c>
      <c r="H39" s="6"/>
      <c r="I39" s="6"/>
      <c r="J39" s="6"/>
      <c r="K39" s="6"/>
    </row>
    <row r="40" spans="1:15" x14ac:dyDescent="0.35">
      <c r="A40" s="6"/>
      <c r="B40" s="15" t="s">
        <v>71</v>
      </c>
      <c r="D40" s="8">
        <f>1*G40*E25</f>
        <v>7628.815661478603</v>
      </c>
      <c r="F40" s="8" t="s">
        <v>77</v>
      </c>
      <c r="G40" s="8">
        <f>G39-G41</f>
        <v>0.76288156614786029</v>
      </c>
      <c r="H40" s="6"/>
      <c r="I40" s="6"/>
      <c r="J40" s="6"/>
      <c r="K40" s="6"/>
    </row>
    <row r="41" spans="1:15" x14ac:dyDescent="0.35">
      <c r="A41" s="6"/>
      <c r="B41" s="15" t="s">
        <v>93</v>
      </c>
      <c r="D41" s="8">
        <f>G42*D40</f>
        <v>2288.6446984435806</v>
      </c>
      <c r="F41" s="8" t="s">
        <v>78</v>
      </c>
      <c r="G41" s="8">
        <v>1</v>
      </c>
      <c r="H41" s="6"/>
      <c r="I41" s="6"/>
      <c r="J41" s="6"/>
      <c r="K41" s="6"/>
    </row>
    <row r="42" spans="1:15" x14ac:dyDescent="0.35">
      <c r="A42" s="6"/>
      <c r="B42" s="15" t="s">
        <v>92</v>
      </c>
      <c r="D42" s="8">
        <f>D40+D41</f>
        <v>9917.4603599221846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  <c r="L42" s="19">
        <f>N44</f>
        <v>8.4996371266779089</v>
      </c>
    </row>
    <row r="43" spans="1:15" x14ac:dyDescent="0.35">
      <c r="A43" s="6"/>
      <c r="B43" s="15" t="s">
        <v>73</v>
      </c>
      <c r="D43" s="8">
        <f>0.342*D42</f>
        <v>3391.7714430933875</v>
      </c>
      <c r="H43" s="6"/>
      <c r="I43" s="18" t="s">
        <v>113</v>
      </c>
      <c r="J43" s="19">
        <f>D48</f>
        <v>36455.754022961984</v>
      </c>
      <c r="K43" s="19">
        <f>D48</f>
        <v>36455.754022961984</v>
      </c>
      <c r="L43" s="19"/>
    </row>
    <row r="44" spans="1:15" x14ac:dyDescent="0.35">
      <c r="A44" s="6"/>
      <c r="B44" s="15" t="s">
        <v>97</v>
      </c>
      <c r="D44" s="8">
        <f>D42+D43</f>
        <v>13309.231803015573</v>
      </c>
      <c r="H44" s="6"/>
      <c r="I44" s="18" t="s">
        <v>114</v>
      </c>
      <c r="J44" s="19">
        <f>D61</f>
        <v>6445.5754022961992</v>
      </c>
      <c r="K44" s="18">
        <v>0</v>
      </c>
      <c r="L44" s="19"/>
      <c r="M44" s="18" t="s">
        <v>116</v>
      </c>
      <c r="N44" s="18">
        <f>J43/(N45-O45)</f>
        <v>8.4996371266779089</v>
      </c>
    </row>
    <row r="45" spans="1:15" x14ac:dyDescent="0.35">
      <c r="A45" s="6"/>
      <c r="B45" s="15" t="s">
        <v>74</v>
      </c>
      <c r="D45" s="8">
        <f>E23/100*D44</f>
        <v>2928.0309966634259</v>
      </c>
      <c r="H45" s="6"/>
      <c r="I45" s="18" t="s">
        <v>115</v>
      </c>
      <c r="J45" s="18">
        <f>J43+J44</f>
        <v>42901.329425258184</v>
      </c>
      <c r="K45" s="19">
        <f>J43</f>
        <v>36455.754022961984</v>
      </c>
      <c r="L45" s="19"/>
      <c r="N45" s="18">
        <f>J46/10</f>
        <v>4933.6528839046914</v>
      </c>
      <c r="O45" s="18">
        <f>J44/10</f>
        <v>644.55754022961992</v>
      </c>
    </row>
    <row r="46" spans="1:15" x14ac:dyDescent="0.35">
      <c r="A46" s="6"/>
      <c r="B46" s="15" t="s">
        <v>75</v>
      </c>
      <c r="D46" s="8">
        <f>G41*168*D37</f>
        <v>18718.491223282988</v>
      </c>
      <c r="F46" s="20"/>
      <c r="H46" s="6"/>
      <c r="I46" s="18" t="s">
        <v>99</v>
      </c>
      <c r="J46" s="19">
        <f>D62</f>
        <v>49336.528839046914</v>
      </c>
      <c r="K46" s="18">
        <v>0</v>
      </c>
      <c r="L46" s="19">
        <f>N45*N44</f>
        <v>41934.259222177847</v>
      </c>
    </row>
    <row r="47" spans="1:15" x14ac:dyDescent="0.35">
      <c r="B47" s="8" t="s">
        <v>117</v>
      </c>
      <c r="D47" s="8">
        <v>1500</v>
      </c>
    </row>
    <row r="48" spans="1:15" x14ac:dyDescent="0.35">
      <c r="B48" s="8" t="s">
        <v>98</v>
      </c>
      <c r="D48" s="8">
        <f>D46+D44+D45+D47</f>
        <v>36455.754022961984</v>
      </c>
      <c r="L48" s="19"/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27000</v>
      </c>
      <c r="F52" s="6" t="s">
        <v>68</v>
      </c>
      <c r="G52" s="6">
        <v>2500</v>
      </c>
    </row>
    <row r="53" spans="2:11" x14ac:dyDescent="0.35">
      <c r="B53" s="8" t="s">
        <v>59</v>
      </c>
      <c r="E53" s="8">
        <f>0.05*E52</f>
        <v>1350</v>
      </c>
    </row>
    <row r="54" spans="2:11" x14ac:dyDescent="0.35">
      <c r="B54" s="8" t="s">
        <v>60</v>
      </c>
      <c r="E54" s="8">
        <f>0.08*E52</f>
        <v>2160</v>
      </c>
    </row>
    <row r="55" spans="2:11" x14ac:dyDescent="0.35">
      <c r="B55" s="8" t="s">
        <v>87</v>
      </c>
      <c r="E55" s="8" t="s">
        <v>69</v>
      </c>
      <c r="F55" s="8">
        <v>2000</v>
      </c>
    </row>
    <row r="56" spans="2:11" x14ac:dyDescent="0.35">
      <c r="E56" s="8" t="s">
        <v>70</v>
      </c>
      <c r="F56" s="8">
        <v>800</v>
      </c>
    </row>
    <row r="57" spans="2:11" x14ac:dyDescent="0.35">
      <c r="E57" s="8" t="s">
        <v>89</v>
      </c>
      <c r="F57" s="8">
        <f>0.1*D48</f>
        <v>3645.5754022961987</v>
      </c>
    </row>
    <row r="58" spans="2:11" x14ac:dyDescent="0.35">
      <c r="B58" s="6" t="s">
        <v>56</v>
      </c>
      <c r="D58" s="8">
        <f>E52+G52+E53+E54</f>
        <v>33010</v>
      </c>
    </row>
    <row r="59" spans="2:11" x14ac:dyDescent="0.35">
      <c r="B59" s="8" t="s">
        <v>63</v>
      </c>
      <c r="D59" s="8">
        <f>D60+D61</f>
        <v>42901.329425258184</v>
      </c>
    </row>
    <row r="60" spans="2:11" x14ac:dyDescent="0.35">
      <c r="B60" s="8" t="s">
        <v>64</v>
      </c>
      <c r="D60" s="8">
        <f>D48</f>
        <v>36455.754022961984</v>
      </c>
    </row>
    <row r="61" spans="2:11" x14ac:dyDescent="0.35">
      <c r="B61" s="8" t="s">
        <v>65</v>
      </c>
      <c r="D61" s="8">
        <f>F55+F56+F57</f>
        <v>6445.5754022961992</v>
      </c>
    </row>
    <row r="62" spans="2:11" x14ac:dyDescent="0.35">
      <c r="B62" s="8" t="s">
        <v>66</v>
      </c>
      <c r="D62" s="8">
        <f>D59+D63</f>
        <v>49336.528839046914</v>
      </c>
    </row>
    <row r="63" spans="2:11" x14ac:dyDescent="0.35">
      <c r="B63" s="8" t="s">
        <v>110</v>
      </c>
      <c r="D63" s="8">
        <f>D59*0.15</f>
        <v>6435.1994137887277</v>
      </c>
    </row>
    <row r="64" spans="2:11" x14ac:dyDescent="0.35">
      <c r="B64" s="8" t="s">
        <v>67</v>
      </c>
      <c r="D64" s="8">
        <f>D62/D65</f>
        <v>4933.6528839046914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8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39469.223071237531</v>
      </c>
      <c r="E69" s="16">
        <f>$D$64*E68</f>
        <v>39469.223071237531</v>
      </c>
      <c r="F69" s="16">
        <f>$D$64*F68</f>
        <v>44402.875955142226</v>
      </c>
      <c r="G69" s="16">
        <f>$D$64*G68</f>
        <v>49336.528839046914</v>
      </c>
    </row>
    <row r="70" spans="1:7" x14ac:dyDescent="0.35">
      <c r="B70" s="16" t="s">
        <v>82</v>
      </c>
      <c r="C70" s="16">
        <f>D58</f>
        <v>33010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42901.329425258184</v>
      </c>
      <c r="E71" s="16">
        <f>0.6*$D$71</f>
        <v>25740.797655154911</v>
      </c>
      <c r="F71" s="16">
        <f>0.4*$D$71</f>
        <v>17160.531770103273</v>
      </c>
      <c r="G71" s="16">
        <f>0.5*$D$71</f>
        <v>21450.664712629092</v>
      </c>
    </row>
    <row r="72" spans="1:7" x14ac:dyDescent="0.35">
      <c r="A72" s="8" t="s">
        <v>108</v>
      </c>
      <c r="B72" s="16" t="s">
        <v>100</v>
      </c>
      <c r="C72" s="16">
        <f>C69-(C70+C71)</f>
        <v>-33010</v>
      </c>
      <c r="D72" s="16">
        <f>D69-(D70+D71)</f>
        <v>-3432.1063540206524</v>
      </c>
      <c r="E72" s="16">
        <f>E69-(E70+E71)</f>
        <v>13728.42541608262</v>
      </c>
      <c r="F72" s="16">
        <f>F69-(F70+F71)</f>
        <v>27242.344185038954</v>
      </c>
      <c r="G72" s="16">
        <f>G69-(G70+G71)</f>
        <v>27885.864126417822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-33010</v>
      </c>
      <c r="D74" s="16">
        <f>D72*D73</f>
        <v>-2736.0541725292187</v>
      </c>
      <c r="E74" s="16">
        <f>E72*E73</f>
        <v>9771.6220447472151</v>
      </c>
      <c r="F74" s="16">
        <f>F72*F73</f>
        <v>17313.002227718982</v>
      </c>
      <c r="G74" s="16">
        <f>G72*G73</f>
        <v>15823.188200249346</v>
      </c>
    </row>
    <row r="75" spans="1:7" x14ac:dyDescent="0.35">
      <c r="A75" s="8" t="s">
        <v>101</v>
      </c>
      <c r="B75" s="16" t="s">
        <v>101</v>
      </c>
      <c r="C75" s="16">
        <v>0</v>
      </c>
      <c r="D75" s="16">
        <f>C75+D74</f>
        <v>-2736.0541725292187</v>
      </c>
      <c r="E75" s="16">
        <f>D75+E74</f>
        <v>7035.5678722179964</v>
      </c>
      <c r="F75" s="16">
        <f>E75+F74</f>
        <v>24348.57009993698</v>
      </c>
      <c r="G75" s="16">
        <f>F75+G74</f>
        <v>40171.758300186324</v>
      </c>
    </row>
    <row r="76" spans="1:7" x14ac:dyDescent="0.35">
      <c r="A76" s="8" t="s">
        <v>106</v>
      </c>
      <c r="B76" s="16" t="s">
        <v>84</v>
      </c>
      <c r="C76" s="16">
        <f>$C$70/5</f>
        <v>6602</v>
      </c>
      <c r="D76" s="16">
        <f t="shared" ref="D76:G76" si="0">$C$70/5</f>
        <v>6602</v>
      </c>
      <c r="E76" s="16">
        <f t="shared" si="0"/>
        <v>6602</v>
      </c>
      <c r="F76" s="16">
        <f t="shared" si="0"/>
        <v>6602</v>
      </c>
      <c r="G76" s="16">
        <f t="shared" si="0"/>
        <v>6602</v>
      </c>
    </row>
    <row r="77" spans="1:7" x14ac:dyDescent="0.35">
      <c r="A77" s="8" t="s">
        <v>105</v>
      </c>
      <c r="B77" s="16" t="s">
        <v>85</v>
      </c>
      <c r="C77" s="16">
        <f>C69-C71-C76</f>
        <v>-6602</v>
      </c>
      <c r="D77" s="16">
        <f>D69-D71-D76</f>
        <v>-10034.106354020652</v>
      </c>
      <c r="E77" s="16">
        <f t="shared" ref="E77:G77" si="1">E69-E71-E76</f>
        <v>7126.4254160826204</v>
      </c>
      <c r="F77" s="16">
        <f t="shared" si="1"/>
        <v>20640.344185038954</v>
      </c>
      <c r="G77" s="16">
        <f t="shared" si="1"/>
        <v>21283.864126417822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-30.397171626842329</v>
      </c>
      <c r="E78" s="16">
        <f t="shared" ref="E78:G78" si="2">E77/$C$70*100</f>
        <v>21.588686507369342</v>
      </c>
      <c r="F78" s="16">
        <f t="shared" si="2"/>
        <v>62.527549788061052</v>
      </c>
      <c r="G78" s="16">
        <f t="shared" si="2"/>
        <v>64.477019468093971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61" zoomScale="49" workbookViewId="0">
      <selection activeCell="G72" sqref="G72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7" spans="2:9" x14ac:dyDescent="0.35">
      <c r="H7" s="8">
        <f>H6*G39</f>
        <v>5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1885.17</v>
      </c>
    </row>
    <row r="28" spans="2:10" x14ac:dyDescent="0.3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3.25" x14ac:dyDescent="0.4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35">
      <c r="A34" s="6"/>
      <c r="B34" s="43" t="s">
        <v>49</v>
      </c>
      <c r="C34" s="43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3.25" x14ac:dyDescent="0.4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3.25" x14ac:dyDescent="0.4">
      <c r="A36" s="6"/>
      <c r="B36" s="44" t="s">
        <v>52</v>
      </c>
      <c r="C36" s="44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3.25" x14ac:dyDescent="0.4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3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3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3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3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3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3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3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3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3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35">
      <c r="B53" s="8" t="s">
        <v>59</v>
      </c>
      <c r="E53" s="8">
        <f>0.05*E52</f>
        <v>900</v>
      </c>
    </row>
    <row r="54" spans="2:11" x14ac:dyDescent="0.35">
      <c r="B54" s="8" t="s">
        <v>60</v>
      </c>
      <c r="E54" s="8">
        <f>0.08*E52</f>
        <v>1440</v>
      </c>
    </row>
    <row r="55" spans="2:11" x14ac:dyDescent="0.35">
      <c r="B55" s="8" t="s">
        <v>87</v>
      </c>
      <c r="E55" s="8" t="s">
        <v>69</v>
      </c>
      <c r="F55" s="8">
        <v>800</v>
      </c>
    </row>
    <row r="56" spans="2:11" x14ac:dyDescent="0.35">
      <c r="E56" s="8" t="s">
        <v>70</v>
      </c>
      <c r="F56" s="8">
        <v>500</v>
      </c>
    </row>
    <row r="57" spans="2:11" x14ac:dyDescent="0.35">
      <c r="E57" s="8" t="s">
        <v>89</v>
      </c>
      <c r="F57" s="8">
        <f>0.1*D48</f>
        <v>3727.5619185384876</v>
      </c>
    </row>
    <row r="58" spans="2:11" x14ac:dyDescent="0.35">
      <c r="B58" s="6" t="s">
        <v>56</v>
      </c>
      <c r="D58" s="8">
        <f>E52+G52+E53+E54</f>
        <v>21840</v>
      </c>
    </row>
    <row r="59" spans="2:11" x14ac:dyDescent="0.35">
      <c r="B59" s="8" t="s">
        <v>63</v>
      </c>
      <c r="D59" s="8">
        <f>D60+D61</f>
        <v>42303.181103923358</v>
      </c>
    </row>
    <row r="60" spans="2:11" x14ac:dyDescent="0.35">
      <c r="B60" s="8" t="s">
        <v>64</v>
      </c>
      <c r="D60" s="8">
        <f>D48</f>
        <v>37275.619185384872</v>
      </c>
    </row>
    <row r="61" spans="2:11" x14ac:dyDescent="0.35">
      <c r="B61" s="8" t="s">
        <v>65</v>
      </c>
      <c r="D61" s="8">
        <f>F55+F56+F57</f>
        <v>5027.5619185384876</v>
      </c>
    </row>
    <row r="62" spans="2:11" x14ac:dyDescent="0.35">
      <c r="B62" s="8" t="s">
        <v>66</v>
      </c>
      <c r="D62" s="8">
        <f>D59+D63</f>
        <v>48648.658269511863</v>
      </c>
    </row>
    <row r="63" spans="2:11" x14ac:dyDescent="0.35">
      <c r="B63" s="8" t="s">
        <v>110</v>
      </c>
      <c r="D63" s="8">
        <f>D59*0.15</f>
        <v>6345.4771655885033</v>
      </c>
    </row>
    <row r="64" spans="2:11" x14ac:dyDescent="0.35">
      <c r="B64" s="8" t="s">
        <v>67</v>
      </c>
      <c r="D64" s="8">
        <f>D62/D65</f>
        <v>4864.8658269511861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3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3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3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3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3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2016-04-05T10:23:28Z</dcterms:modified>
</cp:coreProperties>
</file>