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9105" windowHeight="70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98" i="2" l="1"/>
  <c r="D95" i="2"/>
  <c r="C75" i="3"/>
  <c r="D78" i="2"/>
  <c r="C77" i="2"/>
  <c r="F75" i="2"/>
  <c r="D75" i="2"/>
  <c r="E87" i="2"/>
  <c r="F87" i="2"/>
  <c r="G87" i="2"/>
  <c r="D87" i="2"/>
  <c r="G78" i="2"/>
  <c r="F78" i="2"/>
  <c r="E78" i="2"/>
  <c r="G77" i="2"/>
  <c r="F77" i="2"/>
  <c r="E77" i="2"/>
  <c r="D77" i="2"/>
  <c r="G76" i="2"/>
  <c r="F76" i="2"/>
  <c r="E76" i="2"/>
  <c r="D76" i="2"/>
  <c r="C75" i="2"/>
  <c r="D72" i="2"/>
  <c r="G59" i="2" l="1"/>
  <c r="D61" i="2"/>
  <c r="D59" i="2"/>
  <c r="D37" i="2"/>
  <c r="B30" i="1"/>
  <c r="C27" i="2"/>
  <c r="D35" i="2"/>
  <c r="D34" i="2"/>
  <c r="D31" i="2"/>
  <c r="D33" i="2" s="1"/>
  <c r="D30" i="2"/>
  <c r="D29" i="2"/>
  <c r="D28" i="2"/>
  <c r="E54" i="2"/>
  <c r="E53" i="2"/>
  <c r="J39" i="2"/>
  <c r="B33" i="1"/>
  <c r="B11" i="1"/>
  <c r="D32" i="2"/>
  <c r="D36" i="2" l="1"/>
  <c r="B16" i="1"/>
  <c r="E26" i="1" s="1"/>
  <c r="B34" i="1"/>
  <c r="D28" i="1"/>
  <c r="E23" i="1" l="1"/>
  <c r="E27" i="1"/>
  <c r="E24" i="1"/>
  <c r="E25" i="1"/>
  <c r="E28" i="1" l="1"/>
  <c r="G39" i="2" s="1"/>
  <c r="G71" i="3"/>
  <c r="F71" i="3"/>
  <c r="E71" i="3"/>
  <c r="F57" i="3"/>
  <c r="D34" i="3" l="1"/>
  <c r="D35" i="3" s="1"/>
  <c r="H7" i="3"/>
  <c r="E18" i="3"/>
  <c r="D76" i="3"/>
  <c r="E76" i="3"/>
  <c r="F76" i="3"/>
  <c r="G76" i="3"/>
  <c r="C76" i="3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D33" i="3" l="1"/>
  <c r="D36" i="3" s="1"/>
  <c r="D37" i="3" s="1"/>
  <c r="D46" i="3" s="1"/>
  <c r="D41" i="3"/>
  <c r="D42" i="3" s="1"/>
  <c r="E54" i="3"/>
  <c r="D58" i="3" s="1"/>
  <c r="C70" i="3" s="1"/>
  <c r="G73" i="2"/>
  <c r="F73" i="2"/>
  <c r="E73" i="2"/>
  <c r="D73" i="2"/>
  <c r="C73" i="2"/>
  <c r="E52" i="2"/>
  <c r="G40" i="2"/>
  <c r="D40" i="2" s="1"/>
  <c r="H6" i="2"/>
  <c r="D41" i="2" l="1"/>
  <c r="D42" i="2" s="1"/>
  <c r="D46" i="2"/>
  <c r="C72" i="3"/>
  <c r="C74" i="3" s="1"/>
  <c r="C77" i="3"/>
  <c r="C78" i="3" s="1"/>
  <c r="D43" i="3"/>
  <c r="D44" i="3" s="1"/>
  <c r="E18" i="2"/>
  <c r="D43" i="2" l="1"/>
  <c r="D44" i="2" s="1"/>
  <c r="D45" i="3"/>
  <c r="D48" i="3" s="1"/>
  <c r="D45" i="2" l="1"/>
  <c r="D48" i="2" s="1"/>
  <c r="D60" i="2" s="1"/>
  <c r="K43" i="3"/>
  <c r="J43" i="3"/>
  <c r="D60" i="3"/>
  <c r="D61" i="3"/>
  <c r="J44" i="3" s="1"/>
  <c r="K47" i="3" s="1"/>
  <c r="D59" i="3" l="1"/>
  <c r="K45" i="3"/>
  <c r="J45" i="3"/>
  <c r="K40" i="2"/>
  <c r="J40" i="2"/>
  <c r="K42" i="2" s="1"/>
  <c r="D58" i="2" l="1"/>
  <c r="C70" i="2" s="1"/>
  <c r="D63" i="3"/>
  <c r="D62" i="3" s="1"/>
  <c r="D71" i="3"/>
  <c r="D63" i="2" l="1"/>
  <c r="D62" i="2" s="1"/>
  <c r="J43" i="2" s="1"/>
  <c r="N42" i="2" s="1"/>
  <c r="J41" i="2"/>
  <c r="C76" i="2"/>
  <c r="C78" i="2" s="1"/>
  <c r="C72" i="2"/>
  <c r="C74" i="2" s="1"/>
  <c r="D64" i="3"/>
  <c r="J46" i="3"/>
  <c r="J47" i="3" s="1"/>
  <c r="J48" i="3" s="1"/>
  <c r="D71" i="2" l="1"/>
  <c r="F71" i="2" s="1"/>
  <c r="J42" i="2"/>
  <c r="O42" i="2"/>
  <c r="D64" i="2"/>
  <c r="N41" i="2"/>
  <c r="L43" i="2" s="1"/>
  <c r="F69" i="3"/>
  <c r="G69" i="3"/>
  <c r="E69" i="3"/>
  <c r="E72" i="3" s="1"/>
  <c r="D69" i="3"/>
  <c r="G69" i="2" l="1"/>
  <c r="D69" i="2"/>
  <c r="D74" i="2" s="1"/>
  <c r="E71" i="2"/>
  <c r="G71" i="2"/>
  <c r="E69" i="2"/>
  <c r="F69" i="2"/>
  <c r="L39" i="2"/>
  <c r="F72" i="3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G72" i="2" l="1"/>
  <c r="G74" i="2" s="1"/>
  <c r="E72" i="2"/>
  <c r="E74" i="2" s="1"/>
  <c r="E75" i="2" s="1"/>
  <c r="F72" i="2"/>
  <c r="F74" i="2" s="1"/>
  <c r="E75" i="3"/>
  <c r="F75" i="3" s="1"/>
  <c r="G75" i="3" s="1"/>
  <c r="G75" i="2" l="1"/>
</calcChain>
</file>

<file path=xl/sharedStrings.xml><?xml version="1.0" encoding="utf-8"?>
<sst xmlns="http://schemas.openxmlformats.org/spreadsheetml/2006/main" count="328" uniqueCount="188">
  <si>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</si>
  <si>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</si>
  <si>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</si>
  <si>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</si>
  <si>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</si>
  <si>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</si>
  <si>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</si>
  <si>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</si>
  <si>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</si>
  <si>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</si>
  <si>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</si>
  <si>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</si>
  <si>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</si>
  <si>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</si>
  <si>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</si>
  <si>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</si>
  <si>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</si>
  <si>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</si>
  <si>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</si>
  <si>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</si>
  <si>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</si>
  <si>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</si>
  <si>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</si>
  <si>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</si>
  <si>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</si>
  <si>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</si>
  <si>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</si>
  <si>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</si>
  <si>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</si>
  <si>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</si>
  <si>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</si>
  <si>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</si>
  <si>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</si>
  <si>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</si>
  <si>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</si>
  <si>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</si>
  <si>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</si>
  <si>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</si>
  <si>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</si>
  <si>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</si>
  <si>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</si>
  <si>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</si>
  <si>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</si>
  <si>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</si>
  <si>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</si>
  <si>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</si>
  <si>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</si>
  <si>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</si>
  <si>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</si>
  <si>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</si>
  <si>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</si>
  <si>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</si>
  <si>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</si>
  <si>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</si>
  <si>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</si>
  <si>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</si>
  <si>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</si>
  <si>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</si>
  <si>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</si>
  <si>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</si>
  <si>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</si>
  <si>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</si>
  <si>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</si>
  <si>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</si>
  <si>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</si>
  <si>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</si>
  <si>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</si>
  <si>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</si>
  <si>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</si>
  <si>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</si>
  <si>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</si>
  <si>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</si>
  <si>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</si>
  <si>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</si>
  <si>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</si>
  <si>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</si>
  <si>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</si>
  <si>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</si>
  <si>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</si>
  <si>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</si>
  <si>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</si>
  <si>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</si>
  <si>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</si>
  <si>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</si>
  <si>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</si>
  <si>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</si>
  <si>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</si>
  <si>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</si>
  <si>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</si>
  <si>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</si>
  <si>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</si>
  <si>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</si>
  <si>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</si>
  <si>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</si>
  <si>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</si>
  <si>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</si>
  <si>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</si>
  <si>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</si>
  <si>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</si>
  <si>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</si>
  <si>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</si>
  <si>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</si>
  <si>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</si>
  <si>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</si>
  <si>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</si>
  <si>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</si>
  <si>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</si>
  <si>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</si>
  <si>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</si>
  <si>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</si>
  <si>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</si>
  <si>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</si>
  <si>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</si>
  <si>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</si>
  <si>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</si>
  <si>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</si>
  <si>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</si>
  <si>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</si>
  <si>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</si>
  <si>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</si>
  <si>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</si>
  <si>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</si>
  <si>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</si>
  <si>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</si>
  <si>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</si>
  <si>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</si>
  <si>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</si>
  <si>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</si>
  <si>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</si>
  <si>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</si>
  <si>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</si>
  <si>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</si>
  <si>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</si>
  <si>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</si>
  <si>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</si>
  <si>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</si>
  <si>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</si>
  <si>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</si>
  <si>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</si>
  <si>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</si>
  <si>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</si>
  <si>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</si>
  <si>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</si>
  <si>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</si>
  <si>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</si>
  <si>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</si>
  <si>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Коэффициент сложности</t>
  </si>
  <si>
    <t>Цпо затраты на покупку лицензии 5т</t>
  </si>
  <si>
    <t>Итого</t>
  </si>
  <si>
    <t>Расчетная</t>
  </si>
  <si>
    <t>- обработка входного заказа и формирование таблиц</t>
  </si>
  <si>
    <t>- обеспечение интерфейса между компонентами</t>
  </si>
  <si>
    <t>Прибыль</t>
  </si>
  <si>
    <t>Срок разработки</t>
  </si>
  <si>
    <t>Фонд номинальный</t>
  </si>
  <si>
    <t>Эффективный фонд времени рабочих</t>
  </si>
  <si>
    <t>Эффективный фонд времени оборудования</t>
  </si>
  <si>
    <t>Lтз×Kн×Tо=0,11×1,0×347,26</t>
  </si>
  <si>
    <t>Lэп×Kн×Tо=0,09×1,0×347,26</t>
  </si>
  <si>
    <t>Lтп×Kн×Tо=0,11×1,0×347,26</t>
  </si>
  <si>
    <t>Lрп×Kн×Tо×Kт=0,55×1,0×347,26×1,0</t>
  </si>
  <si>
    <t>Lвн×Kн×Tо=0,14×1,0×347,26</t>
  </si>
  <si>
    <t>Показатель трудоемкости</t>
  </si>
  <si>
    <t>Формула</t>
  </si>
  <si>
    <t>Полученное значение</t>
  </si>
  <si>
    <r>
      <t>ΣL</t>
    </r>
    <r>
      <rPr>
        <sz val="11.2"/>
        <color theme="1"/>
        <rFont val="Calibri"/>
        <family val="2"/>
      </rPr>
      <t>i</t>
    </r>
  </si>
  <si>
    <t>ФОТ_отч=Отч + ФОТ</t>
  </si>
  <si>
    <t>Постоянные издержки</t>
  </si>
  <si>
    <t>Переменные издержки</t>
  </si>
  <si>
    <t>Капитальные затраты</t>
  </si>
  <si>
    <t>Количество компаний</t>
  </si>
  <si>
    <t>Выручка</t>
  </si>
  <si>
    <t>Цена ед. товара</t>
  </si>
  <si>
    <t>Полные издержки</t>
  </si>
  <si>
    <t>Зрек= 10% * Зпроек</t>
  </si>
  <si>
    <t>Проданное количество</t>
  </si>
  <si>
    <t>Капитальные вложения</t>
  </si>
  <si>
    <t>Издержки</t>
  </si>
  <si>
    <t>Чистый денежный поток</t>
  </si>
  <si>
    <t>Показатель текущей стоимости</t>
  </si>
  <si>
    <t>Иt=Иполн*kt(годовой коэффициент)</t>
  </si>
  <si>
    <t>Год</t>
  </si>
  <si>
    <t>Чистый дисконтированный денежный поток</t>
  </si>
  <si>
    <t>Кмортизация</t>
  </si>
  <si>
    <t>Рентабельность</t>
  </si>
  <si>
    <t>Срок окупаемости</t>
  </si>
  <si>
    <t>Срок возврата капиталовложений</t>
  </si>
  <si>
    <t>Максимальный денежный отток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</si>
</sst>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;[Red]\-0.000\ 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11" fillId="0" borderId="0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3" fillId="0" borderId="0" xfId="0" applyNumberFormat="1" applyFo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9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wrapText="1"/>
    </xf>
    <xf numFmtId="2" fontId="6" fillId="0" borderId="5" xfId="0" applyNumberFormat="1" applyFont="1" applyBorder="1"/>
    <xf numFmtId="2" fontId="1" fillId="0" borderId="5" xfId="0" applyNumberFormat="1" applyFont="1" applyBorder="1"/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5" xfId="0" applyFont="1" applyBorder="1" applyAlignment="1"/>
    <xf numFmtId="0" fontId="11" fillId="0" borderId="1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Лист1!$J$47:$K$47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Лист1!$J$48:$K$48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08672"/>
        <c:axId val="377310592"/>
      </c:scatterChart>
      <c:valAx>
        <c:axId val="3773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7310592"/>
        <c:crosses val="autoZero"/>
        <c:crossBetween val="midCat"/>
      </c:valAx>
      <c:valAx>
        <c:axId val="377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730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</c:strCache>
            </c:strRef>
          </c:tx>
          <c:xVal>
            <c:numRef>
              <c:f>Лист1!$C$69:$G$69</c:f>
              <c:numCache>
                <c:formatCode>0.00</c:formatCode>
                <c:ptCount val="5"/>
              </c:numCache>
            </c:numRef>
          </c:xVal>
          <c:yVal>
            <c:numRef>
              <c:f>Лист1!$C$77:$G$77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35168"/>
        <c:axId val="377345152"/>
      </c:scatterChart>
      <c:valAx>
        <c:axId val="377335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7345152"/>
        <c:crosses val="autoZero"/>
        <c:crossBetween val="midCat"/>
        <c:majorUnit val="1"/>
      </c:valAx>
      <c:valAx>
        <c:axId val="377345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733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496323692445696E-2"/>
          <c:y val="0.10602998956679111"/>
          <c:w val="0.81719674987981117"/>
          <c:h val="0.7590432961286830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Лист2!$I$40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Лист2!$J$40:$L$40</c:f>
              <c:numCache>
                <c:formatCode>0.00</c:formatCode>
                <c:ptCount val="3"/>
                <c:pt idx="0">
                  <c:v>43158.412255968426</c:v>
                </c:pt>
                <c:pt idx="1">
                  <c:v>43158.412255968426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Лист2!$I$41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Лист2!$J$41:$L$41</c:f>
              <c:numCache>
                <c:formatCode>General</c:formatCode>
                <c:ptCount val="3"/>
                <c:pt idx="0" formatCode="0.00">
                  <c:v>7315.8412255968424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Лист2!$I$42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Лист2!$J$42:$L$42</c:f>
              <c:numCache>
                <c:formatCode>0.00</c:formatCode>
                <c:ptCount val="3"/>
                <c:pt idx="0">
                  <c:v>50474.253481565269</c:v>
                </c:pt>
                <c:pt idx="1">
                  <c:v>43158.412255968426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Лист2!$I$43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6619148466315679E-2"/>
                  <c:y val="0.4977735261459316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Лист2!$J$39:$L$39</c:f>
              <c:numCache>
                <c:formatCode>General</c:formatCode>
                <c:ptCount val="3"/>
                <c:pt idx="0" formatCode="0.00">
                  <c:v>10</c:v>
                </c:pt>
                <c:pt idx="1">
                  <c:v>0</c:v>
                </c:pt>
                <c:pt idx="2" formatCode="0.00">
                  <c:v>7.0955753882476547</c:v>
                </c:pt>
              </c:numCache>
            </c:numRef>
          </c:xVal>
          <c:yVal>
            <c:numRef>
              <c:f>Лист2!$J$43:$L$43</c:f>
              <c:numCache>
                <c:formatCode>General</c:formatCode>
                <c:ptCount val="3"/>
                <c:pt idx="0" formatCode="0.00">
                  <c:v>68140.242200113105</c:v>
                </c:pt>
                <c:pt idx="1">
                  <c:v>0</c:v>
                </c:pt>
                <c:pt idx="2" formatCode="0.00">
                  <c:v>48349.42255043568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08608"/>
        <c:axId val="377510144"/>
      </c:scatterChart>
      <c:valAx>
        <c:axId val="3775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7510144"/>
        <c:crosses val="autoZero"/>
        <c:crossBetween val="midCat"/>
      </c:valAx>
      <c:valAx>
        <c:axId val="3775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750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26614611281361E-2"/>
          <c:y val="5.9966770486310272E-2"/>
          <c:w val="0.73392270771446433"/>
          <c:h val="0.89382530043945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Лист2!$B$86</c:f>
              <c:strCache>
                <c:ptCount val="1"/>
                <c:pt idx="0">
                  <c:v>Интегральный экономический эффект</c:v>
                </c:pt>
              </c:strCache>
            </c:strRef>
          </c:tx>
          <c:xVal>
            <c:numRef>
              <c:f>Лист2!$C$67:$G$67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Лист2!$C$87:$G$87</c:f>
              <c:numCache>
                <c:formatCode>0.00</c:formatCode>
                <c:ptCount val="5"/>
                <c:pt idx="0">
                  <c:v>0</c:v>
                </c:pt>
                <c:pt idx="1">
                  <c:v>-46763.077121720424</c:v>
                </c:pt>
                <c:pt idx="2">
                  <c:v>-29518.320329093811</c:v>
                </c:pt>
                <c:pt idx="3">
                  <c:v>-3375.3203551527949</c:v>
                </c:pt>
                <c:pt idx="4">
                  <c:v>20969.059550467118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Лист2!$B$90</c:f>
              <c:strCache>
                <c:ptCount val="1"/>
                <c:pt idx="0">
                  <c:v>Срок возврата капиталовложений</c:v>
                </c:pt>
              </c:strCache>
            </c:strRef>
          </c:tx>
          <c:xVal>
            <c:numRef>
              <c:f>Лист2!$C$91:$D$91</c:f>
              <c:numCache>
                <c:formatCode>0.00</c:formatCode>
                <c:ptCount val="2"/>
                <c:pt idx="0">
                  <c:v>2016</c:v>
                </c:pt>
                <c:pt idx="1">
                  <c:v>2019.15</c:v>
                </c:pt>
              </c:numCache>
            </c:numRef>
          </c:xVal>
          <c:yVal>
            <c:numRef>
              <c:f>Лист2!$C$92:$D$92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Лист2!$B$93</c:f>
              <c:strCache>
                <c:ptCount val="1"/>
                <c:pt idx="0">
                  <c:v>Максимальный денежный отток</c:v>
                </c:pt>
              </c:strCache>
            </c:strRef>
          </c:tx>
          <c:marker>
            <c:symbol val="plus"/>
            <c:size val="12"/>
          </c:marker>
          <c:xVal>
            <c:numRef>
              <c:f>Лист2!$C$94:$D$94</c:f>
              <c:numCache>
                <c:formatCode>0.00</c:formatCode>
                <c:ptCount val="2"/>
                <c:pt idx="0">
                  <c:v>2017</c:v>
                </c:pt>
                <c:pt idx="1">
                  <c:v>2017</c:v>
                </c:pt>
              </c:numCache>
            </c:numRef>
          </c:xVal>
          <c:yVal>
            <c:numRef>
              <c:f>Лист2!$C$95:$D$95</c:f>
              <c:numCache>
                <c:formatCode>0.00</c:formatCode>
                <c:ptCount val="2"/>
                <c:pt idx="0">
                  <c:v>0</c:v>
                </c:pt>
                <c:pt idx="1">
                  <c:v>-46763.077121720424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Лист2!$B$88</c:f>
              <c:strCache>
                <c:ptCount val="1"/>
                <c:pt idx="0">
                  <c:v>Срок окупаемости</c:v>
                </c:pt>
              </c:strCache>
            </c:strRef>
          </c:tx>
          <c:xVal>
            <c:numRef>
              <c:f>Лист2!$C$67:$D$67</c:f>
              <c:numCache>
                <c:formatCode>0.00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xVal>
          <c:yVal>
            <c:numRef>
              <c:f>Лист2!$C$89:$D$89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Лист2!$B$96</c:f>
              <c:strCache>
                <c:ptCount val="1"/>
                <c:pt idx="0">
                  <c:v>Интегральный экономический эффект</c:v>
                </c:pt>
              </c:strCache>
            </c:strRef>
          </c:tx>
          <c:xVal>
            <c:numRef>
              <c:f>Лист2!$C$97:$D$97</c:f>
              <c:numCache>
                <c:formatCode>0.00</c:formatCode>
                <c:ptCount val="2"/>
                <c:pt idx="0">
                  <c:v>2020</c:v>
                </c:pt>
                <c:pt idx="1">
                  <c:v>2020</c:v>
                </c:pt>
              </c:numCache>
            </c:numRef>
          </c:xVal>
          <c:yVal>
            <c:numRef>
              <c:f>Лист2!$C$98:$D$98</c:f>
              <c:numCache>
                <c:formatCode>0.00</c:formatCode>
                <c:ptCount val="2"/>
                <c:pt idx="0">
                  <c:v>0</c:v>
                </c:pt>
                <c:pt idx="1">
                  <c:v>20969.059550467118</c:v>
                </c:pt>
              </c:numCache>
            </c:numRef>
          </c:y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377178752"/>
        <c:axId val="377201024"/>
      </c:scatterChart>
      <c:valAx>
        <c:axId val="377178752"/>
        <c:scaling>
          <c:orientation val="minMax"/>
          <c:max val="2020"/>
          <c:min val="2016"/>
        </c:scaling>
        <c:delete val="0"/>
        <c:axPos val="b"/>
        <c:minorGridlines/>
        <c:numFmt formatCode="0.00" sourceLinked="1"/>
        <c:majorTickMark val="out"/>
        <c:minorTickMark val="cross"/>
        <c:tickLblPos val="nextTo"/>
        <c:spPr>
          <a:ln/>
        </c:spPr>
        <c:crossAx val="377201024"/>
        <c:crosses val="autoZero"/>
        <c:crossBetween val="midCat"/>
        <c:majorUnit val="1"/>
      </c:valAx>
      <c:valAx>
        <c:axId val="37720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7178752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legend>
      <c:legendPos val="r"/>
      <c:layout>
        <c:manualLayout>
          <c:xMode val="edge"/>
          <c:yMode val="edge"/>
          <c:x val="0.83310606055354874"/>
          <c:y val="0.18975515933260445"/>
          <c:w val="0.15934843694717682"/>
          <c:h val="0.50646633868558433"/>
        </c:manualLayout>
      </c:layout>
      <c:overlay val="0"/>
    </c:legend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84896"/>
        <c:axId val="377986432"/>
      </c:scatterChart>
      <c:valAx>
        <c:axId val="3779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7986432"/>
        <c:crosses val="autoZero"/>
        <c:crossBetween val="midCat"/>
      </c:valAx>
      <c:valAx>
        <c:axId val="3779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779848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8720"/>
        <c:axId val="378012800"/>
      </c:scatterChart>
      <c:valAx>
        <c:axId val="377998720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378012800"/>
        <c:crosses val="autoZero"/>
        <c:crossBetween val="midCat"/>
        <c:majorUnit val="1"/>
      </c:valAx>
      <c:valAx>
        <c:axId val="378012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crossAx val="3779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53</xdr:row>
      <xdr:rowOff>54428</xdr:rowOff>
    </xdr:from>
    <xdr:to>
      <xdr:col>16</xdr:col>
      <xdr:colOff>299357</xdr:colOff>
      <xdr:row>67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68</xdr:row>
      <xdr:rowOff>104776</xdr:rowOff>
    </xdr:from>
    <xdr:to>
      <xdr:col>16</xdr:col>
      <xdr:colOff>426355</xdr:colOff>
      <xdr:row>89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</xdr:colOff>
      <xdr:row>43</xdr:row>
      <xdr:rowOff>123356</xdr:rowOff>
    </xdr:from>
    <xdr:to>
      <xdr:col>16</xdr:col>
      <xdr:colOff>658943</xdr:colOff>
      <xdr:row>59</xdr:row>
      <xdr:rowOff>236897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351554</xdr:colOff>
      <xdr:row>60</xdr:row>
      <xdr:rowOff>108792</xdr:rowOff>
    </xdr:from>
    <xdr:to>
      <xdr:col>18</xdr:col>
      <xdr:colOff>81643</xdr:colOff>
      <xdr:row>82</xdr:row>
      <xdr:rowOff>24835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7" zoomScale="70" zoomScaleNormal="70" workbookViewId="0">
      <selection activeCell="A40" sqref="A40"/>
    </sheetView>
  </sheetViews>
  <sheetFormatPr defaultColWidth="9.140625" defaultRowHeight="21" x14ac:dyDescent="0.35"/>
  <cols>
    <col min="1" max="1" width="60.5703125" style="8" customWidth="1"/>
    <col min="2" max="2" width="21.5703125" style="8" customWidth="1"/>
    <col min="3" max="3" width="52.140625" style="8" customWidth="1"/>
    <col min="4" max="4" width="20.7109375" style="8" customWidth="1"/>
    <col min="5" max="5" width="55" style="8" customWidth="1"/>
    <col min="6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1" spans="1:5" ht="38.25" thickBot="1" x14ac:dyDescent="0.4">
      <c r="A1" s="31" t="s">
        <v>118</v>
      </c>
      <c r="B1" s="32" t="s">
        <v>119</v>
      </c>
      <c r="C1"/>
      <c r="D1" s="38" t="s">
        <v>120</v>
      </c>
      <c r="E1" s="39" t="s">
        <v>121</v>
      </c>
    </row>
    <row r="2" spans="1:5" ht="63" customHeight="1" x14ac:dyDescent="0.35">
      <c r="A2" s="33" t="s">
        <v>122</v>
      </c>
      <c r="B2" s="34">
        <v>0.33500000000000002</v>
      </c>
      <c r="C2"/>
      <c r="D2" s="58">
        <v>2</v>
      </c>
      <c r="E2" s="37" t="s">
        <v>123</v>
      </c>
    </row>
    <row r="3" spans="1:5" ht="63" customHeight="1" x14ac:dyDescent="0.35">
      <c r="A3" s="26" t="s">
        <v>124</v>
      </c>
      <c r="B3" s="27">
        <v>1.05</v>
      </c>
      <c r="C3"/>
      <c r="D3" s="59"/>
      <c r="E3" s="35" t="s">
        <v>125</v>
      </c>
    </row>
    <row r="4" spans="1:5" ht="63" customHeight="1" x14ac:dyDescent="0.35">
      <c r="A4" s="26" t="s">
        <v>126</v>
      </c>
      <c r="B4" s="27">
        <v>3.2250000000000001</v>
      </c>
      <c r="C4"/>
      <c r="D4" s="59"/>
      <c r="E4" s="35" t="s">
        <v>127</v>
      </c>
    </row>
    <row r="5" spans="1:5" ht="63" customHeight="1" x14ac:dyDescent="0.35">
      <c r="A5" s="28" t="s">
        <v>128</v>
      </c>
      <c r="B5" s="27">
        <v>2.0049999999999999</v>
      </c>
      <c r="C5"/>
      <c r="D5" s="59"/>
      <c r="E5" s="35" t="s">
        <v>129</v>
      </c>
    </row>
    <row r="6" spans="1:5" ht="63" customHeight="1" thickBot="1" x14ac:dyDescent="0.4">
      <c r="A6" s="43" t="s">
        <v>130</v>
      </c>
      <c r="B6" s="45">
        <v>1.5549999999999999</v>
      </c>
      <c r="C6"/>
      <c r="D6" s="60"/>
      <c r="E6" s="36" t="s">
        <v>131</v>
      </c>
    </row>
    <row r="7" spans="1:5" ht="63" customHeight="1" x14ac:dyDescent="0.35">
      <c r="A7" s="43" t="s">
        <v>150</v>
      </c>
      <c r="B7" s="45">
        <v>0.77500000000000002</v>
      </c>
      <c r="C7"/>
      <c r="D7" s="41"/>
      <c r="E7" s="42"/>
    </row>
    <row r="8" spans="1:5" ht="63" customHeight="1" x14ac:dyDescent="0.35">
      <c r="A8" s="43" t="s">
        <v>151</v>
      </c>
      <c r="B8" s="45">
        <v>3.43</v>
      </c>
      <c r="C8"/>
      <c r="D8" s="41"/>
      <c r="E8" s="42"/>
    </row>
    <row r="9" spans="1:5" ht="63" customHeight="1" x14ac:dyDescent="0.35">
      <c r="A9" s="44" t="s">
        <v>132</v>
      </c>
      <c r="B9" s="46">
        <v>2.6</v>
      </c>
      <c r="C9"/>
      <c r="D9" s="21"/>
      <c r="E9"/>
    </row>
    <row r="10" spans="1:5" ht="80.099999999999994" customHeight="1" thickBot="1" x14ac:dyDescent="0.4">
      <c r="A10" s="29" t="s">
        <v>133</v>
      </c>
      <c r="B10" s="30">
        <v>0.22500000000000001</v>
      </c>
      <c r="C10"/>
      <c r="D10"/>
      <c r="E10"/>
    </row>
    <row r="11" spans="1:5" ht="63" customHeight="1" x14ac:dyDescent="0.35">
      <c r="A11" s="8" t="s">
        <v>148</v>
      </c>
      <c r="B11" s="40">
        <f>SUM(B2:B10)</f>
        <v>15.2</v>
      </c>
      <c r="C11"/>
      <c r="D11"/>
      <c r="E11"/>
    </row>
    <row r="12" spans="1:5" ht="63" customHeight="1" x14ac:dyDescent="0.35">
      <c r="C12"/>
      <c r="D12"/>
      <c r="E12"/>
    </row>
    <row r="13" spans="1:5" x14ac:dyDescent="0.35">
      <c r="A13" s="22" t="s">
        <v>146</v>
      </c>
      <c r="B13" s="25">
        <v>0.06</v>
      </c>
      <c r="C13"/>
      <c r="D13"/>
      <c r="E13"/>
    </row>
    <row r="14" spans="1:5" x14ac:dyDescent="0.35">
      <c r="A14"/>
      <c r="B14"/>
      <c r="C14"/>
      <c r="D14"/>
      <c r="E14"/>
    </row>
    <row r="15" spans="1:5" x14ac:dyDescent="0.35">
      <c r="A15" s="8" t="s">
        <v>134</v>
      </c>
      <c r="B15" s="8" t="s">
        <v>149</v>
      </c>
      <c r="D15"/>
      <c r="E15"/>
    </row>
    <row r="16" spans="1:5" x14ac:dyDescent="0.35">
      <c r="A16" s="8">
        <v>267.10000000000002</v>
      </c>
      <c r="B16" s="8">
        <f>A16*(1+B13)</f>
        <v>283.12600000000003</v>
      </c>
      <c r="D16"/>
      <c r="E16"/>
    </row>
    <row r="17" spans="1:5" x14ac:dyDescent="0.35">
      <c r="D17"/>
      <c r="E17"/>
    </row>
    <row r="18" spans="1:5" x14ac:dyDescent="0.35">
      <c r="A18" s="8" t="s">
        <v>135</v>
      </c>
      <c r="B18" s="8" t="s">
        <v>136</v>
      </c>
      <c r="D18"/>
      <c r="E18"/>
    </row>
    <row r="19" spans="1:5" x14ac:dyDescent="0.35">
      <c r="A19" s="8" t="s">
        <v>137</v>
      </c>
      <c r="B19" s="8" t="s">
        <v>138</v>
      </c>
      <c r="D19"/>
      <c r="E19"/>
    </row>
    <row r="20" spans="1:5" x14ac:dyDescent="0.35">
      <c r="A20" s="8" t="s">
        <v>139</v>
      </c>
      <c r="B20" s="8">
        <v>0.7</v>
      </c>
      <c r="D20"/>
      <c r="E20"/>
    </row>
    <row r="21" spans="1:5" x14ac:dyDescent="0.35">
      <c r="D21"/>
      <c r="E21"/>
    </row>
    <row r="22" spans="1:5" ht="42" x14ac:dyDescent="0.35">
      <c r="B22" s="47" t="s">
        <v>162</v>
      </c>
      <c r="C22" s="16" t="s">
        <v>163</v>
      </c>
      <c r="D22" s="16" t="s">
        <v>119</v>
      </c>
      <c r="E22" s="16" t="s">
        <v>164</v>
      </c>
    </row>
    <row r="23" spans="1:5" x14ac:dyDescent="0.35">
      <c r="B23" s="16" t="s">
        <v>140</v>
      </c>
      <c r="C23" s="16" t="s">
        <v>157</v>
      </c>
      <c r="D23" s="16">
        <v>0.11</v>
      </c>
      <c r="E23" s="16">
        <f>D23*$B$16</f>
        <v>31.143860000000004</v>
      </c>
    </row>
    <row r="24" spans="1:5" x14ac:dyDescent="0.35">
      <c r="B24" s="16" t="s">
        <v>141</v>
      </c>
      <c r="C24" s="16" t="s">
        <v>158</v>
      </c>
      <c r="D24" s="16">
        <v>0.09</v>
      </c>
      <c r="E24" s="16">
        <f t="shared" ref="E24:E27" si="0">D24*$B$16</f>
        <v>25.481340000000003</v>
      </c>
    </row>
    <row r="25" spans="1:5" x14ac:dyDescent="0.35">
      <c r="B25" s="16" t="s">
        <v>142</v>
      </c>
      <c r="C25" s="16" t="s">
        <v>159</v>
      </c>
      <c r="D25" s="16">
        <v>0.11</v>
      </c>
      <c r="E25" s="16">
        <f t="shared" si="0"/>
        <v>31.143860000000004</v>
      </c>
    </row>
    <row r="26" spans="1:5" x14ac:dyDescent="0.35">
      <c r="B26" s="16" t="s">
        <v>143</v>
      </c>
      <c r="C26" s="16" t="s">
        <v>160</v>
      </c>
      <c r="D26" s="16">
        <v>0.55000000000000004</v>
      </c>
      <c r="E26" s="16">
        <f>D26*$B$16*B20</f>
        <v>109.00351000000002</v>
      </c>
    </row>
    <row r="27" spans="1:5" x14ac:dyDescent="0.35">
      <c r="B27" s="16" t="s">
        <v>144</v>
      </c>
      <c r="C27" s="16" t="s">
        <v>161</v>
      </c>
      <c r="D27" s="16">
        <v>0.14000000000000001</v>
      </c>
      <c r="E27" s="16">
        <f t="shared" si="0"/>
        <v>39.637640000000012</v>
      </c>
    </row>
    <row r="28" spans="1:5" x14ac:dyDescent="0.35">
      <c r="B28" s="16" t="s">
        <v>145</v>
      </c>
      <c r="C28" s="48" t="s">
        <v>165</v>
      </c>
      <c r="D28" s="16">
        <f>SUM(D23:D27)</f>
        <v>1</v>
      </c>
      <c r="E28" s="16">
        <f>SUM(E23:E27)</f>
        <v>236.41021000000003</v>
      </c>
    </row>
    <row r="29" spans="1:5" x14ac:dyDescent="0.35">
      <c r="D29"/>
      <c r="E29"/>
    </row>
    <row r="30" spans="1:5" x14ac:dyDescent="0.35">
      <c r="A30" s="8" t="s">
        <v>153</v>
      </c>
      <c r="B30" s="8">
        <f>E28/(1*20.56*8)</f>
        <v>1.4373188837548641</v>
      </c>
      <c r="D30"/>
      <c r="E30"/>
    </row>
    <row r="31" spans="1:5" x14ac:dyDescent="0.35">
      <c r="D31"/>
      <c r="E31"/>
    </row>
    <row r="32" spans="1:5" x14ac:dyDescent="0.35">
      <c r="A32" s="8" t="s">
        <v>154</v>
      </c>
      <c r="B32" s="8">
        <v>1974</v>
      </c>
      <c r="D32"/>
      <c r="E32"/>
    </row>
    <row r="33" spans="1:11" x14ac:dyDescent="0.35">
      <c r="A33" s="8" t="s">
        <v>156</v>
      </c>
      <c r="B33" s="8">
        <f>$B$32*(1-C33/100)</f>
        <v>1904.9099999999999</v>
      </c>
      <c r="C33" s="8">
        <v>3.5</v>
      </c>
      <c r="D33"/>
      <c r="E33"/>
    </row>
    <row r="34" spans="1:11" x14ac:dyDescent="0.35">
      <c r="A34" s="8" t="s">
        <v>155</v>
      </c>
      <c r="B34" s="8">
        <f>$B$32*(1-C34/100)</f>
        <v>1746.99</v>
      </c>
      <c r="C34" s="8">
        <v>11.5</v>
      </c>
      <c r="D34"/>
      <c r="E34"/>
    </row>
    <row r="35" spans="1:11" x14ac:dyDescent="0.3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35">
      <c r="A36" s="6"/>
      <c r="B36" s="23"/>
      <c r="C36" s="23"/>
      <c r="D36" s="6"/>
      <c r="E36" s="6"/>
      <c r="F36" s="6"/>
      <c r="G36" s="6"/>
      <c r="H36" s="6"/>
      <c r="I36" s="6"/>
      <c r="J36" s="6"/>
      <c r="K36" s="6"/>
    </row>
    <row r="37" spans="1:11" x14ac:dyDescent="0.35">
      <c r="A37" s="6"/>
      <c r="B37" s="1"/>
      <c r="C37" s="6"/>
      <c r="D37" s="6"/>
      <c r="E37" s="6"/>
      <c r="F37" s="13"/>
      <c r="G37" s="13"/>
      <c r="H37" s="6"/>
      <c r="I37" s="6"/>
      <c r="J37" s="6"/>
      <c r="K37" s="6"/>
    </row>
    <row r="38" spans="1:11" x14ac:dyDescent="0.35">
      <c r="A38" s="6"/>
      <c r="B38" s="24"/>
      <c r="C38" s="24"/>
      <c r="D38" s="6"/>
      <c r="E38" s="6"/>
      <c r="F38" s="14"/>
      <c r="G38" s="6"/>
      <c r="H38" s="6"/>
      <c r="I38" s="6"/>
      <c r="J38" s="6"/>
      <c r="K38" s="6"/>
    </row>
    <row r="39" spans="1:11" x14ac:dyDescent="0.35">
      <c r="A39" s="6"/>
      <c r="B39" s="1"/>
      <c r="C39" s="6"/>
      <c r="D39" s="6"/>
      <c r="E39" s="6"/>
      <c r="F39" s="14"/>
      <c r="G39" s="6"/>
      <c r="H39" s="6"/>
      <c r="I39" s="6"/>
      <c r="J39" s="6"/>
      <c r="K39" s="6"/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5">
      <c r="A41" s="6"/>
      <c r="B41" s="15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5">
      <c r="A42" s="6"/>
      <c r="B42" s="15"/>
      <c r="H42" s="6"/>
      <c r="I42" s="6"/>
      <c r="J42" s="6"/>
      <c r="K42" s="6"/>
    </row>
    <row r="43" spans="1:11" x14ac:dyDescent="0.35">
      <c r="A43" s="6"/>
      <c r="B43" s="15"/>
      <c r="H43" s="6"/>
      <c r="I43" s="6"/>
      <c r="J43" s="6"/>
      <c r="K43" s="6"/>
    </row>
    <row r="44" spans="1:11" x14ac:dyDescent="0.35">
      <c r="A44" s="6"/>
      <c r="B44" s="15"/>
      <c r="F44" s="15"/>
      <c r="H44" s="6"/>
      <c r="I44" s="18"/>
      <c r="J44" s="18"/>
      <c r="K44" s="18"/>
    </row>
    <row r="45" spans="1:11" x14ac:dyDescent="0.35">
      <c r="A45" s="6"/>
      <c r="B45" s="15"/>
      <c r="H45" s="6"/>
      <c r="I45" s="18"/>
      <c r="J45" s="19"/>
      <c r="K45" s="19"/>
    </row>
    <row r="46" spans="1:11" x14ac:dyDescent="0.35">
      <c r="A46" s="6"/>
      <c r="B46" s="15"/>
      <c r="H46" s="6"/>
      <c r="I46" s="18"/>
      <c r="J46" s="19"/>
      <c r="K46" s="18"/>
    </row>
    <row r="47" spans="1:11" x14ac:dyDescent="0.35">
      <c r="A47" s="6"/>
      <c r="B47" s="15"/>
      <c r="H47" s="6"/>
      <c r="I47" s="18"/>
      <c r="J47" s="18"/>
      <c r="K47" s="19"/>
    </row>
    <row r="48" spans="1:11" x14ac:dyDescent="0.35">
      <c r="A48" s="6"/>
      <c r="B48" s="15"/>
      <c r="F48" s="20"/>
      <c r="H48" s="6"/>
      <c r="I48" s="18"/>
      <c r="J48" s="19"/>
      <c r="K48" s="18"/>
    </row>
    <row r="49" spans="2:11" x14ac:dyDescent="0.35">
      <c r="I49" s="18"/>
      <c r="J49" s="18"/>
      <c r="K49" s="18"/>
    </row>
    <row r="50" spans="2:11" x14ac:dyDescent="0.35">
      <c r="I50" s="18"/>
      <c r="J50" s="18"/>
      <c r="K50" s="18"/>
    </row>
    <row r="51" spans="2:11" x14ac:dyDescent="0.35">
      <c r="B51" s="15"/>
      <c r="C51" s="15"/>
      <c r="D51" s="15"/>
      <c r="E51" s="15"/>
      <c r="F51" s="15"/>
      <c r="G51" s="15"/>
      <c r="I51" s="18"/>
      <c r="J51" s="18"/>
      <c r="K51" s="18"/>
    </row>
    <row r="52" spans="2:11" x14ac:dyDescent="0.35">
      <c r="C52" s="6"/>
      <c r="D52" s="6"/>
      <c r="E52" s="6"/>
      <c r="F52" s="6"/>
      <c r="G52" s="6"/>
      <c r="I52" s="18"/>
      <c r="J52" s="18"/>
      <c r="K52" s="18"/>
    </row>
    <row r="53" spans="2:11" x14ac:dyDescent="0.35">
      <c r="B53" s="6"/>
      <c r="C53" s="6"/>
      <c r="D53" s="6"/>
      <c r="E53" s="6"/>
      <c r="F53" s="6"/>
      <c r="G53" s="6"/>
      <c r="I53" s="18"/>
      <c r="J53" s="18"/>
      <c r="K53" s="18"/>
    </row>
    <row r="54" spans="2:11" x14ac:dyDescent="0.35">
      <c r="B54" s="6"/>
      <c r="C54" s="6"/>
      <c r="D54" s="6"/>
      <c r="E54" s="6"/>
      <c r="F54" s="6"/>
      <c r="G54" s="6"/>
    </row>
    <row r="60" spans="2:11" x14ac:dyDescent="0.35">
      <c r="B60" s="6"/>
    </row>
    <row r="69" spans="2:7" x14ac:dyDescent="0.35">
      <c r="B69" s="16"/>
      <c r="C69" s="16"/>
      <c r="D69" s="16"/>
      <c r="E69" s="16"/>
      <c r="F69" s="16"/>
      <c r="G69" s="16"/>
    </row>
    <row r="70" spans="2:7" x14ac:dyDescent="0.35">
      <c r="B70" s="16"/>
      <c r="C70" s="16"/>
      <c r="D70" s="16"/>
      <c r="E70" s="16"/>
      <c r="F70" s="16"/>
      <c r="G70" s="16"/>
    </row>
    <row r="71" spans="2:7" x14ac:dyDescent="0.35">
      <c r="B71" s="16"/>
      <c r="C71" s="16"/>
      <c r="D71" s="16"/>
      <c r="E71" s="16"/>
      <c r="F71" s="16"/>
      <c r="G71" s="16"/>
    </row>
    <row r="72" spans="2:7" x14ac:dyDescent="0.35">
      <c r="B72" s="16"/>
      <c r="C72" s="16"/>
      <c r="D72" s="16"/>
      <c r="E72" s="16"/>
      <c r="F72" s="16"/>
      <c r="G72" s="16"/>
    </row>
    <row r="73" spans="2:7" x14ac:dyDescent="0.35">
      <c r="B73" s="16"/>
      <c r="C73" s="16"/>
      <c r="D73" s="16"/>
      <c r="E73" s="16"/>
      <c r="F73" s="16"/>
      <c r="G73" s="16"/>
    </row>
    <row r="74" spans="2:7" x14ac:dyDescent="0.35">
      <c r="B74" s="16"/>
      <c r="C74" s="16"/>
      <c r="D74" s="16"/>
      <c r="E74" s="16"/>
      <c r="F74" s="16"/>
      <c r="G74" s="16"/>
    </row>
    <row r="75" spans="2:7" x14ac:dyDescent="0.35">
      <c r="B75" s="17"/>
      <c r="C75" s="16"/>
      <c r="D75" s="16"/>
      <c r="E75" s="16"/>
      <c r="F75" s="16"/>
      <c r="G75" s="16"/>
    </row>
    <row r="76" spans="2:7" x14ac:dyDescent="0.35">
      <c r="B76" s="16"/>
      <c r="C76" s="16"/>
      <c r="D76" s="16"/>
      <c r="E76" s="16"/>
      <c r="F76" s="16"/>
      <c r="G76" s="16"/>
    </row>
    <row r="77" spans="2:7" x14ac:dyDescent="0.35">
      <c r="B77" s="16"/>
      <c r="C77" s="16"/>
      <c r="D77" s="16"/>
      <c r="E77" s="16"/>
      <c r="F77" s="16"/>
      <c r="G77" s="16"/>
    </row>
    <row r="78" spans="2:7" x14ac:dyDescent="0.35">
      <c r="B78" s="16"/>
      <c r="C78" s="16"/>
      <c r="D78" s="16"/>
      <c r="E78" s="16"/>
      <c r="F78" s="16"/>
      <c r="G78" s="16"/>
    </row>
    <row r="79" spans="2:7" x14ac:dyDescent="0.35">
      <c r="B79" s="16"/>
      <c r="C79" s="16"/>
      <c r="D79" s="16"/>
      <c r="E79" s="16"/>
      <c r="F79" s="16"/>
      <c r="G79" s="16"/>
    </row>
    <row r="80" spans="2:7" x14ac:dyDescent="0.35">
      <c r="B80" s="16"/>
      <c r="C80" s="16"/>
      <c r="D80" s="16"/>
      <c r="E80" s="16"/>
      <c r="F80" s="16"/>
      <c r="G80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8"/>
  <sheetViews>
    <sheetView tabSelected="1" topLeftCell="A77" zoomScale="70" zoomScaleNormal="70" workbookViewId="0">
      <selection activeCell="R58" sqref="R58"/>
    </sheetView>
  </sheetViews>
  <sheetFormatPr defaultColWidth="9.140625" defaultRowHeight="21" x14ac:dyDescent="0.35"/>
  <cols>
    <col min="1" max="1" width="9.140625" style="8"/>
    <col min="2" max="2" width="34.28515625" style="8" customWidth="1"/>
    <col min="3" max="7" width="17.7109375" style="8" customWidth="1"/>
    <col min="8" max="8" width="9.42578125" style="8" bestFit="1" customWidth="1"/>
    <col min="9" max="9" width="10.28515625" style="8" customWidth="1"/>
    <col min="10" max="10" width="14.140625" style="8" customWidth="1"/>
    <col min="11" max="11" width="14.28515625" style="8" customWidth="1"/>
    <col min="12" max="12" width="13.28515625" style="8" customWidth="1"/>
    <col min="13" max="13" width="26.14062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35000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6</v>
      </c>
    </row>
    <row r="17" spans="2:9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9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D34</f>
        <v>4.166666666666667</v>
      </c>
    </row>
    <row r="19" spans="2:9" ht="62.2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9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9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9" ht="62.2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9" ht="62.25" thickTop="1" thickBot="1" x14ac:dyDescent="0.4">
      <c r="B23" s="11" t="s">
        <v>32</v>
      </c>
      <c r="C23" s="3" t="s">
        <v>33</v>
      </c>
      <c r="D23" s="12" t="s">
        <v>17</v>
      </c>
      <c r="E23" s="12">
        <v>22</v>
      </c>
    </row>
    <row r="24" spans="2:9" ht="82.5" thickTop="1" thickBot="1" x14ac:dyDescent="0.4">
      <c r="B24" s="11" t="s">
        <v>34</v>
      </c>
      <c r="C24" s="3" t="s">
        <v>35</v>
      </c>
      <c r="D24" s="12" t="s">
        <v>17</v>
      </c>
      <c r="E24" s="12">
        <v>7</v>
      </c>
    </row>
    <row r="25" spans="2:9" ht="24.75" thickTop="1" thickBot="1" x14ac:dyDescent="0.4">
      <c r="B25" s="11" t="s">
        <v>36</v>
      </c>
      <c r="C25" s="3" t="s">
        <v>37</v>
      </c>
      <c r="D25" s="12" t="s">
        <v>5</v>
      </c>
      <c r="E25" s="12">
        <v>15000</v>
      </c>
    </row>
    <row r="26" spans="2:9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9" x14ac:dyDescent="0.35">
      <c r="B27" s="8" t="s">
        <v>54</v>
      </c>
      <c r="C27" s="8">
        <f>Лист1!B33</f>
        <v>1904.9099999999999</v>
      </c>
    </row>
    <row r="28" spans="2:9" ht="40.5" x14ac:dyDescent="0.35">
      <c r="B28" s="49" t="s">
        <v>111</v>
      </c>
      <c r="C28" s="50" t="s">
        <v>90</v>
      </c>
      <c r="D28" s="51">
        <f>E24*E10/100</f>
        <v>2450</v>
      </c>
      <c r="G28" s="6"/>
      <c r="H28" s="6"/>
      <c r="I28" s="6"/>
    </row>
    <row r="29" spans="2:9" x14ac:dyDescent="0.35">
      <c r="B29" s="49" t="s">
        <v>39</v>
      </c>
      <c r="C29" s="49" t="s">
        <v>38</v>
      </c>
      <c r="D29" s="52">
        <f>E14*E13*E11*E12*E17</f>
        <v>1223.5838999999996</v>
      </c>
      <c r="G29" s="6"/>
      <c r="H29" s="6"/>
      <c r="I29" s="6"/>
    </row>
    <row r="30" spans="2:9" x14ac:dyDescent="0.35">
      <c r="B30" s="49" t="s">
        <v>40</v>
      </c>
      <c r="C30" s="49" t="s">
        <v>88</v>
      </c>
      <c r="D30" s="49">
        <f>E25*11.8*E17</f>
        <v>177000</v>
      </c>
      <c r="G30" s="6"/>
      <c r="H30" s="6"/>
      <c r="I30" s="6"/>
    </row>
    <row r="31" spans="2:9" ht="23.25" x14ac:dyDescent="0.4">
      <c r="B31" s="53" t="s">
        <v>41</v>
      </c>
      <c r="C31" s="53" t="s">
        <v>42</v>
      </c>
      <c r="D31" s="49">
        <f>D30*E22/100</f>
        <v>60534.000000000007</v>
      </c>
      <c r="G31" s="6"/>
      <c r="H31" s="6"/>
      <c r="I31" s="6"/>
    </row>
    <row r="32" spans="2:9" ht="23.25" x14ac:dyDescent="0.4">
      <c r="B32" s="53" t="s">
        <v>43</v>
      </c>
      <c r="C32" s="53" t="s">
        <v>44</v>
      </c>
      <c r="D32" s="49">
        <f>E10*E16/100</f>
        <v>2100</v>
      </c>
      <c r="G32" s="6"/>
      <c r="H32" s="6"/>
      <c r="I32" s="6"/>
    </row>
    <row r="33" spans="1:15" ht="23.25" x14ac:dyDescent="0.4">
      <c r="A33" s="6"/>
      <c r="B33" s="49" t="s">
        <v>45</v>
      </c>
      <c r="C33" s="53" t="s">
        <v>91</v>
      </c>
      <c r="D33" s="49">
        <f>(D30+D32+D31+D29+D28)*E23/100</f>
        <v>53527.668458</v>
      </c>
      <c r="G33" s="6"/>
      <c r="H33" s="6"/>
      <c r="I33" s="6"/>
    </row>
    <row r="34" spans="1:15" x14ac:dyDescent="0.35">
      <c r="A34" s="6"/>
      <c r="B34" s="49" t="s">
        <v>112</v>
      </c>
      <c r="C34" s="54" t="s">
        <v>49</v>
      </c>
      <c r="D34" s="49">
        <f>100/E26</f>
        <v>4.166666666666667</v>
      </c>
      <c r="G34" s="6"/>
      <c r="H34" s="6"/>
      <c r="I34" s="6"/>
    </row>
    <row r="35" spans="1:15" ht="23.25" x14ac:dyDescent="0.4">
      <c r="A35" s="6"/>
      <c r="B35" s="55" t="s">
        <v>46</v>
      </c>
      <c r="C35" s="53" t="s">
        <v>96</v>
      </c>
      <c r="D35" s="49">
        <f>E10*D34*11.8/100</f>
        <v>17208.333333333336</v>
      </c>
      <c r="G35" s="13"/>
      <c r="H35" s="6"/>
      <c r="I35" s="6"/>
    </row>
    <row r="36" spans="1:15" ht="23.25" x14ac:dyDescent="0.4">
      <c r="A36" s="6"/>
      <c r="B36" s="56" t="s">
        <v>51</v>
      </c>
      <c r="C36" s="57" t="s">
        <v>52</v>
      </c>
      <c r="D36" s="49">
        <f>D35+D33+D32+D31+D30+D29+D28</f>
        <v>314043.58569133334</v>
      </c>
      <c r="G36" s="6"/>
      <c r="H36" s="6"/>
      <c r="I36" s="6"/>
    </row>
    <row r="37" spans="1:15" ht="23.25" x14ac:dyDescent="0.4">
      <c r="A37" s="6"/>
      <c r="B37" s="56" t="s">
        <v>50</v>
      </c>
      <c r="C37" s="53" t="s">
        <v>53</v>
      </c>
      <c r="D37" s="49">
        <f>D36/(C27*E17)</f>
        <v>164.86006461792599</v>
      </c>
      <c r="G37" s="6"/>
      <c r="H37" s="6"/>
      <c r="I37" s="6"/>
    </row>
    <row r="38" spans="1:1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5" x14ac:dyDescent="0.35">
      <c r="A39" s="6"/>
      <c r="B39" s="15"/>
      <c r="C39" s="6"/>
      <c r="D39" s="6"/>
      <c r="E39" s="6"/>
      <c r="F39" s="6" t="s">
        <v>76</v>
      </c>
      <c r="G39" s="6">
        <f>Лист1!B30</f>
        <v>1.4373188837548641</v>
      </c>
      <c r="H39" s="6"/>
      <c r="I39" s="18"/>
      <c r="J39" s="19">
        <f>D65</f>
        <v>10</v>
      </c>
      <c r="K39" s="18">
        <v>0</v>
      </c>
      <c r="L39" s="19">
        <f>N41</f>
        <v>7.0955753882476547</v>
      </c>
    </row>
    <row r="40" spans="1:15" x14ac:dyDescent="0.35">
      <c r="A40" s="6"/>
      <c r="B40" s="15" t="s">
        <v>71</v>
      </c>
      <c r="D40" s="8">
        <f>1*G40*E25</f>
        <v>6559.7832563229604</v>
      </c>
      <c r="F40" s="8" t="s">
        <v>77</v>
      </c>
      <c r="G40" s="8">
        <f>G39-G41</f>
        <v>0.43731888375486405</v>
      </c>
      <c r="H40" s="6"/>
      <c r="I40" s="18" t="s">
        <v>113</v>
      </c>
      <c r="J40" s="19">
        <f>D48</f>
        <v>43158.412255968426</v>
      </c>
      <c r="K40" s="19">
        <f>D48</f>
        <v>43158.412255968426</v>
      </c>
      <c r="L40" s="19"/>
    </row>
    <row r="41" spans="1:15" x14ac:dyDescent="0.35">
      <c r="A41" s="6"/>
      <c r="B41" s="15" t="s">
        <v>93</v>
      </c>
      <c r="D41" s="8">
        <f>G42*D40</f>
        <v>1967.934976896888</v>
      </c>
      <c r="F41" s="8" t="s">
        <v>78</v>
      </c>
      <c r="G41" s="8">
        <v>1</v>
      </c>
      <c r="H41" s="6"/>
      <c r="I41" s="18" t="s">
        <v>114</v>
      </c>
      <c r="J41" s="19">
        <f>D61</f>
        <v>7315.8412255968424</v>
      </c>
      <c r="K41" s="18">
        <v>0</v>
      </c>
      <c r="L41" s="19"/>
      <c r="M41" s="18" t="s">
        <v>116</v>
      </c>
      <c r="N41" s="18">
        <f>J40/(N42-O42)</f>
        <v>7.0955753882476547</v>
      </c>
    </row>
    <row r="42" spans="1:15" x14ac:dyDescent="0.35">
      <c r="A42" s="6"/>
      <c r="B42" s="15" t="s">
        <v>92</v>
      </c>
      <c r="D42" s="8">
        <f>D40+D41</f>
        <v>8527.7182332198481</v>
      </c>
      <c r="F42" s="15" t="s">
        <v>72</v>
      </c>
      <c r="G42" s="8">
        <v>0.3</v>
      </c>
      <c r="H42" s="6"/>
      <c r="I42" s="18" t="s">
        <v>115</v>
      </c>
      <c r="J42" s="19">
        <f>J40+J41</f>
        <v>50474.253481565269</v>
      </c>
      <c r="K42" s="19">
        <f>J40</f>
        <v>43158.412255968426</v>
      </c>
      <c r="L42" s="19"/>
      <c r="N42" s="18">
        <f>J43/J39</f>
        <v>6814.0242200113107</v>
      </c>
      <c r="O42" s="18">
        <f>J41/J39</f>
        <v>731.58412255968426</v>
      </c>
    </row>
    <row r="43" spans="1:15" x14ac:dyDescent="0.35">
      <c r="A43" s="6"/>
      <c r="B43" s="15" t="s">
        <v>73</v>
      </c>
      <c r="D43" s="8">
        <f>0.342*D42</f>
        <v>2916.4796357611881</v>
      </c>
      <c r="H43" s="6"/>
      <c r="I43" s="18" t="s">
        <v>99</v>
      </c>
      <c r="J43" s="19">
        <f>D62</f>
        <v>68140.242200113105</v>
      </c>
      <c r="K43" s="18">
        <v>0</v>
      </c>
      <c r="L43" s="19">
        <f>N42*N41</f>
        <v>48349.42255043568</v>
      </c>
    </row>
    <row r="44" spans="1:15" x14ac:dyDescent="0.35">
      <c r="A44" s="6"/>
      <c r="B44" s="15" t="s">
        <v>166</v>
      </c>
      <c r="D44" s="8">
        <f>D42+D43</f>
        <v>11444.197868981037</v>
      </c>
      <c r="H44" s="6"/>
    </row>
    <row r="45" spans="1:15" x14ac:dyDescent="0.35">
      <c r="A45" s="6"/>
      <c r="B45" s="15" t="s">
        <v>74</v>
      </c>
      <c r="D45" s="8">
        <f>E23/100*D44</f>
        <v>2517.7235311758282</v>
      </c>
      <c r="H45" s="6"/>
    </row>
    <row r="46" spans="1:15" x14ac:dyDescent="0.35">
      <c r="A46" s="6"/>
      <c r="B46" s="15" t="s">
        <v>75</v>
      </c>
      <c r="D46" s="8">
        <f>G41*168*D37</f>
        <v>27696.490855811564</v>
      </c>
      <c r="F46" s="20"/>
      <c r="H46" s="6"/>
    </row>
    <row r="47" spans="1:15" x14ac:dyDescent="0.35">
      <c r="B47" s="8" t="s">
        <v>117</v>
      </c>
      <c r="D47" s="8">
        <v>1500</v>
      </c>
    </row>
    <row r="48" spans="1:15" x14ac:dyDescent="0.35">
      <c r="B48" s="8" t="s">
        <v>98</v>
      </c>
      <c r="D48" s="8">
        <f>D46+D44+D45+D47</f>
        <v>43158.412255968426</v>
      </c>
      <c r="L48" s="19"/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35000</v>
      </c>
      <c r="F52" s="6" t="s">
        <v>68</v>
      </c>
      <c r="G52" s="6">
        <v>5000</v>
      </c>
    </row>
    <row r="53" spans="2:11" x14ac:dyDescent="0.35">
      <c r="B53" s="8" t="s">
        <v>59</v>
      </c>
      <c r="E53" s="8">
        <f>0.05*E52</f>
        <v>1750</v>
      </c>
    </row>
    <row r="54" spans="2:11" x14ac:dyDescent="0.35">
      <c r="B54" s="8" t="s">
        <v>60</v>
      </c>
      <c r="E54" s="8">
        <f>0.08*E52</f>
        <v>2800</v>
      </c>
    </row>
    <row r="55" spans="2:11" x14ac:dyDescent="0.35">
      <c r="B55" s="8" t="s">
        <v>147</v>
      </c>
    </row>
    <row r="57" spans="2:11" x14ac:dyDescent="0.35">
      <c r="F57" s="8" t="s">
        <v>69</v>
      </c>
      <c r="G57" s="8">
        <v>1000</v>
      </c>
    </row>
    <row r="58" spans="2:11" x14ac:dyDescent="0.35">
      <c r="B58" s="8" t="s">
        <v>169</v>
      </c>
      <c r="C58" s="6" t="s">
        <v>56</v>
      </c>
      <c r="D58" s="8">
        <f>E52+G52+E53+E54</f>
        <v>44550</v>
      </c>
      <c r="F58" s="8" t="s">
        <v>70</v>
      </c>
      <c r="G58" s="8">
        <v>2000</v>
      </c>
    </row>
    <row r="59" spans="2:11" x14ac:dyDescent="0.35">
      <c r="B59" s="8" t="s">
        <v>173</v>
      </c>
      <c r="C59" s="8" t="s">
        <v>63</v>
      </c>
      <c r="D59" s="8">
        <f>D60+D61</f>
        <v>50474.253481565269</v>
      </c>
      <c r="F59" s="8" t="s">
        <v>174</v>
      </c>
      <c r="G59" s="8">
        <f>0.1*D48</f>
        <v>4315.8412255968424</v>
      </c>
    </row>
    <row r="60" spans="2:11" x14ac:dyDescent="0.35">
      <c r="B60" s="8" t="s">
        <v>167</v>
      </c>
      <c r="C60" s="8" t="s">
        <v>64</v>
      </c>
      <c r="D60" s="8">
        <f>D48</f>
        <v>43158.412255968426</v>
      </c>
      <c r="F60" s="8" t="s">
        <v>152</v>
      </c>
    </row>
    <row r="61" spans="2:11" x14ac:dyDescent="0.35">
      <c r="B61" s="8" t="s">
        <v>168</v>
      </c>
      <c r="C61" s="8" t="s">
        <v>65</v>
      </c>
      <c r="D61" s="8">
        <f>G57+G58+G59</f>
        <v>7315.8412255968424</v>
      </c>
      <c r="F61" s="8">
        <v>35</v>
      </c>
    </row>
    <row r="62" spans="2:11" x14ac:dyDescent="0.35">
      <c r="B62" s="8" t="s">
        <v>171</v>
      </c>
      <c r="C62" s="8" t="s">
        <v>66</v>
      </c>
      <c r="D62" s="8">
        <f>D59+D63</f>
        <v>68140.242200113105</v>
      </c>
    </row>
    <row r="63" spans="2:11" x14ac:dyDescent="0.35">
      <c r="B63" s="8" t="s">
        <v>152</v>
      </c>
      <c r="C63" s="8" t="s">
        <v>110</v>
      </c>
      <c r="D63" s="8">
        <f>D59*F61/100</f>
        <v>17665.988718547844</v>
      </c>
    </row>
    <row r="64" spans="2:11" x14ac:dyDescent="0.35">
      <c r="B64" s="8" t="s">
        <v>172</v>
      </c>
      <c r="C64" s="8" t="s">
        <v>67</v>
      </c>
      <c r="D64" s="8">
        <f>D62/D65</f>
        <v>6814.0242200113107</v>
      </c>
    </row>
    <row r="65" spans="1:7" x14ac:dyDescent="0.35">
      <c r="B65" s="8" t="s">
        <v>170</v>
      </c>
      <c r="C65" s="8" t="s">
        <v>79</v>
      </c>
      <c r="D65" s="8">
        <v>10</v>
      </c>
    </row>
    <row r="67" spans="1:7" x14ac:dyDescent="0.35">
      <c r="A67" s="16" t="s">
        <v>181</v>
      </c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A68" s="16" t="s">
        <v>175</v>
      </c>
      <c r="B68" s="16" t="s">
        <v>81</v>
      </c>
      <c r="C68" s="16">
        <v>0</v>
      </c>
      <c r="D68" s="16">
        <v>7</v>
      </c>
      <c r="E68" s="16">
        <v>8</v>
      </c>
      <c r="F68" s="16">
        <v>9</v>
      </c>
      <c r="G68" s="16">
        <v>10</v>
      </c>
    </row>
    <row r="69" spans="1:7" x14ac:dyDescent="0.35">
      <c r="A69" s="16" t="s">
        <v>171</v>
      </c>
      <c r="B69" s="16" t="s">
        <v>80</v>
      </c>
      <c r="C69" s="16">
        <v>0</v>
      </c>
      <c r="D69" s="16">
        <f>$D$64*D68</f>
        <v>47698.169540079172</v>
      </c>
      <c r="E69" s="16">
        <f>$D$64*E68</f>
        <v>54512.193760090486</v>
      </c>
      <c r="F69" s="16">
        <f>$D$64*F68</f>
        <v>61326.217980101799</v>
      </c>
      <c r="G69" s="16">
        <f>$D$64*G68</f>
        <v>68140.242200113105</v>
      </c>
    </row>
    <row r="70" spans="1:7" x14ac:dyDescent="0.35">
      <c r="A70" s="16" t="s">
        <v>176</v>
      </c>
      <c r="B70" s="16" t="s">
        <v>82</v>
      </c>
      <c r="C70" s="16">
        <f>D58</f>
        <v>44550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A71" s="16" t="s">
        <v>177</v>
      </c>
      <c r="B71" s="16" t="s">
        <v>180</v>
      </c>
      <c r="C71" s="16">
        <v>0</v>
      </c>
      <c r="D71" s="16">
        <f>D59</f>
        <v>50474.253481565269</v>
      </c>
      <c r="E71" s="16">
        <f>0.6*$D$71</f>
        <v>30284.552088939159</v>
      </c>
      <c r="F71" s="16">
        <f>0.4*$D$71</f>
        <v>20189.70139262611</v>
      </c>
      <c r="G71" s="16">
        <f>0.5*$D$71</f>
        <v>25237.126740782634</v>
      </c>
    </row>
    <row r="72" spans="1:7" x14ac:dyDescent="0.35">
      <c r="A72" s="16" t="s">
        <v>178</v>
      </c>
      <c r="B72" s="16" t="s">
        <v>100</v>
      </c>
      <c r="C72" s="16">
        <f>C69-(C70+C71)</f>
        <v>-44550</v>
      </c>
      <c r="D72" s="16">
        <f>D69-(D70+D71)</f>
        <v>-2776.0839414860966</v>
      </c>
      <c r="E72" s="16">
        <f>E69-(E70+E71)</f>
        <v>24227.641671151327</v>
      </c>
      <c r="F72" s="16">
        <f>F69-(F70+F71)</f>
        <v>41136.516587475693</v>
      </c>
      <c r="G72" s="16">
        <f>G69-(G70+G71)</f>
        <v>42903.115459330467</v>
      </c>
    </row>
    <row r="73" spans="1:7" x14ac:dyDescent="0.35">
      <c r="A73" s="16" t="s">
        <v>179</v>
      </c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16" t="s">
        <v>182</v>
      </c>
      <c r="B74" s="16" t="s">
        <v>95</v>
      </c>
      <c r="C74" s="16">
        <f>C72*C73</f>
        <v>-44550</v>
      </c>
      <c r="D74" s="16">
        <f>D72*D73</f>
        <v>-2213.077121720421</v>
      </c>
      <c r="E74" s="16">
        <f>E72*E73</f>
        <v>17244.756792626613</v>
      </c>
      <c r="F74" s="16">
        <f>F72*F73</f>
        <v>26142.999973941016</v>
      </c>
      <c r="G74" s="16">
        <f>G72*G73</f>
        <v>24344.379905619913</v>
      </c>
    </row>
    <row r="75" spans="1:7" x14ac:dyDescent="0.35">
      <c r="A75" s="16" t="s">
        <v>109</v>
      </c>
      <c r="B75" s="16" t="s">
        <v>101</v>
      </c>
      <c r="C75" s="16">
        <f>C74</f>
        <v>-44550</v>
      </c>
      <c r="D75" s="16">
        <f>C75+D74</f>
        <v>-46763.077121720424</v>
      </c>
      <c r="E75" s="16">
        <f>D75+E74</f>
        <v>-29518.320329093811</v>
      </c>
      <c r="F75" s="16">
        <f>E75+F74</f>
        <v>-3375.3203551527949</v>
      </c>
      <c r="G75" s="16">
        <f>F75+G74</f>
        <v>20969.059550467118</v>
      </c>
    </row>
    <row r="76" spans="1:7" x14ac:dyDescent="0.35">
      <c r="A76" s="16" t="s">
        <v>183</v>
      </c>
      <c r="B76" s="16" t="s">
        <v>84</v>
      </c>
      <c r="C76" s="16">
        <f>$C$70/5</f>
        <v>8910</v>
      </c>
      <c r="D76" s="16">
        <f>$C$70/5</f>
        <v>8910</v>
      </c>
      <c r="E76" s="16">
        <f>$C$70/5</f>
        <v>8910</v>
      </c>
      <c r="F76" s="16">
        <f>$C$70/5</f>
        <v>8910</v>
      </c>
      <c r="G76" s="16">
        <f>$C$70/5</f>
        <v>8910</v>
      </c>
    </row>
    <row r="77" spans="1:7" x14ac:dyDescent="0.35">
      <c r="A77" s="16" t="s">
        <v>152</v>
      </c>
      <c r="B77" s="16" t="s">
        <v>85</v>
      </c>
      <c r="C77" s="16">
        <f>C69-C71-C76</f>
        <v>-8910</v>
      </c>
      <c r="D77" s="16">
        <f>D69-D71-D76</f>
        <v>-11686.083941486097</v>
      </c>
      <c r="E77" s="16">
        <f>E69-E71-E76</f>
        <v>15317.641671151327</v>
      </c>
      <c r="F77" s="16">
        <f>F69-F71-F76</f>
        <v>32226.516587475693</v>
      </c>
      <c r="G77" s="16">
        <f>G69-G71-G76</f>
        <v>33993.115459330467</v>
      </c>
    </row>
    <row r="78" spans="1:7" x14ac:dyDescent="0.35">
      <c r="A78" s="16" t="s">
        <v>184</v>
      </c>
      <c r="B78" s="16" t="s">
        <v>102</v>
      </c>
      <c r="C78" s="16">
        <f>C77/$C$70*100</f>
        <v>-20</v>
      </c>
      <c r="D78" s="16">
        <f>D77/$C$70*100</f>
        <v>-26.231389318711777</v>
      </c>
      <c r="E78" s="16">
        <f>E77/$C$70*100</f>
        <v>34.383034054211734</v>
      </c>
      <c r="F78" s="16">
        <f>F77/$C$70*100</f>
        <v>72.337859904547003</v>
      </c>
      <c r="G78" s="16">
        <f>G77/$C$70*100</f>
        <v>76.303289470999928</v>
      </c>
    </row>
    <row r="80" spans="1:7" x14ac:dyDescent="0.35">
      <c r="B80" s="8" t="s">
        <v>94</v>
      </c>
      <c r="C80" s="8">
        <v>0.12</v>
      </c>
    </row>
    <row r="83" spans="2:7" x14ac:dyDescent="0.35">
      <c r="B83" s="8" t="s">
        <v>103</v>
      </c>
    </row>
    <row r="86" spans="2:7" x14ac:dyDescent="0.35">
      <c r="B86" s="8" t="s">
        <v>109</v>
      </c>
    </row>
    <row r="87" spans="2:7" x14ac:dyDescent="0.35">
      <c r="C87" s="8">
        <v>0</v>
      </c>
      <c r="D87" s="8">
        <f>D75</f>
        <v>-46763.077121720424</v>
      </c>
      <c r="E87" s="8">
        <f>E75</f>
        <v>-29518.320329093811</v>
      </c>
      <c r="F87" s="8">
        <f>F75</f>
        <v>-3375.3203551527949</v>
      </c>
      <c r="G87" s="8">
        <f>G75</f>
        <v>20969.059550467118</v>
      </c>
    </row>
    <row r="88" spans="2:7" x14ac:dyDescent="0.35">
      <c r="B88" s="8" t="s">
        <v>185</v>
      </c>
    </row>
    <row r="89" spans="2:7" x14ac:dyDescent="0.35">
      <c r="C89" s="8">
        <v>0</v>
      </c>
      <c r="D89" s="8">
        <v>0</v>
      </c>
    </row>
    <row r="90" spans="2:7" x14ac:dyDescent="0.35">
      <c r="B90" s="8" t="s">
        <v>186</v>
      </c>
    </row>
    <row r="91" spans="2:7" x14ac:dyDescent="0.35">
      <c r="C91" s="8">
        <v>2016</v>
      </c>
      <c r="D91" s="8">
        <v>2019.15</v>
      </c>
    </row>
    <row r="92" spans="2:7" x14ac:dyDescent="0.35">
      <c r="C92" s="8">
        <v>0</v>
      </c>
      <c r="D92" s="8">
        <v>0</v>
      </c>
    </row>
    <row r="93" spans="2:7" x14ac:dyDescent="0.35">
      <c r="B93" s="8" t="s">
        <v>187</v>
      </c>
    </row>
    <row r="94" spans="2:7" x14ac:dyDescent="0.35">
      <c r="C94" s="8">
        <v>2017</v>
      </c>
      <c r="D94" s="8">
        <v>2017</v>
      </c>
    </row>
    <row r="95" spans="2:7" x14ac:dyDescent="0.35">
      <c r="C95" s="8">
        <v>0</v>
      </c>
      <c r="D95" s="8">
        <f>D75</f>
        <v>-46763.077121720424</v>
      </c>
    </row>
    <row r="96" spans="2:7" x14ac:dyDescent="0.35">
      <c r="B96" s="8" t="s">
        <v>109</v>
      </c>
    </row>
    <row r="97" spans="3:4" x14ac:dyDescent="0.35">
      <c r="C97" s="8">
        <v>2020</v>
      </c>
      <c r="D97" s="8">
        <v>2020</v>
      </c>
    </row>
    <row r="98" spans="3:4" x14ac:dyDescent="0.35">
      <c r="C98" s="8">
        <v>0</v>
      </c>
      <c r="D98" s="8">
        <f>G75</f>
        <v>20969.059550467118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55" zoomScale="49" workbookViewId="0">
      <selection activeCell="C91" sqref="C91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7" spans="2:9" x14ac:dyDescent="0.35">
      <c r="H7" s="8">
        <f>H6*G39</f>
        <v>5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1885.17</v>
      </c>
    </row>
    <row r="28" spans="2:10" x14ac:dyDescent="0.3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3.25" x14ac:dyDescent="0.4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35">
      <c r="A34" s="6"/>
      <c r="B34" s="61" t="s">
        <v>49</v>
      </c>
      <c r="C34" s="61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3.25" x14ac:dyDescent="0.4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3.25" x14ac:dyDescent="0.4">
      <c r="A36" s="6"/>
      <c r="B36" s="62" t="s">
        <v>52</v>
      </c>
      <c r="C36" s="62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3.25" x14ac:dyDescent="0.4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3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3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3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3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3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3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3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3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3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35">
      <c r="B53" s="8" t="s">
        <v>59</v>
      </c>
      <c r="E53" s="8">
        <f>0.05*E52</f>
        <v>900</v>
      </c>
    </row>
    <row r="54" spans="2:11" x14ac:dyDescent="0.35">
      <c r="B54" s="8" t="s">
        <v>60</v>
      </c>
      <c r="E54" s="8">
        <f>0.08*E52</f>
        <v>1440</v>
      </c>
    </row>
    <row r="55" spans="2:11" x14ac:dyDescent="0.35">
      <c r="B55" s="8" t="s">
        <v>87</v>
      </c>
      <c r="E55" s="8" t="s">
        <v>69</v>
      </c>
      <c r="F55" s="8">
        <v>800</v>
      </c>
    </row>
    <row r="56" spans="2:11" x14ac:dyDescent="0.35">
      <c r="E56" s="8" t="s">
        <v>70</v>
      </c>
      <c r="F56" s="8">
        <v>500</v>
      </c>
    </row>
    <row r="57" spans="2:11" x14ac:dyDescent="0.35">
      <c r="E57" s="8" t="s">
        <v>89</v>
      </c>
      <c r="F57" s="8">
        <f>0.1*D48</f>
        <v>3727.5619185384876</v>
      </c>
    </row>
    <row r="58" spans="2:11" x14ac:dyDescent="0.35">
      <c r="B58" s="6" t="s">
        <v>56</v>
      </c>
      <c r="D58" s="8">
        <f>E52+G52+E53+E54</f>
        <v>21840</v>
      </c>
    </row>
    <row r="59" spans="2:11" x14ac:dyDescent="0.35">
      <c r="B59" s="8" t="s">
        <v>63</v>
      </c>
      <c r="D59" s="8">
        <f>D60+D61</f>
        <v>42303.181103923358</v>
      </c>
    </row>
    <row r="60" spans="2:11" x14ac:dyDescent="0.35">
      <c r="B60" s="8" t="s">
        <v>64</v>
      </c>
      <c r="D60" s="8">
        <f>D48</f>
        <v>37275.619185384872</v>
      </c>
    </row>
    <row r="61" spans="2:11" x14ac:dyDescent="0.35">
      <c r="B61" s="8" t="s">
        <v>65</v>
      </c>
      <c r="D61" s="8">
        <f>F55+F56+F57</f>
        <v>5027.5619185384876</v>
      </c>
    </row>
    <row r="62" spans="2:11" x14ac:dyDescent="0.35">
      <c r="B62" s="8" t="s">
        <v>66</v>
      </c>
      <c r="D62" s="8">
        <f>D59+D63</f>
        <v>48648.658269511863</v>
      </c>
    </row>
    <row r="63" spans="2:11" x14ac:dyDescent="0.35">
      <c r="B63" s="8" t="s">
        <v>110</v>
      </c>
      <c r="D63" s="8">
        <f>D59*0.15</f>
        <v>6345.4771655885033</v>
      </c>
    </row>
    <row r="64" spans="2:11" x14ac:dyDescent="0.35">
      <c r="B64" s="8" t="s">
        <v>67</v>
      </c>
      <c r="D64" s="8">
        <f>D62/D65</f>
        <v>4864.8658269511861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3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3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3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3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3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2016-05-24T18:23:52Z</dcterms:modified>
</cp:coreProperties>
</file>