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30583\Dropbox\"/>
    </mc:Choice>
  </mc:AlternateContent>
  <bookViews>
    <workbookView xWindow="0" yWindow="0" windowWidth="19200" windowHeight="11000" activeTab="1"/>
  </bookViews>
  <sheets>
    <sheet name="Pig slurry" sheetId="2" r:id="rId1"/>
    <sheet name="Cattle slurry" sheetId="4" r:id="rId2"/>
    <sheet name="Digestate, fresh" sheetId="1" r:id="rId3"/>
    <sheet name="Digestate, stored" sheetId="3" r:id="rId4"/>
    <sheet name="samlede Arrhenius  5-36" sheetId="6" r:id="rId5"/>
    <sheet name="Residualer" sheetId="8" r:id="rId6"/>
    <sheet name="Sheet1" sheetId="7" r:id="rId7"/>
  </sheets>
  <externalReferences>
    <externalReference r:id="rId8"/>
  </externalReferences>
  <calcPr calcId="162913"/>
</workbook>
</file>

<file path=xl/calcChain.xml><?xml version="1.0" encoding="utf-8"?>
<calcChain xmlns="http://schemas.openxmlformats.org/spreadsheetml/2006/main">
  <c r="E40" i="6" l="1"/>
  <c r="Q20" i="6" l="1" a="1"/>
  <c r="Q20" i="6" s="1"/>
  <c r="Q27" i="6" s="1"/>
  <c r="N20" i="6" a="1"/>
  <c r="O23" i="6" s="1"/>
  <c r="K20" i="6" a="1"/>
  <c r="L20" i="6" s="1"/>
  <c r="H20" i="6" a="1"/>
  <c r="H20" i="6" s="1"/>
  <c r="H27" i="6" s="1"/>
  <c r="E20" i="6" a="1"/>
  <c r="F23" i="6" s="1"/>
  <c r="B20" i="6" a="1"/>
  <c r="B20" i="6" s="1"/>
  <c r="B27" i="6" s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3" i="6"/>
  <c r="Q23" i="6" l="1"/>
  <c r="R22" i="6"/>
  <c r="Q22" i="6"/>
  <c r="R25" i="6"/>
  <c r="R21" i="6"/>
  <c r="Q25" i="6"/>
  <c r="Q21" i="6"/>
  <c r="R23" i="6"/>
  <c r="R24" i="6"/>
  <c r="R20" i="6"/>
  <c r="Q24" i="6"/>
  <c r="N23" i="6"/>
  <c r="O22" i="6"/>
  <c r="N22" i="6"/>
  <c r="O21" i="6"/>
  <c r="O20" i="6"/>
  <c r="O25" i="6"/>
  <c r="N25" i="6"/>
  <c r="O24" i="6"/>
  <c r="N24" i="6"/>
  <c r="N20" i="6"/>
  <c r="N27" i="6" s="1"/>
  <c r="N21" i="6"/>
  <c r="K23" i="6"/>
  <c r="L22" i="6"/>
  <c r="K22" i="6"/>
  <c r="L25" i="6"/>
  <c r="L21" i="6"/>
  <c r="K25" i="6"/>
  <c r="K21" i="6"/>
  <c r="K24" i="6"/>
  <c r="K20" i="6"/>
  <c r="K27" i="6" s="1"/>
  <c r="L23" i="6"/>
  <c r="L24" i="6"/>
  <c r="H23" i="6"/>
  <c r="I22" i="6"/>
  <c r="H22" i="6"/>
  <c r="I25" i="6"/>
  <c r="I21" i="6"/>
  <c r="H25" i="6"/>
  <c r="H21" i="6"/>
  <c r="I23" i="6"/>
  <c r="I24" i="6"/>
  <c r="I20" i="6"/>
  <c r="H24" i="6"/>
  <c r="E23" i="6"/>
  <c r="F22" i="6"/>
  <c r="E22" i="6"/>
  <c r="F25" i="6"/>
  <c r="F21" i="6"/>
  <c r="E25" i="6"/>
  <c r="E21" i="6"/>
  <c r="F24" i="6"/>
  <c r="F20" i="6"/>
  <c r="E24" i="6"/>
  <c r="E20" i="6"/>
  <c r="E27" i="6" s="1"/>
  <c r="B23" i="6"/>
  <c r="C22" i="6"/>
  <c r="B22" i="6"/>
  <c r="C21" i="6"/>
  <c r="B25" i="6"/>
  <c r="C24" i="6"/>
  <c r="C20" i="6"/>
  <c r="C23" i="6"/>
  <c r="C25" i="6"/>
  <c r="B21" i="6"/>
  <c r="B24" i="6"/>
  <c r="B26" i="6"/>
  <c r="B29" i="6" l="1"/>
  <c r="E41" i="6"/>
  <c r="Q26" i="6"/>
  <c r="N26" i="6"/>
  <c r="K26" i="6"/>
  <c r="H26" i="6"/>
  <c r="E26" i="6"/>
  <c r="I1" i="8" l="1"/>
  <c r="X1" i="8"/>
  <c r="Y1" i="8"/>
  <c r="X2" i="8"/>
  <c r="Y2" i="8"/>
  <c r="X3" i="8"/>
  <c r="Y3" i="8"/>
  <c r="X4" i="8"/>
  <c r="Y4" i="8"/>
  <c r="X5" i="8"/>
  <c r="Y5" i="8"/>
  <c r="X6" i="8"/>
  <c r="Y6" i="8"/>
  <c r="X7" i="8"/>
  <c r="Y7" i="8"/>
  <c r="X8" i="8"/>
  <c r="Y8" i="8"/>
  <c r="X9" i="8"/>
  <c r="Y9" i="8"/>
  <c r="X10" i="8"/>
  <c r="Y10" i="8"/>
  <c r="X11" i="8"/>
  <c r="Y11" i="8"/>
  <c r="X12" i="8"/>
  <c r="Y12" i="8"/>
  <c r="X13" i="8"/>
  <c r="Y13" i="8"/>
  <c r="X14" i="8"/>
  <c r="Y14" i="8"/>
  <c r="X15" i="8"/>
  <c r="Y15" i="8"/>
  <c r="X16" i="8"/>
  <c r="Y16" i="8"/>
  <c r="X17" i="8"/>
  <c r="Y17" i="8"/>
  <c r="X18" i="8"/>
  <c r="Y18" i="8"/>
  <c r="X19" i="8"/>
  <c r="Y19" i="8"/>
  <c r="X20" i="8"/>
  <c r="Y20" i="8"/>
  <c r="X21" i="8"/>
  <c r="Y21" i="8"/>
  <c r="X22" i="8"/>
  <c r="Y22" i="8"/>
  <c r="X23" i="8"/>
  <c r="Y23" i="8"/>
  <c r="X24" i="8"/>
  <c r="Y24" i="8"/>
  <c r="X25" i="8"/>
  <c r="Y25" i="8"/>
  <c r="X26" i="8"/>
  <c r="Y26" i="8"/>
  <c r="Y27" i="8"/>
  <c r="S1" i="8"/>
  <c r="T1" i="8"/>
  <c r="S2" i="8"/>
  <c r="T2" i="8"/>
  <c r="S3" i="8"/>
  <c r="T3" i="8"/>
  <c r="S4" i="8"/>
  <c r="T4" i="8"/>
  <c r="S5" i="8"/>
  <c r="T5" i="8"/>
  <c r="S6" i="8"/>
  <c r="T6" i="8"/>
  <c r="S7" i="8"/>
  <c r="T7" i="8"/>
  <c r="S8" i="8"/>
  <c r="T8" i="8"/>
  <c r="S9" i="8"/>
  <c r="T9" i="8"/>
  <c r="S10" i="8"/>
  <c r="T10" i="8"/>
  <c r="S11" i="8"/>
  <c r="T11" i="8"/>
  <c r="S12" i="8"/>
  <c r="T12" i="8"/>
  <c r="S13" i="8"/>
  <c r="T13" i="8"/>
  <c r="S14" i="8"/>
  <c r="T14" i="8"/>
  <c r="S15" i="8"/>
  <c r="T15" i="8"/>
  <c r="S16" i="8"/>
  <c r="T16" i="8"/>
  <c r="S17" i="8"/>
  <c r="T17" i="8"/>
  <c r="S18" i="8"/>
  <c r="T18" i="8"/>
  <c r="S19" i="8"/>
  <c r="T19" i="8"/>
  <c r="S20" i="8"/>
  <c r="T20" i="8"/>
  <c r="S21" i="8"/>
  <c r="T21" i="8"/>
  <c r="S22" i="8"/>
  <c r="T22" i="8"/>
  <c r="S23" i="8"/>
  <c r="T23" i="8"/>
  <c r="S24" i="8"/>
  <c r="T24" i="8"/>
  <c r="S25" i="8"/>
  <c r="T25" i="8"/>
  <c r="S26" i="8"/>
  <c r="T26" i="8"/>
  <c r="T27" i="8"/>
  <c r="N1" i="8"/>
  <c r="O1" i="8"/>
  <c r="N2" i="8"/>
  <c r="O2" i="8"/>
  <c r="N3" i="8"/>
  <c r="O3" i="8"/>
  <c r="N4" i="8"/>
  <c r="O4" i="8"/>
  <c r="N5" i="8"/>
  <c r="O5" i="8"/>
  <c r="N6" i="8"/>
  <c r="O6" i="8"/>
  <c r="N7" i="8"/>
  <c r="O7" i="8"/>
  <c r="N8" i="8"/>
  <c r="O8" i="8"/>
  <c r="N9" i="8"/>
  <c r="O9" i="8"/>
  <c r="N10" i="8"/>
  <c r="O10" i="8"/>
  <c r="N11" i="8"/>
  <c r="O11" i="8"/>
  <c r="N12" i="8"/>
  <c r="O12" i="8"/>
  <c r="N13" i="8"/>
  <c r="O13" i="8"/>
  <c r="N14" i="8"/>
  <c r="O14" i="8"/>
  <c r="N15" i="8"/>
  <c r="O15" i="8"/>
  <c r="N16" i="8"/>
  <c r="O16" i="8"/>
  <c r="N17" i="8"/>
  <c r="O17" i="8"/>
  <c r="N18" i="8"/>
  <c r="O18" i="8"/>
  <c r="N19" i="8"/>
  <c r="O19" i="8"/>
  <c r="N20" i="8"/>
  <c r="O20" i="8"/>
  <c r="N21" i="8"/>
  <c r="O21" i="8"/>
  <c r="N22" i="8"/>
  <c r="O22" i="8"/>
  <c r="N23" i="8"/>
  <c r="O23" i="8"/>
  <c r="N24" i="8"/>
  <c r="O24" i="8"/>
  <c r="N25" i="8"/>
  <c r="O25" i="8"/>
  <c r="N26" i="8"/>
  <c r="O26" i="8"/>
  <c r="O27" i="8"/>
  <c r="J1" i="8"/>
  <c r="I2" i="8"/>
  <c r="J2" i="8"/>
  <c r="I3" i="8"/>
  <c r="J3" i="8"/>
  <c r="I4" i="8"/>
  <c r="J4" i="8"/>
  <c r="I5" i="8"/>
  <c r="J5" i="8"/>
  <c r="I6" i="8"/>
  <c r="J6" i="8"/>
  <c r="I7" i="8"/>
  <c r="J7" i="8"/>
  <c r="I8" i="8"/>
  <c r="J8" i="8"/>
  <c r="I9" i="8"/>
  <c r="J9" i="8"/>
  <c r="I10" i="8"/>
  <c r="J10" i="8"/>
  <c r="I11" i="8"/>
  <c r="J11" i="8"/>
  <c r="I12" i="8"/>
  <c r="J12" i="8"/>
  <c r="I13" i="8"/>
  <c r="J13" i="8"/>
  <c r="I14" i="8"/>
  <c r="J14" i="8"/>
  <c r="I15" i="8"/>
  <c r="J15" i="8"/>
  <c r="I16" i="8"/>
  <c r="J16" i="8"/>
  <c r="I17" i="8"/>
  <c r="J17" i="8"/>
  <c r="I18" i="8"/>
  <c r="J18" i="8"/>
  <c r="I19" i="8"/>
  <c r="J19" i="8"/>
  <c r="I20" i="8"/>
  <c r="J20" i="8"/>
  <c r="I21" i="8"/>
  <c r="J21" i="8"/>
  <c r="I22" i="8"/>
  <c r="J22" i="8"/>
  <c r="I23" i="8"/>
  <c r="J23" i="8"/>
  <c r="I24" i="8"/>
  <c r="J24" i="8"/>
  <c r="I25" i="8"/>
  <c r="J25" i="8"/>
  <c r="I26" i="8"/>
  <c r="J26" i="8"/>
  <c r="J27" i="8"/>
  <c r="C1" i="8"/>
  <c r="D1" i="8"/>
  <c r="C2" i="8"/>
  <c r="D2" i="8"/>
  <c r="C3" i="8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B19" i="8"/>
  <c r="C19" i="8"/>
  <c r="D19" i="8"/>
  <c r="B20" i="8"/>
  <c r="B26" i="8"/>
  <c r="C26" i="8"/>
  <c r="D26" i="8"/>
  <c r="B27" i="8"/>
  <c r="D27" i="8"/>
  <c r="H18" i="8" l="1"/>
  <c r="C44" i="8"/>
  <c r="H16" i="8"/>
  <c r="C42" i="8"/>
  <c r="H14" i="8"/>
  <c r="C40" i="8"/>
  <c r="H12" i="8"/>
  <c r="C38" i="8"/>
  <c r="H10" i="8"/>
  <c r="C36" i="8"/>
  <c r="H8" i="8"/>
  <c r="C34" i="8"/>
  <c r="H6" i="8"/>
  <c r="C32" i="8"/>
  <c r="H4" i="8"/>
  <c r="C30" i="8"/>
  <c r="M18" i="8"/>
  <c r="I44" i="8"/>
  <c r="M17" i="8"/>
  <c r="I43" i="8"/>
  <c r="M16" i="8"/>
  <c r="I42" i="8"/>
  <c r="M15" i="8"/>
  <c r="I41" i="8"/>
  <c r="M14" i="8"/>
  <c r="I40" i="8"/>
  <c r="M13" i="8"/>
  <c r="I39" i="8"/>
  <c r="M12" i="8"/>
  <c r="I38" i="8"/>
  <c r="M11" i="8"/>
  <c r="I37" i="8"/>
  <c r="M10" i="8"/>
  <c r="I36" i="8"/>
  <c r="M9" i="8"/>
  <c r="I35" i="8"/>
  <c r="M8" i="8"/>
  <c r="I34" i="8"/>
  <c r="M7" i="8"/>
  <c r="I33" i="8"/>
  <c r="M6" i="8"/>
  <c r="I32" i="8"/>
  <c r="M5" i="8"/>
  <c r="I31" i="8"/>
  <c r="M4" i="8"/>
  <c r="I30" i="8"/>
  <c r="M3" i="8"/>
  <c r="I29" i="8"/>
  <c r="R18" i="8"/>
  <c r="N44" i="8"/>
  <c r="R17" i="8"/>
  <c r="N43" i="8"/>
  <c r="R16" i="8"/>
  <c r="N42" i="8"/>
  <c r="R15" i="8"/>
  <c r="N41" i="8"/>
  <c r="R14" i="8"/>
  <c r="N40" i="8"/>
  <c r="R13" i="8"/>
  <c r="N39" i="8"/>
  <c r="R12" i="8"/>
  <c r="N38" i="8"/>
  <c r="R11" i="8"/>
  <c r="N37" i="8"/>
  <c r="R10" i="8"/>
  <c r="N36" i="8"/>
  <c r="R9" i="8"/>
  <c r="N35" i="8"/>
  <c r="R8" i="8"/>
  <c r="N34" i="8"/>
  <c r="R7" i="8"/>
  <c r="N33" i="8"/>
  <c r="R6" i="8"/>
  <c r="N32" i="8"/>
  <c r="R5" i="8"/>
  <c r="N31" i="8"/>
  <c r="R4" i="8"/>
  <c r="N30" i="8"/>
  <c r="R3" i="8"/>
  <c r="N29" i="8"/>
  <c r="AB18" i="8"/>
  <c r="X44" i="8"/>
  <c r="AB17" i="8"/>
  <c r="X43" i="8"/>
  <c r="AB16" i="8"/>
  <c r="X42" i="8"/>
  <c r="AB15" i="8"/>
  <c r="X41" i="8"/>
  <c r="AB14" i="8"/>
  <c r="X40" i="8"/>
  <c r="AB13" i="8"/>
  <c r="X39" i="8"/>
  <c r="AB12" i="8"/>
  <c r="X38" i="8"/>
  <c r="AB11" i="8"/>
  <c r="X37" i="8"/>
  <c r="AB10" i="8"/>
  <c r="X36" i="8"/>
  <c r="AB9" i="8"/>
  <c r="X35" i="8"/>
  <c r="AB8" i="8"/>
  <c r="X34" i="8"/>
  <c r="AB7" i="8"/>
  <c r="X33" i="8"/>
  <c r="AB6" i="8"/>
  <c r="X32" i="8"/>
  <c r="AB5" i="8"/>
  <c r="X31" i="8"/>
  <c r="AB4" i="8"/>
  <c r="X30" i="8"/>
  <c r="AB3" i="8"/>
  <c r="X29" i="8"/>
  <c r="H17" i="8"/>
  <c r="C43" i="8"/>
  <c r="H15" i="8"/>
  <c r="C41" i="8"/>
  <c r="H13" i="8"/>
  <c r="C39" i="8"/>
  <c r="H11" i="8"/>
  <c r="C37" i="8"/>
  <c r="H9" i="8"/>
  <c r="C35" i="8"/>
  <c r="H7" i="8"/>
  <c r="C33" i="8"/>
  <c r="H5" i="8"/>
  <c r="C31" i="8"/>
  <c r="H3" i="8"/>
  <c r="C29" i="8"/>
  <c r="W18" i="8"/>
  <c r="S44" i="8"/>
  <c r="W17" i="8"/>
  <c r="S43" i="8"/>
  <c r="W16" i="8"/>
  <c r="S42" i="8"/>
  <c r="W15" i="8"/>
  <c r="S41" i="8"/>
  <c r="W14" i="8"/>
  <c r="S40" i="8"/>
  <c r="W13" i="8"/>
  <c r="S39" i="8"/>
  <c r="W12" i="8"/>
  <c r="S38" i="8"/>
  <c r="W11" i="8"/>
  <c r="S37" i="8"/>
  <c r="W10" i="8"/>
  <c r="S36" i="8"/>
  <c r="W9" i="8"/>
  <c r="S35" i="8"/>
  <c r="W8" i="8"/>
  <c r="S34" i="8"/>
  <c r="W7" i="8"/>
  <c r="S33" i="8"/>
  <c r="W6" i="8"/>
  <c r="S32" i="8"/>
  <c r="W5" i="8"/>
  <c r="S31" i="8"/>
  <c r="W4" i="8"/>
  <c r="S30" i="8"/>
  <c r="W3" i="8"/>
  <c r="S29" i="8"/>
  <c r="P18" i="8"/>
  <c r="Q18" i="8" s="1"/>
  <c r="Q44" i="8" s="1"/>
  <c r="K18" i="8"/>
  <c r="L18" i="8" s="1"/>
  <c r="P17" i="8"/>
  <c r="Q17" i="8" s="1"/>
  <c r="U18" i="8"/>
  <c r="V18" i="8" s="1"/>
  <c r="Z18" i="8"/>
  <c r="AA18" i="8" s="1"/>
  <c r="K3" i="8"/>
  <c r="L3" i="8" s="1"/>
  <c r="K4" i="8"/>
  <c r="L4" i="8" s="1"/>
  <c r="K5" i="8"/>
  <c r="L5" i="8" s="1"/>
  <c r="K6" i="8"/>
  <c r="L6" i="8" s="1"/>
  <c r="K7" i="8"/>
  <c r="L7" i="8" s="1"/>
  <c r="K8" i="8"/>
  <c r="L8" i="8" s="1"/>
  <c r="K9" i="8"/>
  <c r="L9" i="8" s="1"/>
  <c r="K10" i="8"/>
  <c r="L10" i="8" s="1"/>
  <c r="K11" i="8"/>
  <c r="L11" i="8" s="1"/>
  <c r="K12" i="8"/>
  <c r="L12" i="8" s="1"/>
  <c r="K13" i="8"/>
  <c r="L13" i="8" s="1"/>
  <c r="K14" i="8"/>
  <c r="L14" i="8" s="1"/>
  <c r="K15" i="8"/>
  <c r="L15" i="8" s="1"/>
  <c r="K16" i="8"/>
  <c r="L16" i="8" s="1"/>
  <c r="K17" i="8"/>
  <c r="L17" i="8" s="1"/>
  <c r="P3" i="8"/>
  <c r="Q3" i="8" s="1"/>
  <c r="P5" i="8"/>
  <c r="Q5" i="8" s="1"/>
  <c r="P7" i="8"/>
  <c r="Q7" i="8" s="1"/>
  <c r="P9" i="8"/>
  <c r="Q9" i="8" s="1"/>
  <c r="P11" i="8"/>
  <c r="Q11" i="8" s="1"/>
  <c r="P13" i="8"/>
  <c r="Q13" i="8" s="1"/>
  <c r="P15" i="8"/>
  <c r="Q15" i="8" s="1"/>
  <c r="U3" i="8"/>
  <c r="V3" i="8" s="1"/>
  <c r="U4" i="8"/>
  <c r="V4" i="8" s="1"/>
  <c r="U5" i="8"/>
  <c r="V5" i="8" s="1"/>
  <c r="U6" i="8"/>
  <c r="V6" i="8" s="1"/>
  <c r="U7" i="8"/>
  <c r="V7" i="8" s="1"/>
  <c r="U8" i="8"/>
  <c r="V8" i="8" s="1"/>
  <c r="U9" i="8"/>
  <c r="V9" i="8" s="1"/>
  <c r="U10" i="8"/>
  <c r="V10" i="8" s="1"/>
  <c r="U11" i="8"/>
  <c r="V11" i="8" s="1"/>
  <c r="U12" i="8"/>
  <c r="V12" i="8" s="1"/>
  <c r="U13" i="8"/>
  <c r="V13" i="8" s="1"/>
  <c r="U14" i="8"/>
  <c r="V14" i="8" s="1"/>
  <c r="U15" i="8"/>
  <c r="V15" i="8" s="1"/>
  <c r="U16" i="8"/>
  <c r="V16" i="8" s="1"/>
  <c r="U17" i="8"/>
  <c r="V17" i="8" s="1"/>
  <c r="Z3" i="8"/>
  <c r="AA3" i="8" s="1"/>
  <c r="Z5" i="8"/>
  <c r="AA5" i="8" s="1"/>
  <c r="Z7" i="8"/>
  <c r="AA7" i="8" s="1"/>
  <c r="Z9" i="8"/>
  <c r="AA9" i="8" s="1"/>
  <c r="Z11" i="8"/>
  <c r="AA11" i="8" s="1"/>
  <c r="Z14" i="8"/>
  <c r="AA14" i="8" s="1"/>
  <c r="P4" i="8"/>
  <c r="Q4" i="8" s="1"/>
  <c r="P6" i="8"/>
  <c r="Q6" i="8" s="1"/>
  <c r="P8" i="8"/>
  <c r="Q8" i="8" s="1"/>
  <c r="P10" i="8"/>
  <c r="Q10" i="8" s="1"/>
  <c r="P12" i="8"/>
  <c r="Q12" i="8" s="1"/>
  <c r="P14" i="8"/>
  <c r="Q14" i="8" s="1"/>
  <c r="P16" i="8"/>
  <c r="Q16" i="8" s="1"/>
  <c r="Z17" i="8"/>
  <c r="AA17" i="8" s="1"/>
  <c r="Z15" i="8"/>
  <c r="AA15" i="8" s="1"/>
  <c r="Z13" i="8"/>
  <c r="AA13" i="8" s="1"/>
  <c r="Z4" i="8"/>
  <c r="AA4" i="8" s="1"/>
  <c r="Z6" i="8"/>
  <c r="AA6" i="8" s="1"/>
  <c r="Z8" i="8"/>
  <c r="AA8" i="8" s="1"/>
  <c r="Z10" i="8"/>
  <c r="AA10" i="8" s="1"/>
  <c r="Z12" i="8"/>
  <c r="AA12" i="8" s="1"/>
  <c r="Z16" i="8"/>
  <c r="AA16" i="8" s="1"/>
  <c r="AA42" i="8" l="1"/>
  <c r="AA36" i="8"/>
  <c r="AA32" i="8"/>
  <c r="AA39" i="8"/>
  <c r="AA43" i="8"/>
  <c r="AA40" i="8"/>
  <c r="AA35" i="8"/>
  <c r="AA31" i="8"/>
  <c r="AA44" i="8"/>
  <c r="AA38" i="8"/>
  <c r="AA34" i="8"/>
  <c r="AA30" i="8"/>
  <c r="AA41" i="8"/>
  <c r="AA37" i="8"/>
  <c r="AA33" i="8"/>
  <c r="AA29" i="8"/>
  <c r="V41" i="8"/>
  <c r="V37" i="8"/>
  <c r="V33" i="8"/>
  <c r="V29" i="8"/>
  <c r="V43" i="8"/>
  <c r="V39" i="8"/>
  <c r="V35" i="8"/>
  <c r="V31" i="8"/>
  <c r="V42" i="8"/>
  <c r="V40" i="8"/>
  <c r="V38" i="8"/>
  <c r="V36" i="8"/>
  <c r="V34" i="8"/>
  <c r="V32" i="8"/>
  <c r="V30" i="8"/>
  <c r="V44" i="8"/>
  <c r="Q40" i="8"/>
  <c r="Q36" i="8"/>
  <c r="Q32" i="8"/>
  <c r="Q39" i="8"/>
  <c r="Q35" i="8"/>
  <c r="Q31" i="8"/>
  <c r="Q43" i="8"/>
  <c r="Q42" i="8"/>
  <c r="Q38" i="8"/>
  <c r="Q34" i="8"/>
  <c r="Q30" i="8"/>
  <c r="Q41" i="8"/>
  <c r="Q37" i="8"/>
  <c r="Q33" i="8"/>
  <c r="Q29" i="8"/>
  <c r="L43" i="8"/>
  <c r="L39" i="8"/>
  <c r="L35" i="8"/>
  <c r="L31" i="8"/>
  <c r="L41" i="8"/>
  <c r="L37" i="8"/>
  <c r="L33" i="8"/>
  <c r="L29" i="8"/>
  <c r="L42" i="8"/>
  <c r="L40" i="8"/>
  <c r="L38" i="8"/>
  <c r="L36" i="8"/>
  <c r="L34" i="8"/>
  <c r="L32" i="8"/>
  <c r="L30" i="8"/>
  <c r="L44" i="8"/>
  <c r="J33" i="6"/>
  <c r="J34" i="6"/>
  <c r="J35" i="6"/>
  <c r="J36" i="6"/>
  <c r="J37" i="6"/>
  <c r="J32" i="6"/>
  <c r="L47" i="6"/>
  <c r="L48" i="6"/>
  <c r="L49" i="6"/>
  <c r="L50" i="6"/>
  <c r="L51" i="6"/>
  <c r="L46" i="6"/>
  <c r="K47" i="6"/>
  <c r="K48" i="6"/>
  <c r="K49" i="6"/>
  <c r="K50" i="6"/>
  <c r="K51" i="6"/>
  <c r="K46" i="6"/>
  <c r="F47" i="6"/>
  <c r="G47" i="6"/>
  <c r="F48" i="6"/>
  <c r="G48" i="6"/>
  <c r="F49" i="6"/>
  <c r="G49" i="6"/>
  <c r="F50" i="6"/>
  <c r="G50" i="6"/>
  <c r="F51" i="6"/>
  <c r="G51" i="6"/>
  <c r="G46" i="6"/>
  <c r="F46" i="6"/>
  <c r="Q30" i="6"/>
  <c r="N30" i="6"/>
  <c r="K30" i="6"/>
  <c r="H30" i="6"/>
  <c r="E30" i="6"/>
  <c r="C20" i="8"/>
  <c r="AA47" i="8" l="1"/>
  <c r="Q47" i="8"/>
  <c r="V47" i="8"/>
  <c r="L47" i="8"/>
  <c r="H29" i="6"/>
  <c r="N27" i="8"/>
  <c r="Q28" i="6"/>
  <c r="Q29" i="6"/>
  <c r="X27" i="8"/>
  <c r="N29" i="6"/>
  <c r="N28" i="6"/>
  <c r="K28" i="6"/>
  <c r="S27" i="8"/>
  <c r="K29" i="6"/>
  <c r="H28" i="6"/>
  <c r="I27" i="8"/>
  <c r="E29" i="6"/>
  <c r="E28" i="6"/>
  <c r="D25" i="8"/>
  <c r="D24" i="8"/>
  <c r="D23" i="8"/>
  <c r="D22" i="8"/>
  <c r="D20" i="8"/>
  <c r="E17" i="8" s="1"/>
  <c r="F17" i="8" s="1"/>
  <c r="C25" i="8"/>
  <c r="C24" i="8"/>
  <c r="C23" i="8"/>
  <c r="C22" i="8"/>
  <c r="C27" i="8"/>
  <c r="F43" i="8" l="1"/>
  <c r="G17" i="8"/>
  <c r="E7" i="8"/>
  <c r="F7" i="8" s="1"/>
  <c r="E5" i="8"/>
  <c r="F5" i="8" s="1"/>
  <c r="E11" i="8"/>
  <c r="F11" i="8" s="1"/>
  <c r="E9" i="8"/>
  <c r="F9" i="8" s="1"/>
  <c r="E4" i="8"/>
  <c r="F4" i="8" s="1"/>
  <c r="E6" i="8"/>
  <c r="F6" i="8" s="1"/>
  <c r="E8" i="8"/>
  <c r="F8" i="8" s="1"/>
  <c r="E10" i="8"/>
  <c r="F10" i="8" s="1"/>
  <c r="C21" i="8"/>
  <c r="B28" i="6"/>
  <c r="D21" i="8"/>
  <c r="E12" i="8"/>
  <c r="F12" i="8" s="1"/>
  <c r="E15" i="8"/>
  <c r="F15" i="8" s="1"/>
  <c r="E14" i="8"/>
  <c r="F14" i="8" s="1"/>
  <c r="E13" i="8"/>
  <c r="F13" i="8" s="1"/>
  <c r="E16" i="8"/>
  <c r="F16" i="8" s="1"/>
  <c r="E3" i="8"/>
  <c r="F3" i="8" s="1"/>
  <c r="E18" i="8"/>
  <c r="F18" i="8" s="1"/>
  <c r="F2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1" i="4"/>
  <c r="E20" i="4"/>
  <c r="E21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23" i="4" s="1" a="1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2" i="3"/>
  <c r="E2" i="3"/>
  <c r="E23" i="3" s="1" a="1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P21" i="1"/>
  <c r="O21" i="1"/>
  <c r="P20" i="1"/>
  <c r="O20" i="1"/>
  <c r="P19" i="1"/>
  <c r="O19" i="1"/>
  <c r="P18" i="1"/>
  <c r="O18" i="1"/>
  <c r="P17" i="1"/>
  <c r="O17" i="1"/>
  <c r="P16" i="1"/>
  <c r="O16" i="1"/>
  <c r="P15" i="1"/>
  <c r="O15" i="1"/>
  <c r="P14" i="1"/>
  <c r="O14" i="1"/>
  <c r="P13" i="1"/>
  <c r="O13" i="1"/>
  <c r="P12" i="1"/>
  <c r="O12" i="1"/>
  <c r="P11" i="1"/>
  <c r="O11" i="1"/>
  <c r="P10" i="1"/>
  <c r="O10" i="1"/>
  <c r="P9" i="1"/>
  <c r="O9" i="1"/>
  <c r="P8" i="1"/>
  <c r="O8" i="1"/>
  <c r="P7" i="1"/>
  <c r="O7" i="1"/>
  <c r="P6" i="1"/>
  <c r="O6" i="1"/>
  <c r="P5" i="1"/>
  <c r="O5" i="1"/>
  <c r="P4" i="1"/>
  <c r="O4" i="1"/>
  <c r="P3" i="1"/>
  <c r="O3" i="1"/>
  <c r="P2" i="1"/>
  <c r="O2" i="1"/>
  <c r="O23" i="1" s="1" a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P25" i="1" l="1"/>
  <c r="P26" i="1"/>
  <c r="O24" i="1"/>
  <c r="P24" i="1"/>
  <c r="O26" i="1"/>
  <c r="O23" i="1"/>
  <c r="P23" i="1"/>
  <c r="R23" i="1" s="1"/>
  <c r="S23" i="1" s="1"/>
  <c r="O25" i="1"/>
  <c r="F26" i="3"/>
  <c r="E26" i="3"/>
  <c r="E25" i="3"/>
  <c r="E24" i="3"/>
  <c r="E23" i="3"/>
  <c r="F25" i="3"/>
  <c r="F24" i="3"/>
  <c r="F23" i="3"/>
  <c r="H23" i="3" s="1"/>
  <c r="I23" i="3" s="1"/>
  <c r="E23" i="2" a="1"/>
  <c r="E23" i="4"/>
  <c r="F23" i="4"/>
  <c r="H23" i="4" s="1"/>
  <c r="I23" i="4" s="1"/>
  <c r="F25" i="4"/>
  <c r="E24" i="4"/>
  <c r="E26" i="4"/>
  <c r="F24" i="4"/>
  <c r="F26" i="4"/>
  <c r="E25" i="4"/>
  <c r="G33" i="6"/>
  <c r="G35" i="6"/>
  <c r="G37" i="6"/>
  <c r="F33" i="6"/>
  <c r="F35" i="6"/>
  <c r="F37" i="6"/>
  <c r="G34" i="6"/>
  <c r="G36" i="6"/>
  <c r="G32" i="6"/>
  <c r="F34" i="6"/>
  <c r="F36" i="6"/>
  <c r="F32" i="6"/>
  <c r="I33" i="6"/>
  <c r="L33" i="6" s="1"/>
  <c r="I35" i="6"/>
  <c r="L35" i="6" s="1"/>
  <c r="I37" i="6"/>
  <c r="L37" i="6" s="1"/>
  <c r="H33" i="6"/>
  <c r="K33" i="6" s="1"/>
  <c r="H35" i="6"/>
  <c r="K35" i="6" s="1"/>
  <c r="H37" i="6"/>
  <c r="K37" i="6" s="1"/>
  <c r="I34" i="6"/>
  <c r="L34" i="6" s="1"/>
  <c r="I36" i="6"/>
  <c r="L36" i="6" s="1"/>
  <c r="I32" i="6"/>
  <c r="L32" i="6" s="1"/>
  <c r="H34" i="6"/>
  <c r="K34" i="6" s="1"/>
  <c r="H36" i="6"/>
  <c r="K36" i="6" s="1"/>
  <c r="H32" i="6"/>
  <c r="K32" i="6" s="1"/>
  <c r="F29" i="8"/>
  <c r="G3" i="8"/>
  <c r="F39" i="8"/>
  <c r="G13" i="8"/>
  <c r="F41" i="8"/>
  <c r="G15" i="8"/>
  <c r="F36" i="8"/>
  <c r="G10" i="8"/>
  <c r="F32" i="8"/>
  <c r="G6" i="8"/>
  <c r="F35" i="8"/>
  <c r="G9" i="8"/>
  <c r="F31" i="8"/>
  <c r="G5" i="8"/>
  <c r="F44" i="8"/>
  <c r="G18" i="8"/>
  <c r="F42" i="8"/>
  <c r="G16" i="8"/>
  <c r="F40" i="8"/>
  <c r="G14" i="8"/>
  <c r="F38" i="8"/>
  <c r="G12" i="8"/>
  <c r="F34" i="8"/>
  <c r="G8" i="8"/>
  <c r="F30" i="8"/>
  <c r="G4" i="8"/>
  <c r="F37" i="8"/>
  <c r="G11" i="8"/>
  <c r="F33" i="8"/>
  <c r="G7" i="8"/>
  <c r="E2" i="1"/>
  <c r="E23" i="1" s="1" a="1"/>
  <c r="F26" i="2" l="1"/>
  <c r="E26" i="2"/>
  <c r="E25" i="2"/>
  <c r="E24" i="2"/>
  <c r="E23" i="2"/>
  <c r="F24" i="2"/>
  <c r="F23" i="2"/>
  <c r="H23" i="2" s="1"/>
  <c r="I23" i="2" s="1"/>
  <c r="F25" i="2"/>
  <c r="F26" i="1"/>
  <c r="E26" i="1"/>
  <c r="E25" i="1"/>
  <c r="E24" i="1"/>
  <c r="E23" i="1"/>
  <c r="F23" i="1"/>
  <c r="H23" i="1" s="1"/>
  <c r="I23" i="1" s="1"/>
  <c r="F24" i="1"/>
  <c r="F25" i="1"/>
  <c r="F47" i="8"/>
</calcChain>
</file>

<file path=xl/comments1.xml><?xml version="1.0" encoding="utf-8"?>
<comments xmlns="http://schemas.openxmlformats.org/spreadsheetml/2006/main">
  <authors>
    <author>Anne Olsen</author>
  </authors>
  <commentList>
    <comment ref="B30" authorId="0" shapeId="0">
      <text>
        <r>
          <rPr>
            <b/>
            <sz val="9"/>
            <color indexed="81"/>
            <rFont val="Tahoma"/>
            <family val="2"/>
          </rPr>
          <t>Anne Olsen:</t>
        </r>
        <r>
          <rPr>
            <sz val="9"/>
            <color indexed="81"/>
            <rFont val="Tahoma"/>
            <family val="2"/>
          </rPr>
          <t xml:space="preserve">
netopslag: tjek larses statistikbog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Anne Olsen:</t>
        </r>
        <r>
          <rPr>
            <sz val="9"/>
            <color indexed="81"/>
            <rFont val="Tahoma"/>
            <family val="2"/>
          </rPr>
          <t xml:space="preserve">
netopslag: tjek larses statistikbog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Anne Olsen:</t>
        </r>
        <r>
          <rPr>
            <sz val="9"/>
            <color indexed="81"/>
            <rFont val="Tahoma"/>
            <family val="2"/>
          </rPr>
          <t xml:space="preserve">
netopslag: tjek larses statistikbog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Anne Olsen:</t>
        </r>
        <r>
          <rPr>
            <sz val="9"/>
            <color indexed="81"/>
            <rFont val="Tahoma"/>
            <family val="2"/>
          </rPr>
          <t xml:space="preserve">
netopslag: tjek larses statistikbog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Anne Olsen:</t>
        </r>
        <r>
          <rPr>
            <sz val="9"/>
            <color indexed="81"/>
            <rFont val="Tahoma"/>
            <family val="2"/>
          </rPr>
          <t xml:space="preserve">
netopslag: tjek larses statistikbog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Anne Olsen:</t>
        </r>
        <r>
          <rPr>
            <sz val="9"/>
            <color indexed="81"/>
            <rFont val="Tahoma"/>
            <family val="2"/>
          </rPr>
          <t xml:space="preserve">
netopslag: tjek larses statistikbog</t>
        </r>
      </text>
    </comment>
  </commentList>
</comments>
</file>

<file path=xl/sharedStrings.xml><?xml version="1.0" encoding="utf-8"?>
<sst xmlns="http://schemas.openxmlformats.org/spreadsheetml/2006/main" count="144" uniqueCount="48">
  <si>
    <t>SE</t>
  </si>
  <si>
    <t>41 timer</t>
  </si>
  <si>
    <t>1/T (K)</t>
  </si>
  <si>
    <t>ln (rate)</t>
  </si>
  <si>
    <t>Frisk biogas 17 timer</t>
  </si>
  <si>
    <t>Frisk biogas 41 timer</t>
  </si>
  <si>
    <t>kvæggylle 17 timer</t>
  </si>
  <si>
    <t>kvæggylle 3 timer</t>
  </si>
  <si>
    <t>svine gylle 17 timer</t>
  </si>
  <si>
    <t>lagret biogasgylle 17 timer</t>
  </si>
  <si>
    <t>Floor space (x1)</t>
  </si>
  <si>
    <t>Offices (x2)</t>
  </si>
  <si>
    <t>Entrances (x3)</t>
  </si>
  <si>
    <t>Age (x4)</t>
  </si>
  <si>
    <t>Assessed value (y)</t>
  </si>
  <si>
    <t>Formula</t>
  </si>
  <si>
    <t>=LINEST(E2:E12,A2:D12,TRUE,TRUE)</t>
  </si>
  <si>
    <t>hældning</t>
  </si>
  <si>
    <t>ln(A)</t>
  </si>
  <si>
    <t>Ea</t>
  </si>
  <si>
    <t>konf ln(A)</t>
  </si>
  <si>
    <t>konf Ea</t>
  </si>
  <si>
    <t>ln(A) max</t>
  </si>
  <si>
    <t>ln(A) min</t>
  </si>
  <si>
    <t>Ea (max)</t>
  </si>
  <si>
    <t>Ea (min)</t>
  </si>
  <si>
    <t>R (J/K/mol)</t>
  </si>
  <si>
    <t>Q10 max</t>
  </si>
  <si>
    <t>Q10 min</t>
  </si>
  <si>
    <t>Q10 (5-15 C)</t>
  </si>
  <si>
    <t>t(0,05(2),14)</t>
  </si>
  <si>
    <t>Estim, ln(rate)</t>
  </si>
  <si>
    <t>Residuals</t>
  </si>
  <si>
    <r>
      <t>SE = s</t>
    </r>
    <r>
      <rPr>
        <vertAlign val="subscript"/>
        <sz val="11"/>
        <color theme="1"/>
        <rFont val="Calibri"/>
        <family val="2"/>
        <scheme val="minor"/>
      </rPr>
      <t>b1</t>
    </r>
    <r>
      <rPr>
        <sz val="11"/>
        <color theme="1"/>
        <rFont val="Calibri"/>
        <family val="2"/>
        <scheme val="minor"/>
      </rPr>
      <t xml:space="preserve"> = sqrt [ Σ(y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ŷ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/ (n - 2) ] / sqrt [ Σ(x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- x)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]</t>
    </r>
  </si>
  <si>
    <t>SE, slope</t>
  </si>
  <si>
    <t>http://www.danielsoper.com/statcalc3/calc.aspx?id=103</t>
  </si>
  <si>
    <t>Common:</t>
  </si>
  <si>
    <t>Ave</t>
  </si>
  <si>
    <t>SD</t>
  </si>
  <si>
    <t>ln (rate), per hour</t>
  </si>
  <si>
    <t>ln(rate), per d</t>
  </si>
  <si>
    <t>Avg rate (g CH4/kg VS/h)</t>
  </si>
  <si>
    <t>Digestate, fresh</t>
  </si>
  <si>
    <r>
      <t xml:space="preserve">Temp,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C</t>
    </r>
  </si>
  <si>
    <t>Pig slurry</t>
  </si>
  <si>
    <t>Digestate, stored</t>
  </si>
  <si>
    <t>17 hours</t>
  </si>
  <si>
    <t>Cattle slurry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</si>
</sst>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"/>
    <numFmt numFmtId="165" formatCode="0.0000"/>
    <numFmt numFmtId="166" formatCode="0.0E+00"/>
    <numFmt numFmtId="167" formatCode="0E+00"/>
    <numFmt numFmtId="168" formatCode="0.00000"/>
    <numFmt numFmtId="170" formatCode="#,##0.000"/>
    <numFmt numFmtId="171" formatCode="0.000000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0" borderId="0" xfId="0" applyNumberFormat="1" applyAlignment="1">
      <alignment horizontal="center"/>
    </xf>
    <xf numFmtId="168" fontId="0" fillId="0" borderId="0" xfId="0" applyNumberFormat="1"/>
    <xf numFmtId="0" fontId="0" fillId="3" borderId="0" xfId="0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3" fontId="0" fillId="3" borderId="0" xfId="0" applyNumberFormat="1" applyFill="1" applyAlignment="1">
      <alignment horizontal="left" vertical="top" wrapText="1"/>
    </xf>
    <xf numFmtId="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0" xfId="0" applyNumberFormat="1" applyBorder="1"/>
    <xf numFmtId="0" fontId="0" fillId="0" borderId="5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3" xfId="0" applyFill="1" applyBorder="1"/>
    <xf numFmtId="0" fontId="0" fillId="0" borderId="0" xfId="0" applyFill="1" applyBorder="1"/>
    <xf numFmtId="0" fontId="0" fillId="0" borderId="9" xfId="0" applyFill="1" applyBorder="1"/>
    <xf numFmtId="170" fontId="0" fillId="0" borderId="0" xfId="0" applyNumberFormat="1"/>
    <xf numFmtId="171" fontId="0" fillId="0" borderId="0" xfId="0" applyNumberFormat="1"/>
    <xf numFmtId="0" fontId="1" fillId="0" borderId="0" xfId="0" applyFont="1"/>
    <xf numFmtId="0" fontId="0" fillId="4" borderId="0" xfId="0" applyFill="1"/>
    <xf numFmtId="0" fontId="0" fillId="5" borderId="0" xfId="0" applyFill="1" applyBorder="1"/>
    <xf numFmtId="164" fontId="0" fillId="0" borderId="5" xfId="0" applyNumberFormat="1" applyBorder="1"/>
    <xf numFmtId="0" fontId="0" fillId="5" borderId="4" xfId="0" applyFill="1" applyBorder="1"/>
    <xf numFmtId="164" fontId="6" fillId="0" borderId="0" xfId="0" applyNumberFormat="1" applyFont="1"/>
    <xf numFmtId="0" fontId="6" fillId="0" borderId="0" xfId="0" applyFont="1"/>
    <xf numFmtId="0" fontId="7" fillId="0" borderId="0" xfId="0" applyFont="1"/>
    <xf numFmtId="0" fontId="7" fillId="2" borderId="1" xfId="0" applyFont="1" applyFill="1" applyBorder="1"/>
    <xf numFmtId="0" fontId="7" fillId="2" borderId="3" xfId="0" applyFont="1" applyFill="1" applyBorder="1"/>
    <xf numFmtId="0" fontId="7" fillId="0" borderId="0" xfId="0" applyNumberFormat="1" applyFont="1" applyBorder="1"/>
    <xf numFmtId="0" fontId="7" fillId="0" borderId="5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4" xfId="0" applyFont="1" applyBorder="1"/>
    <xf numFmtId="1" fontId="7" fillId="0" borderId="7" xfId="0" applyNumberFormat="1" applyFont="1" applyBorder="1"/>
    <xf numFmtId="1" fontId="7" fillId="0" borderId="8" xfId="0" applyNumberFormat="1" applyFont="1" applyBorder="1"/>
    <xf numFmtId="164" fontId="7" fillId="0" borderId="0" xfId="0" applyNumberFormat="1" applyFont="1"/>
    <xf numFmtId="170" fontId="7" fillId="0" borderId="0" xfId="0" applyNumberFormat="1" applyFont="1"/>
    <xf numFmtId="0" fontId="7" fillId="5" borderId="4" xfId="0" applyFont="1" applyFill="1" applyBorder="1"/>
    <xf numFmtId="0" fontId="0" fillId="6" borderId="9" xfId="0" applyFill="1" applyBorder="1"/>
    <xf numFmtId="164" fontId="0" fillId="6" borderId="9" xfId="0" applyNumberFormat="1" applyFill="1" applyBorder="1"/>
    <xf numFmtId="1" fontId="0" fillId="6" borderId="9" xfId="0" applyNumberFormat="1" applyFill="1" applyBorder="1"/>
    <xf numFmtId="0" fontId="7" fillId="6" borderId="9" xfId="0" applyFont="1" applyFill="1" applyBorder="1"/>
    <xf numFmtId="164" fontId="7" fillId="6" borderId="9" xfId="0" applyNumberFormat="1" applyFont="1" applyFill="1" applyBorder="1"/>
    <xf numFmtId="1" fontId="7" fillId="6" borderId="9" xfId="0" applyNumberFormat="1" applyFont="1" applyFill="1" applyBorder="1"/>
    <xf numFmtId="0" fontId="0" fillId="7" borderId="0" xfId="0" applyFill="1"/>
    <xf numFmtId="1" fontId="0" fillId="7" borderId="0" xfId="0" applyNumberFormat="1" applyFill="1"/>
    <xf numFmtId="168" fontId="0" fillId="8" borderId="0" xfId="0" applyNumberFormat="1" applyFill="1"/>
    <xf numFmtId="2" fontId="0" fillId="9" borderId="0" xfId="0" applyNumberFormat="1" applyFill="1"/>
    <xf numFmtId="2" fontId="0" fillId="8" borderId="0" xfId="0" applyNumberFormat="1" applyFill="1"/>
    <xf numFmtId="2" fontId="0" fillId="0" borderId="0" xfId="0" applyNumberFormat="1"/>
    <xf numFmtId="2" fontId="0" fillId="2" borderId="0" xfId="0" applyNumberFormat="1" applyFill="1"/>
    <xf numFmtId="168" fontId="10" fillId="0" borderId="0" xfId="0" applyNumberFormat="1" applyFont="1"/>
    <xf numFmtId="164" fontId="0" fillId="8" borderId="0" xfId="0" applyNumberFormat="1" applyFill="1"/>
    <xf numFmtId="165" fontId="0" fillId="8" borderId="0" xfId="0" applyNumberFormat="1" applyFill="1"/>
    <xf numFmtId="167" fontId="0" fillId="8" borderId="0" xfId="0" applyNumberFormat="1" applyFill="1"/>
    <xf numFmtId="0" fontId="0" fillId="8" borderId="0" xfId="0" applyFill="1"/>
    <xf numFmtId="164" fontId="0" fillId="8" borderId="0" xfId="0" applyNumberFormat="1" applyFill="1" applyAlignment="1">
      <alignment horizontal="center"/>
    </xf>
    <xf numFmtId="168" fontId="10" fillId="8" borderId="0" xfId="0" applyNumberFormat="1" applyFont="1" applyFill="1"/>
    <xf numFmtId="166" fontId="0" fillId="8" borderId="0" xfId="0" applyNumberFormat="1" applyFill="1"/>
    <xf numFmtId="171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strRef>
              <c:f>'samlede Arrhenius  5-36'!$K$1</c:f>
              <c:strCache>
                <c:ptCount val="1"/>
                <c:pt idx="0">
                  <c:v>lagret biogasgylle 17 timer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279357610459145"/>
                  <c:y val="-0.14819474490462306"/>
                </c:manualLayout>
              </c:layout>
              <c:numFmt formatCode="General" sourceLinked="0"/>
            </c:trendlineLbl>
          </c:trendline>
          <c:xVal>
            <c:numRef>
              <c:f>'samlede Arrhenius  5-36'!$K$3:$K$18</c:f>
              <c:numCache>
                <c:formatCode>General</c:formatCode>
                <c:ptCount val="16"/>
                <c:pt idx="0">
                  <c:v>3.5712270521877699E-3</c:v>
                </c:pt>
                <c:pt idx="1">
                  <c:v>3.550624448321727E-3</c:v>
                </c:pt>
                <c:pt idx="2">
                  <c:v>3.5302581960239407E-3</c:v>
                </c:pt>
                <c:pt idx="3">
                  <c:v>3.5101242513782506E-3</c:v>
                </c:pt>
                <c:pt idx="4">
                  <c:v>3.4902186621991868E-3</c:v>
                </c:pt>
                <c:pt idx="5">
                  <c:v>3.4705375654456622E-3</c:v>
                </c:pt>
                <c:pt idx="6">
                  <c:v>3.4510771847216675E-3</c:v>
                </c:pt>
                <c:pt idx="7">
                  <c:v>3.4318338278605883E-3</c:v>
                </c:pt>
                <c:pt idx="8">
                  <c:v>3.4128038845898942E-3</c:v>
                </c:pt>
                <c:pt idx="9">
                  <c:v>3.3939838242730939E-3</c:v>
                </c:pt>
                <c:pt idx="10">
                  <c:v>3.3753701937259974E-3</c:v>
                </c:pt>
                <c:pt idx="11">
                  <c:v>3.3569596151044384E-3</c:v>
                </c:pt>
                <c:pt idx="12">
                  <c:v>3.3387487838607557E-3</c:v>
                </c:pt>
                <c:pt idx="13">
                  <c:v>3.3029134999983489E-3</c:v>
                </c:pt>
                <c:pt idx="14">
                  <c:v>3.2678392981204045E-3</c:v>
                </c:pt>
                <c:pt idx="15">
                  <c:v>3.233502186817529E-3</c:v>
                </c:pt>
              </c:numCache>
            </c:numRef>
          </c:xVal>
          <c:yVal>
            <c:numRef>
              <c:f>'samlede Arrhenius  5-36'!$L$3:$L$18</c:f>
              <c:numCache>
                <c:formatCode>General</c:formatCode>
                <c:ptCount val="16"/>
                <c:pt idx="0">
                  <c:v>-6.1252659492410091</c:v>
                </c:pt>
                <c:pt idx="1">
                  <c:v>-6.1180060782082784</c:v>
                </c:pt>
                <c:pt idx="2">
                  <c:v>-5.9411909436741333</c:v>
                </c:pt>
                <c:pt idx="3">
                  <c:v>-6.105910227065757</c:v>
                </c:pt>
                <c:pt idx="4">
                  <c:v>-5.899463475250637</c:v>
                </c:pt>
                <c:pt idx="5">
                  <c:v>-5.7247788820156158</c:v>
                </c:pt>
                <c:pt idx="6">
                  <c:v>-5.5237994423924377</c:v>
                </c:pt>
                <c:pt idx="7">
                  <c:v>-5.502725516177823</c:v>
                </c:pt>
                <c:pt idx="8">
                  <c:v>-5.2135479516770111</c:v>
                </c:pt>
                <c:pt idx="9">
                  <c:v>-5.0879131718610076</c:v>
                </c:pt>
                <c:pt idx="10">
                  <c:v>-5.0028781728547482</c:v>
                </c:pt>
                <c:pt idx="11">
                  <c:v>-4.7545239126202627</c:v>
                </c:pt>
                <c:pt idx="12">
                  <c:v>-4.5356159891437802</c:v>
                </c:pt>
                <c:pt idx="13">
                  <c:v>-3.9947995194195332</c:v>
                </c:pt>
                <c:pt idx="14">
                  <c:v>-3.416469932852598</c:v>
                </c:pt>
                <c:pt idx="15">
                  <c:v>-2.7935914878604802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7A-4516-AA9A-F4D884CC9C10}"/>
            </c:ext>
          </c:extLst>
        </c:ser>
        <c:ser>
          <c:idx val="4"/>
          <c:order val="1"/>
          <c:tx>
            <c:strRef>
              <c:f>'samlede Arrhenius  5-36'!$N$1</c:f>
              <c:strCache>
                <c:ptCount val="1"/>
                <c:pt idx="0">
                  <c:v>kvæggylle 17 timer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3256581133516218"/>
                  <c:y val="-1.2408128383690987E-3"/>
                </c:manualLayout>
              </c:layout>
              <c:numFmt formatCode="General" sourceLinked="0"/>
            </c:trendlineLbl>
          </c:trendline>
          <c:xVal>
            <c:numRef>
              <c:f>'samlede Arrhenius  5-36'!$N$3:$N$18</c:f>
              <c:numCache>
                <c:formatCode>General</c:formatCode>
                <c:ptCount val="16"/>
                <c:pt idx="0">
                  <c:v>3.5935120064622883E-3</c:v>
                </c:pt>
                <c:pt idx="1">
                  <c:v>3.5733159685117605E-3</c:v>
                </c:pt>
                <c:pt idx="2">
                  <c:v>3.5533456709607824E-3</c:v>
                </c:pt>
                <c:pt idx="3">
                  <c:v>3.5335973500377395E-3</c:v>
                </c:pt>
                <c:pt idx="4">
                  <c:v>3.5140673251797682E-3</c:v>
                </c:pt>
                <c:pt idx="5">
                  <c:v>3.4947519967459379E-3</c:v>
                </c:pt>
                <c:pt idx="6">
                  <c:v>3.4756478438054406E-3</c:v>
                </c:pt>
                <c:pt idx="7">
                  <c:v>3.4567514219979363E-3</c:v>
                </c:pt>
                <c:pt idx="8">
                  <c:v>3.4380593614633118E-3</c:v>
                </c:pt>
                <c:pt idx="9">
                  <c:v>3.419568364838249E-3</c:v>
                </c:pt>
                <c:pt idx="10">
                  <c:v>3.4012752053170997E-3</c:v>
                </c:pt>
                <c:pt idx="11">
                  <c:v>3.3831767247746681E-3</c:v>
                </c:pt>
                <c:pt idx="12">
                  <c:v>3.347551500679234E-3</c:v>
                </c:pt>
                <c:pt idx="13">
                  <c:v>3.3126687335092559E-3</c:v>
                </c:pt>
                <c:pt idx="14">
                  <c:v>3.2785054525726102E-3</c:v>
                </c:pt>
                <c:pt idx="15">
                  <c:v>3.2450396250840717E-3</c:v>
                </c:pt>
              </c:numCache>
            </c:numRef>
          </c:xVal>
          <c:yVal>
            <c:numRef>
              <c:f>'samlede Arrhenius  5-36'!$O$3:$O$18</c:f>
              <c:numCache>
                <c:formatCode>General</c:formatCode>
                <c:ptCount val="16"/>
                <c:pt idx="0">
                  <c:v>-6.1553226838581825</c:v>
                </c:pt>
                <c:pt idx="1">
                  <c:v>-5.7810611935549243</c:v>
                </c:pt>
                <c:pt idx="2">
                  <c:v>-5.4903737391551193</c:v>
                </c:pt>
                <c:pt idx="3">
                  <c:v>-5.2992917448798034</c:v>
                </c:pt>
                <c:pt idx="4">
                  <c:v>-5.0727029775840951</c:v>
                </c:pt>
                <c:pt idx="5">
                  <c:v>-4.8159640452719952</c:v>
                </c:pt>
                <c:pt idx="6">
                  <c:v>-4.6614352344734771</c:v>
                </c:pt>
                <c:pt idx="7">
                  <c:v>-4.4357618010953344</c:v>
                </c:pt>
                <c:pt idx="8">
                  <c:v>-4.2784452169399989</c:v>
                </c:pt>
                <c:pt idx="9">
                  <c:v>-4.0548458049112757</c:v>
                </c:pt>
                <c:pt idx="10">
                  <c:v>-3.854207746180681</c:v>
                </c:pt>
                <c:pt idx="11">
                  <c:v>-3.7278576368629071</c:v>
                </c:pt>
                <c:pt idx="12">
                  <c:v>-3.3733377536600084</c:v>
                </c:pt>
                <c:pt idx="13">
                  <c:v>-3.0620008462606472</c:v>
                </c:pt>
                <c:pt idx="14">
                  <c:v>-2.7719585342413344</c:v>
                </c:pt>
                <c:pt idx="15">
                  <c:v>-2.6571986477466369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7A-4516-AA9A-F4D884CC9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206200"/>
        <c:axId val="420202280"/>
      </c:scatterChart>
      <c:valAx>
        <c:axId val="420206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0202280"/>
        <c:crosses val="autoZero"/>
        <c:crossBetween val="midCat"/>
      </c:valAx>
      <c:valAx>
        <c:axId val="420202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20620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'[1]samlede Arrhenius  5-36'!$B$1</c:f>
              <c:strCache>
                <c:ptCount val="1"/>
                <c:pt idx="0">
                  <c:v>Frisk biogas 17 timer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3746802517323592"/>
                  <c:y val="-0.58385347423269851"/>
                </c:manualLayout>
              </c:layout>
              <c:numFmt formatCode="General" sourceLinked="0"/>
            </c:trendlineLbl>
          </c:trendline>
          <c:xVal>
            <c:numRef>
              <c:f>'[1]samlede Arrhenius  5-36'!$B$3:$B$18</c:f>
              <c:numCache>
                <c:formatCode>General</c:formatCode>
                <c:ptCount val="16"/>
                <c:pt idx="0">
                  <c:v>3.5860288316718072E-3</c:v>
                </c:pt>
                <c:pt idx="1">
                  <c:v>3.5641729336707418E-3</c:v>
                </c:pt>
                <c:pt idx="2">
                  <c:v>3.541568093021411E-3</c:v>
                </c:pt>
                <c:pt idx="3">
                  <c:v>3.5208986460032168E-3</c:v>
                </c:pt>
                <c:pt idx="4">
                  <c:v>3.5004690628544226E-3</c:v>
                </c:pt>
                <c:pt idx="5">
                  <c:v>3.4802751923200073E-3</c:v>
                </c:pt>
                <c:pt idx="6">
                  <c:v>3.4603129783882694E-3</c:v>
                </c:pt>
                <c:pt idx="7">
                  <c:v>3.4405784575749151E-3</c:v>
                </c:pt>
                <c:pt idx="8">
                  <c:v>3.4210677562995541E-3</c:v>
                </c:pt>
                <c:pt idx="9">
                  <c:v>3.4017770883509545E-3</c:v>
                </c:pt>
                <c:pt idx="10">
                  <c:v>3.3827027524375758E-3</c:v>
                </c:pt>
                <c:pt idx="11">
                  <c:v>3.3638411298200477E-3</c:v>
                </c:pt>
                <c:pt idx="12">
                  <c:v>3.3451886820224206E-3</c:v>
                </c:pt>
                <c:pt idx="13">
                  <c:v>3.3084975450948222E-3</c:v>
                </c:pt>
                <c:pt idx="14">
                  <c:v>3.2726025568189259E-3</c:v>
                </c:pt>
                <c:pt idx="15">
                  <c:v>3.2374780822733832E-3</c:v>
                </c:pt>
              </c:numCache>
            </c:numRef>
          </c:xVal>
          <c:yVal>
            <c:numRef>
              <c:f>'[1]samlede Arrhenius  5-36'!$C$3:$C$18</c:f>
              <c:numCache>
                <c:formatCode>General</c:formatCode>
                <c:ptCount val="16"/>
                <c:pt idx="0">
                  <c:v>-7.6748731213003873</c:v>
                </c:pt>
                <c:pt idx="1">
                  <c:v>-7.9117076394842334</c:v>
                </c:pt>
                <c:pt idx="2">
                  <c:v>-7.3702405181460078</c:v>
                </c:pt>
                <c:pt idx="3">
                  <c:v>-7.5418864846465956</c:v>
                </c:pt>
                <c:pt idx="4">
                  <c:v>-7.0728924473447483</c:v>
                </c:pt>
                <c:pt idx="5">
                  <c:v>-7.075486695777454</c:v>
                </c:pt>
                <c:pt idx="6">
                  <c:v>-6.9055457495090948</c:v>
                </c:pt>
                <c:pt idx="7">
                  <c:v>-6.8070596694176659</c:v>
                </c:pt>
                <c:pt idx="8">
                  <c:v>-6.4205922461850848</c:v>
                </c:pt>
                <c:pt idx="9">
                  <c:v>-6.2813736897389116</c:v>
                </c:pt>
                <c:pt idx="10">
                  <c:v>-6.1577802411364315</c:v>
                </c:pt>
                <c:pt idx="11">
                  <c:v>-5.8639112908506839</c:v>
                </c:pt>
                <c:pt idx="12">
                  <c:v>-5.6659898310459802</c:v>
                </c:pt>
                <c:pt idx="13">
                  <c:v>-5.1782109307839308</c:v>
                </c:pt>
                <c:pt idx="14">
                  <c:v>-4.8943808011188841</c:v>
                </c:pt>
                <c:pt idx="15">
                  <c:v>-4.4923263817050234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89-4A8E-88DE-AB54257534FB}"/>
            </c:ext>
          </c:extLst>
        </c:ser>
        <c:ser>
          <c:idx val="1"/>
          <c:order val="1"/>
          <c:tx>
            <c:strRef>
              <c:f>'[1]samlede Arrhenius  5-36'!$E$1</c:f>
              <c:strCache>
                <c:ptCount val="1"/>
                <c:pt idx="0">
                  <c:v>Frisk biogas 41 timer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4913829762593392"/>
                  <c:y val="-0.48478544620390851"/>
                </c:manualLayout>
              </c:layout>
              <c:numFmt formatCode="General" sourceLinked="0"/>
            </c:trendlineLbl>
          </c:trendline>
          <c:xVal>
            <c:numRef>
              <c:f>'[1]samlede Arrhenius  5-36'!$E$3:$E$18</c:f>
              <c:numCache>
                <c:formatCode>General</c:formatCode>
                <c:ptCount val="16"/>
                <c:pt idx="0">
                  <c:v>3.5860288316718072E-3</c:v>
                </c:pt>
                <c:pt idx="1">
                  <c:v>3.5641729336707418E-3</c:v>
                </c:pt>
                <c:pt idx="2">
                  <c:v>3.541568093021411E-3</c:v>
                </c:pt>
                <c:pt idx="3">
                  <c:v>3.5208986460032168E-3</c:v>
                </c:pt>
                <c:pt idx="4">
                  <c:v>3.5004690628544226E-3</c:v>
                </c:pt>
                <c:pt idx="5">
                  <c:v>3.4802751923200073E-3</c:v>
                </c:pt>
                <c:pt idx="6">
                  <c:v>3.4603129783882694E-3</c:v>
                </c:pt>
                <c:pt idx="7">
                  <c:v>3.4405784575749151E-3</c:v>
                </c:pt>
                <c:pt idx="8">
                  <c:v>3.4210677562995541E-3</c:v>
                </c:pt>
                <c:pt idx="9">
                  <c:v>3.4017770883509545E-3</c:v>
                </c:pt>
                <c:pt idx="10">
                  <c:v>3.3827027524375758E-3</c:v>
                </c:pt>
                <c:pt idx="11">
                  <c:v>3.3638411298200477E-3</c:v>
                </c:pt>
                <c:pt idx="12">
                  <c:v>3.3451886820224206E-3</c:v>
                </c:pt>
                <c:pt idx="13">
                  <c:v>3.3084975450948222E-3</c:v>
                </c:pt>
                <c:pt idx="14">
                  <c:v>3.2726025568189259E-3</c:v>
                </c:pt>
                <c:pt idx="15">
                  <c:v>3.2374780822733832E-3</c:v>
                </c:pt>
              </c:numCache>
            </c:numRef>
          </c:xVal>
          <c:yVal>
            <c:numRef>
              <c:f>'[1]samlede Arrhenius  5-36'!$F$3:$F$18</c:f>
              <c:numCache>
                <c:formatCode>General</c:formatCode>
                <c:ptCount val="16"/>
                <c:pt idx="0">
                  <c:v>-7.7106081766747216</c:v>
                </c:pt>
                <c:pt idx="1">
                  <c:v>-7.8569961254056917</c:v>
                </c:pt>
                <c:pt idx="2">
                  <c:v>-7.4776143718956964</c:v>
                </c:pt>
                <c:pt idx="3">
                  <c:v>-7.1836596334634475</c:v>
                </c:pt>
                <c:pt idx="4">
                  <c:v>-7.1060818051448473</c:v>
                </c:pt>
                <c:pt idx="5">
                  <c:v>-6.96696632135325</c:v>
                </c:pt>
                <c:pt idx="6">
                  <c:v>-6.755094781721759</c:v>
                </c:pt>
                <c:pt idx="7">
                  <c:v>-6.7246106184579331</c:v>
                </c:pt>
                <c:pt idx="8">
                  <c:v>-6.3000011433261101</c:v>
                </c:pt>
                <c:pt idx="9">
                  <c:v>-6.09099501555787</c:v>
                </c:pt>
                <c:pt idx="10">
                  <c:v>-5.8822493113127123</c:v>
                </c:pt>
                <c:pt idx="11">
                  <c:v>-5.6662304434547108</c:v>
                </c:pt>
                <c:pt idx="12">
                  <c:v>-5.4931805210525386</c:v>
                </c:pt>
                <c:pt idx="13">
                  <c:v>-5.0830646411746674</c:v>
                </c:pt>
                <c:pt idx="14">
                  <c:v>-4.730827522209629</c:v>
                </c:pt>
                <c:pt idx="15">
                  <c:v>-4.4043764850326577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89-4A8E-88DE-AB54257534FB}"/>
            </c:ext>
          </c:extLst>
        </c:ser>
        <c:ser>
          <c:idx val="2"/>
          <c:order val="2"/>
          <c:tx>
            <c:strRef>
              <c:f>'[1]samlede Arrhenius  5-36'!$H$1</c:f>
              <c:strCache>
                <c:ptCount val="1"/>
                <c:pt idx="0">
                  <c:v>svine gylle 17 timer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4817532491813371"/>
                  <c:y val="-0.25602955461349697"/>
                </c:manualLayout>
              </c:layout>
              <c:numFmt formatCode="General" sourceLinked="0"/>
            </c:trendlineLbl>
          </c:trendline>
          <c:xVal>
            <c:numRef>
              <c:f>'[1]samlede Arrhenius  5-36'!$H$3:$H$18</c:f>
              <c:numCache>
                <c:formatCode>General</c:formatCode>
                <c:ptCount val="16"/>
                <c:pt idx="0">
                  <c:v>3.5846341074350697E-3</c:v>
                </c:pt>
                <c:pt idx="1">
                  <c:v>3.56332201384707E-3</c:v>
                </c:pt>
                <c:pt idx="2">
                  <c:v>3.5422618404529847E-3</c:v>
                </c:pt>
                <c:pt idx="3">
                  <c:v>3.5214491467528719E-3</c:v>
                </c:pt>
                <c:pt idx="4">
                  <c:v>3.5008795959984946E-3</c:v>
                </c:pt>
                <c:pt idx="5">
                  <c:v>3.4805489521807383E-3</c:v>
                </c:pt>
                <c:pt idx="6">
                  <c:v>3.4604530771213879E-3</c:v>
                </c:pt>
                <c:pt idx="7">
                  <c:v>3.4405879276650799E-3</c:v>
                </c:pt>
                <c:pt idx="8">
                  <c:v>3.4209495529674175E-3</c:v>
                </c:pt>
                <c:pt idx="9">
                  <c:v>3.4015340918754364E-3</c:v>
                </c:pt>
                <c:pt idx="10">
                  <c:v>3.3823377703967655E-3</c:v>
                </c:pt>
                <c:pt idx="11">
                  <c:v>3.3633568992540073E-3</c:v>
                </c:pt>
                <c:pt idx="12">
                  <c:v>3.3445878715210016E-3</c:v>
                </c:pt>
                <c:pt idx="13">
                  <c:v>3.3076713167012597E-3</c:v>
                </c:pt>
                <c:pt idx="14">
                  <c:v>3.2715608125902748E-3</c:v>
                </c:pt>
                <c:pt idx="15">
                  <c:v>3.2362302448369997E-3</c:v>
                </c:pt>
              </c:numCache>
            </c:numRef>
          </c:xVal>
          <c:yVal>
            <c:numRef>
              <c:f>'[1]samlede Arrhenius  5-36'!$I$3:$I$18</c:f>
              <c:numCache>
                <c:formatCode>General</c:formatCode>
                <c:ptCount val="16"/>
                <c:pt idx="0">
                  <c:v>-6.7892104947355474</c:v>
                </c:pt>
                <c:pt idx="1">
                  <c:v>-6.5560639652931965</c:v>
                </c:pt>
                <c:pt idx="2">
                  <c:v>-6.332554056054053</c:v>
                </c:pt>
                <c:pt idx="3">
                  <c:v>-6.0444987248070383</c:v>
                </c:pt>
                <c:pt idx="4">
                  <c:v>-5.8572088486289076</c:v>
                </c:pt>
                <c:pt idx="5">
                  <c:v>-5.7612284844929915</c:v>
                </c:pt>
                <c:pt idx="6">
                  <c:v>-5.5051755276451537</c:v>
                </c:pt>
                <c:pt idx="7">
                  <c:v>-5.2266676809748382</c:v>
                </c:pt>
                <c:pt idx="8">
                  <c:v>-5.091199808741214</c:v>
                </c:pt>
                <c:pt idx="9">
                  <c:v>-4.8122295987452057</c:v>
                </c:pt>
                <c:pt idx="10">
                  <c:v>-4.883380430399014</c:v>
                </c:pt>
                <c:pt idx="11">
                  <c:v>-4.5110434361628258</c:v>
                </c:pt>
                <c:pt idx="12">
                  <c:v>-4.3679974276267535</c:v>
                </c:pt>
                <c:pt idx="13">
                  <c:v>-4.0027376168852991</c:v>
                </c:pt>
                <c:pt idx="14">
                  <c:v>-3.6380305781581854</c:v>
                </c:pt>
                <c:pt idx="15">
                  <c:v>-3.5199425278740919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89-4A8E-88DE-AB54257534FB}"/>
            </c:ext>
          </c:extLst>
        </c:ser>
        <c:ser>
          <c:idx val="3"/>
          <c:order val="3"/>
          <c:tx>
            <c:strRef>
              <c:f>'[1]samlede Arrhenius  5-36'!$K$1</c:f>
              <c:strCache>
                <c:ptCount val="1"/>
                <c:pt idx="0">
                  <c:v>lagret biogasgylle 17 timer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7279357610459145"/>
                  <c:y val="-0.14819474490462306"/>
                </c:manualLayout>
              </c:layout>
              <c:numFmt formatCode="General" sourceLinked="0"/>
            </c:trendlineLbl>
          </c:trendline>
          <c:xVal>
            <c:numRef>
              <c:f>'[1]samlede Arrhenius  5-36'!$K$3:$K$18</c:f>
              <c:numCache>
                <c:formatCode>General</c:formatCode>
                <c:ptCount val="16"/>
                <c:pt idx="0">
                  <c:v>3.5712270521877699E-3</c:v>
                </c:pt>
                <c:pt idx="1">
                  <c:v>3.550624448321727E-3</c:v>
                </c:pt>
                <c:pt idx="2">
                  <c:v>3.5302581960239407E-3</c:v>
                </c:pt>
                <c:pt idx="3">
                  <c:v>3.5101242513782506E-3</c:v>
                </c:pt>
                <c:pt idx="4">
                  <c:v>3.4902186621991868E-3</c:v>
                </c:pt>
                <c:pt idx="5">
                  <c:v>3.4705375654456622E-3</c:v>
                </c:pt>
                <c:pt idx="6">
                  <c:v>3.4510771847216675E-3</c:v>
                </c:pt>
                <c:pt idx="7">
                  <c:v>3.4318338278605883E-3</c:v>
                </c:pt>
                <c:pt idx="8">
                  <c:v>3.4128038845898942E-3</c:v>
                </c:pt>
                <c:pt idx="9">
                  <c:v>3.3939838242730939E-3</c:v>
                </c:pt>
                <c:pt idx="10">
                  <c:v>3.3753701937259974E-3</c:v>
                </c:pt>
                <c:pt idx="11">
                  <c:v>3.3569596151044384E-3</c:v>
                </c:pt>
                <c:pt idx="12">
                  <c:v>3.3387487838607557E-3</c:v>
                </c:pt>
                <c:pt idx="13">
                  <c:v>3.3029134999983489E-3</c:v>
                </c:pt>
                <c:pt idx="14">
                  <c:v>3.2678392981204045E-3</c:v>
                </c:pt>
                <c:pt idx="15">
                  <c:v>3.233502186817529E-3</c:v>
                </c:pt>
              </c:numCache>
            </c:numRef>
          </c:xVal>
          <c:yVal>
            <c:numRef>
              <c:f>'[1]samlede Arrhenius  5-36'!$L$3:$L$18</c:f>
              <c:numCache>
                <c:formatCode>General</c:formatCode>
                <c:ptCount val="16"/>
                <c:pt idx="0">
                  <c:v>-6.1252659492410091</c:v>
                </c:pt>
                <c:pt idx="1">
                  <c:v>-6.1180060782082784</c:v>
                </c:pt>
                <c:pt idx="2">
                  <c:v>-5.9411909436741333</c:v>
                </c:pt>
                <c:pt idx="3">
                  <c:v>-6.105910227065757</c:v>
                </c:pt>
                <c:pt idx="4">
                  <c:v>-5.899463475250637</c:v>
                </c:pt>
                <c:pt idx="5">
                  <c:v>-5.7247788820156158</c:v>
                </c:pt>
                <c:pt idx="6">
                  <c:v>-5.5237994423924377</c:v>
                </c:pt>
                <c:pt idx="7">
                  <c:v>-5.502725516177823</c:v>
                </c:pt>
                <c:pt idx="8">
                  <c:v>-5.2135479516770111</c:v>
                </c:pt>
                <c:pt idx="9">
                  <c:v>-5.0879131718610076</c:v>
                </c:pt>
                <c:pt idx="10">
                  <c:v>-5.0028781728547482</c:v>
                </c:pt>
                <c:pt idx="11">
                  <c:v>-4.7545239126202627</c:v>
                </c:pt>
                <c:pt idx="12">
                  <c:v>-4.5356159891437802</c:v>
                </c:pt>
                <c:pt idx="13">
                  <c:v>-3.9947995194195332</c:v>
                </c:pt>
                <c:pt idx="14">
                  <c:v>-3.416469932852598</c:v>
                </c:pt>
                <c:pt idx="15">
                  <c:v>-2.7935914878604802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89-4A8E-88DE-AB54257534FB}"/>
            </c:ext>
          </c:extLst>
        </c:ser>
        <c:ser>
          <c:idx val="4"/>
          <c:order val="4"/>
          <c:tx>
            <c:strRef>
              <c:f>'[1]samlede Arrhenius  5-36'!$N$1</c:f>
              <c:strCache>
                <c:ptCount val="1"/>
                <c:pt idx="0">
                  <c:v>kvæggylle 17 timer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3256581133516218"/>
                  <c:y val="-1.2408128383690987E-3"/>
                </c:manualLayout>
              </c:layout>
              <c:numFmt formatCode="General" sourceLinked="0"/>
            </c:trendlineLbl>
          </c:trendline>
          <c:xVal>
            <c:numRef>
              <c:f>'[1]samlede Arrhenius  5-36'!$N$3:$N$18</c:f>
              <c:numCache>
                <c:formatCode>General</c:formatCode>
                <c:ptCount val="16"/>
                <c:pt idx="0">
                  <c:v>3.5935120064622883E-3</c:v>
                </c:pt>
                <c:pt idx="1">
                  <c:v>3.5733159685117605E-3</c:v>
                </c:pt>
                <c:pt idx="2">
                  <c:v>3.5533456709607824E-3</c:v>
                </c:pt>
                <c:pt idx="3">
                  <c:v>3.5335973500377395E-3</c:v>
                </c:pt>
                <c:pt idx="4">
                  <c:v>3.5140673251797682E-3</c:v>
                </c:pt>
                <c:pt idx="5">
                  <c:v>3.4947519967459379E-3</c:v>
                </c:pt>
                <c:pt idx="6">
                  <c:v>3.4756478438054406E-3</c:v>
                </c:pt>
                <c:pt idx="7">
                  <c:v>3.4567514219979363E-3</c:v>
                </c:pt>
                <c:pt idx="8">
                  <c:v>3.4380593614633118E-3</c:v>
                </c:pt>
                <c:pt idx="9">
                  <c:v>3.419568364838249E-3</c:v>
                </c:pt>
                <c:pt idx="10">
                  <c:v>3.4012752053170997E-3</c:v>
                </c:pt>
                <c:pt idx="11">
                  <c:v>3.3831767247746681E-3</c:v>
                </c:pt>
                <c:pt idx="12">
                  <c:v>3.347551500679234E-3</c:v>
                </c:pt>
                <c:pt idx="13">
                  <c:v>3.3126687335092559E-3</c:v>
                </c:pt>
                <c:pt idx="14">
                  <c:v>3.2785054525726102E-3</c:v>
                </c:pt>
                <c:pt idx="15">
                  <c:v>3.2450396250840717E-3</c:v>
                </c:pt>
              </c:numCache>
            </c:numRef>
          </c:xVal>
          <c:yVal>
            <c:numRef>
              <c:f>'[1]samlede Arrhenius  5-36'!$O$3:$O$18</c:f>
              <c:numCache>
                <c:formatCode>General</c:formatCode>
                <c:ptCount val="16"/>
                <c:pt idx="0">
                  <c:v>-6.1553226838581825</c:v>
                </c:pt>
                <c:pt idx="1">
                  <c:v>-5.7810611935549243</c:v>
                </c:pt>
                <c:pt idx="2">
                  <c:v>-5.4903737391551193</c:v>
                </c:pt>
                <c:pt idx="3">
                  <c:v>-5.2992917448798034</c:v>
                </c:pt>
                <c:pt idx="4">
                  <c:v>-5.0727029775840951</c:v>
                </c:pt>
                <c:pt idx="5">
                  <c:v>-4.8159640452719952</c:v>
                </c:pt>
                <c:pt idx="6">
                  <c:v>-4.6614352344734771</c:v>
                </c:pt>
                <c:pt idx="7">
                  <c:v>-4.4357618010953344</c:v>
                </c:pt>
                <c:pt idx="8">
                  <c:v>-4.2784452169399989</c:v>
                </c:pt>
                <c:pt idx="9">
                  <c:v>-4.0548458049112757</c:v>
                </c:pt>
                <c:pt idx="10">
                  <c:v>-3.854207746180681</c:v>
                </c:pt>
                <c:pt idx="11">
                  <c:v>-3.7278576368629071</c:v>
                </c:pt>
                <c:pt idx="12">
                  <c:v>-3.3733377536600084</c:v>
                </c:pt>
                <c:pt idx="13">
                  <c:v>-3.0620008462606472</c:v>
                </c:pt>
                <c:pt idx="14">
                  <c:v>-2.7719585342413344</c:v>
                </c:pt>
                <c:pt idx="15">
                  <c:v>-2.6571986477466369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89-4A8E-88DE-AB54257534FB}"/>
            </c:ext>
          </c:extLst>
        </c:ser>
        <c:ser>
          <c:idx val="5"/>
          <c:order val="5"/>
          <c:tx>
            <c:strRef>
              <c:f>'[1]samlede Arrhenius  5-36'!$Q$1</c:f>
              <c:strCache>
                <c:ptCount val="1"/>
                <c:pt idx="0">
                  <c:v>kvæggylle 3 timer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15505313910784915"/>
                  <c:y val="9.9406018699122994E-2"/>
                </c:manualLayout>
              </c:layout>
              <c:numFmt formatCode="General" sourceLinked="0"/>
            </c:trendlineLbl>
          </c:trendline>
          <c:xVal>
            <c:numRef>
              <c:f>'[1]samlede Arrhenius  5-36'!$Q$3:$Q$18</c:f>
              <c:numCache>
                <c:formatCode>General</c:formatCode>
                <c:ptCount val="16"/>
                <c:pt idx="0">
                  <c:v>3.5947947372205052E-3</c:v>
                </c:pt>
                <c:pt idx="1">
                  <c:v>3.5745473640036649E-3</c:v>
                </c:pt>
                <c:pt idx="2">
                  <c:v>3.5545267965111614E-3</c:v>
                </c:pt>
                <c:pt idx="3">
                  <c:v>3.5347292450419242E-3</c:v>
                </c:pt>
                <c:pt idx="4">
                  <c:v>3.5151510038568239E-3</c:v>
                </c:pt>
                <c:pt idx="5">
                  <c:v>3.4957884488662286E-3</c:v>
                </c:pt>
                <c:pt idx="6">
                  <c:v>3.4766380353935663E-3</c:v>
                </c:pt>
                <c:pt idx="7">
                  <c:v>3.4576962960119976E-3</c:v>
                </c:pt>
                <c:pt idx="8">
                  <c:v>3.4389598384514226E-3</c:v>
                </c:pt>
                <c:pt idx="9">
                  <c:v>3.4204253435731751E-3</c:v>
                </c:pt>
                <c:pt idx="10">
                  <c:v>3.4020895634098471E-3</c:v>
                </c:pt>
                <c:pt idx="11">
                  <c:v>3.3839493192678351E-3</c:v>
                </c:pt>
                <c:pt idx="12">
                  <c:v>3.3482430596780801E-3</c:v>
                </c:pt>
                <c:pt idx="13">
                  <c:v>3.31328245235914E-3</c:v>
                </c:pt>
                <c:pt idx="14">
                  <c:v>3.2790443815378001E-3</c:v>
                </c:pt>
                <c:pt idx="15">
                  <c:v>3.2455066771431623E-3</c:v>
                </c:pt>
              </c:numCache>
            </c:numRef>
          </c:xVal>
          <c:yVal>
            <c:numRef>
              <c:f>'[1]samlede Arrhenius  5-36'!$R$3:$R$18</c:f>
              <c:numCache>
                <c:formatCode>General</c:formatCode>
                <c:ptCount val="16"/>
                <c:pt idx="0">
                  <c:v>-6.0439451350190341</c:v>
                </c:pt>
                <c:pt idx="1">
                  <c:v>-5.9077489439614697</c:v>
                </c:pt>
                <c:pt idx="2">
                  <c:v>-5.8478211628466337</c:v>
                </c:pt>
                <c:pt idx="3">
                  <c:v>-5.6927052172049875</c:v>
                </c:pt>
                <c:pt idx="4">
                  <c:v>-5.6565678932487735</c:v>
                </c:pt>
                <c:pt idx="5">
                  <c:v>-5.5674886865606759</c:v>
                </c:pt>
                <c:pt idx="6">
                  <c:v>-5.8168330483842254</c:v>
                </c:pt>
                <c:pt idx="7">
                  <c:v>-5.4442863452746186</c:v>
                </c:pt>
                <c:pt idx="8">
                  <c:v>-5.4971890056442749</c:v>
                </c:pt>
                <c:pt idx="9">
                  <c:v>-4.8807750426533252</c:v>
                </c:pt>
                <c:pt idx="10">
                  <c:v>-4.8221960409469489</c:v>
                </c:pt>
                <c:pt idx="11">
                  <c:v>-4.7565296230001701</c:v>
                </c:pt>
                <c:pt idx="12">
                  <c:v>-4.4286359807938958</c:v>
                </c:pt>
                <c:pt idx="13">
                  <c:v>-4.1824455052460801</c:v>
                </c:pt>
                <c:pt idx="14">
                  <c:v>-3.6258270615937369</c:v>
                </c:pt>
                <c:pt idx="15">
                  <c:v>-3.4243486661935338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B89-4A8E-88DE-AB54257534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205024"/>
        <c:axId val="420206592"/>
      </c:scatterChart>
      <c:valAx>
        <c:axId val="420205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20206592"/>
        <c:crosses val="autoZero"/>
        <c:crossBetween val="midCat"/>
      </c:valAx>
      <c:valAx>
        <c:axId val="420206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20205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295275</xdr:colOff>
      <xdr:row>31</xdr:row>
      <xdr:rowOff>138112</xdr:rowOff>
    </xdr:from>
    <xdr:to>
      <xdr:col>29</xdr:col>
      <xdr:colOff>195262</xdr:colOff>
      <xdr:row>49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295275</xdr:colOff>
      <xdr:row>50</xdr:row>
      <xdr:rowOff>0</xdr:rowOff>
    </xdr:from>
    <xdr:to>
      <xdr:col>29</xdr:col>
      <xdr:colOff>195262</xdr:colOff>
      <xdr:row>67</xdr:row>
      <xdr:rowOff>80963</xdr:rowOff>
    </xdr:to>
    <xdr:graphicFrame macro="">
      <xdr:nvGraphicFramePr>
        <xdr:cNvPr id="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REN~1/AppData/Local/Temp/20140829%20Arrhenius%20parametre.1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isk biogasgylle"/>
      <sheetName val="svinegylle"/>
      <sheetName val="lagret biogasgylle"/>
      <sheetName val="kvæggylle 17 timer"/>
      <sheetName val="kvæggylle 3 timer"/>
      <sheetName val="samlede Arrhenius  5-36"/>
      <sheetName val="Sheet1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Frisk biogas 17 timer</v>
          </cell>
          <cell r="E1" t="str">
            <v>Frisk biogas 41 timer</v>
          </cell>
          <cell r="H1" t="str">
            <v>svine gylle 17 timer</v>
          </cell>
          <cell r="K1" t="str">
            <v>lagret biogasgylle 17 timer</v>
          </cell>
          <cell r="N1" t="str">
            <v>kvæggylle 17 timer</v>
          </cell>
          <cell r="Q1" t="str">
            <v>kvæggylle 3 timer</v>
          </cell>
        </row>
        <row r="3">
          <cell r="B3">
            <v>3.5860288316718072E-3</v>
          </cell>
          <cell r="C3">
            <v>-7.6748731213003873</v>
          </cell>
          <cell r="E3">
            <v>3.5860288316718072E-3</v>
          </cell>
          <cell r="F3">
            <v>-7.7106081766747216</v>
          </cell>
          <cell r="H3">
            <v>3.5846341074350697E-3</v>
          </cell>
          <cell r="I3">
            <v>-6.7892104947355474</v>
          </cell>
          <cell r="K3">
            <v>3.5712270521877699E-3</v>
          </cell>
          <cell r="L3">
            <v>-6.1252659492410091</v>
          </cell>
          <cell r="N3">
            <v>3.5935120064622883E-3</v>
          </cell>
          <cell r="O3">
            <v>-6.1553226838581825</v>
          </cell>
          <cell r="Q3">
            <v>3.5947947372205052E-3</v>
          </cell>
          <cell r="R3">
            <v>-6.0439451350190341</v>
          </cell>
        </row>
        <row r="4">
          <cell r="B4">
            <v>3.5641729336707418E-3</v>
          </cell>
          <cell r="C4">
            <v>-7.9117076394842334</v>
          </cell>
          <cell r="E4">
            <v>3.5641729336707418E-3</v>
          </cell>
          <cell r="F4">
            <v>-7.8569961254056917</v>
          </cell>
          <cell r="H4">
            <v>3.56332201384707E-3</v>
          </cell>
          <cell r="I4">
            <v>-6.5560639652931965</v>
          </cell>
          <cell r="K4">
            <v>3.550624448321727E-3</v>
          </cell>
          <cell r="L4">
            <v>-6.1180060782082784</v>
          </cell>
          <cell r="N4">
            <v>3.5733159685117605E-3</v>
          </cell>
          <cell r="O4">
            <v>-5.7810611935549243</v>
          </cell>
          <cell r="Q4">
            <v>3.5745473640036649E-3</v>
          </cell>
          <cell r="R4">
            <v>-5.9077489439614697</v>
          </cell>
        </row>
        <row r="5">
          <cell r="B5">
            <v>3.541568093021411E-3</v>
          </cell>
          <cell r="C5">
            <v>-7.3702405181460078</v>
          </cell>
          <cell r="E5">
            <v>3.541568093021411E-3</v>
          </cell>
          <cell r="F5">
            <v>-7.4776143718956964</v>
          </cell>
          <cell r="H5">
            <v>3.5422618404529847E-3</v>
          </cell>
          <cell r="I5">
            <v>-6.332554056054053</v>
          </cell>
          <cell r="K5">
            <v>3.5302581960239407E-3</v>
          </cell>
          <cell r="L5">
            <v>-5.9411909436741333</v>
          </cell>
          <cell r="N5">
            <v>3.5533456709607824E-3</v>
          </cell>
          <cell r="O5">
            <v>-5.4903737391551193</v>
          </cell>
          <cell r="Q5">
            <v>3.5545267965111614E-3</v>
          </cell>
          <cell r="R5">
            <v>-5.8478211628466337</v>
          </cell>
        </row>
        <row r="6">
          <cell r="B6">
            <v>3.5208986460032168E-3</v>
          </cell>
          <cell r="C6">
            <v>-7.5418864846465956</v>
          </cell>
          <cell r="E6">
            <v>3.5208986460032168E-3</v>
          </cell>
          <cell r="F6">
            <v>-7.1836596334634475</v>
          </cell>
          <cell r="H6">
            <v>3.5214491467528719E-3</v>
          </cell>
          <cell r="I6">
            <v>-6.0444987248070383</v>
          </cell>
          <cell r="K6">
            <v>3.5101242513782506E-3</v>
          </cell>
          <cell r="L6">
            <v>-6.105910227065757</v>
          </cell>
          <cell r="N6">
            <v>3.5335973500377395E-3</v>
          </cell>
          <cell r="O6">
            <v>-5.2992917448798034</v>
          </cell>
          <cell r="Q6">
            <v>3.5347292450419242E-3</v>
          </cell>
          <cell r="R6">
            <v>-5.6927052172049875</v>
          </cell>
        </row>
        <row r="7">
          <cell r="B7">
            <v>3.5004690628544226E-3</v>
          </cell>
          <cell r="C7">
            <v>-7.0728924473447483</v>
          </cell>
          <cell r="E7">
            <v>3.5004690628544226E-3</v>
          </cell>
          <cell r="F7">
            <v>-7.1060818051448473</v>
          </cell>
          <cell r="H7">
            <v>3.5008795959984946E-3</v>
          </cell>
          <cell r="I7">
            <v>-5.8572088486289076</v>
          </cell>
          <cell r="K7">
            <v>3.4902186621991868E-3</v>
          </cell>
          <cell r="L7">
            <v>-5.899463475250637</v>
          </cell>
          <cell r="N7">
            <v>3.5140673251797682E-3</v>
          </cell>
          <cell r="O7">
            <v>-5.0727029775840951</v>
          </cell>
          <cell r="Q7">
            <v>3.5151510038568239E-3</v>
          </cell>
          <cell r="R7">
            <v>-5.6565678932487735</v>
          </cell>
        </row>
        <row r="8">
          <cell r="B8">
            <v>3.4802751923200073E-3</v>
          </cell>
          <cell r="C8">
            <v>-7.075486695777454</v>
          </cell>
          <cell r="E8">
            <v>3.4802751923200073E-3</v>
          </cell>
          <cell r="F8">
            <v>-6.96696632135325</v>
          </cell>
          <cell r="H8">
            <v>3.4805489521807383E-3</v>
          </cell>
          <cell r="I8">
            <v>-5.7612284844929915</v>
          </cell>
          <cell r="K8">
            <v>3.4705375654456622E-3</v>
          </cell>
          <cell r="L8">
            <v>-5.7247788820156158</v>
          </cell>
          <cell r="N8">
            <v>3.4947519967459379E-3</v>
          </cell>
          <cell r="O8">
            <v>-4.8159640452719952</v>
          </cell>
          <cell r="Q8">
            <v>3.4957884488662286E-3</v>
          </cell>
          <cell r="R8">
            <v>-5.5674886865606759</v>
          </cell>
        </row>
        <row r="9">
          <cell r="B9">
            <v>3.4603129783882694E-3</v>
          </cell>
          <cell r="C9">
            <v>-6.9055457495090948</v>
          </cell>
          <cell r="E9">
            <v>3.4603129783882694E-3</v>
          </cell>
          <cell r="F9">
            <v>-6.755094781721759</v>
          </cell>
          <cell r="H9">
            <v>3.4604530771213879E-3</v>
          </cell>
          <cell r="I9">
            <v>-5.5051755276451537</v>
          </cell>
          <cell r="K9">
            <v>3.4510771847216675E-3</v>
          </cell>
          <cell r="L9">
            <v>-5.5237994423924377</v>
          </cell>
          <cell r="N9">
            <v>3.4756478438054406E-3</v>
          </cell>
          <cell r="O9">
            <v>-4.6614352344734771</v>
          </cell>
          <cell r="Q9">
            <v>3.4766380353935663E-3</v>
          </cell>
          <cell r="R9">
            <v>-5.8168330483842254</v>
          </cell>
        </row>
        <row r="10">
          <cell r="B10">
            <v>3.4405784575749151E-3</v>
          </cell>
          <cell r="C10">
            <v>-6.8070596694176659</v>
          </cell>
          <cell r="E10">
            <v>3.4405784575749151E-3</v>
          </cell>
          <cell r="F10">
            <v>-6.7246106184579331</v>
          </cell>
          <cell r="H10">
            <v>3.4405879276650799E-3</v>
          </cell>
          <cell r="I10">
            <v>-5.2266676809748382</v>
          </cell>
          <cell r="K10">
            <v>3.4318338278605883E-3</v>
          </cell>
          <cell r="L10">
            <v>-5.502725516177823</v>
          </cell>
          <cell r="N10">
            <v>3.4567514219979363E-3</v>
          </cell>
          <cell r="O10">
            <v>-4.4357618010953344</v>
          </cell>
          <cell r="Q10">
            <v>3.4576962960119976E-3</v>
          </cell>
          <cell r="R10">
            <v>-5.4442863452746186</v>
          </cell>
        </row>
        <row r="11">
          <cell r="B11">
            <v>3.4210677562995541E-3</v>
          </cell>
          <cell r="C11">
            <v>-6.4205922461850848</v>
          </cell>
          <cell r="E11">
            <v>3.4210677562995541E-3</v>
          </cell>
          <cell r="F11">
            <v>-6.3000011433261101</v>
          </cell>
          <cell r="H11">
            <v>3.4209495529674175E-3</v>
          </cell>
          <cell r="I11">
            <v>-5.091199808741214</v>
          </cell>
          <cell r="K11">
            <v>3.4128038845898942E-3</v>
          </cell>
          <cell r="L11">
            <v>-5.2135479516770111</v>
          </cell>
          <cell r="N11">
            <v>3.4380593614633118E-3</v>
          </cell>
          <cell r="O11">
            <v>-4.2784452169399989</v>
          </cell>
          <cell r="Q11">
            <v>3.4389598384514226E-3</v>
          </cell>
          <cell r="R11">
            <v>-5.4971890056442749</v>
          </cell>
        </row>
        <row r="12">
          <cell r="B12">
            <v>3.4017770883509545E-3</v>
          </cell>
          <cell r="C12">
            <v>-6.2813736897389116</v>
          </cell>
          <cell r="E12">
            <v>3.4017770883509545E-3</v>
          </cell>
          <cell r="F12">
            <v>-6.09099501555787</v>
          </cell>
          <cell r="H12">
            <v>3.4015340918754364E-3</v>
          </cell>
          <cell r="I12">
            <v>-4.8122295987452057</v>
          </cell>
          <cell r="K12">
            <v>3.3939838242730939E-3</v>
          </cell>
          <cell r="L12">
            <v>-5.0879131718610076</v>
          </cell>
          <cell r="N12">
            <v>3.419568364838249E-3</v>
          </cell>
          <cell r="O12">
            <v>-4.0548458049112757</v>
          </cell>
          <cell r="Q12">
            <v>3.4204253435731751E-3</v>
          </cell>
          <cell r="R12">
            <v>-4.8807750426533252</v>
          </cell>
        </row>
        <row r="13">
          <cell r="B13">
            <v>3.3827027524375758E-3</v>
          </cell>
          <cell r="C13">
            <v>-6.1577802411364315</v>
          </cell>
          <cell r="E13">
            <v>3.3827027524375758E-3</v>
          </cell>
          <cell r="F13">
            <v>-5.8822493113127123</v>
          </cell>
          <cell r="H13">
            <v>3.3823377703967655E-3</v>
          </cell>
          <cell r="I13">
            <v>-4.883380430399014</v>
          </cell>
          <cell r="K13">
            <v>3.3753701937259974E-3</v>
          </cell>
          <cell r="L13">
            <v>-5.0028781728547482</v>
          </cell>
          <cell r="N13">
            <v>3.4012752053170997E-3</v>
          </cell>
          <cell r="O13">
            <v>-3.854207746180681</v>
          </cell>
          <cell r="Q13">
            <v>3.4020895634098471E-3</v>
          </cell>
          <cell r="R13">
            <v>-4.8221960409469489</v>
          </cell>
        </row>
        <row r="14">
          <cell r="B14">
            <v>3.3638411298200477E-3</v>
          </cell>
          <cell r="C14">
            <v>-5.8639112908506839</v>
          </cell>
          <cell r="E14">
            <v>3.3638411298200477E-3</v>
          </cell>
          <cell r="F14">
            <v>-5.6662304434547108</v>
          </cell>
          <cell r="H14">
            <v>3.3633568992540073E-3</v>
          </cell>
          <cell r="I14">
            <v>-4.5110434361628258</v>
          </cell>
          <cell r="K14">
            <v>3.3569596151044384E-3</v>
          </cell>
          <cell r="L14">
            <v>-4.7545239126202627</v>
          </cell>
          <cell r="N14">
            <v>3.3831767247746681E-3</v>
          </cell>
          <cell r="O14">
            <v>-3.7278576368629071</v>
          </cell>
          <cell r="Q14">
            <v>3.3839493192678351E-3</v>
          </cell>
          <cell r="R14">
            <v>-4.7565296230001701</v>
          </cell>
        </row>
        <row r="15">
          <cell r="B15">
            <v>3.3451886820224206E-3</v>
          </cell>
          <cell r="C15">
            <v>-5.6659898310459802</v>
          </cell>
          <cell r="E15">
            <v>3.3451886820224206E-3</v>
          </cell>
          <cell r="F15">
            <v>-5.4931805210525386</v>
          </cell>
          <cell r="H15">
            <v>3.3445878715210016E-3</v>
          </cell>
          <cell r="I15">
            <v>-4.3679974276267535</v>
          </cell>
          <cell r="K15">
            <v>3.3387487838607557E-3</v>
          </cell>
          <cell r="L15">
            <v>-4.5356159891437802</v>
          </cell>
          <cell r="N15">
            <v>3.347551500679234E-3</v>
          </cell>
          <cell r="O15">
            <v>-3.3733377536600084</v>
          </cell>
          <cell r="Q15">
            <v>3.3482430596780801E-3</v>
          </cell>
          <cell r="R15">
            <v>-4.4286359807938958</v>
          </cell>
        </row>
        <row r="16">
          <cell r="B16">
            <v>3.3084975450948222E-3</v>
          </cell>
          <cell r="C16">
            <v>-5.1782109307839308</v>
          </cell>
          <cell r="E16">
            <v>3.3084975450948222E-3</v>
          </cell>
          <cell r="F16">
            <v>-5.0830646411746674</v>
          </cell>
          <cell r="H16">
            <v>3.3076713167012597E-3</v>
          </cell>
          <cell r="I16">
            <v>-4.0027376168852991</v>
          </cell>
          <cell r="K16">
            <v>3.3029134999983489E-3</v>
          </cell>
          <cell r="L16">
            <v>-3.9947995194195332</v>
          </cell>
          <cell r="N16">
            <v>3.3126687335092559E-3</v>
          </cell>
          <cell r="O16">
            <v>-3.0620008462606472</v>
          </cell>
          <cell r="Q16">
            <v>3.31328245235914E-3</v>
          </cell>
          <cell r="R16">
            <v>-4.1824455052460801</v>
          </cell>
        </row>
        <row r="17">
          <cell r="B17">
            <v>3.2726025568189259E-3</v>
          </cell>
          <cell r="C17">
            <v>-4.8943808011188841</v>
          </cell>
          <cell r="E17">
            <v>3.2726025568189259E-3</v>
          </cell>
          <cell r="F17">
            <v>-4.730827522209629</v>
          </cell>
          <cell r="H17">
            <v>3.2715608125902748E-3</v>
          </cell>
          <cell r="I17">
            <v>-3.6380305781581854</v>
          </cell>
          <cell r="K17">
            <v>3.2678392981204045E-3</v>
          </cell>
          <cell r="L17">
            <v>-3.416469932852598</v>
          </cell>
          <cell r="N17">
            <v>3.2785054525726102E-3</v>
          </cell>
          <cell r="O17">
            <v>-2.7719585342413344</v>
          </cell>
          <cell r="Q17">
            <v>3.2790443815378001E-3</v>
          </cell>
          <cell r="R17">
            <v>-3.6258270615937369</v>
          </cell>
        </row>
        <row r="18">
          <cell r="B18">
            <v>3.2374780822733832E-3</v>
          </cell>
          <cell r="C18">
            <v>-4.4923263817050234</v>
          </cell>
          <cell r="E18">
            <v>3.2374780822733832E-3</v>
          </cell>
          <cell r="F18">
            <v>-4.4043764850326577</v>
          </cell>
          <cell r="H18">
            <v>3.2362302448369997E-3</v>
          </cell>
          <cell r="I18">
            <v>-3.5199425278740919</v>
          </cell>
          <cell r="K18">
            <v>3.233502186817529E-3</v>
          </cell>
          <cell r="L18">
            <v>-2.7935914878604802</v>
          </cell>
          <cell r="N18">
            <v>3.2450396250840717E-3</v>
          </cell>
          <cell r="O18">
            <v>-2.6571986477466369</v>
          </cell>
          <cell r="Q18">
            <v>3.2455066771431623E-3</v>
          </cell>
          <cell r="R18">
            <v>-3.4243486661935338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B17" sqref="B2:F17"/>
    </sheetView>
  </sheetViews>
  <sheetFormatPr defaultRowHeight="14.5" x14ac:dyDescent="0.35"/>
  <cols>
    <col min="3" max="3" width="30.81640625" customWidth="1"/>
    <col min="5" max="5" width="9.54296875" bestFit="1" customWidth="1"/>
    <col min="8" max="8" width="8.54296875" bestFit="1" customWidth="1"/>
  </cols>
  <sheetData>
    <row r="1" spans="1:9" x14ac:dyDescent="0.35">
      <c r="A1" s="5" t="s">
        <v>44</v>
      </c>
      <c r="B1" t="s">
        <v>43</v>
      </c>
      <c r="C1" t="s">
        <v>41</v>
      </c>
      <c r="D1" t="s">
        <v>0</v>
      </c>
      <c r="E1" t="s">
        <v>2</v>
      </c>
      <c r="F1" t="s">
        <v>3</v>
      </c>
    </row>
    <row r="2" spans="1:9" x14ac:dyDescent="0.35">
      <c r="A2" s="5" t="s">
        <v>46</v>
      </c>
      <c r="B2" s="62">
        <v>5.8184999999999931</v>
      </c>
      <c r="C2" s="63">
        <v>1.1258572936436401E-3</v>
      </c>
      <c r="D2" s="68">
        <v>7.0959697367087778E-5</v>
      </c>
      <c r="E2" s="69">
        <f>1/(273.15+B2)</f>
        <v>3.5846341074350697E-3</v>
      </c>
      <c r="F2" s="65">
        <f>LN(C2)</f>
        <v>-6.7892104947355474</v>
      </c>
      <c r="H2" s="11"/>
      <c r="I2" s="11"/>
    </row>
    <row r="3" spans="1:9" x14ac:dyDescent="0.35">
      <c r="B3" s="62">
        <v>7.4869999999999948</v>
      </c>
      <c r="C3" s="63">
        <v>1.4214696677596254E-3</v>
      </c>
      <c r="D3" s="68">
        <v>2.0379406001884567E-4</v>
      </c>
      <c r="E3" s="69">
        <f t="shared" ref="E3:E21" si="0">1/(273.15+B3)</f>
        <v>3.56332201384707E-3</v>
      </c>
      <c r="F3" s="65">
        <f t="shared" ref="F3:F21" si="1">LN(C3)</f>
        <v>-6.5560639652931965</v>
      </c>
      <c r="H3" s="11"/>
      <c r="I3" s="11"/>
    </row>
    <row r="4" spans="1:9" x14ac:dyDescent="0.35">
      <c r="B4" s="62">
        <v>9.1554999999999964</v>
      </c>
      <c r="C4" s="63">
        <v>1.7774881623032655E-3</v>
      </c>
      <c r="D4" s="68">
        <v>1.7445466886518296E-4</v>
      </c>
      <c r="E4" s="69">
        <f t="shared" si="0"/>
        <v>3.5422618404529847E-3</v>
      </c>
      <c r="F4" s="65">
        <f t="shared" si="1"/>
        <v>-6.332554056054053</v>
      </c>
      <c r="H4" s="11"/>
      <c r="I4" s="11"/>
    </row>
    <row r="5" spans="1:9" x14ac:dyDescent="0.35">
      <c r="B5" s="62">
        <v>10.823999999999998</v>
      </c>
      <c r="C5" s="63">
        <v>2.3708689989738567E-3</v>
      </c>
      <c r="D5" s="68">
        <v>1.1909264431069764E-4</v>
      </c>
      <c r="E5" s="69">
        <f t="shared" si="0"/>
        <v>3.5214491467528719E-3</v>
      </c>
      <c r="F5" s="65">
        <f t="shared" si="1"/>
        <v>-6.0444987248070383</v>
      </c>
      <c r="H5" s="11"/>
      <c r="I5" s="11"/>
    </row>
    <row r="6" spans="1:9" x14ac:dyDescent="0.35">
      <c r="B6" s="62">
        <v>12.492499999999993</v>
      </c>
      <c r="C6" s="63">
        <v>2.8592130520782282E-3</v>
      </c>
      <c r="D6" s="68">
        <v>2.7400979839373448E-5</v>
      </c>
      <c r="E6" s="69">
        <f t="shared" si="0"/>
        <v>3.5008795959984946E-3</v>
      </c>
      <c r="F6" s="65">
        <f t="shared" si="1"/>
        <v>-5.8572088486289076</v>
      </c>
      <c r="H6" s="11"/>
      <c r="I6" s="11"/>
    </row>
    <row r="7" spans="1:9" x14ac:dyDescent="0.35">
      <c r="B7" s="62">
        <v>14.160999999999994</v>
      </c>
      <c r="C7" s="63">
        <v>3.1472428835247548E-3</v>
      </c>
      <c r="D7" s="68">
        <v>1.6796226439845435E-4</v>
      </c>
      <c r="E7" s="69">
        <f t="shared" si="0"/>
        <v>3.4805489521807383E-3</v>
      </c>
      <c r="F7" s="65">
        <f t="shared" si="1"/>
        <v>-5.7612284844929915</v>
      </c>
      <c r="H7" s="11"/>
      <c r="I7" s="11"/>
    </row>
    <row r="8" spans="1:9" x14ac:dyDescent="0.35">
      <c r="B8" s="62">
        <v>15.829499999999996</v>
      </c>
      <c r="C8" s="63">
        <v>4.0656748799070518E-3</v>
      </c>
      <c r="D8" s="68">
        <v>2.8369124202592863E-4</v>
      </c>
      <c r="E8" s="69">
        <f t="shared" si="0"/>
        <v>3.4604530771213879E-3</v>
      </c>
      <c r="F8" s="65">
        <f t="shared" si="1"/>
        <v>-5.5051755276451537</v>
      </c>
      <c r="H8" s="11"/>
      <c r="I8" s="11"/>
    </row>
    <row r="9" spans="1:9" x14ac:dyDescent="0.35">
      <c r="B9" s="62">
        <v>17.497999999999998</v>
      </c>
      <c r="C9" s="63">
        <v>5.3713947136310386E-3</v>
      </c>
      <c r="D9" s="68">
        <v>2.1289381839257774E-4</v>
      </c>
      <c r="E9" s="69">
        <f t="shared" si="0"/>
        <v>3.4405879276650799E-3</v>
      </c>
      <c r="F9" s="65">
        <f t="shared" si="1"/>
        <v>-5.2266676809748382</v>
      </c>
      <c r="H9" s="11"/>
      <c r="I9" s="11"/>
    </row>
    <row r="10" spans="1:9" x14ac:dyDescent="0.35">
      <c r="B10" s="62">
        <v>19.166499999999999</v>
      </c>
      <c r="C10" s="63">
        <v>6.1506358716686728E-3</v>
      </c>
      <c r="D10" s="68">
        <v>3.1258250269884918E-4</v>
      </c>
      <c r="E10" s="69">
        <f t="shared" si="0"/>
        <v>3.4209495529674175E-3</v>
      </c>
      <c r="F10" s="65">
        <f t="shared" si="1"/>
        <v>-5.091199808741214</v>
      </c>
      <c r="H10" s="11"/>
      <c r="I10" s="11"/>
    </row>
    <row r="11" spans="1:9" x14ac:dyDescent="0.35">
      <c r="B11" s="62">
        <v>20.834999999999994</v>
      </c>
      <c r="C11" s="63">
        <v>8.1297134768347802E-3</v>
      </c>
      <c r="D11" s="68">
        <v>9.0363347390403064E-4</v>
      </c>
      <c r="E11" s="69">
        <f t="shared" si="0"/>
        <v>3.4015340918754364E-3</v>
      </c>
      <c r="F11" s="65">
        <f t="shared" si="1"/>
        <v>-4.8122295987452057</v>
      </c>
      <c r="H11" s="11"/>
      <c r="I11" s="11"/>
    </row>
    <row r="12" spans="1:9" x14ac:dyDescent="0.35">
      <c r="B12" s="62">
        <v>22.503499999999995</v>
      </c>
      <c r="C12" s="63">
        <v>7.5713762082631683E-3</v>
      </c>
      <c r="D12" s="68">
        <v>5.9751653431463678E-4</v>
      </c>
      <c r="E12" s="69">
        <f t="shared" si="0"/>
        <v>3.3823377703967655E-3</v>
      </c>
      <c r="F12" s="65">
        <f t="shared" si="1"/>
        <v>-4.883380430399014</v>
      </c>
      <c r="H12" s="11"/>
      <c r="I12" s="11"/>
    </row>
    <row r="13" spans="1:9" x14ac:dyDescent="0.35">
      <c r="B13" s="62">
        <v>24.171999999999997</v>
      </c>
      <c r="C13" s="63">
        <v>1.0986989969978508E-2</v>
      </c>
      <c r="D13" s="68">
        <v>3.3989848269178107E-4</v>
      </c>
      <c r="E13" s="69">
        <f t="shared" si="0"/>
        <v>3.3633568992540073E-3</v>
      </c>
      <c r="F13" s="65">
        <f t="shared" si="1"/>
        <v>-4.5110434361628258</v>
      </c>
      <c r="H13" s="11"/>
      <c r="I13" s="11"/>
    </row>
    <row r="14" spans="1:9" x14ac:dyDescent="0.35">
      <c r="B14" s="62">
        <v>25.840499999999995</v>
      </c>
      <c r="C14" s="63">
        <v>1.2676600977406485E-2</v>
      </c>
      <c r="D14" s="68">
        <v>2.0707457624754495E-4</v>
      </c>
      <c r="E14" s="69">
        <f t="shared" si="0"/>
        <v>3.3445878715210016E-3</v>
      </c>
      <c r="F14" s="65">
        <f t="shared" si="1"/>
        <v>-4.3679974276267535</v>
      </c>
      <c r="H14" s="11"/>
      <c r="I14" s="11"/>
    </row>
    <row r="15" spans="1:9" x14ac:dyDescent="0.35">
      <c r="B15" s="62">
        <v>29.177499999999998</v>
      </c>
      <c r="C15" s="63">
        <v>1.8265566257560279E-2</v>
      </c>
      <c r="D15" s="68">
        <v>3.5518025105172018E-4</v>
      </c>
      <c r="E15" s="69">
        <f t="shared" si="0"/>
        <v>3.3076713167012597E-3</v>
      </c>
      <c r="F15" s="65">
        <f t="shared" si="1"/>
        <v>-4.0027376168852991</v>
      </c>
      <c r="H15" s="11"/>
      <c r="I15" s="11"/>
    </row>
    <row r="16" spans="1:9" x14ac:dyDescent="0.35">
      <c r="B16" s="62">
        <v>32.514499999999998</v>
      </c>
      <c r="C16" s="63">
        <v>2.6304096850195895E-2</v>
      </c>
      <c r="D16" s="68">
        <v>4.9388767621213439E-4</v>
      </c>
      <c r="E16" s="69">
        <f t="shared" si="0"/>
        <v>3.2715608125902748E-3</v>
      </c>
      <c r="F16" s="65">
        <f t="shared" si="1"/>
        <v>-3.6380305781581854</v>
      </c>
      <c r="H16" s="11"/>
      <c r="I16" s="11"/>
    </row>
    <row r="17" spans="2:9" x14ac:dyDescent="0.35">
      <c r="B17" s="62">
        <v>35.851500000000001</v>
      </c>
      <c r="C17" s="63">
        <v>2.9601136359241855E-2</v>
      </c>
      <c r="D17" s="68">
        <v>3.5806493721826752E-4</v>
      </c>
      <c r="E17" s="69">
        <f t="shared" si="0"/>
        <v>3.2362302448369997E-3</v>
      </c>
      <c r="F17" s="65">
        <f t="shared" si="1"/>
        <v>-3.5199425278740919</v>
      </c>
      <c r="H17" s="11"/>
      <c r="I17" s="11"/>
    </row>
    <row r="18" spans="2:9" x14ac:dyDescent="0.35">
      <c r="B18" s="4">
        <v>39.188499999999998</v>
      </c>
      <c r="C18" s="1">
        <v>2.5250035254674046E-2</v>
      </c>
      <c r="D18" s="2">
        <v>6.862585280338697E-4</v>
      </c>
      <c r="E18" s="27">
        <f t="shared" si="0"/>
        <v>3.2016546151050866E-3</v>
      </c>
      <c r="F18">
        <f t="shared" si="1"/>
        <v>-3.6789277270370282</v>
      </c>
      <c r="H18" s="11"/>
      <c r="I18" s="11"/>
    </row>
    <row r="19" spans="2:9" x14ac:dyDescent="0.35">
      <c r="B19" s="4">
        <v>42.525499999999994</v>
      </c>
      <c r="C19" s="1">
        <v>1.2361972143045762E-2</v>
      </c>
      <c r="D19" s="2">
        <v>4.7633866977007402E-4</v>
      </c>
      <c r="E19" s="27">
        <f t="shared" si="0"/>
        <v>3.1678099820860351E-3</v>
      </c>
      <c r="F19">
        <f t="shared" si="1"/>
        <v>-4.3931302811818478</v>
      </c>
      <c r="H19" s="11"/>
      <c r="I19" s="11"/>
    </row>
    <row r="20" spans="2:9" x14ac:dyDescent="0.35">
      <c r="B20" s="4">
        <v>47.530999999999999</v>
      </c>
      <c r="C20" s="1">
        <v>2.9707960722573823E-3</v>
      </c>
      <c r="D20" s="2">
        <v>2.2952230005387152E-4</v>
      </c>
      <c r="E20" s="27">
        <f t="shared" si="0"/>
        <v>3.1183637321824495E-3</v>
      </c>
      <c r="F20">
        <f t="shared" si="1"/>
        <v>-5.818925324286143</v>
      </c>
      <c r="H20" s="11"/>
      <c r="I20" s="11"/>
    </row>
    <row r="21" spans="2:9" x14ac:dyDescent="0.35">
      <c r="B21" s="4">
        <v>52.536499999999997</v>
      </c>
      <c r="C21" s="1">
        <v>1.6812196981737047E-3</v>
      </c>
      <c r="D21" s="2">
        <v>4.7767729333687619E-5</v>
      </c>
      <c r="E21" s="27">
        <f t="shared" si="0"/>
        <v>3.0704373684509495E-3</v>
      </c>
      <c r="F21">
        <f t="shared" si="1"/>
        <v>-6.3882357381676531</v>
      </c>
      <c r="H21" s="11"/>
      <c r="I21" s="11"/>
    </row>
    <row r="22" spans="2:9" x14ac:dyDescent="0.35">
      <c r="F22" s="60" t="s">
        <v>39</v>
      </c>
      <c r="I22" s="5" t="s">
        <v>40</v>
      </c>
    </row>
    <row r="23" spans="2:9" x14ac:dyDescent="0.35">
      <c r="E23">
        <f t="array" ref="E23:F26">LINEST(F2:F17,E2:E17,TRUE,TRUE)</f>
        <v>-9646.3536792659906</v>
      </c>
      <c r="F23" s="58">
        <v>27.871047203386901</v>
      </c>
      <c r="H23">
        <f>EXP(F23)*24</f>
        <v>30510775545918.031</v>
      </c>
      <c r="I23" s="57">
        <f>LN(H23)</f>
        <v>31.049101033734846</v>
      </c>
    </row>
    <row r="24" spans="2:9" x14ac:dyDescent="0.35">
      <c r="E24">
        <v>208.25422404337331</v>
      </c>
      <c r="F24" s="59">
        <v>0.7138724447982534</v>
      </c>
    </row>
    <row r="25" spans="2:9" x14ac:dyDescent="0.35">
      <c r="E25">
        <v>0.99351716917953736</v>
      </c>
      <c r="F25" s="59">
        <v>8.422784698457858E-2</v>
      </c>
    </row>
    <row r="26" spans="2:9" x14ac:dyDescent="0.35">
      <c r="E26">
        <v>2145.5504167423001</v>
      </c>
      <c r="F26" s="59">
        <v>14</v>
      </c>
    </row>
    <row r="27" spans="2:9" x14ac:dyDescent="0.35">
      <c r="F27" s="5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C41" sqref="C41"/>
    </sheetView>
  </sheetViews>
  <sheetFormatPr defaultRowHeight="14.5" x14ac:dyDescent="0.35"/>
  <cols>
    <col min="1" max="1" width="10.81640625" bestFit="1" customWidth="1"/>
    <col min="3" max="3" width="23" bestFit="1" customWidth="1"/>
    <col min="6" max="6" width="16.81640625" bestFit="1" customWidth="1"/>
    <col min="8" max="8" width="12" bestFit="1" customWidth="1"/>
    <col min="9" max="9" width="13.453125" bestFit="1" customWidth="1"/>
  </cols>
  <sheetData>
    <row r="1" spans="1:6" x14ac:dyDescent="0.35">
      <c r="A1" s="5" t="s">
        <v>47</v>
      </c>
      <c r="B1" t="s">
        <v>43</v>
      </c>
      <c r="C1" t="s">
        <v>41</v>
      </c>
      <c r="D1" t="s">
        <v>0</v>
      </c>
      <c r="E1" t="s">
        <v>2</v>
      </c>
      <c r="F1" t="s">
        <v>3</v>
      </c>
    </row>
    <row r="2" spans="1:6" x14ac:dyDescent="0.35">
      <c r="A2" s="5" t="s">
        <v>46</v>
      </c>
      <c r="B2" s="66">
        <v>5.1292984138299857</v>
      </c>
      <c r="C2" s="67">
        <v>2.1221560893065483E-3</v>
      </c>
      <c r="D2" s="67">
        <v>2.4867268760638423E-4</v>
      </c>
      <c r="E2" s="56">
        <f>1/(273.15+B2)</f>
        <v>3.5935120064622883E-3</v>
      </c>
      <c r="F2" s="58">
        <f t="shared" ref="F2:F21" si="0">LN(C2)</f>
        <v>-6.1553226838581825</v>
      </c>
    </row>
    <row r="3" spans="1:6" x14ac:dyDescent="0.35">
      <c r="B3" s="66">
        <v>6.7021062262755677</v>
      </c>
      <c r="C3" s="67">
        <v>3.0854394218877861E-3</v>
      </c>
      <c r="D3" s="67">
        <v>3.3511350239976697E-4</v>
      </c>
      <c r="E3" s="56">
        <f>1/(273.15+B3)</f>
        <v>3.5733159685117605E-3</v>
      </c>
      <c r="F3" s="58">
        <f t="shared" si="0"/>
        <v>-5.7810611935549243</v>
      </c>
    </row>
    <row r="4" spans="1:6" x14ac:dyDescent="0.35">
      <c r="B4" s="66">
        <v>8.2749140387211568</v>
      </c>
      <c r="C4" s="67">
        <v>4.1263017255159838E-3</v>
      </c>
      <c r="D4" s="67">
        <v>2.2730904426318435E-5</v>
      </c>
      <c r="E4" s="56">
        <f>1/(273.15+B4)</f>
        <v>3.5533456709607824E-3</v>
      </c>
      <c r="F4" s="58">
        <f t="shared" si="0"/>
        <v>-5.4903737391551193</v>
      </c>
    </row>
    <row r="5" spans="1:6" x14ac:dyDescent="0.35">
      <c r="B5" s="66">
        <v>9.8477218511667388</v>
      </c>
      <c r="C5" s="67">
        <v>4.9951304811032817E-3</v>
      </c>
      <c r="D5" s="67">
        <v>6.6623461303988202E-5</v>
      </c>
      <c r="E5" s="56">
        <f>1/(273.15+B5)</f>
        <v>3.5335973500377395E-3</v>
      </c>
      <c r="F5" s="58">
        <f t="shared" si="0"/>
        <v>-5.2992917448798034</v>
      </c>
    </row>
    <row r="6" spans="1:6" x14ac:dyDescent="0.35">
      <c r="B6" s="66">
        <v>11.420529663612321</v>
      </c>
      <c r="C6" s="67">
        <v>6.2654618292795295E-3</v>
      </c>
      <c r="D6" s="67">
        <v>1.1447798214344762E-4</v>
      </c>
      <c r="E6" s="56">
        <f>1/(273.15+B6)</f>
        <v>3.5140673251797682E-3</v>
      </c>
      <c r="F6" s="58">
        <f t="shared" si="0"/>
        <v>-5.0727029775840951</v>
      </c>
    </row>
    <row r="7" spans="1:6" x14ac:dyDescent="0.35">
      <c r="B7" s="66">
        <v>12.99333747605791</v>
      </c>
      <c r="C7" s="67">
        <v>8.0994101149374897E-3</v>
      </c>
      <c r="D7" s="67">
        <v>2.4858116161986538E-4</v>
      </c>
      <c r="E7" s="56">
        <f>1/(273.15+B7)</f>
        <v>3.4947519967459379E-3</v>
      </c>
      <c r="F7" s="58">
        <f t="shared" si="0"/>
        <v>-4.8159640452719952</v>
      </c>
    </row>
    <row r="8" spans="1:6" x14ac:dyDescent="0.35">
      <c r="B8" s="66">
        <v>14.566145288503492</v>
      </c>
      <c r="C8" s="67">
        <v>9.4528855538401433E-3</v>
      </c>
      <c r="D8" s="67">
        <v>9.3892297509305496E-5</v>
      </c>
      <c r="E8" s="56">
        <f>1/(273.15+B8)</f>
        <v>3.4756478438054406E-3</v>
      </c>
      <c r="F8" s="58">
        <f t="shared" si="0"/>
        <v>-4.6614352344734771</v>
      </c>
    </row>
    <row r="9" spans="1:6" x14ac:dyDescent="0.35">
      <c r="B9" s="66">
        <v>16.138953100949081</v>
      </c>
      <c r="C9" s="67">
        <v>1.1846038144560833E-2</v>
      </c>
      <c r="D9" s="67">
        <v>1.6179744218414912E-4</v>
      </c>
      <c r="E9" s="56">
        <f>1/(273.15+B9)</f>
        <v>3.4567514219979363E-3</v>
      </c>
      <c r="F9" s="58">
        <f t="shared" si="0"/>
        <v>-4.4357618010953344</v>
      </c>
    </row>
    <row r="10" spans="1:6" x14ac:dyDescent="0.35">
      <c r="B10" s="66">
        <v>17.711760913394663</v>
      </c>
      <c r="C10" s="67">
        <v>1.3864201162953544E-2</v>
      </c>
      <c r="D10" s="67">
        <v>2.0663326734499153E-4</v>
      </c>
      <c r="E10" s="56">
        <f>1/(273.15+B10)</f>
        <v>3.4380593614633118E-3</v>
      </c>
      <c r="F10" s="58">
        <f t="shared" si="0"/>
        <v>-4.2784452169399989</v>
      </c>
    </row>
    <row r="11" spans="1:6" x14ac:dyDescent="0.35">
      <c r="B11" s="66">
        <v>19.284568725840245</v>
      </c>
      <c r="C11" s="67">
        <v>1.7338153435466991E-2</v>
      </c>
      <c r="D11" s="67">
        <v>3.570707126555005E-4</v>
      </c>
      <c r="E11" s="56">
        <f>1/(273.15+B11)</f>
        <v>3.419568364838249E-3</v>
      </c>
      <c r="F11" s="58">
        <f t="shared" si="0"/>
        <v>-4.0548458049112757</v>
      </c>
    </row>
    <row r="12" spans="1:6" x14ac:dyDescent="0.35">
      <c r="B12" s="66">
        <v>20.857376538285834</v>
      </c>
      <c r="C12" s="67">
        <v>2.1190384824939554E-2</v>
      </c>
      <c r="D12" s="67">
        <v>3.0850740433861957E-4</v>
      </c>
      <c r="E12" s="56">
        <f>1/(273.15+B12)</f>
        <v>3.4012752053170997E-3</v>
      </c>
      <c r="F12" s="58">
        <f t="shared" si="0"/>
        <v>-3.854207746180681</v>
      </c>
    </row>
    <row r="13" spans="1:6" x14ac:dyDescent="0.35">
      <c r="B13" s="66">
        <v>22.43018435073142</v>
      </c>
      <c r="C13" s="67">
        <v>2.404429230329776E-2</v>
      </c>
      <c r="D13" s="67">
        <v>4.6141806601105888E-4</v>
      </c>
      <c r="E13" s="56">
        <f>1/(273.15+B13)</f>
        <v>3.3831767247746681E-3</v>
      </c>
      <c r="F13" s="58">
        <f t="shared" si="0"/>
        <v>-3.7278576368629071</v>
      </c>
    </row>
    <row r="14" spans="1:6" x14ac:dyDescent="0.35">
      <c r="B14" s="66">
        <v>25.575799975622587</v>
      </c>
      <c r="C14" s="67">
        <v>3.427504455320176E-2</v>
      </c>
      <c r="D14" s="67">
        <v>1.1522477928476863E-3</v>
      </c>
      <c r="E14" s="56">
        <f>1/(273.15+B14)</f>
        <v>3.347551500679234E-3</v>
      </c>
      <c r="F14" s="58">
        <f t="shared" si="0"/>
        <v>-3.3733377536600084</v>
      </c>
    </row>
    <row r="15" spans="1:6" x14ac:dyDescent="0.35">
      <c r="B15" s="66">
        <v>28.721415600513758</v>
      </c>
      <c r="C15" s="67">
        <v>4.6793973942537849E-2</v>
      </c>
      <c r="D15" s="67">
        <v>6.826270454836456E-4</v>
      </c>
      <c r="E15" s="56">
        <f>1/(273.15+B15)</f>
        <v>3.3126687335092559E-3</v>
      </c>
      <c r="F15" s="58">
        <f t="shared" si="0"/>
        <v>-3.0620008462606472</v>
      </c>
    </row>
    <row r="16" spans="1:6" x14ac:dyDescent="0.35">
      <c r="B16" s="66">
        <v>31.867031225404926</v>
      </c>
      <c r="C16" s="67">
        <v>6.2539399163038856E-2</v>
      </c>
      <c r="D16" s="67">
        <v>6.8989256682958197E-4</v>
      </c>
      <c r="E16" s="56">
        <f>1/(273.15+B16)</f>
        <v>3.2785054525726102E-3</v>
      </c>
      <c r="F16" s="58">
        <f t="shared" si="0"/>
        <v>-2.7719585342413344</v>
      </c>
    </row>
    <row r="17" spans="2:9" x14ac:dyDescent="0.35">
      <c r="B17" s="66">
        <v>35.012646850296093</v>
      </c>
      <c r="C17" s="67">
        <v>7.0144446071665076E-2</v>
      </c>
      <c r="D17" s="67">
        <v>8.6681826893803937E-4</v>
      </c>
      <c r="E17" s="56">
        <f>1/(273.15+B17)</f>
        <v>3.2450396250840717E-3</v>
      </c>
      <c r="F17" s="58">
        <f t="shared" si="0"/>
        <v>-2.6571986477466369</v>
      </c>
    </row>
    <row r="18" spans="2:9" x14ac:dyDescent="0.35">
      <c r="B18" s="6">
        <v>38.158262475187264</v>
      </c>
      <c r="C18" s="61">
        <v>6.8262896783130231E-2</v>
      </c>
      <c r="D18" s="61">
        <v>1.3481064276055245E-3</v>
      </c>
      <c r="E18" s="7">
        <f>1/(273.15+B18)</f>
        <v>3.2122501087798942E-3</v>
      </c>
      <c r="F18" s="59">
        <f t="shared" si="0"/>
        <v>-2.6843888989131006</v>
      </c>
    </row>
    <row r="19" spans="2:9" x14ac:dyDescent="0.35">
      <c r="B19" s="6">
        <v>41.303878100078435</v>
      </c>
      <c r="C19" s="61">
        <v>5.9626596809510969E-2</v>
      </c>
      <c r="D19" s="61">
        <v>7.5006152958528687E-4</v>
      </c>
      <c r="E19" s="7">
        <f>1/(273.15+B19)</f>
        <v>3.1801166073764844E-3</v>
      </c>
      <c r="F19" s="59">
        <f t="shared" si="0"/>
        <v>-2.8196535492599315</v>
      </c>
    </row>
    <row r="20" spans="2:9" x14ac:dyDescent="0.35">
      <c r="B20" s="6">
        <v>46.022301537415188</v>
      </c>
      <c r="C20" s="61">
        <v>2.5148392132218169E-2</v>
      </c>
      <c r="D20" s="61">
        <v>8.9654979993947898E-4</v>
      </c>
      <c r="E20" s="7">
        <f>1/(273.15+B20)</f>
        <v>3.1331039541436351E-3</v>
      </c>
      <c r="F20" s="59">
        <f t="shared" si="0"/>
        <v>-3.6829613156045964</v>
      </c>
    </row>
    <row r="21" spans="2:9" x14ac:dyDescent="0.35">
      <c r="B21" s="6">
        <v>50.740724974751949</v>
      </c>
      <c r="C21" s="61">
        <v>9.9266318086596739E-3</v>
      </c>
      <c r="D21" s="61">
        <v>4.543482471809197E-4</v>
      </c>
      <c r="E21" s="7">
        <f>1/(273.15+B21)</f>
        <v>3.0874610567436052E-3</v>
      </c>
      <c r="F21" s="59">
        <f t="shared" si="0"/>
        <v>-4.6125340519526308</v>
      </c>
    </row>
    <row r="22" spans="2:9" x14ac:dyDescent="0.35">
      <c r="F22" s="60" t="s">
        <v>39</v>
      </c>
      <c r="I22" s="5" t="s">
        <v>40</v>
      </c>
    </row>
    <row r="23" spans="2:9" x14ac:dyDescent="0.35">
      <c r="E23">
        <f t="array" ref="E23:F26">LINEST(F2:F17,E2:E17,TRUE,TRUE)</f>
        <v>-10046.608321189433</v>
      </c>
      <c r="F23" s="58">
        <v>30.205063040102036</v>
      </c>
      <c r="H23">
        <f>EXP(F23)*24</f>
        <v>314849817256919.88</v>
      </c>
      <c r="I23" s="57">
        <f>LN(H23)</f>
        <v>33.383116870449982</v>
      </c>
    </row>
    <row r="24" spans="2:9" x14ac:dyDescent="0.35">
      <c r="E24">
        <v>287.8067673324561</v>
      </c>
      <c r="F24" s="59">
        <v>0.99014710622168145</v>
      </c>
    </row>
    <row r="25" spans="2:9" x14ac:dyDescent="0.35">
      <c r="E25">
        <v>0.98864126855665457</v>
      </c>
      <c r="F25" s="59">
        <v>0.11759950935081175</v>
      </c>
    </row>
    <row r="26" spans="2:9" x14ac:dyDescent="0.35">
      <c r="E26">
        <v>1218.5320014676395</v>
      </c>
      <c r="F26" s="59">
        <v>14</v>
      </c>
    </row>
    <row r="27" spans="2:9" x14ac:dyDescent="0.35">
      <c r="F27" s="5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G36" sqref="G36"/>
    </sheetView>
  </sheetViews>
  <sheetFormatPr defaultRowHeight="14.5" x14ac:dyDescent="0.35"/>
  <cols>
    <col min="1" max="1" width="14" bestFit="1" customWidth="1"/>
    <col min="2" max="2" width="9.81640625" bestFit="1" customWidth="1"/>
    <col min="3" max="3" width="31.54296875" customWidth="1"/>
    <col min="8" max="8" width="13.26953125" customWidth="1"/>
    <col min="9" max="9" width="31.1796875" customWidth="1"/>
    <col min="12" max="12" width="11.08984375" bestFit="1" customWidth="1"/>
  </cols>
  <sheetData>
    <row r="1" spans="1:16" x14ac:dyDescent="0.35">
      <c r="A1" s="5" t="s">
        <v>42</v>
      </c>
      <c r="B1" t="s">
        <v>43</v>
      </c>
      <c r="C1" t="s">
        <v>41</v>
      </c>
      <c r="D1" t="s">
        <v>0</v>
      </c>
      <c r="E1" t="s">
        <v>2</v>
      </c>
      <c r="F1" t="s">
        <v>3</v>
      </c>
      <c r="K1" s="5" t="s">
        <v>42</v>
      </c>
      <c r="L1" t="s">
        <v>43</v>
      </c>
      <c r="M1" t="s">
        <v>41</v>
      </c>
      <c r="N1" t="s">
        <v>0</v>
      </c>
      <c r="O1" t="s">
        <v>2</v>
      </c>
      <c r="P1" t="s">
        <v>3</v>
      </c>
    </row>
    <row r="2" spans="1:16" x14ac:dyDescent="0.35">
      <c r="A2" s="5" t="s">
        <v>46</v>
      </c>
      <c r="B2" s="62">
        <v>5.71</v>
      </c>
      <c r="C2" s="63">
        <v>4.643494699177845E-4</v>
      </c>
      <c r="D2" s="64">
        <v>8.1801812603884882E-5</v>
      </c>
      <c r="E2" s="64">
        <f>1/(273.15+B2)</f>
        <v>3.5860288316718072E-3</v>
      </c>
      <c r="F2" s="65">
        <f>LN(C2)</f>
        <v>-7.6748731213003873</v>
      </c>
      <c r="K2" s="5" t="s">
        <v>1</v>
      </c>
      <c r="L2" s="4">
        <v>5.71</v>
      </c>
      <c r="M2" s="1">
        <v>4.4804890136452197E-4</v>
      </c>
      <c r="N2" s="2">
        <v>4.9839625670606364E-5</v>
      </c>
      <c r="O2" s="3">
        <f>1/(273.15+L2)</f>
        <v>3.5860288316718072E-3</v>
      </c>
      <c r="P2">
        <f>LN(M2)</f>
        <v>-7.7106081766747216</v>
      </c>
    </row>
    <row r="3" spans="1:16" x14ac:dyDescent="0.35">
      <c r="B3" s="62">
        <v>7.42</v>
      </c>
      <c r="C3" s="63">
        <v>3.6642831856747169E-4</v>
      </c>
      <c r="D3" s="64">
        <v>7.3588562556415108E-5</v>
      </c>
      <c r="E3" s="64">
        <f t="shared" ref="E3:E21" si="0">1/(273.15+B3)</f>
        <v>3.5641729336707418E-3</v>
      </c>
      <c r="F3" s="65">
        <f t="shared" ref="F3:F21" si="1">LN(C3)</f>
        <v>-7.9117076394842334</v>
      </c>
      <c r="L3" s="4">
        <v>7.42</v>
      </c>
      <c r="M3" s="1">
        <v>3.8703473075598342E-4</v>
      </c>
      <c r="N3" s="2">
        <v>4.339949590023719E-5</v>
      </c>
      <c r="O3" s="3">
        <f t="shared" ref="O3:O21" si="2">1/(273.15+L3)</f>
        <v>3.5641729336707418E-3</v>
      </c>
      <c r="P3">
        <f t="shared" ref="P3:P21" si="3">LN(M3)</f>
        <v>-7.8569961254056917</v>
      </c>
    </row>
    <row r="4" spans="1:16" x14ac:dyDescent="0.35">
      <c r="B4" s="62">
        <v>9.210799999999999</v>
      </c>
      <c r="C4" s="63">
        <v>6.2971670258806314E-4</v>
      </c>
      <c r="D4" s="64">
        <v>3.5890850868475941E-5</v>
      </c>
      <c r="E4" s="64">
        <f t="shared" si="0"/>
        <v>3.541568093021411E-3</v>
      </c>
      <c r="F4" s="65">
        <f t="shared" si="1"/>
        <v>-7.3702405181460078</v>
      </c>
      <c r="L4" s="4">
        <v>9.210799999999999</v>
      </c>
      <c r="M4" s="1">
        <v>5.6560513085587502E-4</v>
      </c>
      <c r="N4" s="2">
        <v>1.5248365084123322E-5</v>
      </c>
      <c r="O4" s="3">
        <f t="shared" si="2"/>
        <v>3.541568093021411E-3</v>
      </c>
      <c r="P4">
        <f t="shared" si="3"/>
        <v>-7.4776143718956964</v>
      </c>
    </row>
    <row r="5" spans="1:16" x14ac:dyDescent="0.35">
      <c r="B5" s="62">
        <v>10.868400000000001</v>
      </c>
      <c r="C5" s="63">
        <v>5.3039609332455949E-4</v>
      </c>
      <c r="D5" s="64">
        <v>2.4954679426497256E-5</v>
      </c>
      <c r="E5" s="64">
        <f t="shared" si="0"/>
        <v>3.5208986460032168E-3</v>
      </c>
      <c r="F5" s="65">
        <f t="shared" si="1"/>
        <v>-7.5418864846465956</v>
      </c>
      <c r="L5" s="4">
        <v>10.868400000000001</v>
      </c>
      <c r="M5" s="1">
        <v>7.5888551128853825E-4</v>
      </c>
      <c r="N5" s="2">
        <v>2.5642321585239209E-4</v>
      </c>
      <c r="O5" s="3">
        <f t="shared" si="2"/>
        <v>3.5208986460032168E-3</v>
      </c>
      <c r="P5">
        <f t="shared" si="3"/>
        <v>-7.1836596334634475</v>
      </c>
    </row>
    <row r="6" spans="1:16" x14ac:dyDescent="0.35">
      <c r="B6" s="62">
        <v>12.526000000000003</v>
      </c>
      <c r="C6" s="63">
        <v>8.4777740787312088E-4</v>
      </c>
      <c r="D6" s="64">
        <v>4.2469890536005435E-5</v>
      </c>
      <c r="E6" s="64">
        <f t="shared" si="0"/>
        <v>3.5004690628544226E-3</v>
      </c>
      <c r="F6" s="65">
        <f t="shared" si="1"/>
        <v>-7.0728924473447483</v>
      </c>
      <c r="L6" s="4">
        <v>12.526000000000003</v>
      </c>
      <c r="M6" s="1">
        <v>8.201020246465673E-4</v>
      </c>
      <c r="N6" s="2">
        <v>3.3611094945970018E-5</v>
      </c>
      <c r="O6" s="3">
        <f t="shared" si="2"/>
        <v>3.5004690628544226E-3</v>
      </c>
      <c r="P6">
        <f t="shared" si="3"/>
        <v>-7.1060818051448473</v>
      </c>
    </row>
    <row r="7" spans="1:16" x14ac:dyDescent="0.35">
      <c r="B7" s="62">
        <v>14.183600000000006</v>
      </c>
      <c r="C7" s="63">
        <v>8.4558091302001784E-4</v>
      </c>
      <c r="D7" s="64">
        <v>6.4565288453985432E-5</v>
      </c>
      <c r="E7" s="64">
        <f t="shared" si="0"/>
        <v>3.4802751923200073E-3</v>
      </c>
      <c r="F7" s="65">
        <f t="shared" si="1"/>
        <v>-7.075486695777454</v>
      </c>
      <c r="L7" s="4">
        <v>14.183600000000006</v>
      </c>
      <c r="M7" s="1">
        <v>9.4250783907734849E-4</v>
      </c>
      <c r="N7" s="2">
        <v>2.1564838211978351E-5</v>
      </c>
      <c r="O7" s="3">
        <f t="shared" si="2"/>
        <v>3.4802751923200073E-3</v>
      </c>
      <c r="P7">
        <f t="shared" si="3"/>
        <v>-6.96696632135325</v>
      </c>
    </row>
    <row r="8" spans="1:16" x14ac:dyDescent="0.35">
      <c r="B8" s="62">
        <v>15.841200000000001</v>
      </c>
      <c r="C8" s="63">
        <v>1.0022119722821101E-3</v>
      </c>
      <c r="D8" s="64">
        <v>1.3958945538352898E-4</v>
      </c>
      <c r="E8" s="64">
        <f t="shared" si="0"/>
        <v>3.4603129783882694E-3</v>
      </c>
      <c r="F8" s="65">
        <f t="shared" si="1"/>
        <v>-6.9055457495090948</v>
      </c>
      <c r="L8" s="4">
        <v>15.841200000000001</v>
      </c>
      <c r="M8" s="1">
        <v>1.1649294150711455E-3</v>
      </c>
      <c r="N8" s="2">
        <v>4.5818647466904175E-5</v>
      </c>
      <c r="O8" s="3">
        <f t="shared" si="2"/>
        <v>3.4603129783882694E-3</v>
      </c>
      <c r="P8">
        <f t="shared" si="3"/>
        <v>-6.755094781721759</v>
      </c>
    </row>
    <row r="9" spans="1:16" x14ac:dyDescent="0.35">
      <c r="B9" s="62">
        <v>17.498800000000003</v>
      </c>
      <c r="C9" s="63">
        <v>1.105939952979644E-3</v>
      </c>
      <c r="D9" s="64">
        <v>2.041373161448155E-4</v>
      </c>
      <c r="E9" s="64">
        <f t="shared" si="0"/>
        <v>3.4405784575749151E-3</v>
      </c>
      <c r="F9" s="65">
        <f t="shared" si="1"/>
        <v>-6.8070596694176659</v>
      </c>
      <c r="L9" s="4">
        <v>17.498800000000003</v>
      </c>
      <c r="M9" s="1">
        <v>1.2009881310877035E-3</v>
      </c>
      <c r="N9" s="2">
        <v>1.914398441101206E-4</v>
      </c>
      <c r="O9" s="3">
        <f t="shared" si="2"/>
        <v>3.4405784575749151E-3</v>
      </c>
      <c r="P9">
        <f t="shared" si="3"/>
        <v>-6.7246106184579331</v>
      </c>
    </row>
    <row r="10" spans="1:16" x14ac:dyDescent="0.35">
      <c r="B10" s="62">
        <v>19.156400000000005</v>
      </c>
      <c r="C10" s="63">
        <v>1.6276919549201355E-3</v>
      </c>
      <c r="D10" s="64">
        <v>3.2461663371312959E-5</v>
      </c>
      <c r="E10" s="64">
        <f t="shared" si="0"/>
        <v>3.4210677562995541E-3</v>
      </c>
      <c r="F10" s="65">
        <f t="shared" si="1"/>
        <v>-6.4205922461850848</v>
      </c>
      <c r="L10" s="4">
        <v>19.156400000000005</v>
      </c>
      <c r="M10" s="1">
        <v>1.8363026775349096E-3</v>
      </c>
      <c r="N10" s="2">
        <v>2.8428181480553952E-5</v>
      </c>
      <c r="O10" s="3">
        <f t="shared" si="2"/>
        <v>3.4210677562995541E-3</v>
      </c>
      <c r="P10">
        <f t="shared" si="3"/>
        <v>-6.3000011433261101</v>
      </c>
    </row>
    <row r="11" spans="1:16" x14ac:dyDescent="0.35">
      <c r="B11" s="62">
        <v>20.814</v>
      </c>
      <c r="C11" s="63">
        <v>1.8708288898156521E-3</v>
      </c>
      <c r="D11" s="64">
        <v>2.1514709278065103E-4</v>
      </c>
      <c r="E11" s="64">
        <f t="shared" si="0"/>
        <v>3.4017770883509545E-3</v>
      </c>
      <c r="F11" s="65">
        <f t="shared" si="1"/>
        <v>-6.2813736897389116</v>
      </c>
      <c r="L11" s="4">
        <v>20.814</v>
      </c>
      <c r="M11" s="1">
        <v>2.2631559187680853E-3</v>
      </c>
      <c r="N11" s="2">
        <v>1.7207592190798091E-4</v>
      </c>
      <c r="O11" s="3">
        <f t="shared" si="2"/>
        <v>3.4017770883509545E-3</v>
      </c>
      <c r="P11">
        <f t="shared" si="3"/>
        <v>-6.09099501555787</v>
      </c>
    </row>
    <row r="12" spans="1:16" x14ac:dyDescent="0.35">
      <c r="B12" s="62">
        <v>22.471600000000002</v>
      </c>
      <c r="C12" s="63">
        <v>2.1169471723911735E-3</v>
      </c>
      <c r="D12" s="64">
        <v>1.7047657167555962E-4</v>
      </c>
      <c r="E12" s="64">
        <f t="shared" si="0"/>
        <v>3.3827027524375758E-3</v>
      </c>
      <c r="F12" s="65">
        <f t="shared" si="1"/>
        <v>-6.1577802411364315</v>
      </c>
      <c r="L12" s="4">
        <v>22.471600000000002</v>
      </c>
      <c r="M12" s="1">
        <v>2.7885059975734667E-3</v>
      </c>
      <c r="N12" s="2">
        <v>1.16152559036551E-4</v>
      </c>
      <c r="O12" s="3">
        <f t="shared" si="2"/>
        <v>3.3827027524375758E-3</v>
      </c>
      <c r="P12">
        <f t="shared" si="3"/>
        <v>-5.8822493113127123</v>
      </c>
    </row>
    <row r="13" spans="1:16" x14ac:dyDescent="0.35">
      <c r="B13" s="62">
        <v>24.129200000000001</v>
      </c>
      <c r="C13" s="63">
        <v>2.8401134203864422E-3</v>
      </c>
      <c r="D13" s="64">
        <v>1.3829362157149311E-4</v>
      </c>
      <c r="E13" s="64">
        <f t="shared" si="0"/>
        <v>3.3638411298200477E-3</v>
      </c>
      <c r="F13" s="65">
        <f t="shared" si="1"/>
        <v>-5.8639112908506839</v>
      </c>
      <c r="L13" s="4">
        <v>24.129200000000001</v>
      </c>
      <c r="M13" s="1">
        <v>3.4608867263493555E-3</v>
      </c>
      <c r="N13" s="2">
        <v>2.4652858057097756E-4</v>
      </c>
      <c r="O13" s="3">
        <f t="shared" si="2"/>
        <v>3.3638411298200477E-3</v>
      </c>
      <c r="P13">
        <f t="shared" si="3"/>
        <v>-5.6662304434547108</v>
      </c>
    </row>
    <row r="14" spans="1:16" x14ac:dyDescent="0.35">
      <c r="B14" s="62">
        <v>25.786800000000003</v>
      </c>
      <c r="C14" s="63">
        <v>3.4617195588318231E-3</v>
      </c>
      <c r="D14" s="64">
        <v>4.0269701574323264E-5</v>
      </c>
      <c r="E14" s="64">
        <f t="shared" si="0"/>
        <v>3.3451886820224206E-3</v>
      </c>
      <c r="F14" s="65">
        <f t="shared" si="1"/>
        <v>-5.6659898310459802</v>
      </c>
      <c r="L14" s="4">
        <v>25.786800000000003</v>
      </c>
      <c r="M14" s="1">
        <v>4.1147363348867467E-3</v>
      </c>
      <c r="N14" s="2">
        <v>1.2764958843409165E-4</v>
      </c>
      <c r="O14" s="3">
        <f t="shared" si="2"/>
        <v>3.3451886820224206E-3</v>
      </c>
      <c r="P14">
        <f t="shared" si="3"/>
        <v>-5.4931805210525386</v>
      </c>
    </row>
    <row r="15" spans="1:16" x14ac:dyDescent="0.35">
      <c r="B15" s="62">
        <v>29.102</v>
      </c>
      <c r="C15" s="63">
        <v>5.6380843197749607E-3</v>
      </c>
      <c r="D15" s="64">
        <v>1.9566591894044742E-4</v>
      </c>
      <c r="E15" s="64">
        <f t="shared" si="0"/>
        <v>3.3084975450948222E-3</v>
      </c>
      <c r="F15" s="65">
        <f t="shared" si="1"/>
        <v>-5.1782109307839308</v>
      </c>
      <c r="L15" s="4">
        <v>29.102</v>
      </c>
      <c r="M15" s="1">
        <v>6.2008764056264778E-3</v>
      </c>
      <c r="N15" s="2">
        <v>5.052781218748499E-5</v>
      </c>
      <c r="O15" s="3">
        <f t="shared" si="2"/>
        <v>3.3084975450948222E-3</v>
      </c>
      <c r="P15">
        <f t="shared" si="3"/>
        <v>-5.0830646411746674</v>
      </c>
    </row>
    <row r="16" spans="1:16" x14ac:dyDescent="0.35">
      <c r="B16" s="62">
        <v>32.417200000000001</v>
      </c>
      <c r="C16" s="63">
        <v>7.4885446871051338E-3</v>
      </c>
      <c r="D16" s="64">
        <v>1.7965643148691918E-4</v>
      </c>
      <c r="E16" s="64">
        <f t="shared" si="0"/>
        <v>3.2726025568189259E-3</v>
      </c>
      <c r="F16" s="65">
        <f t="shared" si="1"/>
        <v>-4.8943808011188841</v>
      </c>
      <c r="L16" s="4">
        <v>32.417200000000001</v>
      </c>
      <c r="M16" s="1">
        <v>8.8191699602280706E-3</v>
      </c>
      <c r="N16" s="2">
        <v>2.7499253164135176E-4</v>
      </c>
      <c r="O16" s="3">
        <f t="shared" si="2"/>
        <v>3.2726025568189259E-3</v>
      </c>
      <c r="P16">
        <f t="shared" si="3"/>
        <v>-4.730827522209629</v>
      </c>
    </row>
    <row r="17" spans="2:19" x14ac:dyDescent="0.35">
      <c r="B17" s="62">
        <v>35.732399999999998</v>
      </c>
      <c r="C17" s="63">
        <v>1.1194570648932955E-2</v>
      </c>
      <c r="D17" s="64">
        <v>1.4088247109989883E-4</v>
      </c>
      <c r="E17" s="64">
        <f t="shared" si="0"/>
        <v>3.2374780822733832E-3</v>
      </c>
      <c r="F17" s="65">
        <f t="shared" si="1"/>
        <v>-4.4923263817050234</v>
      </c>
      <c r="L17" s="4">
        <v>35.732399999999998</v>
      </c>
      <c r="M17" s="1">
        <v>1.222372571516272E-2</v>
      </c>
      <c r="N17" s="2">
        <v>3.0407236520991755E-4</v>
      </c>
      <c r="O17" s="3">
        <f t="shared" si="2"/>
        <v>3.2374780822733832E-3</v>
      </c>
      <c r="P17">
        <f t="shared" si="3"/>
        <v>-4.4043764850326577</v>
      </c>
    </row>
    <row r="18" spans="2:19" x14ac:dyDescent="0.35">
      <c r="B18" s="4">
        <v>39.047600000000003</v>
      </c>
      <c r="C18" s="1">
        <v>1.3347470034085535E-2</v>
      </c>
      <c r="D18" s="3">
        <v>2.0465522459585266E-3</v>
      </c>
      <c r="E18" s="3">
        <f t="shared" si="0"/>
        <v>3.2030995753971206E-3</v>
      </c>
      <c r="F18">
        <f t="shared" si="1"/>
        <v>-4.3164284226506631</v>
      </c>
      <c r="L18" s="4">
        <v>39.047600000000003</v>
      </c>
      <c r="M18" s="1">
        <v>1.4688966477003221E-2</v>
      </c>
      <c r="N18" s="2">
        <v>1.3477802673726013E-3</v>
      </c>
      <c r="O18" s="3">
        <f t="shared" si="2"/>
        <v>3.2030995753971206E-3</v>
      </c>
      <c r="P18">
        <f t="shared" si="3"/>
        <v>-4.2206586468191913</v>
      </c>
    </row>
    <row r="19" spans="2:19" x14ac:dyDescent="0.35">
      <c r="B19" s="4">
        <v>42.3628</v>
      </c>
      <c r="C19" s="1">
        <v>2.1939129239216437E-2</v>
      </c>
      <c r="D19" s="3">
        <v>3.9979656166204755E-4</v>
      </c>
      <c r="E19" s="3">
        <f t="shared" si="0"/>
        <v>3.1694435217842197E-3</v>
      </c>
      <c r="F19">
        <f t="shared" si="1"/>
        <v>-3.8194835131990237</v>
      </c>
      <c r="L19" s="4">
        <v>42.3628</v>
      </c>
      <c r="M19" s="1">
        <v>1.980125022434583E-2</v>
      </c>
      <c r="N19" s="2">
        <v>2.3891821842953901E-4</v>
      </c>
      <c r="O19" s="3">
        <f t="shared" si="2"/>
        <v>3.1694435217842197E-3</v>
      </c>
      <c r="P19">
        <f t="shared" si="3"/>
        <v>-3.9220102006313318</v>
      </c>
    </row>
    <row r="20" spans="2:19" x14ac:dyDescent="0.35">
      <c r="B20" s="4">
        <v>47.335599999999999</v>
      </c>
      <c r="C20" s="1">
        <v>3.1164200211213893E-2</v>
      </c>
      <c r="D20" s="3">
        <v>1.0957506000255526E-3</v>
      </c>
      <c r="E20" s="3">
        <f t="shared" si="0"/>
        <v>3.120264997865739E-3</v>
      </c>
      <c r="F20">
        <f t="shared" si="1"/>
        <v>-3.4684852720952617</v>
      </c>
      <c r="L20" s="4">
        <v>47.335599999999999</v>
      </c>
      <c r="M20" s="1">
        <v>2.5696783936237737E-2</v>
      </c>
      <c r="N20" s="2">
        <v>5.4811002272630715E-4</v>
      </c>
      <c r="O20" s="3">
        <f t="shared" si="2"/>
        <v>3.120264997865739E-3</v>
      </c>
      <c r="P20">
        <f t="shared" si="3"/>
        <v>-3.6613894335792514</v>
      </c>
    </row>
    <row r="21" spans="2:19" x14ac:dyDescent="0.35">
      <c r="B21" s="4">
        <v>52.308399999999999</v>
      </c>
      <c r="C21" s="1">
        <v>4.0050857315447795E-2</v>
      </c>
      <c r="D21" s="3">
        <v>1.7535509422133931E-4</v>
      </c>
      <c r="E21" s="3">
        <f t="shared" si="0"/>
        <v>3.072589307880823E-3</v>
      </c>
      <c r="F21">
        <f t="shared" si="1"/>
        <v>-3.2176051995683426</v>
      </c>
      <c r="L21" s="4">
        <v>52.308399999999999</v>
      </c>
      <c r="M21" s="1">
        <v>3.1153794006889807E-2</v>
      </c>
      <c r="N21" s="2">
        <v>8.0171615346321182E-4</v>
      </c>
      <c r="O21" s="3">
        <f t="shared" si="2"/>
        <v>3.072589307880823E-3</v>
      </c>
      <c r="P21">
        <f t="shared" si="3"/>
        <v>-3.4688192431914553</v>
      </c>
    </row>
    <row r="22" spans="2:19" x14ac:dyDescent="0.35">
      <c r="F22" s="60" t="s">
        <v>39</v>
      </c>
      <c r="I22" s="5" t="s">
        <v>40</v>
      </c>
      <c r="P22" s="60" t="s">
        <v>39</v>
      </c>
      <c r="S22" s="5" t="s">
        <v>40</v>
      </c>
    </row>
    <row r="23" spans="2:19" x14ac:dyDescent="0.35">
      <c r="E23">
        <f t="array" ref="E23:F26">LINEST(F2:F17,E2:E17,TRUE,TRUE)</f>
        <v>-9728.9567601956369</v>
      </c>
      <c r="F23" s="58">
        <v>26.881232988542628</v>
      </c>
      <c r="H23">
        <f>EXP(F23)*24</f>
        <v>11339199477128.76</v>
      </c>
      <c r="I23" s="57">
        <f>LN(H23)</f>
        <v>30.059286818890573</v>
      </c>
      <c r="O23">
        <f t="array" ref="O23:P26">LINEST(P2:P17,O2:O17,TRUE,TRUE)</f>
        <v>-10124.640695296006</v>
      </c>
      <c r="P23" s="58">
        <v>28.354735854897143</v>
      </c>
      <c r="R23">
        <f>EXP(P23)*24</f>
        <v>49489898068162.367</v>
      </c>
      <c r="S23" s="57">
        <f>LN(R23)</f>
        <v>31.532789685245088</v>
      </c>
    </row>
    <row r="24" spans="2:19" x14ac:dyDescent="0.35">
      <c r="E24">
        <v>382.2083211836931</v>
      </c>
      <c r="F24" s="59">
        <v>1.3102864159739145</v>
      </c>
      <c r="O24">
        <v>272.11008265953603</v>
      </c>
      <c r="P24" s="59">
        <v>0.93284767807807989</v>
      </c>
    </row>
    <row r="25" spans="2:19" x14ac:dyDescent="0.35">
      <c r="E25">
        <v>0.97884992665007176</v>
      </c>
      <c r="F25" s="59">
        <v>0.15416499674318468</v>
      </c>
      <c r="O25">
        <v>0.98998874960725292</v>
      </c>
      <c r="P25" s="59">
        <v>0.10975650628713961</v>
      </c>
    </row>
    <row r="26" spans="2:19" x14ac:dyDescent="0.35">
      <c r="E26">
        <v>647.93623862999482</v>
      </c>
      <c r="F26" s="59">
        <v>14</v>
      </c>
      <c r="O26">
        <v>1384.4267150227934</v>
      </c>
      <c r="P26" s="59">
        <v>14</v>
      </c>
    </row>
    <row r="27" spans="2:19" x14ac:dyDescent="0.35">
      <c r="F27" s="59"/>
      <c r="P27" s="5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K11" sqref="K11"/>
    </sheetView>
  </sheetViews>
  <sheetFormatPr defaultRowHeight="14.5" x14ac:dyDescent="0.35"/>
  <cols>
    <col min="1" max="1" width="14.90625" bestFit="1" customWidth="1"/>
    <col min="2" max="2" width="12.81640625" customWidth="1"/>
    <col min="3" max="3" width="31.1796875" customWidth="1"/>
  </cols>
  <sheetData>
    <row r="1" spans="1:6" x14ac:dyDescent="0.35">
      <c r="A1" s="5" t="s">
        <v>45</v>
      </c>
      <c r="B1" t="s">
        <v>43</v>
      </c>
      <c r="C1" t="s">
        <v>41</v>
      </c>
      <c r="D1" t="s">
        <v>0</v>
      </c>
      <c r="E1" t="s">
        <v>2</v>
      </c>
      <c r="F1" t="s">
        <v>3</v>
      </c>
    </row>
    <row r="2" spans="1:6" x14ac:dyDescent="0.35">
      <c r="A2" s="5" t="s">
        <v>46</v>
      </c>
      <c r="B2" s="62">
        <v>6.8658000000000001</v>
      </c>
      <c r="C2" s="63">
        <v>2.1869094339329615E-3</v>
      </c>
      <c r="D2" s="63">
        <v>2.8547085295084858E-4</v>
      </c>
      <c r="E2" s="64">
        <f>1/(273.15+B2)</f>
        <v>3.5712270521877699E-3</v>
      </c>
      <c r="F2" s="65">
        <f>LN(C2)</f>
        <v>-6.1252659492410091</v>
      </c>
    </row>
    <row r="3" spans="1:6" x14ac:dyDescent="0.35">
      <c r="B3" s="62">
        <v>8.4906000000000006</v>
      </c>
      <c r="C3" s="63">
        <v>2.2028438854286517E-3</v>
      </c>
      <c r="D3" s="63">
        <v>2.1519926084582309E-4</v>
      </c>
      <c r="E3" s="64">
        <f t="shared" ref="E3:E21" si="0">1/(273.15+B3)</f>
        <v>3.550624448321727E-3</v>
      </c>
      <c r="F3" s="65">
        <f t="shared" ref="F3:F21" si="1">LN(C3)</f>
        <v>-6.1180060782082784</v>
      </c>
    </row>
    <row r="4" spans="1:6" x14ac:dyDescent="0.35">
      <c r="B4" s="62">
        <v>10.115400000000001</v>
      </c>
      <c r="C4" s="63">
        <v>2.628896917774886E-3</v>
      </c>
      <c r="D4" s="63">
        <v>2.4330765639410642E-4</v>
      </c>
      <c r="E4" s="64">
        <f t="shared" si="0"/>
        <v>3.5302581960239407E-3</v>
      </c>
      <c r="F4" s="65">
        <f t="shared" si="1"/>
        <v>-5.9411909436741333</v>
      </c>
    </row>
    <row r="5" spans="1:6" x14ac:dyDescent="0.35">
      <c r="B5" s="62">
        <v>11.740200000000002</v>
      </c>
      <c r="C5" s="63">
        <v>2.2296509574900518E-3</v>
      </c>
      <c r="D5" s="63">
        <v>1.8935080728666533E-4</v>
      </c>
      <c r="E5" s="64">
        <f t="shared" si="0"/>
        <v>3.5101242513782506E-3</v>
      </c>
      <c r="F5" s="65">
        <f t="shared" si="1"/>
        <v>-6.105910227065757</v>
      </c>
    </row>
    <row r="6" spans="1:6" x14ac:dyDescent="0.35">
      <c r="B6" s="62">
        <v>13.365000000000002</v>
      </c>
      <c r="C6" s="63">
        <v>2.7409149930703348E-3</v>
      </c>
      <c r="D6" s="63">
        <v>4.2028518317945647E-4</v>
      </c>
      <c r="E6" s="64">
        <f t="shared" si="0"/>
        <v>3.4902186621991868E-3</v>
      </c>
      <c r="F6" s="65">
        <f t="shared" si="1"/>
        <v>-5.899463475250637</v>
      </c>
    </row>
    <row r="7" spans="1:6" x14ac:dyDescent="0.35">
      <c r="B7" s="62">
        <v>14.989800000000002</v>
      </c>
      <c r="C7" s="63">
        <v>3.2640749418585756E-3</v>
      </c>
      <c r="D7" s="63">
        <v>5.2959730732932576E-4</v>
      </c>
      <c r="E7" s="64">
        <f t="shared" si="0"/>
        <v>3.4705375654456622E-3</v>
      </c>
      <c r="F7" s="65">
        <f t="shared" si="1"/>
        <v>-5.7247788820156158</v>
      </c>
    </row>
    <row r="8" spans="1:6" x14ac:dyDescent="0.35">
      <c r="B8" s="62">
        <v>16.614599999999996</v>
      </c>
      <c r="C8" s="63">
        <v>3.9906568307523857E-3</v>
      </c>
      <c r="D8" s="63">
        <v>2.7078491945115599E-4</v>
      </c>
      <c r="E8" s="64">
        <f t="shared" si="0"/>
        <v>3.4510771847216675E-3</v>
      </c>
      <c r="F8" s="65">
        <f t="shared" si="1"/>
        <v>-5.5237994423924377</v>
      </c>
    </row>
    <row r="9" spans="1:6" x14ac:dyDescent="0.35">
      <c r="B9" s="62">
        <v>18.239399999999996</v>
      </c>
      <c r="C9" s="63">
        <v>4.0756480421775204E-3</v>
      </c>
      <c r="D9" s="63">
        <v>3.5781985396719611E-4</v>
      </c>
      <c r="E9" s="64">
        <f t="shared" si="0"/>
        <v>3.4318338278605883E-3</v>
      </c>
      <c r="F9" s="65">
        <f t="shared" si="1"/>
        <v>-5.502725516177823</v>
      </c>
    </row>
    <row r="10" spans="1:6" x14ac:dyDescent="0.35">
      <c r="B10" s="62">
        <v>19.864199999999997</v>
      </c>
      <c r="C10" s="63">
        <v>5.4423302683710229E-3</v>
      </c>
      <c r="D10" s="63">
        <v>3.5099501870614384E-4</v>
      </c>
      <c r="E10" s="64">
        <f t="shared" si="0"/>
        <v>3.4128038845898942E-3</v>
      </c>
      <c r="F10" s="65">
        <f t="shared" si="1"/>
        <v>-5.2135479516770111</v>
      </c>
    </row>
    <row r="11" spans="1:6" x14ac:dyDescent="0.35">
      <c r="B11" s="62">
        <v>21.488999999999997</v>
      </c>
      <c r="C11" s="63">
        <v>6.1708840343135838E-3</v>
      </c>
      <c r="D11" s="63">
        <v>3.937063009538614E-4</v>
      </c>
      <c r="E11" s="64">
        <f t="shared" si="0"/>
        <v>3.3939838242730939E-3</v>
      </c>
      <c r="F11" s="65">
        <f t="shared" si="1"/>
        <v>-5.0879131718610076</v>
      </c>
    </row>
    <row r="12" spans="1:6" x14ac:dyDescent="0.35">
      <c r="B12" s="62">
        <v>23.113799999999998</v>
      </c>
      <c r="C12" s="63">
        <v>6.7185819043491411E-3</v>
      </c>
      <c r="D12" s="63">
        <v>4.6284107597243323E-4</v>
      </c>
      <c r="E12" s="64">
        <f t="shared" si="0"/>
        <v>3.3753701937259974E-3</v>
      </c>
      <c r="F12" s="65">
        <f t="shared" si="1"/>
        <v>-5.0028781728547482</v>
      </c>
    </row>
    <row r="13" spans="1:6" x14ac:dyDescent="0.35">
      <c r="B13" s="62">
        <v>24.738599999999998</v>
      </c>
      <c r="C13" s="63">
        <v>8.6126440885206101E-3</v>
      </c>
      <c r="D13" s="63">
        <v>6.4664546860465513E-4</v>
      </c>
      <c r="E13" s="64">
        <f t="shared" si="0"/>
        <v>3.3569596151044384E-3</v>
      </c>
      <c r="F13" s="65">
        <f t="shared" si="1"/>
        <v>-4.7545239126202627</v>
      </c>
    </row>
    <row r="14" spans="1:6" x14ac:dyDescent="0.35">
      <c r="B14" s="62">
        <v>26.363399999999999</v>
      </c>
      <c r="C14" s="63">
        <v>1.0720301602820573E-2</v>
      </c>
      <c r="D14" s="63">
        <v>6.9748318729419376E-4</v>
      </c>
      <c r="E14" s="64">
        <f t="shared" si="0"/>
        <v>3.3387487838607557E-3</v>
      </c>
      <c r="F14" s="65">
        <f t="shared" si="1"/>
        <v>-4.5356159891437802</v>
      </c>
    </row>
    <row r="15" spans="1:6" x14ac:dyDescent="0.35">
      <c r="B15" s="62">
        <v>29.613</v>
      </c>
      <c r="C15" s="63">
        <v>1.8411137116203579E-2</v>
      </c>
      <c r="D15" s="63">
        <v>1.9745303526374781E-4</v>
      </c>
      <c r="E15" s="64">
        <f t="shared" si="0"/>
        <v>3.3029134999983489E-3</v>
      </c>
      <c r="F15" s="65">
        <f t="shared" si="1"/>
        <v>-3.9947995194195332</v>
      </c>
    </row>
    <row r="16" spans="1:6" x14ac:dyDescent="0.35">
      <c r="B16" s="62">
        <v>32.8626</v>
      </c>
      <c r="C16" s="63">
        <v>3.282811609189943E-2</v>
      </c>
      <c r="D16" s="63">
        <v>1.1014668229839166E-3</v>
      </c>
      <c r="E16" s="64">
        <f t="shared" si="0"/>
        <v>3.2678392981204045E-3</v>
      </c>
      <c r="F16" s="65">
        <f t="shared" si="1"/>
        <v>-3.416469932852598</v>
      </c>
    </row>
    <row r="17" spans="2:9" x14ac:dyDescent="0.35">
      <c r="B17" s="62">
        <v>36.112200000000001</v>
      </c>
      <c r="C17" s="63">
        <v>6.1201016026560452E-2</v>
      </c>
      <c r="D17" s="63">
        <v>2.116041021641138E-3</v>
      </c>
      <c r="E17" s="64">
        <f t="shared" si="0"/>
        <v>3.233502186817529E-3</v>
      </c>
      <c r="F17" s="65">
        <f t="shared" si="1"/>
        <v>-2.7935914878604802</v>
      </c>
    </row>
    <row r="18" spans="2:9" x14ac:dyDescent="0.35">
      <c r="B18" s="4">
        <v>39.361800000000002</v>
      </c>
      <c r="C18" s="1">
        <v>8.7549646041470239E-2</v>
      </c>
      <c r="D18" s="1">
        <v>4.3440548299299294E-4</v>
      </c>
      <c r="E18" s="3">
        <f t="shared" si="0"/>
        <v>3.199879172562444E-3</v>
      </c>
      <c r="F18">
        <f t="shared" si="1"/>
        <v>-2.4355492631885434</v>
      </c>
    </row>
    <row r="19" spans="2:9" x14ac:dyDescent="0.35">
      <c r="B19" s="4">
        <v>42.611400000000003</v>
      </c>
      <c r="C19" s="1">
        <v>0.10915504369023399</v>
      </c>
      <c r="D19" s="1">
        <v>2.1831607366252169E-3</v>
      </c>
      <c r="E19" s="3">
        <f t="shared" si="0"/>
        <v>3.1669482083623904E-3</v>
      </c>
      <c r="F19">
        <f t="shared" si="1"/>
        <v>-2.214985988256398</v>
      </c>
    </row>
    <row r="20" spans="2:9" x14ac:dyDescent="0.35">
      <c r="B20" s="4">
        <v>47.485799999999998</v>
      </c>
      <c r="C20" s="1">
        <v>0.12311682714201955</v>
      </c>
      <c r="D20" s="1">
        <v>1.4210074717333782E-3</v>
      </c>
      <c r="E20" s="3">
        <f t="shared" si="0"/>
        <v>3.1188033276383989E-3</v>
      </c>
      <c r="F20">
        <f t="shared" si="1"/>
        <v>-2.0946215602350104</v>
      </c>
    </row>
    <row r="21" spans="2:9" x14ac:dyDescent="0.35">
      <c r="B21" s="4">
        <v>52.360199999999999</v>
      </c>
      <c r="C21" s="1">
        <v>8.2781664282538914E-2</v>
      </c>
      <c r="D21" s="1">
        <v>2.5921204148385592E-3</v>
      </c>
      <c r="E21" s="3">
        <f t="shared" si="0"/>
        <v>3.0721003520012584E-3</v>
      </c>
      <c r="F21">
        <f t="shared" si="1"/>
        <v>-2.491548687976735</v>
      </c>
    </row>
    <row r="22" spans="2:9" x14ac:dyDescent="0.35">
      <c r="F22" s="60" t="s">
        <v>39</v>
      </c>
      <c r="I22" s="5" t="s">
        <v>40</v>
      </c>
    </row>
    <row r="23" spans="2:9" x14ac:dyDescent="0.35">
      <c r="E23">
        <f t="array" ref="E23:F26">LINEST(F2:F17,E2:E17,TRUE,TRUE)</f>
        <v>-9529.9046278846236</v>
      </c>
      <c r="F23" s="58">
        <v>27.46444736365703</v>
      </c>
      <c r="H23">
        <f>EXP(F23)*24</f>
        <v>20317449093169.766</v>
      </c>
      <c r="I23" s="57">
        <f>LN(H23)</f>
        <v>30.642501194004975</v>
      </c>
    </row>
    <row r="24" spans="2:9" x14ac:dyDescent="0.35">
      <c r="E24">
        <v>700.49643648786832</v>
      </c>
      <c r="F24" s="59">
        <v>2.3952818296408247</v>
      </c>
    </row>
    <row r="25" spans="2:9" x14ac:dyDescent="0.35">
      <c r="E25">
        <v>0.92967737864725153</v>
      </c>
      <c r="F25" s="59">
        <v>0.27460720319778426</v>
      </c>
    </row>
    <row r="26" spans="2:9" x14ac:dyDescent="0.35">
      <c r="E26">
        <v>185.08245356460708</v>
      </c>
      <c r="F26" s="59">
        <v>14</v>
      </c>
    </row>
    <row r="27" spans="2:9" x14ac:dyDescent="0.35">
      <c r="F27" s="5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5"/>
  <sheetViews>
    <sheetView zoomScale="85" zoomScaleNormal="85" workbookViewId="0">
      <selection activeCell="N40" sqref="N40"/>
    </sheetView>
  </sheetViews>
  <sheetFormatPr defaultRowHeight="14.5" x14ac:dyDescent="0.35"/>
  <cols>
    <col min="1" max="1" width="12.453125" customWidth="1"/>
    <col min="2" max="2" width="10.54296875" bestFit="1" customWidth="1"/>
    <col min="3" max="3" width="20.54296875" customWidth="1"/>
    <col min="5" max="5" width="10.54296875" bestFit="1" customWidth="1"/>
    <col min="8" max="8" width="10.54296875" bestFit="1" customWidth="1"/>
    <col min="10" max="10" width="12" customWidth="1"/>
    <col min="11" max="11" width="11.7265625" bestFit="1" customWidth="1"/>
    <col min="12" max="12" width="9.54296875" bestFit="1" customWidth="1"/>
    <col min="14" max="14" width="10.54296875" bestFit="1" customWidth="1"/>
    <col min="17" max="17" width="11.54296875" bestFit="1" customWidth="1"/>
  </cols>
  <sheetData>
    <row r="1" spans="1:18" x14ac:dyDescent="0.35">
      <c r="B1" t="s">
        <v>4</v>
      </c>
      <c r="E1" s="35" t="s">
        <v>5</v>
      </c>
      <c r="F1" s="35"/>
      <c r="H1" t="s">
        <v>8</v>
      </c>
      <c r="K1" t="s">
        <v>9</v>
      </c>
      <c r="N1" t="s">
        <v>6</v>
      </c>
      <c r="Q1" s="35" t="s">
        <v>7</v>
      </c>
      <c r="R1" s="35"/>
    </row>
    <row r="2" spans="1:18" x14ac:dyDescent="0.35">
      <c r="B2" t="s">
        <v>2</v>
      </c>
      <c r="C2" t="s">
        <v>3</v>
      </c>
      <c r="E2" s="35" t="s">
        <v>2</v>
      </c>
      <c r="F2" s="35" t="s">
        <v>3</v>
      </c>
      <c r="H2" t="s">
        <v>2</v>
      </c>
      <c r="I2" t="s">
        <v>3</v>
      </c>
      <c r="K2" t="s">
        <v>2</v>
      </c>
      <c r="L2" t="s">
        <v>3</v>
      </c>
      <c r="N2" t="s">
        <v>2</v>
      </c>
      <c r="O2" t="s">
        <v>3</v>
      </c>
      <c r="Q2" s="35" t="s">
        <v>2</v>
      </c>
      <c r="R2" s="35" t="s">
        <v>3</v>
      </c>
    </row>
    <row r="3" spans="1:18" x14ac:dyDescent="0.35">
      <c r="A3" s="4">
        <f>1/B3-273</f>
        <v>5.8599999999999568</v>
      </c>
      <c r="B3">
        <v>3.5860288316718072E-3</v>
      </c>
      <c r="C3">
        <v>-7.6748731213003873</v>
      </c>
      <c r="E3" s="35">
        <v>3.5860288316718072E-3</v>
      </c>
      <c r="F3" s="35">
        <v>-7.7106081766747216</v>
      </c>
      <c r="H3">
        <v>3.5846341074350697E-3</v>
      </c>
      <c r="I3">
        <v>-6.7892104947355474</v>
      </c>
      <c r="K3">
        <v>3.5712270521877699E-3</v>
      </c>
      <c r="L3">
        <v>-6.1252659492410091</v>
      </c>
      <c r="N3">
        <v>3.5935120064622883E-3</v>
      </c>
      <c r="O3">
        <v>-6.1553226838581825</v>
      </c>
      <c r="Q3" s="35">
        <v>3.5947947372205052E-3</v>
      </c>
      <c r="R3" s="35">
        <v>-6.0439451350190341</v>
      </c>
    </row>
    <row r="4" spans="1:18" x14ac:dyDescent="0.35">
      <c r="A4" s="4">
        <f t="shared" ref="A4:A18" si="0">1/B4-273</f>
        <v>7.5699999999999932</v>
      </c>
      <c r="B4">
        <v>3.5641729336707418E-3</v>
      </c>
      <c r="C4">
        <v>-7.9117076394842334</v>
      </c>
      <c r="E4" s="35">
        <v>3.5641729336707418E-3</v>
      </c>
      <c r="F4" s="35">
        <v>-7.8569961254056917</v>
      </c>
      <c r="H4">
        <v>3.56332201384707E-3</v>
      </c>
      <c r="I4">
        <v>-6.5560639652931965</v>
      </c>
      <c r="K4">
        <v>3.550624448321727E-3</v>
      </c>
      <c r="L4">
        <v>-6.1180060782082784</v>
      </c>
      <c r="N4">
        <v>3.5733159685117605E-3</v>
      </c>
      <c r="O4">
        <v>-5.7810611935549243</v>
      </c>
      <c r="Q4" s="35">
        <v>3.5745473640036649E-3</v>
      </c>
      <c r="R4" s="35">
        <v>-5.9077489439614697</v>
      </c>
    </row>
    <row r="5" spans="1:18" x14ac:dyDescent="0.35">
      <c r="A5" s="4">
        <f t="shared" si="0"/>
        <v>9.3607999999999834</v>
      </c>
      <c r="B5">
        <v>3.541568093021411E-3</v>
      </c>
      <c r="C5">
        <v>-7.3702405181460078</v>
      </c>
      <c r="E5" s="35">
        <v>3.541568093021411E-3</v>
      </c>
      <c r="F5" s="35">
        <v>-7.4776143718956964</v>
      </c>
      <c r="H5">
        <v>3.5422618404529847E-3</v>
      </c>
      <c r="I5">
        <v>-6.332554056054053</v>
      </c>
      <c r="K5">
        <v>3.5302581960239407E-3</v>
      </c>
      <c r="L5">
        <v>-5.9411909436741333</v>
      </c>
      <c r="N5">
        <v>3.5533456709607824E-3</v>
      </c>
      <c r="O5">
        <v>-5.4903737391551193</v>
      </c>
      <c r="Q5" s="35">
        <v>3.5545267965111614E-3</v>
      </c>
      <c r="R5" s="35">
        <v>-5.8478211628466337</v>
      </c>
    </row>
    <row r="6" spans="1:18" x14ac:dyDescent="0.35">
      <c r="A6" s="4">
        <f t="shared" si="0"/>
        <v>11.018399999999986</v>
      </c>
      <c r="B6">
        <v>3.5208986460032168E-3</v>
      </c>
      <c r="C6">
        <v>-7.5418864846465956</v>
      </c>
      <c r="E6" s="35">
        <v>3.5208986460032168E-3</v>
      </c>
      <c r="F6" s="35">
        <v>-7.1836596334634475</v>
      </c>
      <c r="H6">
        <v>3.5214491467528719E-3</v>
      </c>
      <c r="I6">
        <v>-6.0444987248070383</v>
      </c>
      <c r="K6">
        <v>3.5101242513782506E-3</v>
      </c>
      <c r="L6">
        <v>-6.105910227065757</v>
      </c>
      <c r="N6">
        <v>3.5335973500377395E-3</v>
      </c>
      <c r="O6">
        <v>-5.2992917448798034</v>
      </c>
      <c r="Q6" s="35">
        <v>3.5347292450419242E-3</v>
      </c>
      <c r="R6" s="35">
        <v>-5.6927052172049875</v>
      </c>
    </row>
    <row r="7" spans="1:18" x14ac:dyDescent="0.35">
      <c r="A7" s="4">
        <f t="shared" si="0"/>
        <v>12.675999999999988</v>
      </c>
      <c r="B7">
        <v>3.5004690628544226E-3</v>
      </c>
      <c r="C7">
        <v>-7.0728924473447483</v>
      </c>
      <c r="E7" s="35">
        <v>3.5004690628544226E-3</v>
      </c>
      <c r="F7" s="35">
        <v>-7.1060818051448473</v>
      </c>
      <c r="H7">
        <v>3.5008795959984946E-3</v>
      </c>
      <c r="I7">
        <v>-5.8572088486289076</v>
      </c>
      <c r="K7">
        <v>3.4902186621991868E-3</v>
      </c>
      <c r="L7">
        <v>-5.899463475250637</v>
      </c>
      <c r="N7">
        <v>3.5140673251797682E-3</v>
      </c>
      <c r="O7">
        <v>-5.0727029775840951</v>
      </c>
      <c r="Q7" s="35">
        <v>3.5151510038568239E-3</v>
      </c>
      <c r="R7" s="35">
        <v>-5.6565678932487735</v>
      </c>
    </row>
    <row r="8" spans="1:18" x14ac:dyDescent="0.35">
      <c r="A8" s="4">
        <f t="shared" si="0"/>
        <v>14.33359999999999</v>
      </c>
      <c r="B8">
        <v>3.4802751923200073E-3</v>
      </c>
      <c r="C8">
        <v>-7.075486695777454</v>
      </c>
      <c r="E8" s="35">
        <v>3.4802751923200073E-3</v>
      </c>
      <c r="F8" s="35">
        <v>-6.96696632135325</v>
      </c>
      <c r="H8">
        <v>3.4805489521807383E-3</v>
      </c>
      <c r="I8">
        <v>-5.7612284844929915</v>
      </c>
      <c r="K8">
        <v>3.4705375654456622E-3</v>
      </c>
      <c r="L8">
        <v>-5.7247788820156158</v>
      </c>
      <c r="N8">
        <v>3.4947519967459379E-3</v>
      </c>
      <c r="O8">
        <v>-4.8159640452719952</v>
      </c>
      <c r="Q8" s="35">
        <v>3.4957884488662286E-3</v>
      </c>
      <c r="R8" s="35">
        <v>-5.5674886865606759</v>
      </c>
    </row>
    <row r="9" spans="1:18" x14ac:dyDescent="0.35">
      <c r="A9" s="4">
        <f t="shared" si="0"/>
        <v>15.991199999999992</v>
      </c>
      <c r="B9">
        <v>3.4603129783882694E-3</v>
      </c>
      <c r="C9">
        <v>-6.9055457495090948</v>
      </c>
      <c r="E9" s="35">
        <v>3.4603129783882694E-3</v>
      </c>
      <c r="F9" s="35">
        <v>-6.755094781721759</v>
      </c>
      <c r="H9">
        <v>3.4604530771213879E-3</v>
      </c>
      <c r="I9">
        <v>-5.5051755276451537</v>
      </c>
      <c r="K9">
        <v>3.4510771847216675E-3</v>
      </c>
      <c r="L9">
        <v>-5.5237994423924377</v>
      </c>
      <c r="N9">
        <v>3.4756478438054406E-3</v>
      </c>
      <c r="O9">
        <v>-4.6614352344734771</v>
      </c>
      <c r="Q9" s="35">
        <v>3.4766380353935663E-3</v>
      </c>
      <c r="R9" s="35">
        <v>-5.8168330483842254</v>
      </c>
    </row>
    <row r="10" spans="1:18" x14ac:dyDescent="0.35">
      <c r="A10" s="4">
        <f t="shared" si="0"/>
        <v>17.648799999999994</v>
      </c>
      <c r="B10">
        <v>3.4405784575749151E-3</v>
      </c>
      <c r="C10">
        <v>-6.8070596694176659</v>
      </c>
      <c r="E10" s="35">
        <v>3.4405784575749151E-3</v>
      </c>
      <c r="F10" s="35">
        <v>-6.7246106184579331</v>
      </c>
      <c r="H10">
        <v>3.4405879276650799E-3</v>
      </c>
      <c r="I10">
        <v>-5.2266676809748382</v>
      </c>
      <c r="K10">
        <v>3.4318338278605883E-3</v>
      </c>
      <c r="L10">
        <v>-5.502725516177823</v>
      </c>
      <c r="N10">
        <v>3.4567514219979363E-3</v>
      </c>
      <c r="O10">
        <v>-4.4357618010953344</v>
      </c>
      <c r="Q10" s="35">
        <v>3.4576962960119976E-3</v>
      </c>
      <c r="R10" s="35">
        <v>-5.4442863452746186</v>
      </c>
    </row>
    <row r="11" spans="1:18" x14ac:dyDescent="0.35">
      <c r="A11" s="4">
        <f t="shared" si="0"/>
        <v>19.306399999999996</v>
      </c>
      <c r="B11">
        <v>3.4210677562995541E-3</v>
      </c>
      <c r="C11">
        <v>-6.4205922461850848</v>
      </c>
      <c r="E11" s="35">
        <v>3.4210677562995541E-3</v>
      </c>
      <c r="F11" s="35">
        <v>-6.3000011433261101</v>
      </c>
      <c r="H11">
        <v>3.4209495529674175E-3</v>
      </c>
      <c r="I11">
        <v>-5.091199808741214</v>
      </c>
      <c r="K11">
        <v>3.4128038845898942E-3</v>
      </c>
      <c r="L11">
        <v>-5.2135479516770111</v>
      </c>
      <c r="N11">
        <v>3.4380593614633118E-3</v>
      </c>
      <c r="O11">
        <v>-4.2784452169399989</v>
      </c>
      <c r="Q11" s="35">
        <v>3.4389598384514226E-3</v>
      </c>
      <c r="R11" s="35">
        <v>-5.4971890056442749</v>
      </c>
    </row>
    <row r="12" spans="1:18" x14ac:dyDescent="0.35">
      <c r="A12" s="4">
        <f t="shared" si="0"/>
        <v>20.963999999999999</v>
      </c>
      <c r="B12">
        <v>3.4017770883509545E-3</v>
      </c>
      <c r="C12">
        <v>-6.2813736897389116</v>
      </c>
      <c r="E12" s="35">
        <v>3.4017770883509545E-3</v>
      </c>
      <c r="F12" s="35">
        <v>-6.09099501555787</v>
      </c>
      <c r="H12">
        <v>3.4015340918754364E-3</v>
      </c>
      <c r="I12">
        <v>-4.8122295987452057</v>
      </c>
      <c r="K12">
        <v>3.3939838242730939E-3</v>
      </c>
      <c r="L12">
        <v>-5.0879131718610076</v>
      </c>
      <c r="N12">
        <v>3.419568364838249E-3</v>
      </c>
      <c r="O12">
        <v>-4.0548458049112757</v>
      </c>
      <c r="Q12" s="35">
        <v>3.4204253435731751E-3</v>
      </c>
      <c r="R12" s="35">
        <v>-4.8807750426533252</v>
      </c>
    </row>
    <row r="13" spans="1:18" x14ac:dyDescent="0.35">
      <c r="A13" s="4">
        <f t="shared" si="0"/>
        <v>22.621600000000001</v>
      </c>
      <c r="B13">
        <v>3.3827027524375758E-3</v>
      </c>
      <c r="C13">
        <v>-6.1577802411364315</v>
      </c>
      <c r="E13" s="35">
        <v>3.3827027524375758E-3</v>
      </c>
      <c r="F13" s="35">
        <v>-5.8822493113127123</v>
      </c>
      <c r="H13">
        <v>3.3823377703967655E-3</v>
      </c>
      <c r="I13">
        <v>-4.883380430399014</v>
      </c>
      <c r="K13">
        <v>3.3753701937259974E-3</v>
      </c>
      <c r="L13">
        <v>-5.0028781728547482</v>
      </c>
      <c r="N13">
        <v>3.4012752053170997E-3</v>
      </c>
      <c r="O13">
        <v>-3.854207746180681</v>
      </c>
      <c r="Q13" s="35">
        <v>3.4020895634098471E-3</v>
      </c>
      <c r="R13" s="35">
        <v>-4.8221960409469489</v>
      </c>
    </row>
    <row r="14" spans="1:18" x14ac:dyDescent="0.35">
      <c r="A14" s="4">
        <f t="shared" si="0"/>
        <v>24.279200000000003</v>
      </c>
      <c r="B14">
        <v>3.3638411298200477E-3</v>
      </c>
      <c r="C14">
        <v>-5.8639112908506839</v>
      </c>
      <c r="E14" s="35">
        <v>3.3638411298200477E-3</v>
      </c>
      <c r="F14" s="35">
        <v>-5.6662304434547108</v>
      </c>
      <c r="H14">
        <v>3.3633568992540073E-3</v>
      </c>
      <c r="I14">
        <v>-4.5110434361628258</v>
      </c>
      <c r="K14">
        <v>3.3569596151044384E-3</v>
      </c>
      <c r="L14">
        <v>-4.7545239126202627</v>
      </c>
      <c r="N14">
        <v>3.3831767247746681E-3</v>
      </c>
      <c r="O14">
        <v>-3.7278576368629071</v>
      </c>
      <c r="Q14" s="35">
        <v>3.3839493192678351E-3</v>
      </c>
      <c r="R14" s="35">
        <v>-4.7565296230001701</v>
      </c>
    </row>
    <row r="15" spans="1:18" x14ac:dyDescent="0.35">
      <c r="A15" s="4">
        <f t="shared" si="0"/>
        <v>25.936800000000005</v>
      </c>
      <c r="B15">
        <v>3.3451886820224206E-3</v>
      </c>
      <c r="C15">
        <v>-5.6659898310459802</v>
      </c>
      <c r="E15" s="35">
        <v>3.3451886820224206E-3</v>
      </c>
      <c r="F15" s="35">
        <v>-5.4931805210525386</v>
      </c>
      <c r="H15">
        <v>3.3445878715210016E-3</v>
      </c>
      <c r="I15">
        <v>-4.3679974276267535</v>
      </c>
      <c r="K15">
        <v>3.3387487838607557E-3</v>
      </c>
      <c r="L15">
        <v>-4.5356159891437802</v>
      </c>
      <c r="N15">
        <v>3.347551500679234E-3</v>
      </c>
      <c r="O15">
        <v>-3.3733377536600084</v>
      </c>
      <c r="Q15" s="35">
        <v>3.3482430596780801E-3</v>
      </c>
      <c r="R15" s="35">
        <v>-4.4286359807938958</v>
      </c>
    </row>
    <row r="16" spans="1:18" x14ac:dyDescent="0.35">
      <c r="A16" s="4">
        <f t="shared" si="0"/>
        <v>29.251999999999953</v>
      </c>
      <c r="B16">
        <v>3.3084975450948222E-3</v>
      </c>
      <c r="C16">
        <v>-5.1782109307839308</v>
      </c>
      <c r="E16" s="35">
        <v>3.3084975450948222E-3</v>
      </c>
      <c r="F16" s="35">
        <v>-5.0830646411746674</v>
      </c>
      <c r="H16">
        <v>3.3076713167012597E-3</v>
      </c>
      <c r="I16">
        <v>-4.0027376168852991</v>
      </c>
      <c r="K16">
        <v>3.3029134999983489E-3</v>
      </c>
      <c r="L16">
        <v>-3.9947995194195332</v>
      </c>
      <c r="N16">
        <v>3.3126687335092559E-3</v>
      </c>
      <c r="O16">
        <v>-3.0620008462606472</v>
      </c>
      <c r="Q16" s="35">
        <v>3.31328245235914E-3</v>
      </c>
      <c r="R16" s="35">
        <v>-4.1824455052460801</v>
      </c>
    </row>
    <row r="17" spans="1:18" x14ac:dyDescent="0.35">
      <c r="A17" s="4">
        <f t="shared" si="0"/>
        <v>32.567199999999957</v>
      </c>
      <c r="B17">
        <v>3.2726025568189259E-3</v>
      </c>
      <c r="C17">
        <v>-4.8943808011188841</v>
      </c>
      <c r="E17" s="35">
        <v>3.2726025568189259E-3</v>
      </c>
      <c r="F17" s="35">
        <v>-4.730827522209629</v>
      </c>
      <c r="H17">
        <v>3.2715608125902748E-3</v>
      </c>
      <c r="I17">
        <v>-3.6380305781581854</v>
      </c>
      <c r="K17">
        <v>3.2678392981204045E-3</v>
      </c>
      <c r="L17">
        <v>-3.416469932852598</v>
      </c>
      <c r="N17">
        <v>3.2785054525726102E-3</v>
      </c>
      <c r="O17">
        <v>-2.7719585342413344</v>
      </c>
      <c r="Q17" s="35">
        <v>3.2790443815378001E-3</v>
      </c>
      <c r="R17" s="35">
        <v>-3.6258270615937369</v>
      </c>
    </row>
    <row r="18" spans="1:18" s="34" customFormat="1" ht="15" thickBot="1" x14ac:dyDescent="0.4">
      <c r="A18" s="33">
        <f t="shared" si="0"/>
        <v>35.882399999999961</v>
      </c>
      <c r="B18" s="34">
        <v>3.2374780822733832E-3</v>
      </c>
      <c r="C18" s="34">
        <v>-4.4923263817050234</v>
      </c>
      <c r="E18" s="35">
        <v>3.2374780822733832E-3</v>
      </c>
      <c r="F18" s="35">
        <v>-4.4043764850326577</v>
      </c>
      <c r="H18" s="34">
        <v>3.2362302448369997E-3</v>
      </c>
      <c r="I18" s="34">
        <v>-3.5199425278740919</v>
      </c>
      <c r="K18" s="34">
        <v>3.233502186817529E-3</v>
      </c>
      <c r="L18" s="34">
        <v>-2.7935914878604802</v>
      </c>
      <c r="N18" s="34">
        <v>3.2450396250840717E-3</v>
      </c>
      <c r="O18" s="34">
        <v>-2.6571986477466369</v>
      </c>
      <c r="Q18" s="35">
        <v>3.2455066771431623E-3</v>
      </c>
      <c r="R18" s="35">
        <v>-3.4243486661935338</v>
      </c>
    </row>
    <row r="19" spans="1:18" x14ac:dyDescent="0.35">
      <c r="A19" s="12"/>
      <c r="B19" s="13" t="s">
        <v>4</v>
      </c>
      <c r="C19" s="14"/>
      <c r="D19" s="5"/>
      <c r="E19" s="36" t="s">
        <v>5</v>
      </c>
      <c r="F19" s="37"/>
      <c r="G19" s="5"/>
      <c r="H19" s="12" t="s">
        <v>8</v>
      </c>
      <c r="I19" s="14"/>
      <c r="J19" s="5"/>
      <c r="K19" s="12" t="s">
        <v>9</v>
      </c>
      <c r="L19" s="14"/>
      <c r="M19" s="5"/>
      <c r="N19" s="12" t="s">
        <v>6</v>
      </c>
      <c r="O19" s="14"/>
      <c r="P19" s="5"/>
      <c r="Q19" s="36" t="s">
        <v>7</v>
      </c>
      <c r="R19" s="37"/>
    </row>
    <row r="20" spans="1:18" x14ac:dyDescent="0.35">
      <c r="A20" s="15" t="s">
        <v>17</v>
      </c>
      <c r="B20" s="16">
        <f t="array" ref="B20:C25">LINEST(C3:C18,B3:B18,TRUE,TRUE)</f>
        <v>-9728.9567601956369</v>
      </c>
      <c r="C20" s="17">
        <v>26.881232988542628</v>
      </c>
      <c r="E20" s="38">
        <f t="array" ref="E20:F25">LINEST(F3:F18,E3:E18,TRUE,TRUE)</f>
        <v>-10124.640695296006</v>
      </c>
      <c r="F20" s="39">
        <v>28.354735854897143</v>
      </c>
      <c r="H20" s="16">
        <f t="array" ref="H20:I25">LINEST(I3:I18,H3:H18,TRUE,TRUE)</f>
        <v>-9646.3536792659906</v>
      </c>
      <c r="I20" s="17">
        <v>27.871047203386901</v>
      </c>
      <c r="K20" s="16">
        <f t="array" ref="K20:L25">LINEST(L3:L18,K3:K18,TRUE,TRUE)</f>
        <v>-9529.9046278846236</v>
      </c>
      <c r="L20" s="17">
        <v>27.46444736365703</v>
      </c>
      <c r="N20" s="16">
        <f t="array" ref="N20:O25">LINEST(O3:O18,N3:N18,TRUE,TRUE)</f>
        <v>-10046.608321189433</v>
      </c>
      <c r="O20" s="17">
        <v>30.205063040102036</v>
      </c>
      <c r="Q20" s="38">
        <f t="array" ref="Q20:R25">LINEST(R3:R18,Q3:Q18,TRUE,TRUE)</f>
        <v>-7580.4487271514154</v>
      </c>
      <c r="R20" s="39">
        <v>20.974842283113638</v>
      </c>
    </row>
    <row r="21" spans="1:18" x14ac:dyDescent="0.35">
      <c r="A21" s="15"/>
      <c r="B21" s="16">
        <v>382.2083211836931</v>
      </c>
      <c r="C21" s="17">
        <v>1.3102864159739145</v>
      </c>
      <c r="E21" s="38">
        <v>272.11008265953603</v>
      </c>
      <c r="F21" s="39">
        <v>0.93284767807807989</v>
      </c>
      <c r="H21" s="16">
        <v>208.25422404337331</v>
      </c>
      <c r="I21" s="17">
        <v>0.7138724447982534</v>
      </c>
      <c r="K21" s="16">
        <v>700.49643648786832</v>
      </c>
      <c r="L21" s="17">
        <v>2.3952818296408247</v>
      </c>
      <c r="N21" s="16">
        <v>287.8067673324561</v>
      </c>
      <c r="O21" s="17">
        <v>0.99014710622168145</v>
      </c>
      <c r="Q21" s="38">
        <v>526.21590156336129</v>
      </c>
      <c r="R21" s="39">
        <v>1.8108322633023837</v>
      </c>
    </row>
    <row r="22" spans="1:18" x14ac:dyDescent="0.35">
      <c r="A22" s="15"/>
      <c r="B22" s="16">
        <v>0.97884992665007176</v>
      </c>
      <c r="C22" s="17">
        <v>0.15416499674318468</v>
      </c>
      <c r="E22" s="38">
        <v>0.98998874960725292</v>
      </c>
      <c r="F22" s="39">
        <v>0.10975650628713961</v>
      </c>
      <c r="H22" s="16">
        <v>0.99351716917953736</v>
      </c>
      <c r="I22" s="17">
        <v>8.422784698457858E-2</v>
      </c>
      <c r="K22" s="16">
        <v>0.92967737864725153</v>
      </c>
      <c r="L22" s="17">
        <v>0.27460720319778426</v>
      </c>
      <c r="N22" s="16">
        <v>0.98864126855665457</v>
      </c>
      <c r="O22" s="17">
        <v>0.11759950935081175</v>
      </c>
      <c r="Q22" s="38">
        <v>0.93680055269246876</v>
      </c>
      <c r="R22" s="39">
        <v>0.21551915836510535</v>
      </c>
    </row>
    <row r="23" spans="1:18" x14ac:dyDescent="0.35">
      <c r="A23" s="15"/>
      <c r="B23" s="16">
        <v>647.93623862999482</v>
      </c>
      <c r="C23" s="17">
        <v>14</v>
      </c>
      <c r="E23" s="38">
        <v>1384.4267150227934</v>
      </c>
      <c r="F23" s="39">
        <v>14</v>
      </c>
      <c r="H23" s="16">
        <v>2145.5504167423001</v>
      </c>
      <c r="I23" s="17">
        <v>14</v>
      </c>
      <c r="K23" s="16">
        <v>185.08245356460708</v>
      </c>
      <c r="L23" s="17">
        <v>14</v>
      </c>
      <c r="N23" s="16">
        <v>1218.5320014676395</v>
      </c>
      <c r="O23" s="17">
        <v>14</v>
      </c>
      <c r="Q23" s="38">
        <v>207.52092457194124</v>
      </c>
      <c r="R23" s="39">
        <v>14</v>
      </c>
    </row>
    <row r="24" spans="1:18" x14ac:dyDescent="0.35">
      <c r="A24" s="15"/>
      <c r="B24" s="18">
        <v>15.399400944419599</v>
      </c>
      <c r="C24" s="19">
        <v>0.33273584709156601</v>
      </c>
      <c r="E24" s="40">
        <v>16.677483509086574</v>
      </c>
      <c r="F24" s="41">
        <v>0.16865086941302482</v>
      </c>
      <c r="H24" s="18">
        <v>15.221243133547219</v>
      </c>
      <c r="I24" s="19">
        <v>9.9320622907206182E-2</v>
      </c>
      <c r="K24" s="18">
        <v>13.956904219322233</v>
      </c>
      <c r="L24" s="19">
        <v>1.0557276246735285</v>
      </c>
      <c r="N24" s="18">
        <v>16.851864513477818</v>
      </c>
      <c r="O24" s="19">
        <v>0.19361502439372325</v>
      </c>
      <c r="Q24" s="40">
        <v>9.6390372467880052</v>
      </c>
      <c r="R24" s="41">
        <v>0.65027910671364697</v>
      </c>
    </row>
    <row r="25" spans="1:18" x14ac:dyDescent="0.35">
      <c r="A25" s="15"/>
      <c r="B25" s="18" t="e">
        <v>#N/A</v>
      </c>
      <c r="C25" s="19" t="e">
        <v>#N/A</v>
      </c>
      <c r="E25" s="40" t="e">
        <v>#N/A</v>
      </c>
      <c r="F25" s="41" t="e">
        <v>#N/A</v>
      </c>
      <c r="H25" s="18" t="e">
        <v>#N/A</v>
      </c>
      <c r="I25" s="19" t="e">
        <v>#N/A</v>
      </c>
      <c r="K25" s="18" t="e">
        <v>#N/A</v>
      </c>
      <c r="L25" s="19" t="e">
        <v>#N/A</v>
      </c>
      <c r="N25" s="18" t="e">
        <v>#N/A</v>
      </c>
      <c r="O25" s="19" t="e">
        <v>#N/A</v>
      </c>
      <c r="Q25" s="40" t="e">
        <v>#N/A</v>
      </c>
      <c r="R25" s="41" t="e">
        <v>#N/A</v>
      </c>
    </row>
    <row r="26" spans="1:18" x14ac:dyDescent="0.35">
      <c r="A26" s="15" t="s">
        <v>18</v>
      </c>
      <c r="B26" s="30">
        <f>C20</f>
        <v>26.881232988542628</v>
      </c>
      <c r="C26" s="31"/>
      <c r="E26" s="47">
        <f>F20</f>
        <v>28.354735854897143</v>
      </c>
      <c r="F26" s="41"/>
      <c r="H26" s="32">
        <f>I20</f>
        <v>27.871047203386901</v>
      </c>
      <c r="I26" s="19"/>
      <c r="K26" s="32">
        <f>L20</f>
        <v>27.46444736365703</v>
      </c>
      <c r="L26" s="19"/>
      <c r="N26" s="32">
        <f>O20</f>
        <v>30.205063040102036</v>
      </c>
      <c r="O26" s="19"/>
      <c r="Q26" s="42">
        <f>R20</f>
        <v>20.974842283113638</v>
      </c>
      <c r="R26" s="41"/>
    </row>
    <row r="27" spans="1:18" ht="15" thickBot="1" x14ac:dyDescent="0.4">
      <c r="A27" s="20" t="s">
        <v>19</v>
      </c>
      <c r="B27" s="21">
        <f>8.314*(-B20)</f>
        <v>80886.546504266531</v>
      </c>
      <c r="C27" s="22"/>
      <c r="D27" s="11"/>
      <c r="E27" s="43">
        <f>8.314*(-E20)</f>
        <v>84176.262740690989</v>
      </c>
      <c r="F27" s="44"/>
      <c r="G27" s="11"/>
      <c r="H27" s="21">
        <f>8.314*(-H20)</f>
        <v>80199.784489417449</v>
      </c>
      <c r="I27" s="22"/>
      <c r="J27" s="11"/>
      <c r="K27" s="21">
        <f>8.314*(-K20)</f>
        <v>79231.627076232762</v>
      </c>
      <c r="L27" s="22"/>
      <c r="M27" s="11"/>
      <c r="N27" s="21">
        <f>8.314*(-N20)</f>
        <v>83527.501582368946</v>
      </c>
      <c r="O27" s="22"/>
      <c r="P27" s="11"/>
      <c r="Q27" s="43">
        <f>8.314*(-Q20)</f>
        <v>63023.850717536865</v>
      </c>
      <c r="R27" s="44"/>
    </row>
    <row r="28" spans="1:18" x14ac:dyDescent="0.35">
      <c r="A28" t="s">
        <v>20</v>
      </c>
      <c r="B28" s="4">
        <f>C21*B30</f>
        <v>2.8105643622640466</v>
      </c>
      <c r="C28" s="4"/>
      <c r="D28" s="4"/>
      <c r="E28" s="4">
        <f>F21*E30</f>
        <v>2.0009582694774815</v>
      </c>
      <c r="F28" s="4"/>
      <c r="G28" s="4"/>
      <c r="H28" s="4">
        <f>I21*H30</f>
        <v>1.5312563940922537</v>
      </c>
      <c r="I28" s="4"/>
      <c r="J28" s="4"/>
      <c r="K28" s="4">
        <f>L21*K30</f>
        <v>5.137879524579569</v>
      </c>
      <c r="L28" s="4"/>
      <c r="M28" s="4"/>
      <c r="N28" s="4">
        <f>O21*N30</f>
        <v>2.1238655428455067</v>
      </c>
      <c r="O28" s="4"/>
      <c r="P28" s="4"/>
      <c r="Q28" s="45">
        <f>R21*Q30</f>
        <v>3.8842352047836131</v>
      </c>
      <c r="R28" s="35"/>
    </row>
    <row r="29" spans="1:18" x14ac:dyDescent="0.35">
      <c r="A29" t="s">
        <v>21</v>
      </c>
      <c r="B29" s="4">
        <f>B21*B30*8.314</f>
        <v>6816.1235620790267</v>
      </c>
      <c r="C29" s="4"/>
      <c r="D29" s="4"/>
      <c r="E29" s="4">
        <f>E21*E30</f>
        <v>583.67612730470478</v>
      </c>
      <c r="F29" s="4"/>
      <c r="G29" s="4"/>
      <c r="H29" s="4">
        <f>H21*H30</f>
        <v>446.70531057303577</v>
      </c>
      <c r="I29" s="4"/>
      <c r="J29" s="4"/>
      <c r="K29" s="4">
        <f>K21*K30</f>
        <v>1502.5648562664776</v>
      </c>
      <c r="L29" s="4"/>
      <c r="M29" s="4"/>
      <c r="N29" s="4">
        <f>N21*N30</f>
        <v>617.3455159281184</v>
      </c>
      <c r="O29" s="4"/>
      <c r="P29" s="4"/>
      <c r="Q29" s="45">
        <f>Q21*Q30</f>
        <v>1128.7331088534099</v>
      </c>
      <c r="R29" s="35"/>
    </row>
    <row r="30" spans="1:18" x14ac:dyDescent="0.35">
      <c r="A30" t="s">
        <v>30</v>
      </c>
      <c r="B30" s="26">
        <v>2.145</v>
      </c>
      <c r="E30" s="26">
        <f>B30</f>
        <v>2.145</v>
      </c>
      <c r="F30" s="26"/>
      <c r="G30" s="26"/>
      <c r="H30" s="26">
        <f>B30</f>
        <v>2.145</v>
      </c>
      <c r="I30" s="26"/>
      <c r="J30" s="26"/>
      <c r="K30" s="26">
        <f>B30</f>
        <v>2.145</v>
      </c>
      <c r="L30" s="26"/>
      <c r="M30" s="26"/>
      <c r="N30" s="26">
        <f>B30</f>
        <v>2.145</v>
      </c>
      <c r="O30" s="26"/>
      <c r="P30" s="26"/>
      <c r="Q30" s="46">
        <f>B30</f>
        <v>2.145</v>
      </c>
      <c r="R30" s="46"/>
    </row>
    <row r="31" spans="1:18" x14ac:dyDescent="0.35">
      <c r="B31" s="48"/>
      <c r="C31" s="48"/>
      <c r="D31" s="48" t="s">
        <v>18</v>
      </c>
      <c r="E31" s="48" t="s">
        <v>19</v>
      </c>
      <c r="F31" s="48" t="s">
        <v>22</v>
      </c>
      <c r="G31" s="48" t="s">
        <v>23</v>
      </c>
      <c r="H31" s="48" t="s">
        <v>24</v>
      </c>
      <c r="I31" s="48" t="s">
        <v>25</v>
      </c>
      <c r="J31" s="48" t="s">
        <v>29</v>
      </c>
      <c r="K31" s="48" t="s">
        <v>27</v>
      </c>
      <c r="L31" s="48" t="s">
        <v>28</v>
      </c>
    </row>
    <row r="32" spans="1:18" x14ac:dyDescent="0.35">
      <c r="B32" s="48" t="s">
        <v>4</v>
      </c>
      <c r="C32" s="48"/>
      <c r="D32" s="49">
        <v>26.881232988542628</v>
      </c>
      <c r="E32" s="50">
        <v>80886.546504266531</v>
      </c>
      <c r="F32" s="49">
        <f>D32+$B$28</f>
        <v>29.691797350806674</v>
      </c>
      <c r="G32" s="49">
        <f>D32-$B$28</f>
        <v>24.070668626278582</v>
      </c>
      <c r="H32" s="50">
        <f>E32+$B$29</f>
        <v>87702.670066345556</v>
      </c>
      <c r="I32" s="50">
        <f>E32-$B$29</f>
        <v>74070.422942187506</v>
      </c>
      <c r="J32" s="49">
        <f>EXP((10*E32)/(8.314*278.15*298.15))</f>
        <v>3.2321478792717864</v>
      </c>
      <c r="K32" s="49">
        <f>EXP((10*H32)/(8.314*278.15*298.15))</f>
        <v>3.5680002672909947</v>
      </c>
      <c r="L32" s="49">
        <f>EXP((10*I32)/(8.314*278.15*298.15))</f>
        <v>2.9279089492369423</v>
      </c>
    </row>
    <row r="33" spans="2:12" x14ac:dyDescent="0.35">
      <c r="B33" s="51" t="s">
        <v>5</v>
      </c>
      <c r="C33" s="51"/>
      <c r="D33" s="52">
        <v>28.354735854897143</v>
      </c>
      <c r="E33" s="53">
        <v>84176.262740690989</v>
      </c>
      <c r="F33" s="52">
        <f t="shared" ref="F33:F37" si="1">D33+$B$28</f>
        <v>31.165300217161189</v>
      </c>
      <c r="G33" s="52">
        <f t="shared" ref="G33:G37" si="2">D33-$B$28</f>
        <v>25.544171492633097</v>
      </c>
      <c r="H33" s="53">
        <f t="shared" ref="H33:H37" si="3">E33+$B$29</f>
        <v>90992.386302770014</v>
      </c>
      <c r="I33" s="53">
        <f t="shared" ref="I33:I37" si="4">E33-$B$29</f>
        <v>77360.139178611964</v>
      </c>
      <c r="J33" s="52">
        <f t="shared" ref="J33:J37" si="5">EXP((10*E33)/(8.314*278.15*298.15))</f>
        <v>3.3901007964092691</v>
      </c>
      <c r="K33" s="52">
        <f t="shared" ref="K33:K37" si="6">EXP((10*H33)/(8.314*278.15*298.15))</f>
        <v>3.7423660672533732</v>
      </c>
      <c r="L33" s="52">
        <f t="shared" ref="L33:L37" si="7">EXP((10*I33)/(8.314*278.15*298.15))</f>
        <v>3.070993912214909</v>
      </c>
    </row>
    <row r="34" spans="2:12" x14ac:dyDescent="0.35">
      <c r="B34" s="48" t="s">
        <v>8</v>
      </c>
      <c r="C34" s="48"/>
      <c r="D34" s="49">
        <v>27.871047203386901</v>
      </c>
      <c r="E34" s="50">
        <v>80199.784489417449</v>
      </c>
      <c r="F34" s="49">
        <f t="shared" si="1"/>
        <v>30.681611565650947</v>
      </c>
      <c r="G34" s="49">
        <f t="shared" si="2"/>
        <v>25.060482841122855</v>
      </c>
      <c r="H34" s="50">
        <f t="shared" si="3"/>
        <v>87015.908051496473</v>
      </c>
      <c r="I34" s="50">
        <f t="shared" si="4"/>
        <v>73383.660927338424</v>
      </c>
      <c r="J34" s="49">
        <f t="shared" si="5"/>
        <v>3.2001137823864196</v>
      </c>
      <c r="K34" s="49">
        <f t="shared" si="6"/>
        <v>3.5326375083707049</v>
      </c>
      <c r="L34" s="49">
        <f t="shared" si="7"/>
        <v>2.8988901906730482</v>
      </c>
    </row>
    <row r="35" spans="2:12" x14ac:dyDescent="0.35">
      <c r="B35" s="48" t="s">
        <v>9</v>
      </c>
      <c r="C35" s="48"/>
      <c r="D35" s="49">
        <v>27.46444736365703</v>
      </c>
      <c r="E35" s="50">
        <v>79231.627076232762</v>
      </c>
      <c r="F35" s="49">
        <f t="shared" si="1"/>
        <v>30.275011725921075</v>
      </c>
      <c r="G35" s="49">
        <f t="shared" si="2"/>
        <v>24.653883001392984</v>
      </c>
      <c r="H35" s="50">
        <f t="shared" si="3"/>
        <v>86047.750638311787</v>
      </c>
      <c r="I35" s="50">
        <f t="shared" si="4"/>
        <v>72415.503514153737</v>
      </c>
      <c r="J35" s="49">
        <f t="shared" si="5"/>
        <v>3.1554925118548529</v>
      </c>
      <c r="K35" s="49">
        <f t="shared" si="6"/>
        <v>3.4833796429727384</v>
      </c>
      <c r="L35" s="49">
        <f t="shared" si="7"/>
        <v>2.8584690768516325</v>
      </c>
    </row>
    <row r="36" spans="2:12" x14ac:dyDescent="0.35">
      <c r="B36" s="48" t="s">
        <v>6</v>
      </c>
      <c r="C36" s="48"/>
      <c r="D36" s="49">
        <v>30.205063040102036</v>
      </c>
      <c r="E36" s="50">
        <v>83527.501582368946</v>
      </c>
      <c r="F36" s="49">
        <f t="shared" si="1"/>
        <v>33.015627402366086</v>
      </c>
      <c r="G36" s="49">
        <f t="shared" si="2"/>
        <v>27.394498677837991</v>
      </c>
      <c r="H36" s="50">
        <f t="shared" si="3"/>
        <v>90343.625144447971</v>
      </c>
      <c r="I36" s="50">
        <f t="shared" si="4"/>
        <v>76711.378020289922</v>
      </c>
      <c r="J36" s="49">
        <f t="shared" si="5"/>
        <v>3.3583516586671314</v>
      </c>
      <c r="K36" s="49">
        <f t="shared" si="6"/>
        <v>3.7073178775722355</v>
      </c>
      <c r="L36" s="49">
        <f t="shared" si="7"/>
        <v>3.0422332898677951</v>
      </c>
    </row>
    <row r="37" spans="2:12" x14ac:dyDescent="0.35">
      <c r="B37" s="51" t="s">
        <v>7</v>
      </c>
      <c r="C37" s="51"/>
      <c r="D37" s="52">
        <v>20.974842283113638</v>
      </c>
      <c r="E37" s="53">
        <v>63023.850717536865</v>
      </c>
      <c r="F37" s="52">
        <f t="shared" si="1"/>
        <v>23.785406645377684</v>
      </c>
      <c r="G37" s="52">
        <f t="shared" si="2"/>
        <v>18.164277920849592</v>
      </c>
      <c r="H37" s="53">
        <f t="shared" si="3"/>
        <v>69839.974279615897</v>
      </c>
      <c r="I37" s="53">
        <f t="shared" si="4"/>
        <v>56207.72715545784</v>
      </c>
      <c r="J37" s="52">
        <f t="shared" si="5"/>
        <v>2.4944626314078278</v>
      </c>
      <c r="K37" s="52">
        <f t="shared" si="6"/>
        <v>2.7536621677148583</v>
      </c>
      <c r="L37" s="52">
        <f t="shared" si="7"/>
        <v>2.2596612948543773</v>
      </c>
    </row>
    <row r="38" spans="2:12" ht="15" thickBot="1" x14ac:dyDescent="0.4"/>
    <row r="39" spans="2:12" x14ac:dyDescent="0.35">
      <c r="B39" s="23"/>
      <c r="D39" s="54"/>
      <c r="E39" s="54" t="s">
        <v>36</v>
      </c>
    </row>
    <row r="40" spans="2:12" x14ac:dyDescent="0.35">
      <c r="B40" s="24"/>
      <c r="D40" s="54" t="s">
        <v>37</v>
      </c>
      <c r="E40" s="55">
        <f>AVERAGE(E32,E34,E35,E36)</f>
        <v>80961.364913071418</v>
      </c>
    </row>
    <row r="41" spans="2:12" ht="15" thickBot="1" x14ac:dyDescent="0.4">
      <c r="D41" s="54" t="s">
        <v>38</v>
      </c>
      <c r="E41" s="55">
        <f>8.314*SQRT((B21^2+H21^2+K21^2+N21^2)/4)</f>
        <v>3631.0889719167108</v>
      </c>
    </row>
    <row r="42" spans="2:12" x14ac:dyDescent="0.35">
      <c r="B42" s="23"/>
    </row>
    <row r="43" spans="2:12" x14ac:dyDescent="0.35">
      <c r="B43" s="24"/>
    </row>
    <row r="44" spans="2:12" ht="15" thickBot="1" x14ac:dyDescent="0.4"/>
    <row r="45" spans="2:12" x14ac:dyDescent="0.35">
      <c r="B45" s="24"/>
      <c r="D45" s="24" t="s">
        <v>18</v>
      </c>
      <c r="E45" s="23" t="s">
        <v>20</v>
      </c>
      <c r="F45" t="s">
        <v>22</v>
      </c>
      <c r="G45" t="s">
        <v>23</v>
      </c>
      <c r="H45" t="s">
        <v>26</v>
      </c>
      <c r="I45" t="s">
        <v>19</v>
      </c>
      <c r="J45" s="24" t="s">
        <v>21</v>
      </c>
      <c r="K45" s="24" t="s">
        <v>24</v>
      </c>
      <c r="L45" s="24" t="s">
        <v>25</v>
      </c>
    </row>
    <row r="46" spans="2:12" x14ac:dyDescent="0.35">
      <c r="C46" s="25" t="s">
        <v>4</v>
      </c>
      <c r="D46">
        <v>26.881</v>
      </c>
      <c r="E46">
        <v>2.8105643622640466</v>
      </c>
      <c r="F46" s="4">
        <f>D46+E46</f>
        <v>29.691564362264046</v>
      </c>
      <c r="G46" s="4">
        <f>D46-E46</f>
        <v>24.070435637735955</v>
      </c>
      <c r="H46">
        <v>8.3140000000000001</v>
      </c>
      <c r="I46">
        <v>80847.630677225752</v>
      </c>
      <c r="J46">
        <v>819.83684893902171</v>
      </c>
      <c r="K46" s="11">
        <f>I46+(J46*H46)</f>
        <v>87663.754239304777</v>
      </c>
      <c r="L46" s="11">
        <f>I46-(J46*H46)</f>
        <v>74031.507115146727</v>
      </c>
    </row>
    <row r="47" spans="2:12" x14ac:dyDescent="0.35">
      <c r="C47" s="25" t="s">
        <v>5</v>
      </c>
      <c r="D47">
        <v>28.355</v>
      </c>
      <c r="E47">
        <v>2.0009582694774815</v>
      </c>
      <c r="F47" s="4">
        <f t="shared" ref="F47:F51" si="8">D47+E47</f>
        <v>30.355958269477483</v>
      </c>
      <c r="G47" s="4">
        <f t="shared" ref="G47:G51" si="9">D47-E47</f>
        <v>26.354041730522518</v>
      </c>
      <c r="H47">
        <v>8.3140000000000001</v>
      </c>
      <c r="I47">
        <v>84135.764177909819</v>
      </c>
      <c r="J47">
        <v>583.67612730470478</v>
      </c>
      <c r="K47" s="11">
        <f t="shared" ref="K47:K51" si="10">I47+(J47*H47)</f>
        <v>88988.447500321141</v>
      </c>
      <c r="L47" s="11">
        <f t="shared" ref="L47:L51" si="11">I47-(J47*H47)</f>
        <v>79283.080855498498</v>
      </c>
    </row>
    <row r="48" spans="2:12" x14ac:dyDescent="0.35">
      <c r="C48" s="25" t="s">
        <v>8</v>
      </c>
      <c r="D48">
        <v>27.870999999999999</v>
      </c>
      <c r="E48">
        <v>1.5312563940922537</v>
      </c>
      <c r="F48" s="4">
        <f t="shared" si="8"/>
        <v>29.402256394092252</v>
      </c>
      <c r="G48" s="4">
        <f t="shared" si="9"/>
        <v>26.339743605907746</v>
      </c>
      <c r="H48">
        <v>8.3140000000000001</v>
      </c>
      <c r="I48">
        <v>80161.199074700387</v>
      </c>
      <c r="J48">
        <v>446.70531057303577</v>
      </c>
      <c r="K48" s="11">
        <f t="shared" si="10"/>
        <v>83875.107026804602</v>
      </c>
      <c r="L48" s="11">
        <f t="shared" si="11"/>
        <v>76447.291122596172</v>
      </c>
    </row>
    <row r="49" spans="2:18" x14ac:dyDescent="0.35">
      <c r="C49" s="25" t="s">
        <v>9</v>
      </c>
      <c r="D49">
        <v>27.463999999999999</v>
      </c>
      <c r="E49">
        <v>5.137879524579569</v>
      </c>
      <c r="F49" s="4">
        <f t="shared" si="8"/>
        <v>32.601879524579566</v>
      </c>
      <c r="G49" s="4">
        <f t="shared" si="9"/>
        <v>22.326120475420431</v>
      </c>
      <c r="H49">
        <v>8.3140000000000001</v>
      </c>
      <c r="I49">
        <v>79193.507457721222</v>
      </c>
      <c r="J49">
        <v>1502.5648562664776</v>
      </c>
      <c r="K49" s="11">
        <f t="shared" si="10"/>
        <v>91685.831672720713</v>
      </c>
      <c r="L49" s="11">
        <f t="shared" si="11"/>
        <v>66701.18324272173</v>
      </c>
    </row>
    <row r="50" spans="2:18" x14ac:dyDescent="0.35">
      <c r="C50" s="25" t="s">
        <v>6</v>
      </c>
      <c r="D50">
        <v>30.204999999999998</v>
      </c>
      <c r="E50">
        <v>2.1238655428455067</v>
      </c>
      <c r="F50" s="4">
        <f t="shared" si="8"/>
        <v>32.328865542845506</v>
      </c>
      <c r="G50" s="4">
        <f t="shared" si="9"/>
        <v>28.081134457154491</v>
      </c>
      <c r="H50">
        <v>8.3140000000000001</v>
      </c>
      <c r="I50">
        <v>83487.315149084199</v>
      </c>
      <c r="J50">
        <v>617.3455159281184</v>
      </c>
      <c r="K50" s="11">
        <f t="shared" si="10"/>
        <v>88619.925768510569</v>
      </c>
      <c r="L50" s="11">
        <f t="shared" si="11"/>
        <v>78354.704529657829</v>
      </c>
    </row>
    <row r="51" spans="2:18" x14ac:dyDescent="0.35">
      <c r="C51" s="25" t="s">
        <v>7</v>
      </c>
      <c r="D51">
        <v>20.975000000000001</v>
      </c>
      <c r="E51">
        <v>3.8842352047836131</v>
      </c>
      <c r="F51" s="4">
        <f t="shared" si="8"/>
        <v>24.859235204783616</v>
      </c>
      <c r="G51" s="4">
        <f t="shared" si="9"/>
        <v>17.090764795216387</v>
      </c>
      <c r="H51">
        <v>8.3140000000000001</v>
      </c>
      <c r="I51">
        <v>62993.528922628262</v>
      </c>
      <c r="J51">
        <v>1128.7331088534099</v>
      </c>
      <c r="K51" s="11">
        <f t="shared" si="10"/>
        <v>72377.815989635506</v>
      </c>
      <c r="L51" s="11">
        <f t="shared" si="11"/>
        <v>53609.24185562101</v>
      </c>
    </row>
    <row r="54" spans="2:18" x14ac:dyDescent="0.35">
      <c r="B54" t="s">
        <v>18</v>
      </c>
      <c r="C54">
        <v>26.881</v>
      </c>
      <c r="F54">
        <v>28.355</v>
      </c>
      <c r="I54">
        <v>27.870999999999999</v>
      </c>
      <c r="L54">
        <v>27.463999999999999</v>
      </c>
      <c r="O54">
        <v>30.204999999999998</v>
      </c>
      <c r="R54">
        <v>20.975000000000001</v>
      </c>
    </row>
    <row r="55" spans="2:18" x14ac:dyDescent="0.35">
      <c r="B55" t="s">
        <v>19</v>
      </c>
      <c r="C55">
        <v>80847.630677225752</v>
      </c>
      <c r="F55">
        <v>84135.764177909819</v>
      </c>
      <c r="I55">
        <v>80161.199074700387</v>
      </c>
      <c r="L55">
        <v>79193.507457721222</v>
      </c>
      <c r="O55">
        <v>83487.315149084199</v>
      </c>
      <c r="R55">
        <v>62993.528922628262</v>
      </c>
    </row>
    <row r="56" spans="2:18" x14ac:dyDescent="0.35">
      <c r="B56" t="s">
        <v>20</v>
      </c>
      <c r="C56">
        <v>2.8105643622640466</v>
      </c>
      <c r="F56">
        <v>2.0009582694774815</v>
      </c>
      <c r="I56">
        <v>1.5312563940922537</v>
      </c>
      <c r="L56">
        <v>5.137879524579569</v>
      </c>
      <c r="O56">
        <v>2.1238655428455067</v>
      </c>
      <c r="R56">
        <v>3.8842352047836131</v>
      </c>
    </row>
    <row r="57" spans="2:18" x14ac:dyDescent="0.35">
      <c r="B57" t="s">
        <v>21</v>
      </c>
      <c r="C57">
        <v>819.83684893902171</v>
      </c>
      <c r="F57">
        <v>583.67612730470478</v>
      </c>
      <c r="I57">
        <v>446.70531057303577</v>
      </c>
      <c r="L57">
        <v>1502.5648562664776</v>
      </c>
      <c r="O57">
        <v>617.3455159281184</v>
      </c>
      <c r="R57">
        <v>1128.7331088534099</v>
      </c>
    </row>
    <row r="59" spans="2:18" x14ac:dyDescent="0.35">
      <c r="B59" t="s">
        <v>18</v>
      </c>
      <c r="C59" t="s">
        <v>19</v>
      </c>
      <c r="D59" t="s">
        <v>20</v>
      </c>
      <c r="E59" t="s">
        <v>21</v>
      </c>
    </row>
    <row r="60" spans="2:18" x14ac:dyDescent="0.35">
      <c r="B60">
        <v>26.881</v>
      </c>
      <c r="C60">
        <v>80847.630677225752</v>
      </c>
      <c r="D60">
        <v>2.8105643622640466</v>
      </c>
      <c r="E60">
        <v>819.83684893902171</v>
      </c>
    </row>
    <row r="61" spans="2:18" x14ac:dyDescent="0.35">
      <c r="B61">
        <v>28.355</v>
      </c>
      <c r="C61">
        <v>84135.764177909819</v>
      </c>
      <c r="D61">
        <v>2.0009582694774815</v>
      </c>
      <c r="E61">
        <v>583.67612730470478</v>
      </c>
    </row>
    <row r="62" spans="2:18" x14ac:dyDescent="0.35">
      <c r="B62">
        <v>27.870999999999999</v>
      </c>
      <c r="C62">
        <v>80161.199074700387</v>
      </c>
      <c r="D62">
        <v>1.5312563940922537</v>
      </c>
      <c r="E62">
        <v>446.70531057303577</v>
      </c>
    </row>
    <row r="63" spans="2:18" x14ac:dyDescent="0.35">
      <c r="B63">
        <v>27.463999999999999</v>
      </c>
      <c r="C63">
        <v>79193.507457721222</v>
      </c>
      <c r="D63">
        <v>5.137879524579569</v>
      </c>
      <c r="E63">
        <v>1502.5648562664776</v>
      </c>
    </row>
    <row r="64" spans="2:18" x14ac:dyDescent="0.35">
      <c r="B64">
        <v>30.204999999999998</v>
      </c>
      <c r="C64">
        <v>83487.315149084199</v>
      </c>
      <c r="D64">
        <v>2.1238655428455067</v>
      </c>
      <c r="E64">
        <v>617.3455159281184</v>
      </c>
    </row>
    <row r="65" spans="2:5" x14ac:dyDescent="0.35">
      <c r="B65">
        <v>20.975000000000001</v>
      </c>
      <c r="C65">
        <v>62993.528922628262</v>
      </c>
      <c r="D65">
        <v>3.8842352047836131</v>
      </c>
      <c r="E65">
        <v>1128.7331088534099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51"/>
  <sheetViews>
    <sheetView topLeftCell="Q1" workbookViewId="0">
      <pane xSplit="18160" ySplit="8730" topLeftCell="V49" activePane="bottomLeft"/>
      <selection activeCell="G26" sqref="G26"/>
      <selection pane="topRight" activeCell="X20" sqref="X20"/>
      <selection pane="bottomLeft" activeCell="U59" sqref="U59"/>
      <selection pane="bottomRight" activeCell="AA47" sqref="AA47"/>
    </sheetView>
  </sheetViews>
  <sheetFormatPr defaultRowHeight="14.5" x14ac:dyDescent="0.35"/>
  <cols>
    <col min="3" max="3" width="19.26953125" bestFit="1" customWidth="1"/>
    <col min="5" max="5" width="13.7265625" bestFit="1" customWidth="1"/>
    <col min="9" max="9" width="19.26953125" bestFit="1" customWidth="1"/>
    <col min="11" max="11" width="13.7265625" bestFit="1" customWidth="1"/>
    <col min="14" max="14" width="18.453125" bestFit="1" customWidth="1"/>
    <col min="16" max="16" width="13.7265625" bestFit="1" customWidth="1"/>
    <col min="19" max="19" width="24.7265625" bestFit="1" customWidth="1"/>
    <col min="21" max="21" width="13.7265625" bestFit="1" customWidth="1"/>
    <col min="24" max="24" width="18" bestFit="1" customWidth="1"/>
  </cols>
  <sheetData>
    <row r="1" spans="3:28" x14ac:dyDescent="0.35">
      <c r="C1" s="28" t="str">
        <f>'samlede Arrhenius  5-36'!B1</f>
        <v>Frisk biogas 17 timer</v>
      </c>
      <c r="D1">
        <f>'samlede Arrhenius  5-36'!C1</f>
        <v>0</v>
      </c>
      <c r="E1" t="s">
        <v>31</v>
      </c>
      <c r="F1" t="s">
        <v>32</v>
      </c>
      <c r="I1" s="28" t="str">
        <f>'samlede Arrhenius  5-36'!E1</f>
        <v>Frisk biogas 41 timer</v>
      </c>
      <c r="J1">
        <f>'samlede Arrhenius  5-36'!F1</f>
        <v>0</v>
      </c>
      <c r="K1" t="s">
        <v>31</v>
      </c>
      <c r="L1" t="s">
        <v>32</v>
      </c>
      <c r="N1" s="28" t="str">
        <f>'samlede Arrhenius  5-36'!H1</f>
        <v>svine gylle 17 timer</v>
      </c>
      <c r="O1">
        <f>'samlede Arrhenius  5-36'!I1</f>
        <v>0</v>
      </c>
      <c r="P1" t="s">
        <v>31</v>
      </c>
      <c r="Q1" t="s">
        <v>32</v>
      </c>
      <c r="S1" s="28" t="str">
        <f>'samlede Arrhenius  5-36'!K1</f>
        <v>lagret biogasgylle 17 timer</v>
      </c>
      <c r="T1">
        <f>'samlede Arrhenius  5-36'!L1</f>
        <v>0</v>
      </c>
      <c r="U1" t="s">
        <v>31</v>
      </c>
      <c r="V1" t="s">
        <v>32</v>
      </c>
      <c r="X1" s="28" t="str">
        <f>'samlede Arrhenius  5-36'!N1</f>
        <v>kvæggylle 17 timer</v>
      </c>
      <c r="Y1">
        <f>'samlede Arrhenius  5-36'!O1</f>
        <v>0</v>
      </c>
      <c r="Z1" t="s">
        <v>31</v>
      </c>
      <c r="AA1" t="s">
        <v>32</v>
      </c>
    </row>
    <row r="2" spans="3:28" x14ac:dyDescent="0.35">
      <c r="C2" t="str">
        <f>'samlede Arrhenius  5-36'!B2</f>
        <v>1/T (K)</v>
      </c>
      <c r="D2" t="str">
        <f>'samlede Arrhenius  5-36'!C2</f>
        <v>ln (rate)</v>
      </c>
      <c r="I2" t="str">
        <f>'samlede Arrhenius  5-36'!E2</f>
        <v>1/T (K)</v>
      </c>
      <c r="J2" t="str">
        <f>'samlede Arrhenius  5-36'!F2</f>
        <v>ln (rate)</v>
      </c>
      <c r="N2" t="str">
        <f>'samlede Arrhenius  5-36'!H2</f>
        <v>1/T (K)</v>
      </c>
      <c r="O2" t="str">
        <f>'samlede Arrhenius  5-36'!I2</f>
        <v>ln (rate)</v>
      </c>
      <c r="S2" t="str">
        <f>'samlede Arrhenius  5-36'!K2</f>
        <v>1/T (K)</v>
      </c>
      <c r="T2" t="str">
        <f>'samlede Arrhenius  5-36'!L2</f>
        <v>ln (rate)</v>
      </c>
      <c r="X2" t="str">
        <f>'samlede Arrhenius  5-36'!N2</f>
        <v>1/T (K)</v>
      </c>
      <c r="Y2" t="str">
        <f>'samlede Arrhenius  5-36'!O2</f>
        <v>ln (rate)</v>
      </c>
    </row>
    <row r="3" spans="3:28" x14ac:dyDescent="0.35">
      <c r="C3">
        <f>'samlede Arrhenius  5-36'!B3</f>
        <v>3.5860288316718072E-3</v>
      </c>
      <c r="D3">
        <f>'samlede Arrhenius  5-36'!C3</f>
        <v>-7.6748731213003873</v>
      </c>
      <c r="E3">
        <f>C$20*C3+D$20</f>
        <v>-8.007086455607265</v>
      </c>
      <c r="F3">
        <f>D3-E3</f>
        <v>0.33221333430687761</v>
      </c>
      <c r="G3">
        <f>F3^2</f>
        <v>0.11036569949129323</v>
      </c>
      <c r="H3" s="29">
        <f>1/C3-273.15</f>
        <v>5.7099999999999795</v>
      </c>
      <c r="I3">
        <f>'samlede Arrhenius  5-36'!E3</f>
        <v>3.5860288316718072E-3</v>
      </c>
      <c r="J3">
        <f>'samlede Arrhenius  5-36'!F3</f>
        <v>-7.7106081766747216</v>
      </c>
      <c r="K3">
        <f>I$20*I3+J$20</f>
        <v>-7.9525175887520234</v>
      </c>
      <c r="L3">
        <f>J3-K3</f>
        <v>0.24190941207730177</v>
      </c>
      <c r="M3" s="29">
        <f>1/I3-273.15</f>
        <v>5.7099999999999795</v>
      </c>
      <c r="N3">
        <f>'samlede Arrhenius  5-36'!H3</f>
        <v>3.5846341074350697E-3</v>
      </c>
      <c r="O3">
        <f>'samlede Arrhenius  5-36'!I3</f>
        <v>-6.7892104947355474</v>
      </c>
      <c r="P3">
        <f>N$20*N3+O$20</f>
        <v>-6.7076012076917451</v>
      </c>
      <c r="Q3">
        <f>O3-P3</f>
        <v>-8.1609287043802325E-2</v>
      </c>
      <c r="R3" s="29">
        <f>1/N3-273.15</f>
        <v>5.8184999999999718</v>
      </c>
      <c r="S3">
        <f>'samlede Arrhenius  5-36'!K3</f>
        <v>3.5712270521877699E-3</v>
      </c>
      <c r="T3">
        <f>'samlede Arrhenius  5-36'!L3</f>
        <v>-6.1252659492410091</v>
      </c>
      <c r="U3">
        <f>S$20*S3+T$20</f>
        <v>-6.5690058482139619</v>
      </c>
      <c r="V3">
        <f>T3-U3</f>
        <v>0.44373989897295285</v>
      </c>
      <c r="W3" s="29">
        <f>1/S3-273.15</f>
        <v>6.8657999999999788</v>
      </c>
      <c r="X3">
        <f>'samlede Arrhenius  5-36'!N3</f>
        <v>3.5935120064622883E-3</v>
      </c>
      <c r="Y3">
        <f>'samlede Arrhenius  5-36'!O3</f>
        <v>-6.1553226838581825</v>
      </c>
      <c r="Z3">
        <f>X$20*X3+Y$20</f>
        <v>-5.8975445863161262</v>
      </c>
      <c r="AA3">
        <f>Y3-Z3</f>
        <v>-0.25777809754205627</v>
      </c>
      <c r="AB3" s="29">
        <f>1/X3-273.15</f>
        <v>5.1292984138299857</v>
      </c>
    </row>
    <row r="4" spans="3:28" x14ac:dyDescent="0.35">
      <c r="C4">
        <f>'samlede Arrhenius  5-36'!B4</f>
        <v>3.5641729336707418E-3</v>
      </c>
      <c r="D4">
        <f>'samlede Arrhenius  5-36'!C4</f>
        <v>-7.9117076394842334</v>
      </c>
      <c r="E4">
        <f t="shared" ref="E4:E18" si="0">C$20*C4+D$20</f>
        <v>-7.7944513689996526</v>
      </c>
      <c r="F4">
        <f t="shared" ref="F4:F18" si="1">D4-E4</f>
        <v>-0.11725627048458076</v>
      </c>
      <c r="G4">
        <f t="shared" ref="G4:G18" si="2">F4^2</f>
        <v>1.3749032967953165E-2</v>
      </c>
      <c r="H4" s="29">
        <f t="shared" ref="H4:H18" si="3">1/C4-273.15</f>
        <v>7.4200000000000159</v>
      </c>
      <c r="I4">
        <f>'samlede Arrhenius  5-36'!E4</f>
        <v>3.5641729336707418E-3</v>
      </c>
      <c r="J4">
        <f>'samlede Arrhenius  5-36'!F4</f>
        <v>-7.8569961254056917</v>
      </c>
      <c r="K4">
        <f t="shared" ref="K4:K18" si="4">I$20*I4+J$20</f>
        <v>-7.7312344744182013</v>
      </c>
      <c r="L4">
        <f t="shared" ref="L4:L18" si="5">J4-K4</f>
        <v>-0.12576165098749037</v>
      </c>
      <c r="M4" s="29">
        <f t="shared" ref="M4:M18" si="6">1/I4-273.15</f>
        <v>7.4200000000000159</v>
      </c>
      <c r="N4">
        <f>'samlede Arrhenius  5-36'!H4</f>
        <v>3.56332201384707E-3</v>
      </c>
      <c r="O4">
        <f>'samlede Arrhenius  5-36'!I4</f>
        <v>-6.5560639652931965</v>
      </c>
      <c r="P4">
        <f t="shared" ref="P4:P18" si="7">N$20*N4+O$20</f>
        <v>-6.5020172152962843</v>
      </c>
      <c r="Q4">
        <f t="shared" ref="Q4:Q18" si="8">O4-P4</f>
        <v>-5.4046749996912169E-2</v>
      </c>
      <c r="R4" s="29">
        <f t="shared" ref="R4:R18" si="9">1/N4-273.15</f>
        <v>7.4869999999999663</v>
      </c>
      <c r="S4">
        <f>'samlede Arrhenius  5-36'!K4</f>
        <v>3.550624448321727E-3</v>
      </c>
      <c r="T4">
        <f>'samlede Arrhenius  5-36'!L4</f>
        <v>-6.1180060782082784</v>
      </c>
      <c r="U4">
        <f t="shared" ref="U4:U18" si="10">S$20*S4+T$20</f>
        <v>-6.3726649982844847</v>
      </c>
      <c r="V4">
        <f t="shared" ref="V4:V18" si="11">T4-U4</f>
        <v>0.25465892007620639</v>
      </c>
      <c r="W4" s="29">
        <f t="shared" ref="W4:W18" si="12">1/S4-273.15</f>
        <v>8.4905999999999722</v>
      </c>
      <c r="X4">
        <f>'samlede Arrhenius  5-36'!N4</f>
        <v>3.5733159685117605E-3</v>
      </c>
      <c r="Y4">
        <f>'samlede Arrhenius  5-36'!O4</f>
        <v>-5.7810611935549243</v>
      </c>
      <c r="Z4">
        <f t="shared" ref="Z4:Z18" si="13">X$20*X4+Y$20</f>
        <v>-5.6946429033872938</v>
      </c>
      <c r="AA4">
        <f t="shared" ref="AA4:AA18" si="14">Y4-Z4</f>
        <v>-8.6418290167630474E-2</v>
      </c>
      <c r="AB4" s="29">
        <f t="shared" ref="AB4:AB18" si="15">1/X4-273.15</f>
        <v>6.7021062262755891</v>
      </c>
    </row>
    <row r="5" spans="3:28" x14ac:dyDescent="0.35">
      <c r="C5">
        <f>'samlede Arrhenius  5-36'!B5</f>
        <v>3.541568093021411E-3</v>
      </c>
      <c r="D5">
        <f>'samlede Arrhenius  5-36'!C5</f>
        <v>-7.3702405181460078</v>
      </c>
      <c r="E5">
        <f t="shared" si="0"/>
        <v>-7.5745298517512012</v>
      </c>
      <c r="F5">
        <f t="shared" si="1"/>
        <v>0.20428933360519341</v>
      </c>
      <c r="G5">
        <f t="shared" si="2"/>
        <v>4.1734131824854005E-2</v>
      </c>
      <c r="H5" s="29">
        <f t="shared" si="3"/>
        <v>9.2108000000000061</v>
      </c>
      <c r="I5">
        <f>'samlede Arrhenius  5-36'!E5</f>
        <v>3.541568093021411E-3</v>
      </c>
      <c r="J5">
        <f>'samlede Arrhenius  5-36'!F5</f>
        <v>-7.4776143718956964</v>
      </c>
      <c r="K5">
        <f t="shared" si="4"/>
        <v>-7.5023685848693091</v>
      </c>
      <c r="L5">
        <f t="shared" si="5"/>
        <v>2.4754212973612688E-2</v>
      </c>
      <c r="M5" s="29">
        <f t="shared" si="6"/>
        <v>9.2108000000000061</v>
      </c>
      <c r="N5">
        <f>'samlede Arrhenius  5-36'!H5</f>
        <v>3.5422618404529847E-3</v>
      </c>
      <c r="O5">
        <f>'samlede Arrhenius  5-36'!I5</f>
        <v>-6.332554056054053</v>
      </c>
      <c r="P5">
        <f t="shared" si="7"/>
        <v>-6.2988633341902656</v>
      </c>
      <c r="Q5">
        <f t="shared" si="8"/>
        <v>-3.369072186378741E-2</v>
      </c>
      <c r="R5" s="29">
        <f t="shared" si="9"/>
        <v>9.1555000000000177</v>
      </c>
      <c r="S5">
        <f>'samlede Arrhenius  5-36'!K5</f>
        <v>3.5302581960239407E-3</v>
      </c>
      <c r="T5">
        <f>'samlede Arrhenius  5-36'!L5</f>
        <v>-5.9411909436741333</v>
      </c>
      <c r="U5">
        <f t="shared" si="10"/>
        <v>-6.178576556259145</v>
      </c>
      <c r="V5">
        <f t="shared" si="11"/>
        <v>0.23738561258501178</v>
      </c>
      <c r="W5" s="29">
        <f t="shared" si="12"/>
        <v>10.115400000000022</v>
      </c>
      <c r="X5">
        <f>'samlede Arrhenius  5-36'!N5</f>
        <v>3.5533456709607824E-3</v>
      </c>
      <c r="Y5">
        <f>'samlede Arrhenius  5-36'!O5</f>
        <v>-5.4903737391551193</v>
      </c>
      <c r="Z5">
        <f t="shared" si="13"/>
        <v>-5.4940091458350118</v>
      </c>
      <c r="AA5">
        <f t="shared" si="14"/>
        <v>3.6354066798924833E-3</v>
      </c>
      <c r="AB5" s="29">
        <f t="shared" si="15"/>
        <v>8.2749140387211355</v>
      </c>
    </row>
    <row r="6" spans="3:28" x14ac:dyDescent="0.35">
      <c r="C6">
        <f>'samlede Arrhenius  5-36'!B6</f>
        <v>3.5208986460032168E-3</v>
      </c>
      <c r="D6">
        <f>'samlede Arrhenius  5-36'!C6</f>
        <v>-7.5418864846465956</v>
      </c>
      <c r="E6">
        <f t="shared" si="0"/>
        <v>-7.3734376954540295</v>
      </c>
      <c r="F6">
        <f t="shared" si="1"/>
        <v>-0.16844878919256612</v>
      </c>
      <c r="G6">
        <f t="shared" si="2"/>
        <v>2.8374994580441581E-2</v>
      </c>
      <c r="H6" s="29">
        <f t="shared" si="3"/>
        <v>10.868400000000008</v>
      </c>
      <c r="I6">
        <f>'samlede Arrhenius  5-36'!E6</f>
        <v>3.5208986460032168E-3</v>
      </c>
      <c r="J6">
        <f>'samlede Arrhenius  5-36'!F6</f>
        <v>-7.1836596334634475</v>
      </c>
      <c r="K6">
        <f t="shared" si="4"/>
        <v>-7.2930978604396302</v>
      </c>
      <c r="L6">
        <f t="shared" si="5"/>
        <v>0.10943822697618266</v>
      </c>
      <c r="M6" s="29">
        <f t="shared" si="6"/>
        <v>10.868400000000008</v>
      </c>
      <c r="N6">
        <f>'samlede Arrhenius  5-36'!H6</f>
        <v>3.5214491467528719E-3</v>
      </c>
      <c r="O6">
        <f>'samlede Arrhenius  5-36'!I6</f>
        <v>-6.0444987248070383</v>
      </c>
      <c r="P6">
        <f t="shared" si="7"/>
        <v>-6.098096729740746</v>
      </c>
      <c r="Q6">
        <f t="shared" si="8"/>
        <v>5.3598004933707699E-2</v>
      </c>
      <c r="R6" s="29">
        <f t="shared" si="9"/>
        <v>10.824000000000012</v>
      </c>
      <c r="S6">
        <f>'samlede Arrhenius  5-36'!K6</f>
        <v>3.5101242513782506E-3</v>
      </c>
      <c r="T6">
        <f>'samlede Arrhenius  5-36'!L6</f>
        <v>-6.105910227065757</v>
      </c>
      <c r="U6">
        <f t="shared" si="10"/>
        <v>-5.9867019840026074</v>
      </c>
      <c r="V6">
        <f t="shared" si="11"/>
        <v>-0.11920824306314959</v>
      </c>
      <c r="W6" s="29">
        <f t="shared" si="12"/>
        <v>11.740200000000016</v>
      </c>
      <c r="X6">
        <f>'samlede Arrhenius  5-36'!N6</f>
        <v>3.5335973500377395E-3</v>
      </c>
      <c r="Y6">
        <f>'samlede Arrhenius  5-36'!O6</f>
        <v>-5.2992917448798034</v>
      </c>
      <c r="Z6">
        <f t="shared" si="13"/>
        <v>-5.2956055005200504</v>
      </c>
      <c r="AA6">
        <f t="shared" si="14"/>
        <v>-3.6862443597529548E-3</v>
      </c>
      <c r="AB6" s="29">
        <f t="shared" si="15"/>
        <v>9.8477218511667388</v>
      </c>
    </row>
    <row r="7" spans="3:28" x14ac:dyDescent="0.35">
      <c r="C7">
        <f>'samlede Arrhenius  5-36'!B7</f>
        <v>3.5004690628544226E-3</v>
      </c>
      <c r="D7">
        <f>'samlede Arrhenius  5-36'!C7</f>
        <v>-7.0728924473447483</v>
      </c>
      <c r="E7">
        <f t="shared" si="0"/>
        <v>-7.1746791643705947</v>
      </c>
      <c r="F7">
        <f t="shared" si="1"/>
        <v>0.10178671702584641</v>
      </c>
      <c r="G7">
        <f t="shared" si="2"/>
        <v>1.036053576289973E-2</v>
      </c>
      <c r="H7" s="29">
        <f t="shared" si="3"/>
        <v>12.52600000000001</v>
      </c>
      <c r="I7">
        <f>'samlede Arrhenius  5-36'!E7</f>
        <v>3.5004690628544226E-3</v>
      </c>
      <c r="J7">
        <f>'samlede Arrhenius  5-36'!F7</f>
        <v>-7.1060818051448473</v>
      </c>
      <c r="K7">
        <f t="shared" si="4"/>
        <v>-7.086255671503416</v>
      </c>
      <c r="L7">
        <f t="shared" si="5"/>
        <v>-1.9826133641431376E-2</v>
      </c>
      <c r="M7" s="29">
        <f t="shared" si="6"/>
        <v>12.52600000000001</v>
      </c>
      <c r="N7">
        <f>'samlede Arrhenius  5-36'!H7</f>
        <v>3.5008795959984946E-3</v>
      </c>
      <c r="O7">
        <f>'samlede Arrhenius  5-36'!I7</f>
        <v>-5.8572088486289076</v>
      </c>
      <c r="P7">
        <f t="shared" si="7"/>
        <v>-5.8996755681404096</v>
      </c>
      <c r="Q7">
        <f t="shared" si="8"/>
        <v>4.2466719511502049E-2</v>
      </c>
      <c r="R7" s="29">
        <f t="shared" si="9"/>
        <v>12.492500000000007</v>
      </c>
      <c r="S7">
        <f>'samlede Arrhenius  5-36'!K7</f>
        <v>3.4902186621991868E-3</v>
      </c>
      <c r="T7">
        <f>'samlede Arrhenius  5-36'!L7</f>
        <v>-5.899463475250637</v>
      </c>
      <c r="U7">
        <f t="shared" si="10"/>
        <v>-5.797003617564279</v>
      </c>
      <c r="V7">
        <f t="shared" si="11"/>
        <v>-0.10245985768635801</v>
      </c>
      <c r="W7" s="29">
        <f t="shared" si="12"/>
        <v>13.365000000000009</v>
      </c>
      <c r="X7">
        <f>'samlede Arrhenius  5-36'!N7</f>
        <v>3.5140673251797682E-3</v>
      </c>
      <c r="Y7">
        <f>'samlede Arrhenius  5-36'!O7</f>
        <v>-5.0727029775840951</v>
      </c>
      <c r="Z7">
        <f t="shared" si="13"/>
        <v>-5.099394990268916</v>
      </c>
      <c r="AA7">
        <f t="shared" si="14"/>
        <v>2.6692012684820909E-2</v>
      </c>
      <c r="AB7" s="29">
        <f t="shared" si="15"/>
        <v>11.420529663612342</v>
      </c>
    </row>
    <row r="8" spans="3:28" x14ac:dyDescent="0.35">
      <c r="C8">
        <f>'samlede Arrhenius  5-36'!B8</f>
        <v>3.4802751923200073E-3</v>
      </c>
      <c r="D8">
        <f>'samlede Arrhenius  5-36'!C8</f>
        <v>-7.075486695777454</v>
      </c>
      <c r="E8">
        <f t="shared" si="0"/>
        <v>-6.9782138711202748</v>
      </c>
      <c r="F8">
        <f t="shared" si="1"/>
        <v>-9.7272824657179235E-2</v>
      </c>
      <c r="G8">
        <f t="shared" si="2"/>
        <v>9.462002416786337E-3</v>
      </c>
      <c r="H8" s="29">
        <f t="shared" si="3"/>
        <v>14.183600000000013</v>
      </c>
      <c r="I8">
        <f>'samlede Arrhenius  5-36'!E8</f>
        <v>3.4802751923200073E-3</v>
      </c>
      <c r="J8">
        <f>'samlede Arrhenius  5-36'!F8</f>
        <v>-6.96696632135325</v>
      </c>
      <c r="K8">
        <f t="shared" si="4"/>
        <v>-6.881799988095139</v>
      </c>
      <c r="L8">
        <f t="shared" si="5"/>
        <v>-8.516633325811096E-2</v>
      </c>
      <c r="M8" s="29">
        <f t="shared" si="6"/>
        <v>14.183600000000013</v>
      </c>
      <c r="N8">
        <f>'samlede Arrhenius  5-36'!H8</f>
        <v>3.4805489521807383E-3</v>
      </c>
      <c r="O8">
        <f>'samlede Arrhenius  5-36'!I8</f>
        <v>-5.7612284844929915</v>
      </c>
      <c r="P8">
        <f t="shared" si="7"/>
        <v>-5.7035589873471508</v>
      </c>
      <c r="Q8">
        <f t="shared" si="8"/>
        <v>-5.7669497145840687E-2</v>
      </c>
      <c r="R8" s="29">
        <f t="shared" si="9"/>
        <v>14.161000000000001</v>
      </c>
      <c r="S8">
        <f>'samlede Arrhenius  5-36'!K8</f>
        <v>3.4705375654456622E-3</v>
      </c>
      <c r="T8">
        <f>'samlede Arrhenius  5-36'!L8</f>
        <v>-5.7247788820156158</v>
      </c>
      <c r="U8">
        <f t="shared" si="10"/>
        <v>-5.6094446425310238</v>
      </c>
      <c r="V8">
        <f t="shared" si="11"/>
        <v>-0.11533423948459198</v>
      </c>
      <c r="W8" s="29">
        <f t="shared" si="12"/>
        <v>14.989800000000002</v>
      </c>
      <c r="X8">
        <f>'samlede Arrhenius  5-36'!N8</f>
        <v>3.4947519967459379E-3</v>
      </c>
      <c r="Y8">
        <f>'samlede Arrhenius  5-36'!O8</f>
        <v>-4.8159640452719952</v>
      </c>
      <c r="Z8">
        <f t="shared" si="13"/>
        <v>-4.9053414508990905</v>
      </c>
      <c r="AA8">
        <f t="shared" si="14"/>
        <v>8.9377405627095285E-2</v>
      </c>
      <c r="AB8" s="29">
        <f t="shared" si="15"/>
        <v>12.993337476057889</v>
      </c>
    </row>
    <row r="9" spans="3:28" x14ac:dyDescent="0.35">
      <c r="C9">
        <f>'samlede Arrhenius  5-36'!B9</f>
        <v>3.4603129783882694E-3</v>
      </c>
      <c r="D9">
        <f>'samlede Arrhenius  5-36'!C9</f>
        <v>-6.9055457495090948</v>
      </c>
      <c r="E9">
        <f t="shared" si="0"/>
        <v>-6.7840023549406254</v>
      </c>
      <c r="F9">
        <f t="shared" si="1"/>
        <v>-0.12154339456846941</v>
      </c>
      <c r="G9">
        <f t="shared" si="2"/>
        <v>1.4772796763226639E-2</v>
      </c>
      <c r="H9" s="29">
        <f t="shared" si="3"/>
        <v>15.841200000000015</v>
      </c>
      <c r="I9">
        <f>'samlede Arrhenius  5-36'!E9</f>
        <v>3.4603129783882694E-3</v>
      </c>
      <c r="J9">
        <f>'samlede Arrhenius  5-36'!F9</f>
        <v>-6.755094781721759</v>
      </c>
      <c r="K9">
        <f t="shared" si="4"/>
        <v>-6.6796897445536558</v>
      </c>
      <c r="L9">
        <f t="shared" si="5"/>
        <v>-7.5405037168103206E-2</v>
      </c>
      <c r="M9" s="29">
        <f t="shared" si="6"/>
        <v>15.841200000000015</v>
      </c>
      <c r="N9">
        <f>'samlede Arrhenius  5-36'!H9</f>
        <v>3.4604530771213879E-3</v>
      </c>
      <c r="O9">
        <f>'samlede Arrhenius  5-36'!I9</f>
        <v>-5.5051755276451537</v>
      </c>
      <c r="P9">
        <f t="shared" si="7"/>
        <v>-5.5097070690303198</v>
      </c>
      <c r="Q9">
        <f t="shared" si="8"/>
        <v>4.5315413851660935E-3</v>
      </c>
      <c r="R9" s="29">
        <f t="shared" si="9"/>
        <v>15.829499999999996</v>
      </c>
      <c r="S9">
        <f>'samlede Arrhenius  5-36'!K9</f>
        <v>3.4510771847216675E-3</v>
      </c>
      <c r="T9">
        <f>'samlede Arrhenius  5-36'!L9</f>
        <v>-5.5237994423924377</v>
      </c>
      <c r="U9">
        <f t="shared" si="10"/>
        <v>-5.423989070209025</v>
      </c>
      <c r="V9">
        <f t="shared" si="11"/>
        <v>-9.981037218341271E-2</v>
      </c>
      <c r="W9" s="29">
        <f t="shared" si="12"/>
        <v>16.614599999999996</v>
      </c>
      <c r="X9">
        <f>'samlede Arrhenius  5-36'!N9</f>
        <v>3.4756478438054406E-3</v>
      </c>
      <c r="Y9">
        <f>'samlede Arrhenius  5-36'!O9</f>
        <v>-4.6614352344734771</v>
      </c>
      <c r="Z9">
        <f t="shared" si="13"/>
        <v>-4.7134095089978096</v>
      </c>
      <c r="AA9">
        <f t="shared" si="14"/>
        <v>5.1974274524332564E-2</v>
      </c>
      <c r="AB9" s="29">
        <f t="shared" si="15"/>
        <v>14.566145288503492</v>
      </c>
    </row>
    <row r="10" spans="3:28" x14ac:dyDescent="0.35">
      <c r="C10">
        <f>'samlede Arrhenius  5-36'!B10</f>
        <v>3.4405784575749151E-3</v>
      </c>
      <c r="D10">
        <f>'samlede Arrhenius  5-36'!C10</f>
        <v>-6.8070596694176659</v>
      </c>
      <c r="E10">
        <f t="shared" si="0"/>
        <v>-6.5920060552643207</v>
      </c>
      <c r="F10">
        <f t="shared" si="1"/>
        <v>-0.21505361415334523</v>
      </c>
      <c r="G10">
        <f t="shared" si="2"/>
        <v>4.6248056960415888E-2</v>
      </c>
      <c r="H10" s="29">
        <f t="shared" si="3"/>
        <v>17.498800000000017</v>
      </c>
      <c r="I10">
        <f>'samlede Arrhenius  5-36'!E10</f>
        <v>3.4405784575749151E-3</v>
      </c>
      <c r="J10">
        <f>'samlede Arrhenius  5-36'!F10</f>
        <v>-6.7246106184579331</v>
      </c>
      <c r="K10">
        <f t="shared" si="4"/>
        <v>-6.4798848120246078</v>
      </c>
      <c r="L10">
        <f t="shared" si="5"/>
        <v>-0.24472580643332531</v>
      </c>
      <c r="M10" s="29">
        <f t="shared" si="6"/>
        <v>17.498800000000017</v>
      </c>
      <c r="N10">
        <f>'samlede Arrhenius  5-36'!H10</f>
        <v>3.4405879276650799E-3</v>
      </c>
      <c r="O10">
        <f>'samlede Arrhenius  5-36'!I10</f>
        <v>-5.2266676809748382</v>
      </c>
      <c r="P10">
        <f t="shared" si="7"/>
        <v>-5.3180808114832914</v>
      </c>
      <c r="Q10">
        <f t="shared" si="8"/>
        <v>9.1413130508453122E-2</v>
      </c>
      <c r="R10" s="29">
        <f t="shared" si="9"/>
        <v>17.49799999999999</v>
      </c>
      <c r="S10">
        <f>'samlede Arrhenius  5-36'!K10</f>
        <v>3.4318338278605883E-3</v>
      </c>
      <c r="T10">
        <f>'samlede Arrhenius  5-36'!L10</f>
        <v>-5.502725516177823</v>
      </c>
      <c r="U10">
        <f t="shared" si="10"/>
        <v>-5.2406017146025903</v>
      </c>
      <c r="V10">
        <f t="shared" si="11"/>
        <v>-0.26212380157523274</v>
      </c>
      <c r="W10" s="29">
        <f t="shared" si="12"/>
        <v>18.239399999999989</v>
      </c>
      <c r="X10">
        <f>'samlede Arrhenius  5-36'!N10</f>
        <v>3.4567514219979363E-3</v>
      </c>
      <c r="Y10">
        <f>'samlede Arrhenius  5-36'!O10</f>
        <v>-4.4357618010953344</v>
      </c>
      <c r="Z10">
        <f t="shared" si="13"/>
        <v>-4.5235645604258359</v>
      </c>
      <c r="AA10">
        <f t="shared" si="14"/>
        <v>8.7802759330501523E-2</v>
      </c>
      <c r="AB10" s="29">
        <f t="shared" si="15"/>
        <v>16.138953100949095</v>
      </c>
    </row>
    <row r="11" spans="3:28" x14ac:dyDescent="0.35">
      <c r="C11">
        <f>'samlede Arrhenius  5-36'!B11</f>
        <v>3.4210677562995541E-3</v>
      </c>
      <c r="D11">
        <f>'samlede Arrhenius  5-36'!C11</f>
        <v>-6.4205922461850848</v>
      </c>
      <c r="E11">
        <f t="shared" si="0"/>
        <v>-6.402187286195236</v>
      </c>
      <c r="F11">
        <f t="shared" si="1"/>
        <v>-1.8404959989848813E-2</v>
      </c>
      <c r="G11">
        <f t="shared" si="2"/>
        <v>3.3874255222793558E-4</v>
      </c>
      <c r="H11" s="29">
        <f t="shared" si="3"/>
        <v>19.156400000000019</v>
      </c>
      <c r="I11">
        <f>'samlede Arrhenius  5-36'!E11</f>
        <v>3.4210677562995541E-3</v>
      </c>
      <c r="J11">
        <f>'samlede Arrhenius  5-36'!F11</f>
        <v>-6.3000011433261101</v>
      </c>
      <c r="K11">
        <f t="shared" si="4"/>
        <v>-6.282345971898323</v>
      </c>
      <c r="L11">
        <f t="shared" si="5"/>
        <v>-1.7655171427787053E-2</v>
      </c>
      <c r="M11" s="29">
        <f t="shared" si="6"/>
        <v>19.156400000000019</v>
      </c>
      <c r="N11">
        <f>'samlede Arrhenius  5-36'!H11</f>
        <v>3.4209495529674175E-3</v>
      </c>
      <c r="O11">
        <f>'samlede Arrhenius  5-36'!I11</f>
        <v>-5.091199808741214</v>
      </c>
      <c r="P11">
        <f t="shared" si="7"/>
        <v>-5.1286421034636902</v>
      </c>
      <c r="Q11">
        <f t="shared" si="8"/>
        <v>3.7442294722476177E-2</v>
      </c>
      <c r="R11" s="29">
        <f t="shared" si="9"/>
        <v>19.166499999999985</v>
      </c>
      <c r="S11">
        <f>'samlede Arrhenius  5-36'!K11</f>
        <v>3.4128038845898942E-3</v>
      </c>
      <c r="T11">
        <f>'samlede Arrhenius  5-36'!L11</f>
        <v>-5.2135479516770111</v>
      </c>
      <c r="U11">
        <f t="shared" si="10"/>
        <v>-5.0592481701588241</v>
      </c>
      <c r="V11">
        <f t="shared" si="11"/>
        <v>-0.15429978151818702</v>
      </c>
      <c r="W11" s="29">
        <f t="shared" si="12"/>
        <v>19.864199999999983</v>
      </c>
      <c r="X11">
        <f>'samlede Arrhenius  5-36'!N11</f>
        <v>3.4380593614633118E-3</v>
      </c>
      <c r="Y11">
        <f>'samlede Arrhenius  5-36'!O11</f>
        <v>-4.2784452169399989</v>
      </c>
      <c r="Z11">
        <f t="shared" si="13"/>
        <v>-4.335772749518501</v>
      </c>
      <c r="AA11">
        <f t="shared" si="14"/>
        <v>5.7327532578502094E-2</v>
      </c>
      <c r="AB11" s="29">
        <f t="shared" si="15"/>
        <v>17.711760913394642</v>
      </c>
    </row>
    <row r="12" spans="3:28" x14ac:dyDescent="0.35">
      <c r="C12">
        <f>'samlede Arrhenius  5-36'!B12</f>
        <v>3.4017770883509545E-3</v>
      </c>
      <c r="D12">
        <f>'samlede Arrhenius  5-36'!C12</f>
        <v>-6.2813736897389116</v>
      </c>
      <c r="E12">
        <f t="shared" si="0"/>
        <v>-6.2145092118480179</v>
      </c>
      <c r="F12">
        <f t="shared" si="1"/>
        <v>-6.6864477890893781E-2</v>
      </c>
      <c r="G12">
        <f t="shared" si="2"/>
        <v>4.4708584036218229E-3</v>
      </c>
      <c r="H12" s="29">
        <f t="shared" si="3"/>
        <v>20.814000000000021</v>
      </c>
      <c r="I12">
        <f>'samlede Arrhenius  5-36'!E12</f>
        <v>3.4017770883509545E-3</v>
      </c>
      <c r="J12">
        <f>'samlede Arrhenius  5-36'!F12</f>
        <v>-6.09099501555787</v>
      </c>
      <c r="K12">
        <f t="shared" si="4"/>
        <v>-6.0870348901464908</v>
      </c>
      <c r="L12">
        <f t="shared" si="5"/>
        <v>-3.960125411379245E-3</v>
      </c>
      <c r="M12" s="29">
        <f t="shared" si="6"/>
        <v>20.814000000000021</v>
      </c>
      <c r="N12">
        <f>'samlede Arrhenius  5-36'!H12</f>
        <v>3.4015340918754364E-3</v>
      </c>
      <c r="O12">
        <f>'samlede Arrhenius  5-36'!I12</f>
        <v>-4.8122295987452057</v>
      </c>
      <c r="P12">
        <f t="shared" si="7"/>
        <v>-4.9413536989244164</v>
      </c>
      <c r="Q12">
        <f t="shared" si="8"/>
        <v>0.12912410017921072</v>
      </c>
      <c r="R12" s="29">
        <f t="shared" si="9"/>
        <v>20.83499999999998</v>
      </c>
      <c r="S12">
        <f>'samlede Arrhenius  5-36'!K12</f>
        <v>3.3939838242730939E-3</v>
      </c>
      <c r="T12">
        <f>'samlede Arrhenius  5-36'!L12</f>
        <v>-5.0879131718610076</v>
      </c>
      <c r="U12">
        <f t="shared" si="10"/>
        <v>-4.8798947902486844</v>
      </c>
      <c r="V12">
        <f t="shared" si="11"/>
        <v>-0.20801838161232311</v>
      </c>
      <c r="W12" s="29">
        <f t="shared" si="12"/>
        <v>21.488999999999976</v>
      </c>
      <c r="X12">
        <f>'samlede Arrhenius  5-36'!N12</f>
        <v>3.419568364838249E-3</v>
      </c>
      <c r="Y12">
        <f>'samlede Arrhenius  5-36'!O12</f>
        <v>-4.0548458049112757</v>
      </c>
      <c r="Z12">
        <f t="shared" si="13"/>
        <v>-4.1500009489580556</v>
      </c>
      <c r="AA12">
        <f t="shared" si="14"/>
        <v>9.5155144046779938E-2</v>
      </c>
      <c r="AB12" s="29">
        <f t="shared" si="15"/>
        <v>19.284568725840245</v>
      </c>
    </row>
    <row r="13" spans="3:28" x14ac:dyDescent="0.35">
      <c r="C13">
        <f>'samlede Arrhenius  5-36'!B13</f>
        <v>3.3827027524375758E-3</v>
      </c>
      <c r="D13">
        <f>'samlede Arrhenius  5-36'!C13</f>
        <v>-6.1577802411364315</v>
      </c>
      <c r="E13">
        <f t="shared" si="0"/>
        <v>-6.0289358225173117</v>
      </c>
      <c r="F13">
        <f t="shared" si="1"/>
        <v>-0.12884441861911977</v>
      </c>
      <c r="G13">
        <f t="shared" si="2"/>
        <v>1.6600884209298977E-2</v>
      </c>
      <c r="H13" s="29">
        <f t="shared" si="3"/>
        <v>22.471600000000024</v>
      </c>
      <c r="I13">
        <f>'samlede Arrhenius  5-36'!E13</f>
        <v>3.3827027524375758E-3</v>
      </c>
      <c r="J13">
        <f>'samlede Arrhenius  5-36'!F13</f>
        <v>-5.8822493113127123</v>
      </c>
      <c r="K13">
        <f t="shared" si="4"/>
        <v>-5.8939140925221452</v>
      </c>
      <c r="L13">
        <f t="shared" si="5"/>
        <v>1.1664781209432817E-2</v>
      </c>
      <c r="M13" s="29">
        <f t="shared" si="6"/>
        <v>22.471600000000024</v>
      </c>
      <c r="N13">
        <f>'samlede Arrhenius  5-36'!H13</f>
        <v>3.3823377703967655E-3</v>
      </c>
      <c r="O13">
        <f>'samlede Arrhenius  5-36'!I13</f>
        <v>-4.883380430399014</v>
      </c>
      <c r="P13">
        <f t="shared" si="7"/>
        <v>-4.7561791926002641</v>
      </c>
      <c r="Q13">
        <f t="shared" si="8"/>
        <v>-0.12720123779874992</v>
      </c>
      <c r="R13" s="29">
        <f t="shared" si="9"/>
        <v>22.503499999999974</v>
      </c>
      <c r="S13">
        <f>'samlede Arrhenius  5-36'!K13</f>
        <v>3.3753701937259974E-3</v>
      </c>
      <c r="T13">
        <f>'samlede Arrhenius  5-36'!L13</f>
        <v>-5.0028781728547482</v>
      </c>
      <c r="U13">
        <f t="shared" si="10"/>
        <v>-4.7025086663561737</v>
      </c>
      <c r="V13">
        <f t="shared" si="11"/>
        <v>-0.30036950649857452</v>
      </c>
      <c r="W13" s="29">
        <f t="shared" si="12"/>
        <v>23.113799999999969</v>
      </c>
      <c r="X13">
        <f>'samlede Arrhenius  5-36'!N13</f>
        <v>3.4012752053170997E-3</v>
      </c>
      <c r="Y13">
        <f>'samlede Arrhenius  5-36'!O13</f>
        <v>-3.854207746180681</v>
      </c>
      <c r="Z13">
        <f t="shared" si="13"/>
        <v>-3.9662167402920367</v>
      </c>
      <c r="AA13">
        <f t="shared" si="14"/>
        <v>0.11200899411135579</v>
      </c>
      <c r="AB13" s="29">
        <f t="shared" si="15"/>
        <v>20.857376538285848</v>
      </c>
    </row>
    <row r="14" spans="3:28" x14ac:dyDescent="0.35">
      <c r="C14">
        <f>'samlede Arrhenius  5-36'!B14</f>
        <v>3.3638411298200477E-3</v>
      </c>
      <c r="D14">
        <f>'samlede Arrhenius  5-36'!C14</f>
        <v>-5.8639112908506839</v>
      </c>
      <c r="E14">
        <f t="shared" si="0"/>
        <v>-5.8454319116442548</v>
      </c>
      <c r="F14">
        <f t="shared" si="1"/>
        <v>-1.8479379206429059E-2</v>
      </c>
      <c r="G14">
        <f t="shared" si="2"/>
        <v>3.4148745585500264E-4</v>
      </c>
      <c r="H14" s="29">
        <f t="shared" si="3"/>
        <v>24.129200000000026</v>
      </c>
      <c r="I14">
        <f>'samlede Arrhenius  5-36'!E14</f>
        <v>3.3638411298200477E-3</v>
      </c>
      <c r="J14">
        <f>'samlede Arrhenius  5-36'!F14</f>
        <v>-5.6662304434547108</v>
      </c>
      <c r="K14">
        <f t="shared" si="4"/>
        <v>-5.7029469405894062</v>
      </c>
      <c r="L14">
        <f t="shared" si="5"/>
        <v>3.6716497134695381E-2</v>
      </c>
      <c r="M14" s="29">
        <f t="shared" si="6"/>
        <v>24.129200000000026</v>
      </c>
      <c r="N14">
        <f>'samlede Arrhenius  5-36'!H14</f>
        <v>3.3633568992540073E-3</v>
      </c>
      <c r="O14">
        <f>'samlede Arrhenius  5-36'!I14</f>
        <v>-4.5110434361628258</v>
      </c>
      <c r="P14">
        <f t="shared" si="7"/>
        <v>-4.5730829964166446</v>
      </c>
      <c r="Q14">
        <f t="shared" si="8"/>
        <v>6.2039560253818848E-2</v>
      </c>
      <c r="R14" s="29">
        <f t="shared" si="9"/>
        <v>24.172000000000025</v>
      </c>
      <c r="S14">
        <f>'samlede Arrhenius  5-36'!K14</f>
        <v>3.3569596151044384E-3</v>
      </c>
      <c r="T14">
        <f>'samlede Arrhenius  5-36'!L14</f>
        <v>-4.7545239126202627</v>
      </c>
      <c r="U14">
        <f t="shared" si="10"/>
        <v>-4.5270576079485423</v>
      </c>
      <c r="V14">
        <f t="shared" si="11"/>
        <v>-0.22746630467172047</v>
      </c>
      <c r="W14" s="29">
        <f t="shared" si="12"/>
        <v>24.738600000000019</v>
      </c>
      <c r="X14">
        <f>'samlede Arrhenius  5-36'!N14</f>
        <v>3.3831767247746681E-3</v>
      </c>
      <c r="Y14">
        <f>'samlede Arrhenius  5-36'!O14</f>
        <v>-3.7278576368629071</v>
      </c>
      <c r="Z14">
        <f t="shared" si="13"/>
        <v>-3.7843883950735595</v>
      </c>
      <c r="AA14">
        <f t="shared" si="14"/>
        <v>5.6530758210652454E-2</v>
      </c>
      <c r="AB14" s="29">
        <f t="shared" si="15"/>
        <v>22.430184350731395</v>
      </c>
    </row>
    <row r="15" spans="3:28" x14ac:dyDescent="0.35">
      <c r="C15">
        <f>'samlede Arrhenius  5-36'!B15</f>
        <v>3.3451886820224206E-3</v>
      </c>
      <c r="D15">
        <f>'samlede Arrhenius  5-36'!C15</f>
        <v>-5.6659898310459802</v>
      </c>
      <c r="E15">
        <f t="shared" si="0"/>
        <v>-5.6639630535493311</v>
      </c>
      <c r="F15">
        <f t="shared" si="1"/>
        <v>-2.0267774966491459E-3</v>
      </c>
      <c r="G15">
        <f t="shared" si="2"/>
        <v>4.1078270209233786E-6</v>
      </c>
      <c r="H15" s="29">
        <f t="shared" si="3"/>
        <v>25.786800000000028</v>
      </c>
      <c r="I15">
        <f>'samlede Arrhenius  5-36'!E15</f>
        <v>3.3451886820224206E-3</v>
      </c>
      <c r="J15">
        <f>'samlede Arrhenius  5-36'!F15</f>
        <v>-5.4931805210525386</v>
      </c>
      <c r="K15">
        <f t="shared" si="4"/>
        <v>-5.5140976085506637</v>
      </c>
      <c r="L15">
        <f t="shared" si="5"/>
        <v>2.0917087498125042E-2</v>
      </c>
      <c r="M15" s="29">
        <f t="shared" si="6"/>
        <v>25.786800000000028</v>
      </c>
      <c r="N15">
        <f>'samlede Arrhenius  5-36'!H15</f>
        <v>3.3445878715210016E-3</v>
      </c>
      <c r="O15">
        <f>'samlede Arrhenius  5-36'!I15</f>
        <v>-4.3679974276267535</v>
      </c>
      <c r="P15">
        <f t="shared" si="7"/>
        <v>-4.3920303166881212</v>
      </c>
      <c r="Q15">
        <f t="shared" si="8"/>
        <v>2.403288906136769E-2</v>
      </c>
      <c r="R15" s="29">
        <f t="shared" si="9"/>
        <v>25.84050000000002</v>
      </c>
      <c r="S15">
        <f>'samlede Arrhenius  5-36'!K15</f>
        <v>3.3387487838607557E-3</v>
      </c>
      <c r="T15">
        <f>'samlede Arrhenius  5-36'!L15</f>
        <v>-4.5356159891437802</v>
      </c>
      <c r="U15">
        <f t="shared" si="10"/>
        <v>-4.3535101230017439</v>
      </c>
      <c r="V15">
        <f t="shared" si="11"/>
        <v>-0.18210586614203628</v>
      </c>
      <c r="W15" s="29">
        <f t="shared" si="12"/>
        <v>26.363400000000013</v>
      </c>
      <c r="X15">
        <f>'samlede Arrhenius  5-36'!N15</f>
        <v>3.347551500679234E-3</v>
      </c>
      <c r="Y15">
        <f>'samlede Arrhenius  5-36'!O15</f>
        <v>-3.3733377536600084</v>
      </c>
      <c r="Z15">
        <f t="shared" si="13"/>
        <v>-3.42647572223213</v>
      </c>
      <c r="AA15">
        <f t="shared" si="14"/>
        <v>5.3137968572121608E-2</v>
      </c>
      <c r="AB15" s="29">
        <f t="shared" si="15"/>
        <v>25.575799975622601</v>
      </c>
    </row>
    <row r="16" spans="3:28" x14ac:dyDescent="0.35">
      <c r="C16">
        <f>'samlede Arrhenius  5-36'!B16</f>
        <v>3.3084975450948222E-3</v>
      </c>
      <c r="D16">
        <f>'samlede Arrhenius  5-36'!C16</f>
        <v>-5.1782109307839308</v>
      </c>
      <c r="E16">
        <f t="shared" si="0"/>
        <v>-5.3069965688983132</v>
      </c>
      <c r="F16">
        <f t="shared" si="1"/>
        <v>0.12878563811438237</v>
      </c>
      <c r="G16">
        <f t="shared" si="2"/>
        <v>1.6585740584528656E-2</v>
      </c>
      <c r="H16" s="29">
        <f t="shared" si="3"/>
        <v>29.101999999999975</v>
      </c>
      <c r="I16">
        <f>'samlede Arrhenius  5-36'!E16</f>
        <v>3.3084975450948222E-3</v>
      </c>
      <c r="J16">
        <f>'samlede Arrhenius  5-36'!F16</f>
        <v>-5.0830646411746674</v>
      </c>
      <c r="K16">
        <f t="shared" si="4"/>
        <v>-5.1426130304568289</v>
      </c>
      <c r="L16">
        <f t="shared" si="5"/>
        <v>5.9548389282161551E-2</v>
      </c>
      <c r="M16" s="29">
        <f t="shared" si="6"/>
        <v>29.101999999999975</v>
      </c>
      <c r="N16">
        <f>'samlede Arrhenius  5-36'!H16</f>
        <v>3.3076713167012597E-3</v>
      </c>
      <c r="O16">
        <f>'samlede Arrhenius  5-36'!I16</f>
        <v>-4.0027376168852991</v>
      </c>
      <c r="P16">
        <f t="shared" si="7"/>
        <v>-4.035920172276878</v>
      </c>
      <c r="Q16">
        <f t="shared" si="8"/>
        <v>3.3182555391578994E-2</v>
      </c>
      <c r="R16" s="29">
        <f t="shared" si="9"/>
        <v>29.177500000000009</v>
      </c>
      <c r="S16">
        <f>'samlede Arrhenius  5-36'!K16</f>
        <v>3.3029134999983489E-3</v>
      </c>
      <c r="T16">
        <f>'samlede Arrhenius  5-36'!L16</f>
        <v>-3.9947995194195332</v>
      </c>
      <c r="U16">
        <f t="shared" si="10"/>
        <v>-4.0120032854798353</v>
      </c>
      <c r="V16">
        <f t="shared" si="11"/>
        <v>1.7203766060302161E-2</v>
      </c>
      <c r="W16" s="29">
        <f t="shared" si="12"/>
        <v>29.613</v>
      </c>
      <c r="X16">
        <f>'samlede Arrhenius  5-36'!N16</f>
        <v>3.3126687335092559E-3</v>
      </c>
      <c r="Y16">
        <f>'samlede Arrhenius  5-36'!O16</f>
        <v>-3.0620008462606472</v>
      </c>
      <c r="Z16">
        <f t="shared" si="13"/>
        <v>-3.0760222233161123</v>
      </c>
      <c r="AA16">
        <f t="shared" si="14"/>
        <v>1.4021377055465134E-2</v>
      </c>
      <c r="AB16" s="29">
        <f t="shared" si="15"/>
        <v>28.721415600513751</v>
      </c>
    </row>
    <row r="17" spans="2:28" x14ac:dyDescent="0.35">
      <c r="C17">
        <f>'samlede Arrhenius  5-36'!B17</f>
        <v>3.2726025568189259E-3</v>
      </c>
      <c r="D17">
        <f>'samlede Arrhenius  5-36'!C17</f>
        <v>-4.8943808011188841</v>
      </c>
      <c r="E17">
        <f t="shared" si="0"/>
        <v>-4.9577757800543871</v>
      </c>
      <c r="F17">
        <f t="shared" si="1"/>
        <v>6.3394978935503055E-2</v>
      </c>
      <c r="G17">
        <f t="shared" si="2"/>
        <v>4.0189233542328763E-3</v>
      </c>
      <c r="H17" s="29">
        <f t="shared" si="3"/>
        <v>32.41719999999998</v>
      </c>
      <c r="I17">
        <f>'samlede Arrhenius  5-36'!E17</f>
        <v>3.2726025568189259E-3</v>
      </c>
      <c r="J17">
        <f>'samlede Arrhenius  5-36'!F17</f>
        <v>-4.730827522209629</v>
      </c>
      <c r="K17">
        <f t="shared" si="4"/>
        <v>-4.7791891714015122</v>
      </c>
      <c r="L17">
        <f t="shared" si="5"/>
        <v>4.8361649191883238E-2</v>
      </c>
      <c r="M17" s="29">
        <f t="shared" si="6"/>
        <v>32.41719999999998</v>
      </c>
      <c r="N17">
        <f>'samlede Arrhenius  5-36'!H17</f>
        <v>3.2715608125902748E-3</v>
      </c>
      <c r="O17">
        <f>'samlede Arrhenius  5-36'!I17</f>
        <v>-3.6380305781581854</v>
      </c>
      <c r="P17">
        <f t="shared" si="7"/>
        <v>-3.6875854780857296</v>
      </c>
      <c r="Q17">
        <f t="shared" si="8"/>
        <v>4.9554899927544138E-2</v>
      </c>
      <c r="R17" s="29">
        <f t="shared" si="9"/>
        <v>32.514499999999998</v>
      </c>
      <c r="S17">
        <f>'samlede Arrhenius  5-36'!K17</f>
        <v>3.2678392981204045E-3</v>
      </c>
      <c r="T17">
        <f>'samlede Arrhenius  5-36'!L17</f>
        <v>-3.416469932852598</v>
      </c>
      <c r="U17">
        <f t="shared" si="10"/>
        <v>-3.6777494866838545</v>
      </c>
      <c r="V17">
        <f t="shared" si="11"/>
        <v>0.26127955383125645</v>
      </c>
      <c r="W17" s="29">
        <f t="shared" si="12"/>
        <v>32.862599999999986</v>
      </c>
      <c r="X17">
        <f>'samlede Arrhenius  5-36'!N17</f>
        <v>3.2785054525726102E-3</v>
      </c>
      <c r="Y17">
        <f>'samlede Arrhenius  5-36'!O17</f>
        <v>-2.7719585342413344</v>
      </c>
      <c r="Z17">
        <f t="shared" si="13"/>
        <v>-2.7327971207788799</v>
      </c>
      <c r="AA17">
        <f t="shared" si="14"/>
        <v>-3.9161413462454497E-2</v>
      </c>
      <c r="AB17" s="29">
        <f t="shared" si="15"/>
        <v>31.867031225404901</v>
      </c>
    </row>
    <row r="18" spans="2:28" ht="15" thickBot="1" x14ac:dyDescent="0.4">
      <c r="C18">
        <f>'samlede Arrhenius  5-36'!B18</f>
        <v>3.2374780822733832E-3</v>
      </c>
      <c r="D18">
        <f>'samlede Arrhenius  5-36'!C18</f>
        <v>-4.4923263817050234</v>
      </c>
      <c r="E18">
        <f t="shared" si="0"/>
        <v>-4.6160512859762086</v>
      </c>
      <c r="F18">
        <f t="shared" si="1"/>
        <v>0.12372490427118521</v>
      </c>
      <c r="G18">
        <f t="shared" si="2"/>
        <v>1.5307851936913945E-2</v>
      </c>
      <c r="H18" s="29">
        <f t="shared" si="3"/>
        <v>35.732399999999984</v>
      </c>
      <c r="I18">
        <f>'samlede Arrhenius  5-36'!E18</f>
        <v>3.2374780822733832E-3</v>
      </c>
      <c r="J18">
        <f>'samlede Arrhenius  5-36'!F18</f>
        <v>-4.4043764850326577</v>
      </c>
      <c r="K18">
        <f t="shared" si="4"/>
        <v>-4.4235664870168208</v>
      </c>
      <c r="L18">
        <f t="shared" si="5"/>
        <v>1.9190001984163096E-2</v>
      </c>
      <c r="M18" s="29">
        <f t="shared" si="6"/>
        <v>35.732399999999984</v>
      </c>
      <c r="N18">
        <f>'samlede Arrhenius  5-36'!H18</f>
        <v>3.2362302448369997E-3</v>
      </c>
      <c r="O18">
        <f>'samlede Arrhenius  5-36'!I18</f>
        <v>-3.5199425278740919</v>
      </c>
      <c r="P18">
        <f t="shared" si="7"/>
        <v>-3.3467743258483686</v>
      </c>
      <c r="Q18">
        <f t="shared" si="8"/>
        <v>-0.17316820202572325</v>
      </c>
      <c r="R18" s="29">
        <f t="shared" si="9"/>
        <v>35.851499999999987</v>
      </c>
      <c r="S18">
        <f>'samlede Arrhenius  5-36'!K18</f>
        <v>3.233502186817529E-3</v>
      </c>
      <c r="T18">
        <f>'samlede Arrhenius  5-36'!L18</f>
        <v>-2.7935914878604802</v>
      </c>
      <c r="U18">
        <f t="shared" si="10"/>
        <v>-3.3505200907703916</v>
      </c>
      <c r="V18">
        <f t="shared" si="11"/>
        <v>0.55692860290991142</v>
      </c>
      <c r="W18" s="29">
        <f t="shared" si="12"/>
        <v>36.11220000000003</v>
      </c>
      <c r="X18">
        <f>'samlede Arrhenius  5-36'!N18</f>
        <v>3.2450396250840717E-3</v>
      </c>
      <c r="Y18">
        <f>'samlede Arrhenius  5-36'!O18</f>
        <v>-2.6571986477466369</v>
      </c>
      <c r="Z18">
        <f t="shared" si="13"/>
        <v>-2.3965790598570358</v>
      </c>
      <c r="AA18">
        <f t="shared" si="14"/>
        <v>-0.26061958788960116</v>
      </c>
      <c r="AB18" s="29">
        <f t="shared" si="15"/>
        <v>35.012646850296107</v>
      </c>
    </row>
    <row r="19" spans="2:28" x14ac:dyDescent="0.35">
      <c r="B19" s="12">
        <f>'samlede Arrhenius  5-36'!A19</f>
        <v>0</v>
      </c>
      <c r="C19" s="13" t="str">
        <f>'samlede Arrhenius  5-36'!B19</f>
        <v>Frisk biogas 17 timer</v>
      </c>
      <c r="D19" s="14">
        <f>'samlede Arrhenius  5-36'!C19</f>
        <v>0</v>
      </c>
      <c r="I19" t="str">
        <f>'samlede Arrhenius  5-36'!E19</f>
        <v>Frisk biogas 41 timer</v>
      </c>
      <c r="J19">
        <f>'samlede Arrhenius  5-36'!F19</f>
        <v>0</v>
      </c>
      <c r="N19" t="str">
        <f>'samlede Arrhenius  5-36'!H19</f>
        <v>svine gylle 17 timer</v>
      </c>
      <c r="O19">
        <f>'samlede Arrhenius  5-36'!I19</f>
        <v>0</v>
      </c>
      <c r="S19" t="str">
        <f>'samlede Arrhenius  5-36'!K19</f>
        <v>lagret biogasgylle 17 timer</v>
      </c>
      <c r="T19">
        <f>'samlede Arrhenius  5-36'!L19</f>
        <v>0</v>
      </c>
      <c r="X19" t="str">
        <f>'samlede Arrhenius  5-36'!N19</f>
        <v>kvæggylle 17 timer</v>
      </c>
      <c r="Y19">
        <f>'samlede Arrhenius  5-36'!O19</f>
        <v>0</v>
      </c>
    </row>
    <row r="20" spans="2:28" x14ac:dyDescent="0.35">
      <c r="B20" s="15" t="str">
        <f>'samlede Arrhenius  5-36'!A20</f>
        <v>hældning</v>
      </c>
      <c r="C20" s="16">
        <f>'samlede Arrhenius  5-36'!B20</f>
        <v>-9728.9567601956369</v>
      </c>
      <c r="D20" s="17">
        <f>'samlede Arrhenius  5-36'!C20</f>
        <v>26.881232988542628</v>
      </c>
      <c r="I20">
        <f>'samlede Arrhenius  5-36'!E20</f>
        <v>-10124.640695296006</v>
      </c>
      <c r="J20">
        <f>'samlede Arrhenius  5-36'!F20</f>
        <v>28.354735854897143</v>
      </c>
      <c r="N20">
        <f>'samlede Arrhenius  5-36'!H20</f>
        <v>-9646.3536792659906</v>
      </c>
      <c r="O20">
        <f>'samlede Arrhenius  5-36'!I20</f>
        <v>27.871047203386901</v>
      </c>
      <c r="S20">
        <f>'samlede Arrhenius  5-36'!K20</f>
        <v>-9529.9046278846236</v>
      </c>
      <c r="T20">
        <f>'samlede Arrhenius  5-36'!L20</f>
        <v>27.46444736365703</v>
      </c>
      <c r="X20">
        <f>'samlede Arrhenius  5-36'!N20</f>
        <v>-10046.608321189433</v>
      </c>
      <c r="Y20">
        <f>'samlede Arrhenius  5-36'!O20</f>
        <v>30.205063040102036</v>
      </c>
    </row>
    <row r="21" spans="2:28" x14ac:dyDescent="0.35">
      <c r="B21" s="15"/>
      <c r="C21" s="16">
        <f>'samlede Arrhenius  5-36'!B21</f>
        <v>382.2083211836931</v>
      </c>
      <c r="D21" s="17">
        <f>'samlede Arrhenius  5-36'!C21</f>
        <v>1.3102864159739145</v>
      </c>
      <c r="I21">
        <f>'samlede Arrhenius  5-36'!E21</f>
        <v>272.11008265953603</v>
      </c>
      <c r="J21">
        <f>'samlede Arrhenius  5-36'!F21</f>
        <v>0.93284767807807989</v>
      </c>
      <c r="N21">
        <f>'samlede Arrhenius  5-36'!H21</f>
        <v>208.25422404337331</v>
      </c>
      <c r="O21">
        <f>'samlede Arrhenius  5-36'!I21</f>
        <v>0.7138724447982534</v>
      </c>
      <c r="S21">
        <f>'samlede Arrhenius  5-36'!K21</f>
        <v>700.49643648786832</v>
      </c>
      <c r="T21">
        <f>'samlede Arrhenius  5-36'!L21</f>
        <v>2.3952818296408247</v>
      </c>
      <c r="X21">
        <f>'samlede Arrhenius  5-36'!N21</f>
        <v>287.8067673324561</v>
      </c>
      <c r="Y21">
        <f>'samlede Arrhenius  5-36'!O21</f>
        <v>0.99014710622168145</v>
      </c>
    </row>
    <row r="22" spans="2:28" x14ac:dyDescent="0.35">
      <c r="B22" s="15"/>
      <c r="C22" s="16">
        <f>'samlede Arrhenius  5-36'!B22</f>
        <v>0.97884992665007176</v>
      </c>
      <c r="D22" s="17">
        <f>'samlede Arrhenius  5-36'!C22</f>
        <v>0.15416499674318468</v>
      </c>
      <c r="I22">
        <f>'samlede Arrhenius  5-36'!E22</f>
        <v>0.98998874960725292</v>
      </c>
      <c r="J22">
        <f>'samlede Arrhenius  5-36'!F22</f>
        <v>0.10975650628713961</v>
      </c>
      <c r="N22">
        <f>'samlede Arrhenius  5-36'!H22</f>
        <v>0.99351716917953736</v>
      </c>
      <c r="O22">
        <f>'samlede Arrhenius  5-36'!I22</f>
        <v>8.422784698457858E-2</v>
      </c>
      <c r="S22">
        <f>'samlede Arrhenius  5-36'!K22</f>
        <v>0.92967737864725153</v>
      </c>
      <c r="T22">
        <f>'samlede Arrhenius  5-36'!L22</f>
        <v>0.27460720319778426</v>
      </c>
      <c r="X22">
        <f>'samlede Arrhenius  5-36'!N22</f>
        <v>0.98864126855665457</v>
      </c>
      <c r="Y22">
        <f>'samlede Arrhenius  5-36'!O22</f>
        <v>0.11759950935081175</v>
      </c>
    </row>
    <row r="23" spans="2:28" x14ac:dyDescent="0.35">
      <c r="B23" s="15"/>
      <c r="C23" s="16">
        <f>'samlede Arrhenius  5-36'!B23</f>
        <v>647.93623862999482</v>
      </c>
      <c r="D23" s="17">
        <f>'samlede Arrhenius  5-36'!C23</f>
        <v>14</v>
      </c>
      <c r="I23">
        <f>'samlede Arrhenius  5-36'!E23</f>
        <v>1384.4267150227934</v>
      </c>
      <c r="J23">
        <f>'samlede Arrhenius  5-36'!F23</f>
        <v>14</v>
      </c>
      <c r="N23">
        <f>'samlede Arrhenius  5-36'!H23</f>
        <v>2145.5504167423001</v>
      </c>
      <c r="O23">
        <f>'samlede Arrhenius  5-36'!I23</f>
        <v>14</v>
      </c>
      <c r="S23">
        <f>'samlede Arrhenius  5-36'!K23</f>
        <v>185.08245356460708</v>
      </c>
      <c r="T23">
        <f>'samlede Arrhenius  5-36'!L23</f>
        <v>14</v>
      </c>
      <c r="X23">
        <f>'samlede Arrhenius  5-36'!N23</f>
        <v>1218.5320014676395</v>
      </c>
      <c r="Y23">
        <f>'samlede Arrhenius  5-36'!O23</f>
        <v>14</v>
      </c>
    </row>
    <row r="24" spans="2:28" x14ac:dyDescent="0.35">
      <c r="B24" s="15"/>
      <c r="C24" s="18">
        <f>'samlede Arrhenius  5-36'!B24</f>
        <v>15.399400944419599</v>
      </c>
      <c r="D24" s="19">
        <f>'samlede Arrhenius  5-36'!C24</f>
        <v>0.33273584709156601</v>
      </c>
      <c r="I24">
        <f>'samlede Arrhenius  5-36'!E24</f>
        <v>16.677483509086574</v>
      </c>
      <c r="J24">
        <f>'samlede Arrhenius  5-36'!F24</f>
        <v>0.16865086941302482</v>
      </c>
      <c r="N24">
        <f>'samlede Arrhenius  5-36'!H24</f>
        <v>15.221243133547219</v>
      </c>
      <c r="O24">
        <f>'samlede Arrhenius  5-36'!I24</f>
        <v>9.9320622907206182E-2</v>
      </c>
      <c r="S24">
        <f>'samlede Arrhenius  5-36'!K24</f>
        <v>13.956904219322233</v>
      </c>
      <c r="T24">
        <f>'samlede Arrhenius  5-36'!L24</f>
        <v>1.0557276246735285</v>
      </c>
      <c r="X24">
        <f>'samlede Arrhenius  5-36'!N24</f>
        <v>16.851864513477818</v>
      </c>
      <c r="Y24">
        <f>'samlede Arrhenius  5-36'!O24</f>
        <v>0.19361502439372325</v>
      </c>
    </row>
    <row r="25" spans="2:28" x14ac:dyDescent="0.35">
      <c r="B25" s="15"/>
      <c r="C25" s="18" t="e">
        <f>'samlede Arrhenius  5-36'!B25</f>
        <v>#N/A</v>
      </c>
      <c r="D25" s="19" t="e">
        <f>'samlede Arrhenius  5-36'!C25</f>
        <v>#N/A</v>
      </c>
      <c r="I25" t="e">
        <f>'samlede Arrhenius  5-36'!E25</f>
        <v>#N/A</v>
      </c>
      <c r="J25" t="e">
        <f>'samlede Arrhenius  5-36'!F25</f>
        <v>#N/A</v>
      </c>
      <c r="N25" t="e">
        <f>'samlede Arrhenius  5-36'!H25</f>
        <v>#N/A</v>
      </c>
      <c r="O25" t="e">
        <f>'samlede Arrhenius  5-36'!I25</f>
        <v>#N/A</v>
      </c>
      <c r="S25" t="e">
        <f>'samlede Arrhenius  5-36'!K25</f>
        <v>#N/A</v>
      </c>
      <c r="T25" t="e">
        <f>'samlede Arrhenius  5-36'!L25</f>
        <v>#N/A</v>
      </c>
      <c r="X25" t="e">
        <f>'samlede Arrhenius  5-36'!N25</f>
        <v>#N/A</v>
      </c>
      <c r="Y25" t="e">
        <f>'samlede Arrhenius  5-36'!O25</f>
        <v>#N/A</v>
      </c>
    </row>
    <row r="26" spans="2:28" x14ac:dyDescent="0.35">
      <c r="B26" s="15" t="str">
        <f>'samlede Arrhenius  5-36'!A26</f>
        <v>ln(A)</v>
      </c>
      <c r="C26" s="18">
        <f>'samlede Arrhenius  5-36'!B26</f>
        <v>26.881232988542628</v>
      </c>
      <c r="D26" s="19">
        <f>'samlede Arrhenius  5-36'!C26</f>
        <v>0</v>
      </c>
      <c r="I26">
        <f>'samlede Arrhenius  5-36'!E26</f>
        <v>28.354735854897143</v>
      </c>
      <c r="J26">
        <f>'samlede Arrhenius  5-36'!F26</f>
        <v>0</v>
      </c>
      <c r="N26">
        <f>'samlede Arrhenius  5-36'!H26</f>
        <v>27.871047203386901</v>
      </c>
      <c r="O26">
        <f>'samlede Arrhenius  5-36'!I26</f>
        <v>0</v>
      </c>
      <c r="S26">
        <f>'samlede Arrhenius  5-36'!K26</f>
        <v>27.46444736365703</v>
      </c>
      <c r="T26">
        <f>'samlede Arrhenius  5-36'!L26</f>
        <v>0</v>
      </c>
      <c r="X26">
        <f>'samlede Arrhenius  5-36'!N26</f>
        <v>30.205063040102036</v>
      </c>
      <c r="Y26">
        <f>'samlede Arrhenius  5-36'!O26</f>
        <v>0</v>
      </c>
    </row>
    <row r="27" spans="2:28" ht="15" thickBot="1" x14ac:dyDescent="0.4">
      <c r="B27" s="20" t="str">
        <f>'samlede Arrhenius  5-36'!A27</f>
        <v>Ea</v>
      </c>
      <c r="C27" s="21">
        <f>'samlede Arrhenius  5-36'!B27</f>
        <v>80886.546504266531</v>
      </c>
      <c r="D27" s="22">
        <f>'samlede Arrhenius  5-36'!C27</f>
        <v>0</v>
      </c>
      <c r="I27">
        <f>'samlede Arrhenius  5-36'!E27</f>
        <v>84176.262740690989</v>
      </c>
      <c r="J27">
        <f>'samlede Arrhenius  5-36'!F27</f>
        <v>0</v>
      </c>
      <c r="N27">
        <f>'samlede Arrhenius  5-36'!H27</f>
        <v>80199.784489417449</v>
      </c>
      <c r="O27">
        <f>'samlede Arrhenius  5-36'!I27</f>
        <v>0</v>
      </c>
      <c r="S27">
        <f>'samlede Arrhenius  5-36'!K27</f>
        <v>79231.627076232762</v>
      </c>
      <c r="T27">
        <f>'samlede Arrhenius  5-36'!L27</f>
        <v>0</v>
      </c>
      <c r="X27">
        <f>'samlede Arrhenius  5-36'!N27</f>
        <v>83527.501582368946</v>
      </c>
      <c r="Y27">
        <f>'samlede Arrhenius  5-36'!O27</f>
        <v>0</v>
      </c>
    </row>
    <row r="29" spans="2:28" x14ac:dyDescent="0.35">
      <c r="C29">
        <f>C3^2</f>
        <v>1.2859602781581466E-5</v>
      </c>
      <c r="F29">
        <f>F3^2</f>
        <v>0.11036569949129323</v>
      </c>
      <c r="I29">
        <f>I3^2</f>
        <v>1.2859602781581466E-5</v>
      </c>
      <c r="L29">
        <f>L3^2</f>
        <v>5.8520163651585792E-2</v>
      </c>
      <c r="N29">
        <f>N3^2</f>
        <v>1.2849601684186819E-5</v>
      </c>
      <c r="Q29">
        <f>Q3^2</f>
        <v>6.6600757317977219E-3</v>
      </c>
      <c r="S29">
        <f>S3^2</f>
        <v>1.2753662658277749E-5</v>
      </c>
      <c r="V29">
        <f>V3^2</f>
        <v>0.19690509794052641</v>
      </c>
      <c r="X29">
        <f>X3^2</f>
        <v>1.2913328540588621E-5</v>
      </c>
      <c r="AA29">
        <f>AA3^2</f>
        <v>6.6449547572401874E-2</v>
      </c>
    </row>
    <row r="30" spans="2:28" x14ac:dyDescent="0.35">
      <c r="C30">
        <f t="shared" ref="C30:C44" si="16">C4^2</f>
        <v>1.2703328701111103E-5</v>
      </c>
      <c r="F30">
        <f t="shared" ref="F30:F44" si="17">F4^2</f>
        <v>1.3749032967953165E-2</v>
      </c>
      <c r="I30">
        <f t="shared" ref="I30:I44" si="18">I4^2</f>
        <v>1.2703328701111103E-5</v>
      </c>
      <c r="L30">
        <f t="shared" ref="L30:L44" si="19">L4^2</f>
        <v>1.5815992859099338E-2</v>
      </c>
      <c r="N30">
        <f t="shared" ref="N30:N44" si="20">N4^2</f>
        <v>1.2697263774367139E-5</v>
      </c>
      <c r="Q30">
        <f t="shared" ref="Q30:Q44" si="21">Q4^2</f>
        <v>2.9210511852287256E-3</v>
      </c>
      <c r="S30">
        <f t="shared" ref="S30:S44" si="22">S4^2</f>
        <v>1.2606933973019969E-5</v>
      </c>
      <c r="V30">
        <f t="shared" ref="V30:V44" si="23">V4^2</f>
        <v>6.4851165574379671E-2</v>
      </c>
      <c r="X30">
        <f t="shared" ref="X30:X44" si="24">X4^2</f>
        <v>1.276858701082114E-5</v>
      </c>
      <c r="AA30">
        <f t="shared" ref="AA30:AA44" si="25">AA4^2</f>
        <v>7.4681208754967775E-3</v>
      </c>
    </row>
    <row r="31" spans="2:28" x14ac:dyDescent="0.35">
      <c r="C31">
        <f t="shared" si="16"/>
        <v>1.2542704557507313E-5</v>
      </c>
      <c r="F31">
        <f t="shared" si="17"/>
        <v>4.1734131824854005E-2</v>
      </c>
      <c r="I31">
        <f t="shared" si="18"/>
        <v>1.2542704557507313E-5</v>
      </c>
      <c r="L31">
        <f t="shared" si="19"/>
        <v>6.1277105994297476E-4</v>
      </c>
      <c r="N31">
        <f t="shared" si="20"/>
        <v>1.2547618946329367E-5</v>
      </c>
      <c r="Q31">
        <f t="shared" si="21"/>
        <v>1.1350647397030829E-3</v>
      </c>
      <c r="S31">
        <f t="shared" si="22"/>
        <v>1.2462722930594208E-5</v>
      </c>
      <c r="V31">
        <f t="shared" si="23"/>
        <v>5.6351929062361306E-2</v>
      </c>
      <c r="X31">
        <f t="shared" si="24"/>
        <v>1.2626265457335733E-5</v>
      </c>
      <c r="AA31">
        <f t="shared" si="25"/>
        <v>1.3216181728206888E-5</v>
      </c>
    </row>
    <row r="32" spans="2:28" x14ac:dyDescent="0.35">
      <c r="C32">
        <f t="shared" si="16"/>
        <v>1.2396727275427286E-5</v>
      </c>
      <c r="F32">
        <f t="shared" si="17"/>
        <v>2.8374994580441581E-2</v>
      </c>
      <c r="I32">
        <f t="shared" si="18"/>
        <v>1.2396727275427286E-5</v>
      </c>
      <c r="L32">
        <f t="shared" si="19"/>
        <v>1.1976725523690475E-2</v>
      </c>
      <c r="N32">
        <f t="shared" si="20"/>
        <v>1.240060409316653E-5</v>
      </c>
      <c r="Q32">
        <f t="shared" si="21"/>
        <v>2.8727461328737548E-3</v>
      </c>
      <c r="S32">
        <f t="shared" si="22"/>
        <v>1.2320972260113724E-5</v>
      </c>
      <c r="V32">
        <f t="shared" si="23"/>
        <v>1.4210605214202952E-2</v>
      </c>
      <c r="X32">
        <f t="shared" si="24"/>
        <v>1.2486310232193735E-5</v>
      </c>
      <c r="AA32">
        <f t="shared" si="25"/>
        <v>1.3588397479810472E-5</v>
      </c>
    </row>
    <row r="33" spans="3:27" x14ac:dyDescent="0.35">
      <c r="C33">
        <f t="shared" si="16"/>
        <v>1.225328366000092E-5</v>
      </c>
      <c r="F33">
        <f t="shared" si="17"/>
        <v>1.036053576289973E-2</v>
      </c>
      <c r="I33">
        <f t="shared" si="18"/>
        <v>1.225328366000092E-5</v>
      </c>
      <c r="L33">
        <f t="shared" si="19"/>
        <v>3.9307557516789698E-4</v>
      </c>
      <c r="N33">
        <f t="shared" si="20"/>
        <v>1.2256157945678583E-5</v>
      </c>
      <c r="Q33">
        <f t="shared" si="21"/>
        <v>1.8034222660685889E-3</v>
      </c>
      <c r="S33">
        <f t="shared" si="22"/>
        <v>1.2181626309963481E-5</v>
      </c>
      <c r="V33">
        <f t="shared" si="23"/>
        <v>1.0498022437108737E-2</v>
      </c>
      <c r="X33">
        <f t="shared" si="24"/>
        <v>1.234866916589609E-5</v>
      </c>
      <c r="AA33">
        <f t="shared" si="25"/>
        <v>7.1246354116664035E-4</v>
      </c>
    </row>
    <row r="34" spans="3:27" x14ac:dyDescent="0.35">
      <c r="C34">
        <f t="shared" si="16"/>
        <v>1.2112315414278063E-5</v>
      </c>
      <c r="F34">
        <f t="shared" si="17"/>
        <v>9.462002416786337E-3</v>
      </c>
      <c r="I34">
        <f t="shared" si="18"/>
        <v>1.2112315414278063E-5</v>
      </c>
      <c r="L34">
        <f t="shared" si="19"/>
        <v>7.2533043206316171E-3</v>
      </c>
      <c r="N34">
        <f t="shared" si="20"/>
        <v>1.2114221008526436E-5</v>
      </c>
      <c r="Q34">
        <f t="shared" si="21"/>
        <v>3.3257709010541272E-3</v>
      </c>
      <c r="S34">
        <f t="shared" si="22"/>
        <v>1.2044630993169504E-5</v>
      </c>
      <c r="V34">
        <f t="shared" si="23"/>
        <v>1.3301986797489217E-2</v>
      </c>
      <c r="X34">
        <f t="shared" si="24"/>
        <v>1.221329151875972E-5</v>
      </c>
      <c r="AA34">
        <f t="shared" si="25"/>
        <v>7.9883206366303233E-3</v>
      </c>
    </row>
    <row r="35" spans="3:27" x14ac:dyDescent="0.35">
      <c r="C35">
        <f t="shared" si="16"/>
        <v>1.1973765908402295E-5</v>
      </c>
      <c r="F35">
        <f t="shared" si="17"/>
        <v>1.4772796763226639E-2</v>
      </c>
      <c r="I35">
        <f t="shared" si="18"/>
        <v>1.1973765908402295E-5</v>
      </c>
      <c r="L35">
        <f t="shared" si="19"/>
        <v>5.6859196303230258E-3</v>
      </c>
      <c r="N35">
        <f t="shared" si="20"/>
        <v>1.1974735498958882E-5</v>
      </c>
      <c r="Q35">
        <f t="shared" si="21"/>
        <v>2.0534867325473039E-5</v>
      </c>
      <c r="S35">
        <f t="shared" si="22"/>
        <v>1.190993373490643E-5</v>
      </c>
      <c r="V35">
        <f t="shared" si="23"/>
        <v>9.9621103953913652E-3</v>
      </c>
      <c r="X35">
        <f t="shared" si="24"/>
        <v>1.2080127934149409E-5</v>
      </c>
      <c r="AA35">
        <f t="shared" si="25"/>
        <v>2.7013252123306848E-3</v>
      </c>
    </row>
    <row r="36" spans="3:27" x14ac:dyDescent="0.35">
      <c r="C36">
        <f t="shared" si="16"/>
        <v>1.1837580122728583E-5</v>
      </c>
      <c r="F36">
        <f t="shared" si="17"/>
        <v>4.6248056960415888E-2</v>
      </c>
      <c r="I36">
        <f t="shared" si="18"/>
        <v>1.1837580122728583E-5</v>
      </c>
      <c r="L36">
        <f t="shared" si="19"/>
        <v>5.9890720334441407E-2</v>
      </c>
      <c r="N36">
        <f t="shared" si="20"/>
        <v>1.183764528799469E-5</v>
      </c>
      <c r="Q36">
        <f t="shared" si="21"/>
        <v>8.3563604293554836E-3</v>
      </c>
      <c r="S36">
        <f t="shared" si="22"/>
        <v>1.1777483422048258E-5</v>
      </c>
      <c r="V36">
        <f t="shared" si="23"/>
        <v>6.8708887352251988E-2</v>
      </c>
      <c r="X36">
        <f t="shared" si="24"/>
        <v>1.1949130393484754E-5</v>
      </c>
      <c r="AA36">
        <f t="shared" si="25"/>
        <v>7.7093245460499726E-3</v>
      </c>
    </row>
    <row r="37" spans="3:27" x14ac:dyDescent="0.35">
      <c r="C37">
        <f t="shared" si="16"/>
        <v>1.1703704593192466E-5</v>
      </c>
      <c r="F37">
        <f t="shared" si="17"/>
        <v>3.3874255222793558E-4</v>
      </c>
      <c r="I37">
        <f t="shared" si="18"/>
        <v>1.1703704593192466E-5</v>
      </c>
      <c r="L37">
        <f t="shared" si="19"/>
        <v>3.1170507814454835E-4</v>
      </c>
      <c r="N37">
        <f t="shared" si="20"/>
        <v>1.1702895843947973E-5</v>
      </c>
      <c r="Q37">
        <f t="shared" si="21"/>
        <v>1.4019254340847673E-3</v>
      </c>
      <c r="S37">
        <f t="shared" si="22"/>
        <v>1.1647230354671871E-5</v>
      </c>
      <c r="V37">
        <f t="shared" si="23"/>
        <v>2.3808422576560247E-2</v>
      </c>
      <c r="X37">
        <f t="shared" si="24"/>
        <v>1.1820252172945515E-5</v>
      </c>
      <c r="AA37">
        <f t="shared" si="25"/>
        <v>3.286445991539219E-3</v>
      </c>
    </row>
    <row r="38" spans="3:27" x14ac:dyDescent="0.35">
      <c r="C38">
        <f t="shared" si="16"/>
        <v>1.1572087358829497E-5</v>
      </c>
      <c r="F38">
        <f t="shared" si="17"/>
        <v>4.4708584036218229E-3</v>
      </c>
      <c r="I38">
        <f t="shared" si="18"/>
        <v>1.1572087358829497E-5</v>
      </c>
      <c r="L38">
        <f t="shared" si="19"/>
        <v>1.5682593273851636E-5</v>
      </c>
      <c r="N38">
        <f t="shared" si="20"/>
        <v>1.157043417819085E-5</v>
      </c>
      <c r="Q38">
        <f t="shared" si="21"/>
        <v>1.6673033247090845E-2</v>
      </c>
      <c r="S38">
        <f t="shared" si="22"/>
        <v>1.1519126199427416E-5</v>
      </c>
      <c r="V38">
        <f t="shared" si="23"/>
        <v>4.3271647088610088E-2</v>
      </c>
      <c r="X38">
        <f t="shared" si="24"/>
        <v>1.1693447801802536E-5</v>
      </c>
      <c r="AA38">
        <f t="shared" si="25"/>
        <v>9.0545014385634403E-3</v>
      </c>
    </row>
    <row r="39" spans="3:27" x14ac:dyDescent="0.35">
      <c r="C39">
        <f t="shared" si="16"/>
        <v>1.1442677911348752E-5</v>
      </c>
      <c r="F39">
        <f t="shared" si="17"/>
        <v>1.6600884209298977E-2</v>
      </c>
      <c r="I39">
        <f t="shared" si="18"/>
        <v>1.1442677911348752E-5</v>
      </c>
      <c r="L39">
        <f t="shared" si="19"/>
        <v>1.3606712066393693E-4</v>
      </c>
      <c r="N39">
        <f t="shared" si="20"/>
        <v>1.1440208793052562E-5</v>
      </c>
      <c r="Q39">
        <f t="shared" si="21"/>
        <v>1.6180154897534126E-2</v>
      </c>
      <c r="S39">
        <f t="shared" si="22"/>
        <v>1.1393123944693877E-5</v>
      </c>
      <c r="V39">
        <f t="shared" si="23"/>
        <v>9.0221840434197204E-2</v>
      </c>
      <c r="X39">
        <f t="shared" si="24"/>
        <v>1.1568673022304879E-5</v>
      </c>
      <c r="AA39">
        <f t="shared" si="25"/>
        <v>1.2546014761837735E-2</v>
      </c>
    </row>
    <row r="40" spans="3:27" x14ac:dyDescent="0.35">
      <c r="C40">
        <f t="shared" si="16"/>
        <v>1.1315427146669016E-5</v>
      </c>
      <c r="F40">
        <f t="shared" si="17"/>
        <v>3.4148745585500264E-4</v>
      </c>
      <c r="I40">
        <f t="shared" si="18"/>
        <v>1.1315427146669016E-5</v>
      </c>
      <c r="L40">
        <f t="shared" si="19"/>
        <v>1.3481011618420942E-3</v>
      </c>
      <c r="N40">
        <f t="shared" si="20"/>
        <v>1.1312169631759531E-5</v>
      </c>
      <c r="Q40">
        <f t="shared" si="21"/>
        <v>3.8489070364872194E-3</v>
      </c>
      <c r="S40">
        <f t="shared" si="22"/>
        <v>1.1269177857442139E-5</v>
      </c>
      <c r="V40">
        <f t="shared" si="23"/>
        <v>5.1740919761007961E-2</v>
      </c>
      <c r="X40">
        <f t="shared" si="24"/>
        <v>1.1445884751057051E-5</v>
      </c>
      <c r="AA40">
        <f t="shared" si="25"/>
        <v>3.1957266238712497E-3</v>
      </c>
    </row>
    <row r="41" spans="3:27" x14ac:dyDescent="0.35">
      <c r="C41">
        <f t="shared" si="16"/>
        <v>1.1190287318330899E-5</v>
      </c>
      <c r="F41">
        <f t="shared" si="17"/>
        <v>4.1078270209233786E-6</v>
      </c>
      <c r="I41">
        <f t="shared" si="18"/>
        <v>1.1190287318330899E-5</v>
      </c>
      <c r="L41">
        <f t="shared" si="19"/>
        <v>4.3752454940421896E-4</v>
      </c>
      <c r="N41">
        <f t="shared" si="20"/>
        <v>1.1186268030325385E-5</v>
      </c>
      <c r="Q41">
        <f t="shared" si="21"/>
        <v>5.7757975663600683E-4</v>
      </c>
      <c r="S41">
        <f t="shared" si="22"/>
        <v>1.1147243441731675E-5</v>
      </c>
      <c r="V41">
        <f t="shared" si="23"/>
        <v>3.3162546483341236E-2</v>
      </c>
      <c r="X41">
        <f t="shared" si="24"/>
        <v>1.1206101049699792E-5</v>
      </c>
      <c r="AA41">
        <f t="shared" si="25"/>
        <v>2.8236437039717839E-3</v>
      </c>
    </row>
    <row r="42" spans="3:27" x14ac:dyDescent="0.35">
      <c r="C42">
        <f t="shared" si="16"/>
        <v>1.0946156005898465E-5</v>
      </c>
      <c r="F42">
        <f t="shared" si="17"/>
        <v>1.6585740584528656E-2</v>
      </c>
      <c r="I42">
        <f t="shared" si="18"/>
        <v>1.0946156005898465E-5</v>
      </c>
      <c r="L42">
        <f t="shared" si="19"/>
        <v>3.5460106660998528E-3</v>
      </c>
      <c r="N42">
        <f t="shared" si="20"/>
        <v>1.0940689539328244E-5</v>
      </c>
      <c r="Q42">
        <f t="shared" si="21"/>
        <v>1.1010819823152082E-3</v>
      </c>
      <c r="S42">
        <f t="shared" si="22"/>
        <v>1.0909237588471343E-5</v>
      </c>
      <c r="V42">
        <f t="shared" si="23"/>
        <v>2.9596956665760456E-4</v>
      </c>
      <c r="X42">
        <f t="shared" si="24"/>
        <v>1.0973774137969818E-5</v>
      </c>
      <c r="AA42">
        <f t="shared" si="25"/>
        <v>1.9659901453152412E-4</v>
      </c>
    </row>
    <row r="43" spans="3:27" x14ac:dyDescent="0.35">
      <c r="C43">
        <f t="shared" si="16"/>
        <v>1.0709927494897771E-5</v>
      </c>
      <c r="F43">
        <f t="shared" si="17"/>
        <v>4.0189233542328763E-3</v>
      </c>
      <c r="I43">
        <f t="shared" si="18"/>
        <v>1.0709927494897771E-5</v>
      </c>
      <c r="L43">
        <f t="shared" si="19"/>
        <v>2.3388491125587805E-3</v>
      </c>
      <c r="N43">
        <f t="shared" si="20"/>
        <v>1.0703110150476338E-5</v>
      </c>
      <c r="Q43">
        <f t="shared" si="21"/>
        <v>2.4556881068289139E-3</v>
      </c>
      <c r="S43">
        <f t="shared" si="22"/>
        <v>1.0678773678340057E-5</v>
      </c>
      <c r="V43">
        <f t="shared" si="23"/>
        <v>6.8267005250260443E-2</v>
      </c>
      <c r="X43">
        <f t="shared" si="24"/>
        <v>1.0748598002548336E-5</v>
      </c>
      <c r="AA43">
        <f t="shared" si="25"/>
        <v>1.5336163043773124E-3</v>
      </c>
    </row>
    <row r="44" spans="3:27" x14ac:dyDescent="0.35">
      <c r="C44">
        <f t="shared" si="16"/>
        <v>1.0481264333200543E-5</v>
      </c>
      <c r="F44">
        <f t="shared" si="17"/>
        <v>1.5307851936913945E-2</v>
      </c>
      <c r="I44">
        <f t="shared" si="18"/>
        <v>1.0481264333200543E-5</v>
      </c>
      <c r="L44">
        <f t="shared" si="19"/>
        <v>3.6825617615218357E-4</v>
      </c>
      <c r="N44">
        <f t="shared" si="20"/>
        <v>1.0473186197597747E-5</v>
      </c>
      <c r="Q44">
        <f t="shared" si="21"/>
        <v>2.9987226192821702E-2</v>
      </c>
      <c r="S44">
        <f t="shared" si="22"/>
        <v>1.0455536392153742E-5</v>
      </c>
      <c r="V44">
        <f t="shared" si="23"/>
        <v>0.31016946873918577</v>
      </c>
      <c r="X44">
        <f t="shared" si="24"/>
        <v>1.0530282168365773E-5</v>
      </c>
      <c r="AA44">
        <f t="shared" si="25"/>
        <v>6.7922569591745544E-2</v>
      </c>
    </row>
    <row r="47" spans="3:27" x14ac:dyDescent="0.35">
      <c r="E47" t="s">
        <v>34</v>
      </c>
      <c r="F47">
        <f>SQRT(SUM(F29:F44)/(COUNT(G3:G18)-2))/SQRT(SUM(C29:C44))</f>
        <v>11.242416900641134</v>
      </c>
      <c r="K47" t="s">
        <v>34</v>
      </c>
      <c r="L47">
        <f>SQRT(SUM(L29:L44)/(COUNT(M3:M18)-2))/SQRT(SUM(I29:I44))</f>
        <v>8.0039465981592457</v>
      </c>
      <c r="P47" t="s">
        <v>34</v>
      </c>
      <c r="Q47">
        <f>SQRT(SUM(Q29:Q44)/(COUNT(R3:R18)-2))/SQRT(SUM(N29:N44))</f>
        <v>6.1428358260748315</v>
      </c>
      <c r="U47" t="s">
        <v>34</v>
      </c>
      <c r="V47">
        <f>SQRT(SUM(V29:V44)/(COUNT(W3:W18)-2))/SQRT(SUM(S29:S44))</f>
        <v>20.077112105717536</v>
      </c>
      <c r="Z47" t="s">
        <v>34</v>
      </c>
      <c r="AA47">
        <f>SQRT(SUM(AA29:AA44)/(COUNT(AB3:AB18)-2))/SQRT(SUM(X29:X44))</f>
        <v>8.5456833670133214</v>
      </c>
    </row>
    <row r="49" spans="3:24" ht="17.5" x14ac:dyDescent="0.45">
      <c r="C49" t="s">
        <v>33</v>
      </c>
      <c r="I49" t="s">
        <v>33</v>
      </c>
      <c r="N49" t="s">
        <v>33</v>
      </c>
      <c r="S49" t="s">
        <v>33</v>
      </c>
      <c r="X49" t="s">
        <v>33</v>
      </c>
    </row>
    <row r="51" spans="3:24" x14ac:dyDescent="0.35">
      <c r="C51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H1" sqref="H1:J27"/>
    </sheetView>
  </sheetViews>
  <sheetFormatPr defaultRowHeight="14.5" x14ac:dyDescent="0.35"/>
  <sheetData>
    <row r="1" spans="1:5" ht="43.5" x14ac:dyDescent="0.3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</row>
    <row r="2" spans="1:5" x14ac:dyDescent="0.35">
      <c r="A2" s="8">
        <v>2310</v>
      </c>
      <c r="B2" s="8">
        <v>2</v>
      </c>
      <c r="C2" s="8">
        <v>2</v>
      </c>
      <c r="D2" s="8">
        <v>20</v>
      </c>
      <c r="E2" s="10">
        <v>142000</v>
      </c>
    </row>
    <row r="3" spans="1:5" x14ac:dyDescent="0.35">
      <c r="A3" s="8">
        <v>2333</v>
      </c>
      <c r="B3" s="8">
        <v>2</v>
      </c>
      <c r="C3" s="8">
        <v>2</v>
      </c>
      <c r="D3" s="8">
        <v>12</v>
      </c>
      <c r="E3" s="10">
        <v>144000</v>
      </c>
    </row>
    <row r="4" spans="1:5" x14ac:dyDescent="0.35">
      <c r="A4" s="8">
        <v>2356</v>
      </c>
      <c r="B4" s="8">
        <v>3</v>
      </c>
      <c r="C4" s="8">
        <v>1.5</v>
      </c>
      <c r="D4" s="8">
        <v>33</v>
      </c>
      <c r="E4" s="10">
        <v>151000</v>
      </c>
    </row>
    <row r="5" spans="1:5" x14ac:dyDescent="0.35">
      <c r="A5" s="8">
        <v>2379</v>
      </c>
      <c r="B5" s="8">
        <v>3</v>
      </c>
      <c r="C5" s="8">
        <v>2</v>
      </c>
      <c r="D5" s="8">
        <v>43</v>
      </c>
      <c r="E5" s="10">
        <v>150000</v>
      </c>
    </row>
    <row r="6" spans="1:5" x14ac:dyDescent="0.35">
      <c r="A6" s="8">
        <v>2402</v>
      </c>
      <c r="B6" s="8">
        <v>2</v>
      </c>
      <c r="C6" s="8">
        <v>3</v>
      </c>
      <c r="D6" s="8">
        <v>53</v>
      </c>
      <c r="E6" s="10">
        <v>139000</v>
      </c>
    </row>
    <row r="7" spans="1:5" x14ac:dyDescent="0.35">
      <c r="A7" s="8">
        <v>2425</v>
      </c>
      <c r="B7" s="8">
        <v>4</v>
      </c>
      <c r="C7" s="8">
        <v>2</v>
      </c>
      <c r="D7" s="8">
        <v>23</v>
      </c>
      <c r="E7" s="10">
        <v>169000</v>
      </c>
    </row>
    <row r="8" spans="1:5" x14ac:dyDescent="0.35">
      <c r="A8" s="8">
        <v>2448</v>
      </c>
      <c r="B8" s="8">
        <v>2</v>
      </c>
      <c r="C8" s="8">
        <v>1.5</v>
      </c>
      <c r="D8" s="8">
        <v>99</v>
      </c>
      <c r="E8" s="10">
        <v>126000</v>
      </c>
    </row>
    <row r="9" spans="1:5" x14ac:dyDescent="0.35">
      <c r="A9" s="8">
        <v>2471</v>
      </c>
      <c r="B9" s="8">
        <v>2</v>
      </c>
      <c r="C9" s="8">
        <v>2</v>
      </c>
      <c r="D9" s="8">
        <v>34</v>
      </c>
      <c r="E9" s="10">
        <v>142900</v>
      </c>
    </row>
    <row r="10" spans="1:5" x14ac:dyDescent="0.35">
      <c r="A10" s="8">
        <v>2494</v>
      </c>
      <c r="B10" s="8">
        <v>3</v>
      </c>
      <c r="C10" s="8">
        <v>3</v>
      </c>
      <c r="D10" s="8">
        <v>23</v>
      </c>
      <c r="E10" s="10">
        <v>163000</v>
      </c>
    </row>
    <row r="11" spans="1:5" x14ac:dyDescent="0.35">
      <c r="A11" s="8">
        <v>2517</v>
      </c>
      <c r="B11" s="8">
        <v>4</v>
      </c>
      <c r="C11" s="8">
        <v>4</v>
      </c>
      <c r="D11" s="8">
        <v>55</v>
      </c>
      <c r="E11" s="10">
        <v>169000</v>
      </c>
    </row>
    <row r="12" spans="1:5" x14ac:dyDescent="0.35">
      <c r="A12" s="8">
        <v>2540</v>
      </c>
      <c r="B12" s="8">
        <v>2</v>
      </c>
      <c r="C12" s="8">
        <v>3</v>
      </c>
      <c r="D12" s="8">
        <v>22</v>
      </c>
      <c r="E12" s="10">
        <v>149000</v>
      </c>
    </row>
    <row r="13" spans="1:5" x14ac:dyDescent="0.35">
      <c r="A13" s="9" t="s">
        <v>15</v>
      </c>
      <c r="B13" s="8"/>
      <c r="C13" s="8"/>
      <c r="D13" s="8"/>
      <c r="E13" s="8"/>
    </row>
    <row r="14" spans="1:5" ht="58" x14ac:dyDescent="0.35">
      <c r="A14" s="8" t="s">
        <v>16</v>
      </c>
      <c r="B14" s="8"/>
      <c r="C14" s="8"/>
      <c r="D14" s="8"/>
      <c r="E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Pig slurry</vt:lpstr>
      <vt:lpstr>Cattle slurry</vt:lpstr>
      <vt:lpstr>Digestate, fresh</vt:lpstr>
      <vt:lpstr>Digestate, stored</vt:lpstr>
      <vt:lpstr>samlede Arrhenius  5-36</vt:lpstr>
      <vt:lpstr>Residualer</vt:lpstr>
      <vt:lpstr>Sheet1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Olsen</dc:creator>
  <cp:lastModifiedBy>Søren O. Petersen</cp:lastModifiedBy>
  <dcterms:created xsi:type="dcterms:W3CDTF">2014-05-15T09:45:47Z</dcterms:created>
  <dcterms:modified xsi:type="dcterms:W3CDTF">2020-10-20T07:00:51Z</dcterms:modified>
</cp:coreProperties>
</file>