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asha\Git-repos\AMOSTO\"/>
    </mc:Choice>
  </mc:AlternateContent>
  <xr:revisionPtr revIDLastSave="0" documentId="13_ncr:1_{33A1E8AC-A6B1-4BCF-82C5-221F30D72712}" xr6:coauthVersionLast="47" xr6:coauthVersionMax="47" xr10:uidLastSave="{00000000-0000-0000-0000-000000000000}"/>
  <bookViews>
    <workbookView xWindow="-120" yWindow="-120" windowWidth="29040" windowHeight="15840" tabRatio="500" xr2:uid="{00000000-000D-0000-FFFF-FFFF00000000}"/>
  </bookViews>
  <sheets>
    <sheet name="Model" sheetId="1" r:id="rId1"/>
    <sheet name="License" sheetId="7" r:id="rId2"/>
    <sheet name="Parameters" sheetId="2" state="hidden" r:id="rId3"/>
    <sheet name="Lookup" sheetId="4" state="hidden" r:id="rId4"/>
    <sheet name="Calculations" sheetId="3" state="hidden" r:id="rId5"/>
    <sheet name="Warnings" sheetId="6" state="hidden" r:id="rId6"/>
    <sheet name="ChangeLog" sheetId="5"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27" i="1" l="1"/>
  <c r="L6" i="1"/>
  <c r="I2" i="6"/>
  <c r="C2" i="6" s="1"/>
  <c r="B15" i="3"/>
  <c r="B2" i="6" l="1"/>
  <c r="D2" i="6"/>
  <c r="H4" i="3"/>
  <c r="H5" i="3"/>
  <c r="H6" i="3"/>
  <c r="H7" i="3"/>
  <c r="H8" i="3"/>
  <c r="H9" i="3"/>
  <c r="H10" i="3"/>
  <c r="H11" i="3"/>
  <c r="H12" i="3"/>
  <c r="H13" i="3"/>
  <c r="H14" i="3"/>
  <c r="H3" i="3"/>
  <c r="E4" i="3"/>
  <c r="E5" i="3"/>
  <c r="E6" i="3"/>
  <c r="E7" i="3"/>
  <c r="E8" i="3"/>
  <c r="E9" i="3"/>
  <c r="E10" i="3"/>
  <c r="E11" i="3"/>
  <c r="E12" i="3"/>
  <c r="E13" i="3"/>
  <c r="E14" i="3"/>
  <c r="E3" i="3"/>
  <c r="D4" i="3"/>
  <c r="D5" i="3"/>
  <c r="D6" i="3"/>
  <c r="D7" i="3"/>
  <c r="D8" i="3"/>
  <c r="D9" i="3"/>
  <c r="D10" i="3"/>
  <c r="D11" i="3"/>
  <c r="D12" i="3"/>
  <c r="D13" i="3"/>
  <c r="D14" i="3"/>
  <c r="D3" i="3"/>
  <c r="C4" i="3"/>
  <c r="J4" i="3" s="1"/>
  <c r="K4" i="3" s="1"/>
  <c r="C5" i="3"/>
  <c r="J5" i="3" s="1"/>
  <c r="K5" i="3" s="1"/>
  <c r="C6" i="3"/>
  <c r="J6" i="3" s="1"/>
  <c r="K6" i="3" s="1"/>
  <c r="C7" i="3"/>
  <c r="J7" i="3" s="1"/>
  <c r="K7" i="3" s="1"/>
  <c r="C8" i="3"/>
  <c r="J8" i="3" s="1"/>
  <c r="K8" i="3" s="1"/>
  <c r="C9" i="3"/>
  <c r="J9" i="3" s="1"/>
  <c r="K9" i="3" s="1"/>
  <c r="C10" i="3"/>
  <c r="I10" i="3" s="1"/>
  <c r="C11" i="3"/>
  <c r="J11" i="3" s="1"/>
  <c r="K11" i="3" s="1"/>
  <c r="C12" i="3"/>
  <c r="J12" i="3" s="1"/>
  <c r="K12" i="3" s="1"/>
  <c r="C13" i="3"/>
  <c r="J13" i="3" s="1"/>
  <c r="K13" i="3" s="1"/>
  <c r="C14" i="3"/>
  <c r="J14" i="3" s="1"/>
  <c r="K14" i="3" s="1"/>
  <c r="C3" i="3"/>
  <c r="I12" i="3" l="1"/>
  <c r="L12" i="3" s="1"/>
  <c r="I8" i="3"/>
  <c r="L8" i="3" s="1"/>
  <c r="I4" i="3"/>
  <c r="L4" i="3" s="1"/>
  <c r="I3" i="3"/>
  <c r="I11" i="3"/>
  <c r="L11" i="3" s="1"/>
  <c r="I7" i="3"/>
  <c r="L7" i="3" s="1"/>
  <c r="J3" i="3"/>
  <c r="K3" i="3" s="1"/>
  <c r="I14" i="3"/>
  <c r="L14" i="3" s="1"/>
  <c r="I6" i="3"/>
  <c r="L6" i="3" s="1"/>
  <c r="J10" i="3"/>
  <c r="K10" i="3" s="1"/>
  <c r="L10" i="3" s="1"/>
  <c r="I13" i="3"/>
  <c r="L13" i="3" s="1"/>
  <c r="I9" i="3"/>
  <c r="L9" i="3" s="1"/>
  <c r="I5" i="3"/>
  <c r="L5" i="3" s="1"/>
  <c r="L3" i="3" l="1"/>
  <c r="G7" i="1" l="1"/>
  <c r="B3" i="4"/>
  <c r="C3" i="4" s="1"/>
  <c r="B2" i="4"/>
  <c r="C2" i="4" s="1"/>
  <c r="G4" i="3" l="1"/>
  <c r="G8" i="3"/>
  <c r="G12" i="3"/>
  <c r="G6" i="3"/>
  <c r="G14" i="3"/>
  <c r="G11" i="3"/>
  <c r="G5" i="3"/>
  <c r="G9" i="3"/>
  <c r="G13" i="3"/>
  <c r="G10" i="3"/>
  <c r="G7" i="3"/>
  <c r="G3" i="3"/>
  <c r="G6" i="1"/>
  <c r="F7" i="3" l="1"/>
  <c r="M7" i="3" s="1"/>
  <c r="F6" i="3"/>
  <c r="M6" i="3" s="1"/>
  <c r="F13" i="3"/>
  <c r="F4" i="3"/>
  <c r="M4" i="3" s="1"/>
  <c r="F9" i="3"/>
  <c r="M9" i="3" s="1"/>
  <c r="F8" i="3"/>
  <c r="F5" i="3"/>
  <c r="F10" i="3"/>
  <c r="M10" i="3" s="1"/>
  <c r="F12" i="3"/>
  <c r="M12" i="3" s="1"/>
  <c r="F11" i="3"/>
  <c r="M11" i="3" s="1"/>
  <c r="F3" i="3"/>
  <c r="M3" i="3" s="1"/>
  <c r="F14" i="3"/>
  <c r="M14" i="3" s="1"/>
  <c r="N10" i="3" l="1"/>
  <c r="N6" i="3"/>
  <c r="M13" i="3"/>
  <c r="N13" i="3" s="1"/>
  <c r="N14" i="3"/>
  <c r="N4" i="3"/>
  <c r="N11" i="3"/>
  <c r="N12" i="3"/>
  <c r="N9" i="3"/>
  <c r="N7" i="3"/>
  <c r="M8" i="3"/>
  <c r="N8" i="3" s="1"/>
  <c r="M5" i="3"/>
  <c r="N5" i="3" s="1"/>
  <c r="N3" i="3"/>
  <c r="N15" i="3" l="1"/>
  <c r="L7" i="1" s="1"/>
  <c r="L8" i="1" s="1"/>
  <c r="C3" i="6" s="1"/>
  <c r="B3" i="6" s="1"/>
  <c r="D3" i="6" s="1"/>
  <c r="D4" i="6" s="1"/>
  <c r="F11" i="1" s="1"/>
  <c r="F16" i="1" s="1"/>
</calcChain>
</file>

<file path=xl/sharedStrings.xml><?xml version="1.0" encoding="utf-8"?>
<sst xmlns="http://schemas.openxmlformats.org/spreadsheetml/2006/main" count="126" uniqueCount="113">
  <si>
    <t>Livestock type</t>
  </si>
  <si>
    <t>Storage type</t>
  </si>
  <si>
    <t>Cover</t>
  </si>
  <si>
    <t>Month</t>
  </si>
  <si>
    <t>Uncovered transport resistance (s/m)</t>
  </si>
  <si>
    <t>Lagoon</t>
  </si>
  <si>
    <t>Tank</t>
  </si>
  <si>
    <t>Cattle</t>
  </si>
  <si>
    <t>Pig</t>
  </si>
  <si>
    <t>Digestate</t>
  </si>
  <si>
    <t>Covers</t>
  </si>
  <si>
    <t>Straw</t>
  </si>
  <si>
    <t>Surface crust – natural</t>
  </si>
  <si>
    <t>Clay pebbles</t>
  </si>
  <si>
    <t>Floating PVC (non porous)</t>
  </si>
  <si>
    <t>Biocover (porous sheet)</t>
  </si>
  <si>
    <t>Corrugated sheets</t>
  </si>
  <si>
    <t>Lid</t>
  </si>
  <si>
    <t>Tent</t>
  </si>
  <si>
    <t>Oil</t>
  </si>
  <si>
    <t>Peat</t>
  </si>
  <si>
    <t>Wood chips</t>
  </si>
  <si>
    <t>Parameter values</t>
  </si>
  <si>
    <t>Slurry type</t>
  </si>
  <si>
    <t>Position</t>
  </si>
  <si>
    <t>None</t>
  </si>
  <si>
    <t>pH</t>
  </si>
  <si>
    <t>Days in month</t>
  </si>
  <si>
    <t>Total</t>
  </si>
  <si>
    <t>Model output</t>
  </si>
  <si>
    <t>January</t>
  </si>
  <si>
    <t>February</t>
  </si>
  <si>
    <t>March</t>
  </si>
  <si>
    <t>April</t>
  </si>
  <si>
    <t>May</t>
  </si>
  <si>
    <t>June</t>
  </si>
  <si>
    <t>July</t>
  </si>
  <si>
    <t>August</t>
  </si>
  <si>
    <t>September</t>
  </si>
  <si>
    <t>October</t>
  </si>
  <si>
    <t>December</t>
  </si>
  <si>
    <t>November</t>
  </si>
  <si>
    <t>Animal information</t>
  </si>
  <si>
    <t>Slurry characteristics</t>
  </si>
  <si>
    <t>Storage information</t>
  </si>
  <si>
    <t>Type</t>
  </si>
  <si>
    <t>Slurry temperature (°C)</t>
  </si>
  <si>
    <t>Notes</t>
  </si>
  <si>
    <t>Enter inputs in cells C5-C30</t>
  </si>
  <si>
    <r>
      <t>Storage temperature (</t>
    </r>
    <r>
      <rPr>
        <sz val="10"/>
        <rFont val="Calibri"/>
        <family val="2"/>
      </rPr>
      <t>°</t>
    </r>
    <r>
      <rPr>
        <sz val="10"/>
        <rFont val="Arial"/>
        <family val="2"/>
      </rPr>
      <t>C)</t>
    </r>
  </si>
  <si>
    <t>TAN (kg/t)</t>
  </si>
  <si>
    <t>Resitance R (s/m)</t>
  </si>
  <si>
    <t>Surface area (m2)</t>
  </si>
  <si>
    <t>Annual values</t>
  </si>
  <si>
    <t>Inputs</t>
  </si>
  <si>
    <t>Version:</t>
  </si>
  <si>
    <t>Paper:</t>
  </si>
  <si>
    <t>Ka</t>
  </si>
  <si>
    <t>KH (mol/L-atm)</t>
  </si>
  <si>
    <t>H (aq:g)</t>
  </si>
  <si>
    <t>Eq. NH3 (g) (g/L)</t>
  </si>
  <si>
    <t>Flux (g/m2-d)</t>
  </si>
  <si>
    <t>Monthly NH3 loss (kg)</t>
  </si>
  <si>
    <r>
      <t>Annual NH</t>
    </r>
    <r>
      <rPr>
        <vertAlign val="subscript"/>
        <sz val="10"/>
        <rFont val="Century"/>
        <family val="1"/>
      </rPr>
      <t>3</t>
    </r>
    <r>
      <rPr>
        <sz val="10"/>
        <rFont val="Century"/>
        <family val="1"/>
      </rPr>
      <t xml:space="preserve"> loss (kg N)</t>
    </r>
  </si>
  <si>
    <r>
      <t>Relative NH</t>
    </r>
    <r>
      <rPr>
        <vertAlign val="subscript"/>
        <sz val="10"/>
        <rFont val="Century"/>
        <family val="1"/>
      </rPr>
      <t>3</t>
    </r>
    <r>
      <rPr>
        <sz val="10"/>
        <rFont val="Century"/>
        <family val="1"/>
      </rPr>
      <t xml:space="preserve"> loss (%)</t>
    </r>
  </si>
  <si>
    <r>
      <t>Model monthly NH</t>
    </r>
    <r>
      <rPr>
        <i/>
        <vertAlign val="subscript"/>
        <sz val="10"/>
        <rFont val="Century"/>
        <family val="1"/>
      </rPr>
      <t>3</t>
    </r>
    <r>
      <rPr>
        <i/>
        <sz val="10"/>
        <rFont val="Century"/>
        <family val="1"/>
      </rPr>
      <t xml:space="preserve"> loss</t>
    </r>
  </si>
  <si>
    <r>
      <t>TAN (kg t</t>
    </r>
    <r>
      <rPr>
        <vertAlign val="superscript"/>
        <sz val="10"/>
        <rFont val="Century"/>
        <family val="1"/>
      </rPr>
      <t>-1</t>
    </r>
    <r>
      <rPr>
        <sz val="10"/>
        <rFont val="Century"/>
        <family val="1"/>
      </rPr>
      <t>)</t>
    </r>
  </si>
  <si>
    <r>
      <t>Surface area (m</t>
    </r>
    <r>
      <rPr>
        <vertAlign val="superscript"/>
        <sz val="10"/>
        <rFont val="Century"/>
        <family val="1"/>
      </rPr>
      <t>2</t>
    </r>
    <r>
      <rPr>
        <sz val="10"/>
        <rFont val="Century"/>
        <family val="1"/>
      </rPr>
      <t>)</t>
    </r>
  </si>
  <si>
    <r>
      <t>Model average NH</t>
    </r>
    <r>
      <rPr>
        <i/>
        <vertAlign val="subscript"/>
        <sz val="10"/>
        <rFont val="Century"/>
        <family val="1"/>
      </rPr>
      <t>3</t>
    </r>
    <r>
      <rPr>
        <i/>
        <sz val="10"/>
        <rFont val="Century"/>
        <family val="1"/>
      </rPr>
      <t xml:space="preserve"> flux</t>
    </r>
  </si>
  <si>
    <r>
      <t>Resistance (s m</t>
    </r>
    <r>
      <rPr>
        <vertAlign val="superscript"/>
        <sz val="10"/>
        <rFont val="Century"/>
        <family val="1"/>
      </rPr>
      <t>-1</t>
    </r>
    <r>
      <rPr>
        <sz val="10"/>
        <rFont val="Century"/>
        <family val="1"/>
      </rPr>
      <t>)</t>
    </r>
  </si>
  <si>
    <t>License:</t>
  </si>
  <si>
    <t>Version</t>
  </si>
  <si>
    <t>Date</t>
  </si>
  <si>
    <t>File name</t>
  </si>
  <si>
    <t>Who</t>
  </si>
  <si>
    <t>Description</t>
  </si>
  <si>
    <t>Storage_NH3_model.xlsx</t>
  </si>
  <si>
    <t>Sasha</t>
  </si>
  <si>
    <t>First version</t>
  </si>
  <si>
    <t>Annual slurry TAN flow (kg N)</t>
  </si>
  <si>
    <t>Storage_NH3_model_0.2.xlsx</t>
  </si>
  <si>
    <t>Remove number of animals</t>
  </si>
  <si>
    <t>sgs@bce.au.dk</t>
  </si>
  <si>
    <t xml:space="preserve">Contact us: </t>
  </si>
  <si>
    <r>
      <t>Slurry production (m</t>
    </r>
    <r>
      <rPr>
        <vertAlign val="superscript"/>
        <sz val="10"/>
        <rFont val="Century"/>
        <family val="1"/>
      </rPr>
      <t>3</t>
    </r>
    <r>
      <rPr>
        <sz val="10"/>
        <rFont val="Century"/>
        <family val="1"/>
      </rPr>
      <t xml:space="preserve"> d</t>
    </r>
    <r>
      <rPr>
        <vertAlign val="superscript"/>
        <sz val="10"/>
        <rFont val="Century"/>
        <family val="1"/>
      </rPr>
      <t>-1</t>
    </r>
    <r>
      <rPr>
        <sz val="10"/>
        <rFont val="Century"/>
        <family val="1"/>
      </rPr>
      <t>)</t>
    </r>
  </si>
  <si>
    <t>Minimum design depth (m)</t>
  </si>
  <si>
    <t>Maximum storage period (d)</t>
  </si>
  <si>
    <t>Warning</t>
  </si>
  <si>
    <t>Warning text</t>
  </si>
  <si>
    <t>Storage period (area)</t>
  </si>
  <si>
    <t>Fractional loss</t>
  </si>
  <si>
    <t>Loss limit (%)</t>
  </si>
  <si>
    <t>Number</t>
  </si>
  <si>
    <t>Numbered warning</t>
  </si>
  <si>
    <t>Combined warning</t>
  </si>
  <si>
    <t>Storage_NH3_model_0.3.xlsx</t>
  </si>
  <si>
    <t>Rearranged boxes in Model sheet, add warnings.</t>
  </si>
  <si>
    <t>Warnings</t>
  </si>
  <si>
    <t>Apparent minimum storage period</t>
  </si>
  <si>
    <t>MIT</t>
  </si>
  <si>
    <t>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</si>
  <si>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Add MIT license</t>
  </si>
  <si>
    <t>Storage_NH3_model_0.4.xlsx</t>
  </si>
  <si>
    <t>Fix cover factor, had used it as a *reduction*</t>
  </si>
  <si>
    <t>Cover effect (-)</t>
  </si>
  <si>
    <t>Relative emission with cover</t>
  </si>
  <si>
    <r>
      <t xml:space="preserve">AMOSTO: </t>
    </r>
    <r>
      <rPr>
        <sz val="12"/>
        <rFont val="Century"/>
        <family val="1"/>
      </rPr>
      <t xml:space="preserve">Mass transfer model for </t>
    </r>
    <r>
      <rPr>
        <b/>
        <i/>
        <sz val="12"/>
        <rFont val="Century"/>
        <family val="1"/>
      </rPr>
      <t>am</t>
    </r>
    <r>
      <rPr>
        <sz val="12"/>
        <rFont val="Century"/>
        <family val="1"/>
      </rPr>
      <t>m</t>
    </r>
    <r>
      <rPr>
        <b/>
        <i/>
        <sz val="12"/>
        <rFont val="Century"/>
        <family val="1"/>
      </rPr>
      <t>o</t>
    </r>
    <r>
      <rPr>
        <sz val="12"/>
        <rFont val="Century"/>
        <family val="1"/>
      </rPr>
      <t xml:space="preserve">nia loss from animal slurry </t>
    </r>
    <r>
      <rPr>
        <b/>
        <i/>
        <sz val="12"/>
        <rFont val="Century"/>
        <family val="1"/>
      </rPr>
      <t>sto</t>
    </r>
    <r>
      <rPr>
        <sz val="12"/>
        <rFont val="Century"/>
        <family val="1"/>
      </rPr>
      <t>rage</t>
    </r>
  </si>
  <si>
    <t>AMOSTO.xlsx</t>
  </si>
  <si>
    <t>https://github.com/sashahafner/AMOSTO</t>
  </si>
  <si>
    <t>Latest version and more information:</t>
  </si>
  <si>
    <t>Change file name, add AMOSTO to Model sheet, hiding this ChangeLog and other sheets except Model and License, add GitHub info to Model sheet</t>
  </si>
  <si>
    <t>Download</t>
  </si>
  <si>
    <t>Add download link, reformat notes a 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</si>
</sst>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name val="Arial"/>
      <family val="2"/>
    </font>
    <font>
      <sz val="10"/>
      <color rgb="FF0070C0"/>
      <name val="Arial"/>
      <family val="2"/>
    </font>
    <font>
      <sz val="10"/>
      <color theme="9"/>
      <name val="Arial"/>
      <family val="2"/>
    </font>
    <font>
      <sz val="10"/>
      <name val="Calibri"/>
      <family val="2"/>
    </font>
    <font>
      <b/>
      <sz val="10"/>
      <color rgb="FF0070C0"/>
      <name val="Arial"/>
      <family val="2"/>
    </font>
    <font>
      <sz val="10"/>
      <name val="Century"/>
      <family val="1"/>
    </font>
    <font>
      <b/>
      <sz val="12"/>
      <name val="Century"/>
      <family val="1"/>
    </font>
    <font>
      <b/>
      <sz val="11"/>
      <name val="Century"/>
      <family val="1"/>
    </font>
    <font>
      <i/>
      <sz val="10"/>
      <name val="Century"/>
      <family val="1"/>
    </font>
    <font>
      <vertAlign val="subscript"/>
      <sz val="10"/>
      <name val="Century"/>
      <family val="1"/>
    </font>
    <font>
      <vertAlign val="superscript"/>
      <sz val="10"/>
      <name val="Century"/>
      <family val="1"/>
    </font>
    <font>
      <i/>
      <vertAlign val="subscript"/>
      <sz val="10"/>
      <name val="Century"/>
      <family val="1"/>
    </font>
    <font>
      <u/>
      <sz val="10"/>
      <color theme="10"/>
      <name val="Arial"/>
      <family val="2"/>
    </font>
    <font>
      <sz val="11"/>
      <name val="Century"/>
      <family val="1"/>
    </font>
    <font>
      <sz val="11"/>
      <color rgb="FFFF0000"/>
      <name val="Century"/>
      <family val="1"/>
    </font>
    <font>
      <b/>
      <i/>
      <sz val="12"/>
      <name val="Century"/>
      <family val="1"/>
    </font>
    <font>
      <sz val="12"/>
      <name val="Century"/>
      <family val="1"/>
    </font>
    <font>
      <b/>
      <sz val="10"/>
      <color theme="9" tint="-0.249977111117893"/>
      <name val="Century"/>
      <family val="1"/>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s>
  <cellStyleXfs count="2">
    <xf numFmtId="0" fontId="0" fillId="0" borderId="0"/>
    <xf numFmtId="0" fontId="12" fillId="0" borderId="0" applyNumberFormat="0" applyFill="0" applyBorder="0" applyAlignment="0" applyProtection="0"/>
  </cellStyleXfs>
  <cellXfs count="61">
    <xf numFmtId="0" fontId="0" fillId="0" borderId="0" xfId="0"/>
    <xf numFmtId="0" fontId="0" fillId="0" borderId="0" xfId="0" applyAlignment="1">
      <alignment horizontal="center"/>
    </xf>
    <xf numFmtId="0" fontId="1" fillId="0" borderId="0" xfId="0" applyFont="1"/>
    <xf numFmtId="0" fontId="0" fillId="0" borderId="0" xfId="0" applyAlignment="1">
      <alignment horizontal="center" wrapText="1"/>
    </xf>
    <xf numFmtId="0" fontId="2" fillId="0" borderId="0" xfId="0"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5" fillId="2" borderId="0" xfId="0" applyFont="1" applyFill="1" applyAlignment="1">
      <alignment horizontal="center" vertical="center"/>
    </xf>
    <xf numFmtId="0" fontId="6" fillId="2" borderId="0" xfId="0" applyFont="1" applyFill="1" applyAlignment="1">
      <alignment horizontal="center" vertical="center"/>
    </xf>
    <xf numFmtId="0" fontId="5" fillId="3"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5" fillId="0" borderId="1" xfId="0" applyFont="1" applyBorder="1" applyAlignment="1" applyProtection="1">
      <alignment horizontal="center" vertical="center"/>
      <protection locked="0"/>
    </xf>
    <xf numFmtId="0" fontId="5" fillId="3" borderId="8" xfId="0" applyFont="1" applyFill="1" applyBorder="1" applyAlignment="1">
      <alignment horizontal="center" vertical="center"/>
    </xf>
    <xf numFmtId="0" fontId="5" fillId="3" borderId="0" xfId="0" applyFont="1" applyFill="1" applyAlignment="1">
      <alignment horizontal="center" vertical="center"/>
    </xf>
    <xf numFmtId="0" fontId="5" fillId="0" borderId="1" xfId="0" applyFont="1" applyBorder="1" applyAlignment="1">
      <alignment horizontal="center" vertical="center"/>
    </xf>
    <xf numFmtId="0" fontId="5" fillId="0" borderId="2" xfId="0" applyFont="1" applyBorder="1" applyAlignment="1" applyProtection="1">
      <alignment horizontal="center" vertical="center"/>
      <protection locked="0"/>
    </xf>
    <xf numFmtId="0" fontId="5" fillId="3" borderId="7" xfId="0" applyFont="1" applyFill="1" applyBorder="1" applyAlignment="1">
      <alignment horizontal="center" vertical="center" wrapText="1"/>
    </xf>
    <xf numFmtId="0" fontId="5" fillId="0" borderId="3" xfId="0" applyFont="1" applyBorder="1" applyAlignment="1" applyProtection="1">
      <alignment horizontal="center" vertical="center"/>
      <protection locked="0"/>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5" fillId="0" borderId="3" xfId="0" applyFont="1" applyBorder="1" applyAlignment="1">
      <alignment horizontal="center" vertical="center"/>
    </xf>
    <xf numFmtId="0" fontId="5" fillId="3" borderId="5" xfId="0" applyFont="1" applyFill="1" applyBorder="1" applyAlignment="1">
      <alignment horizontal="center" vertical="center"/>
    </xf>
    <xf numFmtId="0" fontId="5" fillId="3" borderId="7" xfId="0" applyFont="1" applyFill="1" applyBorder="1" applyAlignment="1">
      <alignment vertical="center"/>
    </xf>
    <xf numFmtId="15" fontId="0" fillId="0" borderId="0" xfId="0" applyNumberFormat="1"/>
    <xf numFmtId="164" fontId="5" fillId="0" borderId="13" xfId="0" applyNumberFormat="1" applyFont="1" applyBorder="1" applyAlignment="1">
      <alignment horizontal="center" vertical="center"/>
    </xf>
    <xf numFmtId="164" fontId="5" fillId="0" borderId="14" xfId="0" applyNumberFormat="1" applyFont="1" applyBorder="1" applyAlignment="1">
      <alignment horizontal="center" vertical="center"/>
    </xf>
    <xf numFmtId="0" fontId="0" fillId="0" borderId="0" xfId="0" applyAlignment="1">
      <alignment wrapText="1"/>
    </xf>
    <xf numFmtId="1" fontId="5" fillId="0" borderId="12" xfId="0" applyNumberFormat="1" applyFont="1" applyBorder="1" applyAlignment="1">
      <alignment horizontal="center" vertical="center"/>
    </xf>
    <xf numFmtId="0" fontId="1" fillId="0" borderId="0" xfId="0" applyFont="1" applyAlignment="1">
      <alignment horizontal="center" wrapText="1"/>
    </xf>
    <xf numFmtId="0" fontId="12" fillId="3" borderId="0" xfId="1" applyFill="1" applyBorder="1" applyAlignment="1" applyProtection="1">
      <alignment horizontal="left" vertical="center"/>
      <protection locked="0"/>
    </xf>
    <xf numFmtId="0" fontId="8" fillId="2" borderId="0" xfId="0" applyFont="1" applyFill="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7" fillId="2" borderId="10"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0" xfId="0" applyFont="1" applyFill="1" applyAlignment="1">
      <alignment horizontal="center" vertical="center" wrapText="1"/>
    </xf>
    <xf numFmtId="0" fontId="14"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5" fillId="3" borderId="7" xfId="0" applyFont="1" applyFill="1" applyBorder="1" applyAlignment="1">
      <alignment horizontal="left" vertical="center" wrapText="1"/>
    </xf>
    <xf numFmtId="0" fontId="6" fillId="2" borderId="0" xfId="0" applyFont="1" applyFill="1" applyAlignment="1">
      <alignment horizontal="center" vertical="center"/>
    </xf>
    <xf numFmtId="0" fontId="7" fillId="2" borderId="0" xfId="0" applyFont="1" applyFill="1" applyAlignment="1">
      <alignment horizontal="center" vertical="center"/>
    </xf>
    <xf numFmtId="0" fontId="0" fillId="0" borderId="0" xfId="0" applyAlignment="1">
      <alignment horizontal="center"/>
    </xf>
    <xf numFmtId="0" fontId="12" fillId="3" borderId="0" xfId="1" applyFill="1" applyAlignment="1" applyProtection="1">
      <alignment horizontal="left" vertical="center"/>
      <protection locked="0"/>
    </xf>
    <xf numFmtId="0" fontId="5" fillId="3" borderId="7" xfId="0" applyFont="1" applyFill="1" applyBorder="1" applyAlignment="1">
      <alignment horizontal="right" vertical="center"/>
    </xf>
    <xf numFmtId="0" fontId="5" fillId="3" borderId="9" xfId="0" applyFont="1" applyFill="1" applyBorder="1" applyAlignment="1">
      <alignment horizontal="right" vertical="center"/>
    </xf>
    <xf numFmtId="0" fontId="5" fillId="3" borderId="0" xfId="0" applyFont="1" applyFill="1" applyAlignment="1">
      <alignment horizontal="left" vertical="center"/>
    </xf>
    <xf numFmtId="164" fontId="17" fillId="3" borderId="10" xfId="0" applyNumberFormat="1" applyFont="1" applyFill="1" applyBorder="1" applyAlignment="1">
      <alignment horizontal="left" vertical="center"/>
    </xf>
    <xf numFmtId="0" fontId="12" fillId="3" borderId="0" xfId="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0" xfId="0" applyFont="1" applyFill="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colors>
    <mruColors>
      <color rgb="FF9DCB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spPr>
            <a:solidFill>
              <a:srgbClr val="9DCBF1"/>
            </a:solidFill>
            <a:ln>
              <a:noFill/>
            </a:ln>
            <a:effectLst/>
          </c:spPr>
          <c:invertIfNegative val="0"/>
          <c:dLbls>
            <c:delete val="1"/>
          </c:dLbls>
          <c:val>
            <c:numRef>
              <c:f>Calculations!$N$3:$N$14</c:f>
              <c:numCache>
                <c:formatCode>General</c:formatCode>
                <c:ptCount val="12"/>
                <c:pt idx="0">
                  <c:v>2.9246947079034458</c:v>
                </c:pt>
                <c:pt idx="1">
                  <c:v>2.6652459838152369</c:v>
                </c:pt>
                <c:pt idx="2">
                  <c:v>3.9022301080563349</c:v>
                </c:pt>
                <c:pt idx="3">
                  <c:v>6.1232783003358264</c:v>
                </c:pt>
                <c:pt idx="4">
                  <c:v>12.264038531749714</c:v>
                </c:pt>
                <c:pt idx="5">
                  <c:v>18.413054524266592</c:v>
                </c:pt>
                <c:pt idx="6">
                  <c:v>22.330572985044039</c:v>
                </c:pt>
                <c:pt idx="7">
                  <c:v>22.605786650281718</c:v>
                </c:pt>
                <c:pt idx="8">
                  <c:v>15.086111373733392</c:v>
                </c:pt>
                <c:pt idx="9">
                  <c:v>9.8650701087085846</c:v>
                </c:pt>
                <c:pt idx="10">
                  <c:v>5.3613064534119914</c:v>
                </c:pt>
                <c:pt idx="11">
                  <c:v>3.6448884795850902</c:v>
                </c:pt>
              </c:numCache>
            </c:numRef>
          </c:val>
          <c:extLst>
            <c:ext xmlns:c16="http://schemas.microsoft.com/office/drawing/2014/chart" uri="{C3380CC4-5D6E-409C-BE32-E72D297353CC}">
              <c16:uniqueId val="{00000000-E6C8-4588-9C31-E4C22922130E}"/>
            </c:ext>
          </c:extLst>
        </c:ser>
        <c:dLbls>
          <c:dLblPos val="outEnd"/>
          <c:showLegendKey val="0"/>
          <c:showVal val="1"/>
          <c:showCatName val="0"/>
          <c:showSerName val="0"/>
          <c:showPercent val="0"/>
          <c:showBubbleSize val="0"/>
        </c:dLbls>
        <c:gapWidth val="90"/>
        <c:overlap val="59"/>
        <c:axId val="1345239504"/>
        <c:axId val="1345238256"/>
      </c:barChart>
      <c:catAx>
        <c:axId val="13452395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Month of 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8256"/>
        <c:crosses val="autoZero"/>
        <c:auto val="1"/>
        <c:lblAlgn val="ctr"/>
        <c:lblOffset val="100"/>
        <c:noMultiLvlLbl val="0"/>
      </c:catAx>
      <c:valAx>
        <c:axId val="134523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NH</a:t>
                </a:r>
                <a:r>
                  <a:rPr lang="en-US" baseline="-25000"/>
                  <a:t>3</a:t>
                </a:r>
                <a:r>
                  <a:rPr lang="en-US"/>
                  <a:t> loss (kg N)</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9504"/>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a:softEdge rad="12700"/>
    </a:effectLst>
  </c:spPr>
  <c:txPr>
    <a:bodyPr/>
    <a:lstStyle/>
    <a:p>
      <a:pPr>
        <a:defRPr sz="1100">
          <a:solidFill>
            <a:schemeClr val="dk1"/>
          </a:solidFill>
          <a:latin typeface="Century" panose="02040604050505020304" pitchFamily="18" charset="0"/>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spPr>
            <a:solidFill>
              <a:schemeClr val="accent6">
                <a:lumMod val="40000"/>
                <a:lumOff val="60000"/>
              </a:schemeClr>
            </a:solidFill>
            <a:ln>
              <a:noFill/>
            </a:ln>
            <a:effectLst/>
          </c:spPr>
          <c:invertIfNegative val="0"/>
          <c:dLbls>
            <c:delete val="1"/>
          </c:dLbls>
          <c:val>
            <c:numRef>
              <c:f>Calculations!$M$3:$M$14</c:f>
              <c:numCache>
                <c:formatCode>General</c:formatCode>
                <c:ptCount val="12"/>
                <c:pt idx="0">
                  <c:v>0.28331829002261411</c:v>
                </c:pt>
                <c:pt idx="1">
                  <c:v>0.28331829002261411</c:v>
                </c:pt>
                <c:pt idx="2">
                  <c:v>0.37801318493231956</c:v>
                </c:pt>
                <c:pt idx="3">
                  <c:v>0.61294077080438703</c:v>
                </c:pt>
                <c:pt idx="4">
                  <c:v>1.1880304690254493</c:v>
                </c:pt>
                <c:pt idx="5">
                  <c:v>1.8431486010276867</c:v>
                </c:pt>
                <c:pt idx="6">
                  <c:v>2.1631863784795153</c:v>
                </c:pt>
                <c:pt idx="7">
                  <c:v>2.1898466192271355</c:v>
                </c:pt>
                <c:pt idx="8">
                  <c:v>1.5101212586319712</c:v>
                </c:pt>
                <c:pt idx="9">
                  <c:v>0.95563984391248524</c:v>
                </c:pt>
                <c:pt idx="10">
                  <c:v>0.53666731265385292</c:v>
                </c:pt>
                <c:pt idx="11">
                  <c:v>0.353084227413067</c:v>
                </c:pt>
              </c:numCache>
            </c:numRef>
          </c:val>
          <c:extLst>
            <c:ext xmlns:c16="http://schemas.microsoft.com/office/drawing/2014/chart" uri="{C3380CC4-5D6E-409C-BE32-E72D297353CC}">
              <c16:uniqueId val="{00000000-4647-4548-ABF3-8B155A45C05C}"/>
            </c:ext>
          </c:extLst>
        </c:ser>
        <c:dLbls>
          <c:dLblPos val="outEnd"/>
          <c:showLegendKey val="0"/>
          <c:showVal val="1"/>
          <c:showCatName val="0"/>
          <c:showSerName val="0"/>
          <c:showPercent val="0"/>
          <c:showBubbleSize val="0"/>
        </c:dLbls>
        <c:gapWidth val="90"/>
        <c:overlap val="59"/>
        <c:axId val="1345239504"/>
        <c:axId val="1345238256"/>
      </c:barChart>
      <c:catAx>
        <c:axId val="1345239504"/>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Month of 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8256"/>
        <c:crosses val="autoZero"/>
        <c:auto val="1"/>
        <c:lblAlgn val="ctr"/>
        <c:lblOffset val="100"/>
        <c:noMultiLvlLbl val="0"/>
      </c:catAx>
      <c:valAx>
        <c:axId val="134523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r>
                  <a:rPr lang="en-US"/>
                  <a:t>NH</a:t>
                </a:r>
                <a:r>
                  <a:rPr lang="en-US" baseline="-25000"/>
                  <a:t>3</a:t>
                </a:r>
                <a:r>
                  <a:rPr lang="en-US"/>
                  <a:t> flux (g N m</a:t>
                </a:r>
                <a:r>
                  <a:rPr lang="en-US" baseline="30000"/>
                  <a:t>-2</a:t>
                </a:r>
                <a:r>
                  <a:rPr lang="en-US"/>
                  <a:t> d</a:t>
                </a:r>
                <a:r>
                  <a:rPr lang="en-US" baseline="30000"/>
                  <a:t>-1</a:t>
                </a:r>
                <a:r>
                  <a:rPr lang="en-US"/>
                  <a:t>)</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Century" panose="02040604050505020304" pitchFamily="18" charset="0"/>
                <a:ea typeface="+mn-ea"/>
                <a:cs typeface="+mn-cs"/>
              </a:defRPr>
            </a:pPr>
            <a:endParaRPr lang="en-US"/>
          </a:p>
        </c:txPr>
        <c:crossAx val="1345239504"/>
        <c:crosses val="autoZero"/>
        <c:crossBetween val="between"/>
      </c:valAx>
      <c:spPr>
        <a:solidFill>
          <a:schemeClr val="lt1"/>
        </a:solidFill>
        <a:ln w="1270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noFill/>
      <a:prstDash val="solid"/>
      <a:miter lim="800000"/>
    </a:ln>
    <a:effectLst>
      <a:softEdge rad="12700"/>
    </a:effectLst>
  </c:spPr>
  <c:txPr>
    <a:bodyPr/>
    <a:lstStyle/>
    <a:p>
      <a:pPr>
        <a:defRPr sz="1100">
          <a:solidFill>
            <a:schemeClr val="dk1"/>
          </a:solidFill>
          <a:latin typeface="Century" panose="02040604050505020304" pitchFamily="18" charset="0"/>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329048</xdr:colOff>
      <xdr:row>10</xdr:row>
      <xdr:rowOff>25977</xdr:rowOff>
    </xdr:from>
    <xdr:to>
      <xdr:col>11</xdr:col>
      <xdr:colOff>1143000</xdr:colOff>
      <xdr:row>25</xdr:row>
      <xdr:rowOff>112568</xdr:rowOff>
    </xdr:to>
    <xdr:graphicFrame macro="">
      <xdr:nvGraphicFramePr>
        <xdr:cNvPr id="2" name="Chart 1">
          <a:extLst>
            <a:ext uri="{FF2B5EF4-FFF2-40B4-BE49-F238E27FC236}">
              <a16:creationId xmlns:a16="http://schemas.microsoft.com/office/drawing/2014/main" id="{D6F9ACCD-AC99-411E-BB33-68992DF86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25977</xdr:colOff>
      <xdr:row>10</xdr:row>
      <xdr:rowOff>17317</xdr:rowOff>
    </xdr:from>
    <xdr:to>
      <xdr:col>15</xdr:col>
      <xdr:colOff>406976</xdr:colOff>
      <xdr:row>25</xdr:row>
      <xdr:rowOff>121226</xdr:rowOff>
    </xdr:to>
    <xdr:graphicFrame macro="">
      <xdr:nvGraphicFramePr>
        <xdr:cNvPr id="3" name="Chart 2">
          <a:extLst>
            <a:ext uri="{FF2B5EF4-FFF2-40B4-BE49-F238E27FC236}">
              <a16:creationId xmlns:a16="http://schemas.microsoft.com/office/drawing/2014/main" id="{0787AEDD-5A57-4CAB-9E6D-B3D422673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PTC_YO8lJKsK_OPswhBvWFYOUVEzKVFc/view?usp=sharing" TargetMode="External"/><Relationship Id="rId1" Type="http://schemas.openxmlformats.org/officeDocument/2006/relationships/hyperlink" Target="https://github.com/sashahafner/AMOSTO"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38"/>
  <sheetViews>
    <sheetView tabSelected="1" zoomScale="110" zoomScaleNormal="110" workbookViewId="0">
      <selection activeCell="C6" sqref="C6"/>
    </sheetView>
  </sheetViews>
  <sheetFormatPr defaultRowHeight="12.75" x14ac:dyDescent="0.2"/>
  <cols>
    <col min="1" max="1" width="5.42578125" style="7" customWidth="1"/>
    <col min="2" max="2" width="24.85546875" style="7" bestFit="1" customWidth="1"/>
    <col min="3" max="3" width="12.5703125" style="7" customWidth="1"/>
    <col min="4" max="4" width="3.7109375" style="7" customWidth="1"/>
    <col min="5" max="5" width="4.85546875" style="7" customWidth="1"/>
    <col min="6" max="6" width="18.42578125" style="7" bestFit="1" customWidth="1"/>
    <col min="7" max="7" width="10.5703125" style="7" customWidth="1"/>
    <col min="8" max="8" width="9.140625" style="7" customWidth="1"/>
    <col min="9" max="9" width="4.7109375" style="7" customWidth="1"/>
    <col min="10" max="10" width="14.140625" style="7" customWidth="1"/>
    <col min="11" max="11" width="29.140625" style="7" customWidth="1"/>
    <col min="12" max="12" width="20.5703125" style="7" customWidth="1"/>
    <col min="13" max="13" width="14.7109375" style="7" customWidth="1"/>
    <col min="14" max="14" width="11.5703125" style="7"/>
    <col min="15" max="15" width="21.7109375" style="7" customWidth="1"/>
    <col min="16" max="1025" width="11.5703125" style="7"/>
    <col min="1026" max="16384" width="9.140625" style="7"/>
  </cols>
  <sheetData>
    <row r="2" spans="2:16" ht="15.75" x14ac:dyDescent="0.2">
      <c r="B2" s="50" t="s">
        <v>106</v>
      </c>
      <c r="C2" s="50"/>
      <c r="D2" s="50"/>
      <c r="E2" s="50"/>
      <c r="F2" s="50"/>
      <c r="G2" s="50"/>
      <c r="H2" s="50"/>
      <c r="I2" s="50"/>
      <c r="J2" s="50"/>
      <c r="K2" s="50"/>
    </row>
    <row r="3" spans="2:16" ht="15.75" x14ac:dyDescent="0.2">
      <c r="B3" s="8"/>
      <c r="C3" s="8"/>
      <c r="D3" s="8"/>
      <c r="E3" s="8"/>
      <c r="F3" s="8"/>
      <c r="G3" s="8"/>
      <c r="H3" s="8"/>
      <c r="I3" s="8"/>
      <c r="J3" s="8"/>
      <c r="K3" s="8"/>
    </row>
    <row r="4" spans="2:16" ht="15" thickBot="1" x14ac:dyDescent="0.25">
      <c r="B4" s="39" t="s">
        <v>54</v>
      </c>
      <c r="C4" s="39"/>
      <c r="D4" s="39"/>
      <c r="F4" s="39" t="s">
        <v>22</v>
      </c>
      <c r="G4" s="39"/>
      <c r="H4" s="39"/>
      <c r="K4" s="51" t="s">
        <v>29</v>
      </c>
      <c r="L4" s="51"/>
    </row>
    <row r="5" spans="2:16" ht="15" thickBot="1" x14ac:dyDescent="0.25">
      <c r="B5" s="35" t="s">
        <v>42</v>
      </c>
      <c r="C5" s="36"/>
      <c r="D5" s="9"/>
      <c r="F5" s="22"/>
      <c r="G5" s="23"/>
      <c r="H5" s="9"/>
      <c r="J5" s="10"/>
      <c r="K5" s="36" t="s">
        <v>53</v>
      </c>
      <c r="L5" s="36"/>
      <c r="M5" s="25"/>
      <c r="N5" s="25"/>
      <c r="O5" s="25"/>
      <c r="P5" s="9"/>
    </row>
    <row r="6" spans="2:16" ht="15.75" x14ac:dyDescent="0.2">
      <c r="B6" s="11" t="s">
        <v>0</v>
      </c>
      <c r="C6" s="12" t="s">
        <v>8</v>
      </c>
      <c r="D6" s="13"/>
      <c r="F6" s="11" t="s">
        <v>69</v>
      </c>
      <c r="G6" s="15">
        <f>INDEX(Parameters!B3:C5,Lookup!C2,Lookup!C3)</f>
        <v>262</v>
      </c>
      <c r="H6" s="13"/>
      <c r="J6" s="11"/>
      <c r="K6" s="14" t="s">
        <v>79</v>
      </c>
      <c r="L6" s="31">
        <f>C7*C10*365.25</f>
        <v>3290.5372500000003</v>
      </c>
      <c r="M6" s="14"/>
      <c r="N6" s="14"/>
      <c r="O6" s="14"/>
      <c r="P6" s="13"/>
    </row>
    <row r="7" spans="2:16" ht="15.75" x14ac:dyDescent="0.2">
      <c r="B7" s="17" t="s">
        <v>84</v>
      </c>
      <c r="C7" s="18">
        <v>2.73</v>
      </c>
      <c r="D7" s="13"/>
      <c r="F7" s="11" t="s">
        <v>104</v>
      </c>
      <c r="G7" s="24">
        <f>VLOOKUP(C16,Parameters!A8:C21,3,FALSE)</f>
        <v>1</v>
      </c>
      <c r="H7" s="13"/>
      <c r="J7" s="11"/>
      <c r="K7" s="14" t="s">
        <v>63</v>
      </c>
      <c r="L7" s="28">
        <f>Calculations!N15</f>
        <v>125.18627820689196</v>
      </c>
      <c r="M7" s="14"/>
      <c r="N7" s="14"/>
      <c r="O7" s="14"/>
      <c r="P7" s="13"/>
    </row>
    <row r="8" spans="2:16" ht="16.5" thickBot="1" x14ac:dyDescent="0.25">
      <c r="B8" s="11"/>
      <c r="C8" s="14"/>
      <c r="D8" s="13"/>
      <c r="F8" s="19"/>
      <c r="G8" s="20"/>
      <c r="H8" s="21"/>
      <c r="J8" s="11"/>
      <c r="K8" s="14" t="s">
        <v>64</v>
      </c>
      <c r="L8" s="29">
        <f>100*L7/L6</f>
        <v>3.8044327930611312</v>
      </c>
      <c r="M8" s="14"/>
      <c r="N8" s="14"/>
      <c r="O8" s="14"/>
      <c r="P8" s="13"/>
    </row>
    <row r="9" spans="2:16" x14ac:dyDescent="0.2">
      <c r="B9" s="37" t="s">
        <v>43</v>
      </c>
      <c r="C9" s="38"/>
      <c r="D9" s="13"/>
      <c r="J9" s="11"/>
      <c r="K9" s="14"/>
      <c r="L9" s="14"/>
      <c r="M9" s="14"/>
      <c r="N9" s="14"/>
      <c r="O9" s="14"/>
      <c r="P9" s="13"/>
    </row>
    <row r="10" spans="2:16" ht="16.5" thickBot="1" x14ac:dyDescent="0.25">
      <c r="B10" s="11" t="s">
        <v>66</v>
      </c>
      <c r="C10" s="12">
        <v>3.3</v>
      </c>
      <c r="D10" s="13"/>
      <c r="F10" s="39" t="s">
        <v>97</v>
      </c>
      <c r="G10" s="39"/>
      <c r="H10" s="39"/>
      <c r="J10" s="37" t="s">
        <v>65</v>
      </c>
      <c r="K10" s="38"/>
      <c r="L10" s="38"/>
      <c r="M10" s="38" t="s">
        <v>68</v>
      </c>
      <c r="N10" s="38"/>
      <c r="O10" s="38"/>
      <c r="P10" s="13"/>
    </row>
    <row r="11" spans="2:16" ht="16.5" customHeight="1" x14ac:dyDescent="0.2">
      <c r="B11" s="11" t="s">
        <v>26</v>
      </c>
      <c r="C11" s="18">
        <v>7.2</v>
      </c>
      <c r="D11" s="13"/>
      <c r="F11" s="40" t="str">
        <f>Warnings!D4</f>
        <v xml:space="preserve"> </v>
      </c>
      <c r="G11" s="41"/>
      <c r="H11" s="42"/>
      <c r="J11" s="11"/>
      <c r="K11" s="14"/>
      <c r="L11" s="14"/>
      <c r="M11" s="14"/>
      <c r="N11" s="14"/>
      <c r="O11" s="14"/>
      <c r="P11" s="13"/>
    </row>
    <row r="12" spans="2:16" ht="12.75" customHeight="1" x14ac:dyDescent="0.2">
      <c r="B12" s="11"/>
      <c r="C12" s="14"/>
      <c r="D12" s="13"/>
      <c r="F12" s="43"/>
      <c r="G12" s="44"/>
      <c r="H12" s="45"/>
      <c r="J12" s="11"/>
      <c r="K12" s="14"/>
      <c r="L12" s="14"/>
      <c r="M12" s="14"/>
      <c r="N12" s="14"/>
      <c r="O12" s="14"/>
      <c r="P12" s="13"/>
    </row>
    <row r="13" spans="2:16" ht="12.75" customHeight="1" x14ac:dyDescent="0.2">
      <c r="B13" s="37" t="s">
        <v>44</v>
      </c>
      <c r="C13" s="38"/>
      <c r="D13" s="13"/>
      <c r="F13" s="43"/>
      <c r="G13" s="44"/>
      <c r="H13" s="45"/>
      <c r="J13" s="11"/>
      <c r="K13" s="14"/>
      <c r="L13" s="14"/>
      <c r="M13" s="14"/>
      <c r="N13" s="14"/>
      <c r="O13" s="14"/>
      <c r="P13" s="13"/>
    </row>
    <row r="14" spans="2:16" ht="12.75" customHeight="1" x14ac:dyDescent="0.2">
      <c r="B14" s="11" t="s">
        <v>45</v>
      </c>
      <c r="C14" s="12" t="s">
        <v>6</v>
      </c>
      <c r="D14" s="13"/>
      <c r="F14" s="43"/>
      <c r="G14" s="44"/>
      <c r="H14" s="45"/>
      <c r="J14" s="11"/>
      <c r="K14" s="14"/>
      <c r="L14" s="14"/>
      <c r="M14" s="14"/>
      <c r="N14" s="14"/>
      <c r="O14" s="14"/>
      <c r="P14" s="13"/>
    </row>
    <row r="15" spans="2:16" ht="15.75" x14ac:dyDescent="0.2">
      <c r="B15" s="11" t="s">
        <v>67</v>
      </c>
      <c r="C15" s="16">
        <v>333</v>
      </c>
      <c r="D15" s="13"/>
      <c r="F15" s="43"/>
      <c r="G15" s="44"/>
      <c r="H15" s="45"/>
      <c r="J15" s="11"/>
      <c r="K15" s="14"/>
      <c r="L15" s="14"/>
      <c r="M15" s="14"/>
      <c r="N15" s="14"/>
      <c r="O15" s="14"/>
      <c r="P15" s="13"/>
    </row>
    <row r="16" spans="2:16" ht="13.5" customHeight="1" thickBot="1" x14ac:dyDescent="0.25">
      <c r="B16" s="11" t="s">
        <v>2</v>
      </c>
      <c r="C16" s="18" t="s">
        <v>25</v>
      </c>
      <c r="D16" s="13"/>
      <c r="F16" s="46" t="str">
        <f>IF(LEN(F11)&gt;1,"","No warnings.")</f>
        <v>No warnings.</v>
      </c>
      <c r="G16" s="47"/>
      <c r="H16" s="48"/>
      <c r="J16" s="11"/>
      <c r="K16" s="14"/>
      <c r="L16" s="14"/>
      <c r="M16" s="14"/>
      <c r="N16" s="14"/>
      <c r="O16" s="14"/>
      <c r="P16" s="13"/>
    </row>
    <row r="17" spans="2:16" x14ac:dyDescent="0.2">
      <c r="B17" s="11"/>
      <c r="C17" s="14"/>
      <c r="D17" s="13"/>
      <c r="J17" s="11"/>
      <c r="K17" s="14"/>
      <c r="L17" s="14"/>
      <c r="M17" s="14"/>
      <c r="N17" s="14"/>
      <c r="O17" s="14"/>
      <c r="P17" s="13"/>
    </row>
    <row r="18" spans="2:16" x14ac:dyDescent="0.2">
      <c r="B18" s="37" t="s">
        <v>46</v>
      </c>
      <c r="C18" s="38"/>
      <c r="D18" s="13"/>
      <c r="J18" s="11"/>
      <c r="K18" s="14"/>
      <c r="L18" s="14"/>
      <c r="M18" s="14"/>
      <c r="N18" s="14"/>
      <c r="O18" s="14"/>
      <c r="P18" s="13"/>
    </row>
    <row r="19" spans="2:16" ht="15" thickBot="1" x14ac:dyDescent="0.25">
      <c r="B19" s="11" t="s">
        <v>30</v>
      </c>
      <c r="C19" s="12">
        <v>0</v>
      </c>
      <c r="D19" s="13"/>
      <c r="F19" s="39" t="s">
        <v>47</v>
      </c>
      <c r="G19" s="39"/>
      <c r="H19" s="39"/>
      <c r="J19" s="11"/>
      <c r="K19" s="14"/>
      <c r="L19" s="14"/>
      <c r="M19" s="14"/>
      <c r="N19" s="14"/>
      <c r="O19" s="14"/>
      <c r="P19" s="13"/>
    </row>
    <row r="20" spans="2:16" ht="14.25" x14ac:dyDescent="0.2">
      <c r="B20" s="11" t="s">
        <v>31</v>
      </c>
      <c r="C20" s="16">
        <v>0</v>
      </c>
      <c r="D20" s="13"/>
      <c r="F20" s="22"/>
      <c r="G20" s="25"/>
      <c r="H20" s="9"/>
      <c r="J20" s="11"/>
      <c r="K20" s="14"/>
      <c r="L20" s="14"/>
      <c r="M20" s="14"/>
      <c r="N20" s="14"/>
      <c r="O20" s="14"/>
      <c r="P20" s="13"/>
    </row>
    <row r="21" spans="2:16" x14ac:dyDescent="0.2">
      <c r="B21" s="11" t="s">
        <v>32</v>
      </c>
      <c r="C21" s="16">
        <v>2.1</v>
      </c>
      <c r="D21" s="13"/>
      <c r="F21" s="26" t="s">
        <v>48</v>
      </c>
      <c r="G21" s="14"/>
      <c r="H21" s="13"/>
      <c r="J21" s="11"/>
      <c r="K21" s="14"/>
      <c r="L21" s="14"/>
      <c r="M21" s="14"/>
      <c r="N21" s="14"/>
      <c r="O21" s="14"/>
      <c r="P21" s="13"/>
    </row>
    <row r="22" spans="2:16" x14ac:dyDescent="0.2">
      <c r="B22" s="11" t="s">
        <v>33</v>
      </c>
      <c r="C22" s="16">
        <v>5.7</v>
      </c>
      <c r="D22" s="13"/>
      <c r="F22" s="49" t="s">
        <v>109</v>
      </c>
      <c r="G22" s="58" t="s">
        <v>108</v>
      </c>
      <c r="H22" s="59"/>
      <c r="J22" s="11"/>
      <c r="K22" s="14"/>
      <c r="L22" s="14"/>
      <c r="M22" s="14"/>
      <c r="N22" s="14"/>
      <c r="O22" s="14"/>
      <c r="P22" s="13"/>
    </row>
    <row r="23" spans="2:16" x14ac:dyDescent="0.2">
      <c r="B23" s="11" t="s">
        <v>34</v>
      </c>
      <c r="C23" s="16">
        <v>10.8</v>
      </c>
      <c r="D23" s="13"/>
      <c r="F23" s="49"/>
      <c r="G23" s="60"/>
      <c r="H23" s="59"/>
      <c r="J23" s="11"/>
      <c r="K23" s="14"/>
      <c r="L23" s="14"/>
      <c r="M23" s="14"/>
      <c r="N23" s="14"/>
      <c r="O23" s="14"/>
      <c r="P23" s="13"/>
    </row>
    <row r="24" spans="2:16" x14ac:dyDescent="0.2">
      <c r="B24" s="11" t="s">
        <v>35</v>
      </c>
      <c r="C24" s="16">
        <v>14.3</v>
      </c>
      <c r="D24" s="13"/>
      <c r="F24" s="54" t="s">
        <v>56</v>
      </c>
      <c r="G24" s="53" t="s">
        <v>111</v>
      </c>
      <c r="H24" s="13"/>
      <c r="J24" s="11"/>
      <c r="K24" s="14"/>
      <c r="L24" s="14"/>
      <c r="M24" s="14"/>
      <c r="N24" s="14"/>
      <c r="O24" s="14"/>
      <c r="P24" s="13"/>
    </row>
    <row r="25" spans="2:16" x14ac:dyDescent="0.2">
      <c r="B25" s="11" t="s">
        <v>36</v>
      </c>
      <c r="C25" s="16">
        <v>15.6</v>
      </c>
      <c r="D25" s="13"/>
      <c r="F25" s="54" t="s">
        <v>83</v>
      </c>
      <c r="G25" s="33" t="s">
        <v>82</v>
      </c>
      <c r="H25" s="13"/>
      <c r="J25" s="11"/>
      <c r="K25" s="14"/>
      <c r="L25" s="14"/>
      <c r="M25" s="14"/>
      <c r="N25" s="14"/>
      <c r="O25" s="14"/>
      <c r="P25" s="13"/>
    </row>
    <row r="26" spans="2:16" x14ac:dyDescent="0.2">
      <c r="B26" s="11" t="s">
        <v>37</v>
      </c>
      <c r="C26" s="16">
        <v>15.7</v>
      </c>
      <c r="D26" s="13"/>
      <c r="F26" s="54" t="s">
        <v>70</v>
      </c>
      <c r="G26" s="56" t="s">
        <v>99</v>
      </c>
      <c r="H26" s="13"/>
      <c r="J26" s="11"/>
      <c r="K26" s="14"/>
      <c r="L26" s="14"/>
      <c r="M26" s="14"/>
      <c r="N26" s="14"/>
      <c r="O26" s="14"/>
      <c r="P26" s="13"/>
    </row>
    <row r="27" spans="2:16" ht="13.5" thickBot="1" x14ac:dyDescent="0.25">
      <c r="B27" s="11" t="s">
        <v>38</v>
      </c>
      <c r="C27" s="16">
        <v>12.7</v>
      </c>
      <c r="D27" s="13"/>
      <c r="F27" s="55" t="s">
        <v>55</v>
      </c>
      <c r="G27" s="57">
        <f>MAX(ChangeLog!A4:A1011)</f>
        <v>1</v>
      </c>
      <c r="H27" s="21"/>
      <c r="J27" s="19"/>
      <c r="K27" s="20"/>
      <c r="L27" s="20"/>
      <c r="M27" s="20"/>
      <c r="N27" s="20"/>
      <c r="O27" s="20"/>
      <c r="P27" s="21"/>
    </row>
    <row r="28" spans="2:16" x14ac:dyDescent="0.2">
      <c r="B28" s="11" t="s">
        <v>39</v>
      </c>
      <c r="C28" s="16">
        <v>9.1</v>
      </c>
      <c r="D28" s="13"/>
      <c r="K28" s="34"/>
      <c r="L28" s="34"/>
    </row>
    <row r="29" spans="2:16" x14ac:dyDescent="0.2">
      <c r="B29" s="11" t="s">
        <v>41</v>
      </c>
      <c r="C29" s="16">
        <v>4.7</v>
      </c>
      <c r="D29" s="13"/>
    </row>
    <row r="30" spans="2:16" x14ac:dyDescent="0.2">
      <c r="B30" s="11" t="s">
        <v>40</v>
      </c>
      <c r="C30" s="18">
        <v>1.6</v>
      </c>
      <c r="D30" s="13"/>
    </row>
    <row r="31" spans="2:16" ht="13.5" thickBot="1" x14ac:dyDescent="0.25">
      <c r="B31" s="19"/>
      <c r="C31" s="20"/>
      <c r="D31" s="21"/>
    </row>
    <row r="38" ht="7.5" customHeight="1" x14ac:dyDescent="0.2"/>
  </sheetData>
  <sheetProtection sheet="1" objects="1" scenarios="1" selectLockedCells="1"/>
  <mergeCells count="18">
    <mergeCell ref="M10:O10"/>
    <mergeCell ref="F10:H10"/>
    <mergeCell ref="B2:K2"/>
    <mergeCell ref="K5:L5"/>
    <mergeCell ref="K4:L4"/>
    <mergeCell ref="B4:D4"/>
    <mergeCell ref="F4:H4"/>
    <mergeCell ref="K28:L28"/>
    <mergeCell ref="B5:C5"/>
    <mergeCell ref="B9:C9"/>
    <mergeCell ref="B13:C13"/>
    <mergeCell ref="B18:C18"/>
    <mergeCell ref="F19:H19"/>
    <mergeCell ref="F11:H15"/>
    <mergeCell ref="F16:H16"/>
    <mergeCell ref="J10:L10"/>
    <mergeCell ref="F22:F23"/>
    <mergeCell ref="G22:H23"/>
  </mergeCells>
  <hyperlinks>
    <hyperlink ref="G22" r:id="rId1" xr:uid="{34DB199A-A3BF-4DC7-A0C6-1DB159FEB52F}"/>
    <hyperlink ref="G24" r:id="rId2" display="(link)" xr:uid="{1CF429E3-5056-44D7-8445-E982C065AE94}"/>
  </hyperlinks>
  <pageMargins left="0.78749999999999998" right="0.78749999999999998" top="1.05277777777778" bottom="1.05277777777778" header="0.78749999999999998" footer="0.78749999999999998"/>
  <pageSetup orientation="portrait" useFirstPageNumber="1" horizontalDpi="300" verticalDpi="300" r:id="rId3"/>
  <headerFooter>
    <oddHeader>&amp;C&amp;"Times New Roman,Regular"&amp;12&amp;A</oddHeader>
    <oddFooter>&amp;C&amp;"Times New Roman,Regular"&amp;12Page &amp;P</oddFooter>
  </headerFooter>
  <drawing r:id="rId4"/>
  <extLst>
    <ext xmlns:x14="http://schemas.microsoft.com/office/spreadsheetml/2009/9/main" uri="{CCE6A557-97BC-4b89-ADB6-D9C93CAAB3DF}">
      <x14:dataValidations xmlns:xm="http://schemas.microsoft.com/office/excel/2006/main" count="3">
        <x14:dataValidation type="list" allowBlank="1" showInputMessage="1" showErrorMessage="1" xr:uid="{95B1AA3F-C4BB-42DB-83F6-1155ED714D2C}">
          <x14:formula1>
            <xm:f>Parameters!$A$3:$A$5</xm:f>
          </x14:formula1>
          <xm:sqref>C6</xm:sqref>
        </x14:dataValidation>
        <x14:dataValidation type="list" allowBlank="1" showInputMessage="1" showErrorMessage="1" xr:uid="{0D32CDBA-FFA1-4E9E-A67E-8AFA4363CBFD}">
          <x14:formula1>
            <xm:f>Parameters!$B$2:$C$2</xm:f>
          </x14:formula1>
          <xm:sqref>C14</xm:sqref>
        </x14:dataValidation>
        <x14:dataValidation type="list" allowBlank="1" showInputMessage="1" showErrorMessage="1" xr:uid="{423D9FFA-0086-4FAC-B35C-448C5A8763B1}">
          <x14:formula1>
            <xm:f>Parameters!$A$8:$A$21</xm:f>
          </x14:formula1>
          <xm:sqref>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FF109-3732-4306-832B-83C4D5B4F22B}">
  <dimension ref="A1"/>
  <sheetViews>
    <sheetView workbookViewId="0"/>
  </sheetViews>
  <sheetFormatPr defaultRowHeight="12.75" x14ac:dyDescent="0.2"/>
  <cols>
    <col min="1" max="1" width="85.140625" customWidth="1"/>
  </cols>
  <sheetData>
    <row r="1" spans="1:1" ht="293.25" x14ac:dyDescent="0.2">
      <c r="A1" s="30"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
  <sheetViews>
    <sheetView zoomScaleNormal="100" workbookViewId="0">
      <selection activeCell="C21" sqref="C21"/>
    </sheetView>
  </sheetViews>
  <sheetFormatPr defaultRowHeight="12.75" x14ac:dyDescent="0.2"/>
  <cols>
    <col min="1" max="1" width="23.28515625" style="1" bestFit="1" customWidth="1"/>
    <col min="2" max="2" width="21.7109375" style="1" customWidth="1"/>
    <col min="3" max="3" width="18.42578125" style="1" customWidth="1"/>
    <col min="4" max="1025" width="11.5703125" style="1"/>
    <col min="1026" max="16384" width="9.140625" style="1"/>
  </cols>
  <sheetData>
    <row r="1" spans="1:3" x14ac:dyDescent="0.2">
      <c r="B1" s="52" t="s">
        <v>4</v>
      </c>
      <c r="C1" s="52"/>
    </row>
    <row r="2" spans="1:3" x14ac:dyDescent="0.2">
      <c r="B2" s="1" t="s">
        <v>5</v>
      </c>
      <c r="C2" s="1" t="s">
        <v>6</v>
      </c>
    </row>
    <row r="3" spans="1:3" x14ac:dyDescent="0.2">
      <c r="A3" s="1" t="s">
        <v>7</v>
      </c>
      <c r="B3" s="1">
        <v>118</v>
      </c>
      <c r="C3" s="1">
        <v>131</v>
      </c>
    </row>
    <row r="4" spans="1:3" x14ac:dyDescent="0.2">
      <c r="A4" s="1" t="s">
        <v>8</v>
      </c>
      <c r="B4" s="1">
        <v>303</v>
      </c>
      <c r="C4" s="1">
        <v>262</v>
      </c>
    </row>
    <row r="5" spans="1:3" x14ac:dyDescent="0.2">
      <c r="A5" s="1" t="s">
        <v>9</v>
      </c>
      <c r="B5" s="1">
        <v>100</v>
      </c>
      <c r="C5" s="1">
        <v>156</v>
      </c>
    </row>
    <row r="7" spans="1:3" x14ac:dyDescent="0.2">
      <c r="A7" s="1" t="s">
        <v>10</v>
      </c>
      <c r="B7" s="52" t="s">
        <v>105</v>
      </c>
      <c r="C7" s="52"/>
    </row>
    <row r="8" spans="1:3" x14ac:dyDescent="0.2">
      <c r="A8" s="1" t="s">
        <v>11</v>
      </c>
      <c r="B8" s="1">
        <v>33</v>
      </c>
      <c r="C8" s="1">
        <v>0.33</v>
      </c>
    </row>
    <row r="9" spans="1:3" x14ac:dyDescent="0.2">
      <c r="A9" s="1" t="s">
        <v>12</v>
      </c>
      <c r="B9" s="1">
        <v>45</v>
      </c>
      <c r="C9" s="1">
        <v>0.45</v>
      </c>
    </row>
    <row r="10" spans="1:3" x14ac:dyDescent="0.2">
      <c r="A10" s="1" t="s">
        <v>13</v>
      </c>
      <c r="B10" s="1">
        <v>41</v>
      </c>
      <c r="C10" s="1">
        <v>0.41</v>
      </c>
    </row>
    <row r="11" spans="1:3" x14ac:dyDescent="0.2">
      <c r="A11" s="1" t="s">
        <v>14</v>
      </c>
      <c r="B11" s="1">
        <v>16</v>
      </c>
      <c r="C11" s="1">
        <v>0.16</v>
      </c>
    </row>
    <row r="12" spans="1:3" x14ac:dyDescent="0.2">
      <c r="A12" s="1" t="s">
        <v>15</v>
      </c>
      <c r="B12" s="1">
        <v>66</v>
      </c>
      <c r="C12" s="1">
        <v>0.66</v>
      </c>
    </row>
    <row r="13" spans="1:3" x14ac:dyDescent="0.2">
      <c r="A13" s="1" t="s">
        <v>16</v>
      </c>
      <c r="B13" s="1">
        <v>46</v>
      </c>
      <c r="C13" s="1">
        <v>0.46</v>
      </c>
    </row>
    <row r="14" spans="1:3" x14ac:dyDescent="0.2">
      <c r="A14" s="1" t="s">
        <v>17</v>
      </c>
      <c r="B14" s="1">
        <v>6</v>
      </c>
      <c r="C14" s="1">
        <v>0.06</v>
      </c>
    </row>
    <row r="15" spans="1:3" x14ac:dyDescent="0.2">
      <c r="A15" s="1" t="s">
        <v>18</v>
      </c>
      <c r="B15" s="1">
        <v>17</v>
      </c>
      <c r="C15" s="1">
        <v>0.17</v>
      </c>
    </row>
    <row r="16" spans="1:3" x14ac:dyDescent="0.2">
      <c r="A16" s="1" t="s">
        <v>19</v>
      </c>
      <c r="B16" s="1">
        <v>14</v>
      </c>
      <c r="C16" s="1">
        <v>0.14000000000000001</v>
      </c>
    </row>
    <row r="17" spans="1:3" x14ac:dyDescent="0.2">
      <c r="A17" s="1" t="s">
        <v>20</v>
      </c>
      <c r="B17" s="1">
        <v>24</v>
      </c>
      <c r="C17" s="1">
        <v>0.24</v>
      </c>
    </row>
    <row r="18" spans="1:3" x14ac:dyDescent="0.2">
      <c r="A18" s="1" t="s">
        <v>21</v>
      </c>
      <c r="B18" s="1">
        <v>53</v>
      </c>
      <c r="C18" s="1">
        <v>0.53</v>
      </c>
    </row>
    <row r="19" spans="1:3" x14ac:dyDescent="0.2">
      <c r="A19" s="1" t="s">
        <v>25</v>
      </c>
      <c r="B19" s="1">
        <v>100</v>
      </c>
      <c r="C19" s="1">
        <v>1</v>
      </c>
    </row>
    <row r="20" spans="1:3" x14ac:dyDescent="0.2">
      <c r="B20" s="1">
        <v>100</v>
      </c>
      <c r="C20" s="1">
        <v>1</v>
      </c>
    </row>
  </sheetData>
  <mergeCells count="2">
    <mergeCell ref="B1:C1"/>
    <mergeCell ref="B7:C7"/>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A7E3-764E-4096-A20A-2D8432376BB1}">
  <dimension ref="A1:C3"/>
  <sheetViews>
    <sheetView workbookViewId="0">
      <selection activeCell="C2" sqref="C2:C3"/>
    </sheetView>
  </sheetViews>
  <sheetFormatPr defaultRowHeight="12.75" x14ac:dyDescent="0.2"/>
  <cols>
    <col min="1" max="1" width="11.5703125" bestFit="1" customWidth="1"/>
  </cols>
  <sheetData>
    <row r="1" spans="1:3" x14ac:dyDescent="0.2">
      <c r="C1" t="s">
        <v>24</v>
      </c>
    </row>
    <row r="2" spans="1:3" x14ac:dyDescent="0.2">
      <c r="A2" t="s">
        <v>23</v>
      </c>
      <c r="B2" t="str">
        <f>Model!C6</f>
        <v>Pig</v>
      </c>
      <c r="C2" s="2">
        <f>MATCH(B2,Parameters!A3:A5)</f>
        <v>2</v>
      </c>
    </row>
    <row r="3" spans="1:3" x14ac:dyDescent="0.2">
      <c r="A3" t="s">
        <v>1</v>
      </c>
      <c r="B3" t="str">
        <f>Model!C14</f>
        <v>Tank</v>
      </c>
      <c r="C3" s="2">
        <f>MATCH(B3,Parameters!B2:C2)</f>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15"/>
  <sheetViews>
    <sheetView topLeftCell="D1" zoomScaleNormal="100" workbookViewId="0">
      <selection activeCell="D2" sqref="D2"/>
    </sheetView>
  </sheetViews>
  <sheetFormatPr defaultRowHeight="12.75" x14ac:dyDescent="0.2"/>
  <cols>
    <col min="1" max="1" width="11.7109375" style="1" bestFit="1" customWidth="1"/>
    <col min="2" max="2" width="7.85546875" style="1" customWidth="1"/>
    <col min="3" max="3" width="14.5703125" style="1" bestFit="1" customWidth="1"/>
    <col min="4" max="4" width="5.7109375" style="1" customWidth="1"/>
    <col min="5" max="5" width="5.85546875" style="1" customWidth="1"/>
    <col min="6" max="6" width="9.140625" style="1"/>
    <col min="7" max="7" width="10.85546875" style="1" bestFit="1" customWidth="1"/>
    <col min="8" max="8" width="8.85546875" style="1" bestFit="1" customWidth="1"/>
    <col min="9" max="9" width="12.42578125" style="1" bestFit="1" customWidth="1"/>
    <col min="10" max="11" width="11.7109375" style="1" bestFit="1" customWidth="1"/>
    <col min="12" max="12" width="13" style="1" bestFit="1" customWidth="1"/>
    <col min="13" max="13" width="13" style="1" customWidth="1"/>
    <col min="14" max="14" width="14.7109375" style="1" customWidth="1"/>
    <col min="15" max="15" width="16.42578125" style="1" bestFit="1" customWidth="1"/>
    <col min="16" max="1030" width="11.5703125" style="1"/>
    <col min="1031" max="16384" width="9.140625" style="1"/>
  </cols>
  <sheetData>
    <row r="2" spans="1:14" s="3" customFormat="1" ht="26.25" customHeight="1" x14ac:dyDescent="0.2">
      <c r="A2" s="3" t="s">
        <v>3</v>
      </c>
      <c r="B2" s="3" t="s">
        <v>27</v>
      </c>
      <c r="C2" s="3" t="s">
        <v>49</v>
      </c>
      <c r="D2" s="3" t="s">
        <v>50</v>
      </c>
      <c r="E2" s="3" t="s">
        <v>26</v>
      </c>
      <c r="F2" s="3" t="s">
        <v>51</v>
      </c>
      <c r="G2" s="3" t="s">
        <v>104</v>
      </c>
      <c r="H2" s="3" t="s">
        <v>52</v>
      </c>
      <c r="I2" s="3" t="s">
        <v>57</v>
      </c>
      <c r="J2" s="3" t="s">
        <v>58</v>
      </c>
      <c r="K2" s="3" t="s">
        <v>59</v>
      </c>
      <c r="L2" s="3" t="s">
        <v>60</v>
      </c>
      <c r="M2" s="3" t="s">
        <v>61</v>
      </c>
      <c r="N2" s="3" t="s">
        <v>62</v>
      </c>
    </row>
    <row r="3" spans="1:14" x14ac:dyDescent="0.2">
      <c r="A3" s="1">
        <v>1</v>
      </c>
      <c r="B3" s="1">
        <v>31</v>
      </c>
      <c r="C3" s="4">
        <f>Model!C19</f>
        <v>0</v>
      </c>
      <c r="D3" s="4">
        <f>Model!C$10</f>
        <v>3.3</v>
      </c>
      <c r="E3" s="4">
        <f>Model!C$11</f>
        <v>7.2</v>
      </c>
      <c r="F3" s="4">
        <f>Model!G$6</f>
        <v>262</v>
      </c>
      <c r="G3" s="4">
        <f>Model!G$7</f>
        <v>1</v>
      </c>
      <c r="H3" s="4">
        <f>Model!C$15</f>
        <v>333</v>
      </c>
      <c r="I3" s="5">
        <f>EXP((14.01708-(10294.83/(C3+273.15))-0.039282*(C3+273.15))-(191.97-8451/(C3+273.15)-31.4335*LN(C3+273.15)+0.0152123*(C3+273.15)))</f>
        <v>8.0265030359107485E-11</v>
      </c>
      <c r="J3" s="5">
        <f>EXP(-(160.559-(8621.06/(273.15+C3))-(25.6767*LN(273.15+C3))+(0.035388*(273.15+C3))))</f>
        <v>217.72422704130878</v>
      </c>
      <c r="K3" s="5">
        <f t="shared" ref="K3:K14" si="0">J3*0.08205746*(273.15+C3)</f>
        <v>4880.0697796098802</v>
      </c>
      <c r="L3" s="5">
        <f>($D3/(1+(10^-E3)/$I3))*1/$K3</f>
        <v>8.5913648131857518E-7</v>
      </c>
      <c r="M3" s="5">
        <f>1000*L3/F3*G3*86400</f>
        <v>0.28331829002261411</v>
      </c>
      <c r="N3" s="5">
        <f>M3*B3*H3/1000</f>
        <v>2.9246947079034458</v>
      </c>
    </row>
    <row r="4" spans="1:14" x14ac:dyDescent="0.2">
      <c r="A4" s="1">
        <v>2</v>
      </c>
      <c r="B4" s="1">
        <v>28.25</v>
      </c>
      <c r="C4" s="4">
        <f>Model!C20</f>
        <v>0</v>
      </c>
      <c r="D4" s="4">
        <f>Model!C$10</f>
        <v>3.3</v>
      </c>
      <c r="E4" s="4">
        <f>Model!C$11</f>
        <v>7.2</v>
      </c>
      <c r="F4" s="4">
        <f>Model!G$6</f>
        <v>262</v>
      </c>
      <c r="G4" s="4">
        <f>Model!G$7</f>
        <v>1</v>
      </c>
      <c r="H4" s="4">
        <f>Model!C$15</f>
        <v>333</v>
      </c>
      <c r="I4" s="5">
        <f t="shared" ref="I4:I14" si="1">EXP((14.01708-(10294.83/(C4+273.15))-0.039282*(C4+273.15))-(191.97-8451/(C4+273.15)-31.4335*LN(C4+273.15)+0.0152123*(C4+273.15)))</f>
        <v>8.0265030359107485E-11</v>
      </c>
      <c r="J4" s="5">
        <f t="shared" ref="J4:J14" si="2">EXP(-(160.559-(8621.06/(273.15+C4))-(25.6767*LN(273.15+C4))+(0.035388*(273.15+C4))))</f>
        <v>217.72422704130878</v>
      </c>
      <c r="K4" s="5">
        <f t="shared" si="0"/>
        <v>4880.0697796098802</v>
      </c>
      <c r="L4" s="5">
        <f t="shared" ref="L4:L14" si="3">($D4/(1+(10^-E4)/$I4))*1/$K4</f>
        <v>8.5913648131857518E-7</v>
      </c>
      <c r="M4" s="5">
        <f t="shared" ref="M4:M14" si="4">1000*L4/F4*G4*86400</f>
        <v>0.28331829002261411</v>
      </c>
      <c r="N4" s="5">
        <f t="shared" ref="N4:N14" si="5">M4*B4*H4/1000</f>
        <v>2.6652459838152369</v>
      </c>
    </row>
    <row r="5" spans="1:14" x14ac:dyDescent="0.2">
      <c r="A5" s="1">
        <v>3</v>
      </c>
      <c r="B5" s="1">
        <v>31</v>
      </c>
      <c r="C5" s="4">
        <f>Model!C21</f>
        <v>2.1</v>
      </c>
      <c r="D5" s="4">
        <f>Model!C$10</f>
        <v>3.3</v>
      </c>
      <c r="E5" s="4">
        <f>Model!C$11</f>
        <v>7.2</v>
      </c>
      <c r="F5" s="4">
        <f>Model!G$6</f>
        <v>262</v>
      </c>
      <c r="G5" s="4">
        <f>Model!G$7</f>
        <v>1</v>
      </c>
      <c r="H5" s="4">
        <f>Model!C$15</f>
        <v>333</v>
      </c>
      <c r="I5" s="5">
        <f t="shared" si="1"/>
        <v>9.5883668800187196E-11</v>
      </c>
      <c r="J5" s="5">
        <f t="shared" si="2"/>
        <v>193.4012213630125</v>
      </c>
      <c r="K5" s="5">
        <f t="shared" si="0"/>
        <v>4368.2210743817859</v>
      </c>
      <c r="L5" s="5">
        <f t="shared" si="3"/>
        <v>1.1462899820864319E-6</v>
      </c>
      <c r="M5" s="5">
        <f t="shared" si="4"/>
        <v>0.37801318493231956</v>
      </c>
      <c r="N5" s="5">
        <f t="shared" si="5"/>
        <v>3.9022301080563349</v>
      </c>
    </row>
    <row r="6" spans="1:14" x14ac:dyDescent="0.2">
      <c r="A6" s="1">
        <v>4</v>
      </c>
      <c r="B6" s="1">
        <v>30</v>
      </c>
      <c r="C6" s="4">
        <f>Model!C22</f>
        <v>5.7</v>
      </c>
      <c r="D6" s="4">
        <f>Model!C$10</f>
        <v>3.3</v>
      </c>
      <c r="E6" s="4">
        <f>Model!C$11</f>
        <v>7.2</v>
      </c>
      <c r="F6" s="4">
        <f>Model!G$6</f>
        <v>262</v>
      </c>
      <c r="G6" s="4">
        <f>Model!G$7</f>
        <v>1</v>
      </c>
      <c r="H6" s="4">
        <f>Model!C$15</f>
        <v>333</v>
      </c>
      <c r="I6" s="5">
        <f t="shared" si="1"/>
        <v>1.2926856903372692E-10</v>
      </c>
      <c r="J6" s="5">
        <f t="shared" si="2"/>
        <v>158.64385147659752</v>
      </c>
      <c r="K6" s="5">
        <f t="shared" si="0"/>
        <v>3630.0446208790099</v>
      </c>
      <c r="L6" s="5">
        <f t="shared" si="3"/>
        <v>1.8586861336892291E-6</v>
      </c>
      <c r="M6" s="5">
        <f t="shared" si="4"/>
        <v>0.61294077080438703</v>
      </c>
      <c r="N6" s="5">
        <f t="shared" si="5"/>
        <v>6.1232783003358264</v>
      </c>
    </row>
    <row r="7" spans="1:14" x14ac:dyDescent="0.2">
      <c r="A7" s="1">
        <v>5</v>
      </c>
      <c r="B7" s="1">
        <v>31</v>
      </c>
      <c r="C7" s="4">
        <f>Model!C23</f>
        <v>10.8</v>
      </c>
      <c r="D7" s="4">
        <f>Model!C$10</f>
        <v>3.3</v>
      </c>
      <c r="E7" s="4">
        <f>Model!C$11</f>
        <v>7.2</v>
      </c>
      <c r="F7" s="4">
        <f>Model!G$6</f>
        <v>262</v>
      </c>
      <c r="G7" s="4">
        <f>Model!G$7</f>
        <v>1</v>
      </c>
      <c r="H7" s="4">
        <f>Model!C$15</f>
        <v>333</v>
      </c>
      <c r="I7" s="5">
        <f t="shared" si="1"/>
        <v>1.9489080256713852E-10</v>
      </c>
      <c r="J7" s="5">
        <f t="shared" si="2"/>
        <v>121.05725647099281</v>
      </c>
      <c r="K7" s="5">
        <f t="shared" si="0"/>
        <v>2820.6601959351892</v>
      </c>
      <c r="L7" s="5">
        <f t="shared" si="3"/>
        <v>3.6025923944984685E-6</v>
      </c>
      <c r="M7" s="5">
        <f t="shared" si="4"/>
        <v>1.1880304690254493</v>
      </c>
      <c r="N7" s="5">
        <f t="shared" si="5"/>
        <v>12.264038531749714</v>
      </c>
    </row>
    <row r="8" spans="1:14" x14ac:dyDescent="0.2">
      <c r="A8" s="1">
        <v>6</v>
      </c>
      <c r="B8" s="1">
        <v>30</v>
      </c>
      <c r="C8" s="4">
        <f>Model!C24</f>
        <v>14.3</v>
      </c>
      <c r="D8" s="4">
        <f>Model!C$10</f>
        <v>3.3</v>
      </c>
      <c r="E8" s="4">
        <f>Model!C$11</f>
        <v>7.2</v>
      </c>
      <c r="F8" s="4">
        <f>Model!G$6</f>
        <v>262</v>
      </c>
      <c r="G8" s="4">
        <f>Model!G$7</f>
        <v>1</v>
      </c>
      <c r="H8" s="4">
        <f>Model!C$15</f>
        <v>333</v>
      </c>
      <c r="I8" s="5">
        <f t="shared" si="1"/>
        <v>2.5617451045023703E-10</v>
      </c>
      <c r="J8" s="5">
        <f t="shared" si="2"/>
        <v>101.21895900896651</v>
      </c>
      <c r="K8" s="5">
        <f t="shared" si="0"/>
        <v>2387.4937820004675</v>
      </c>
      <c r="L8" s="5">
        <f t="shared" si="3"/>
        <v>5.5891774707089577E-6</v>
      </c>
      <c r="M8" s="5">
        <f t="shared" si="4"/>
        <v>1.8431486010276867</v>
      </c>
      <c r="N8" s="5">
        <f t="shared" si="5"/>
        <v>18.413054524266592</v>
      </c>
    </row>
    <row r="9" spans="1:14" x14ac:dyDescent="0.2">
      <c r="A9" s="1">
        <v>7</v>
      </c>
      <c r="B9" s="1">
        <v>31</v>
      </c>
      <c r="C9" s="4">
        <f>Model!C25</f>
        <v>15.6</v>
      </c>
      <c r="D9" s="4">
        <f>Model!C$10</f>
        <v>3.3</v>
      </c>
      <c r="E9" s="4">
        <f>Model!C$11</f>
        <v>7.2</v>
      </c>
      <c r="F9" s="4">
        <f>Model!G$6</f>
        <v>262</v>
      </c>
      <c r="G9" s="4">
        <f>Model!G$7</f>
        <v>1</v>
      </c>
      <c r="H9" s="4">
        <f>Model!C$15</f>
        <v>333</v>
      </c>
      <c r="I9" s="5">
        <f t="shared" si="1"/>
        <v>2.8308111253051739E-10</v>
      </c>
      <c r="J9" s="5">
        <f t="shared" si="2"/>
        <v>94.832928905220058</v>
      </c>
      <c r="K9" s="5">
        <f t="shared" si="0"/>
        <v>2246.9801018057487</v>
      </c>
      <c r="L9" s="5">
        <f t="shared" si="3"/>
        <v>6.5596623977040859E-6</v>
      </c>
      <c r="M9" s="5">
        <f t="shared" si="4"/>
        <v>2.1631863784795153</v>
      </c>
      <c r="N9" s="5">
        <f t="shared" si="5"/>
        <v>22.330572985044039</v>
      </c>
    </row>
    <row r="10" spans="1:14" x14ac:dyDescent="0.2">
      <c r="A10" s="1">
        <v>8</v>
      </c>
      <c r="B10" s="1">
        <v>31</v>
      </c>
      <c r="C10" s="4">
        <f>Model!C26</f>
        <v>15.7</v>
      </c>
      <c r="D10" s="4">
        <f>Model!C$10</f>
        <v>3.3</v>
      </c>
      <c r="E10" s="4">
        <f>Model!C$11</f>
        <v>7.2</v>
      </c>
      <c r="F10" s="4">
        <f>Model!G$6</f>
        <v>262</v>
      </c>
      <c r="G10" s="4">
        <f>Model!G$7</f>
        <v>1</v>
      </c>
      <c r="H10" s="4">
        <f>Model!C$15</f>
        <v>333</v>
      </c>
      <c r="I10" s="5">
        <f t="shared" si="1"/>
        <v>2.8525368367534082E-10</v>
      </c>
      <c r="J10" s="5">
        <f t="shared" si="2"/>
        <v>94.361428755838304</v>
      </c>
      <c r="K10" s="5">
        <f t="shared" si="0"/>
        <v>2236.5826400052383</v>
      </c>
      <c r="L10" s="5">
        <f t="shared" si="3"/>
        <v>6.6405071092304341E-6</v>
      </c>
      <c r="M10" s="5">
        <f t="shared" si="4"/>
        <v>2.1898466192271355</v>
      </c>
      <c r="N10" s="5">
        <f t="shared" si="5"/>
        <v>22.605786650281718</v>
      </c>
    </row>
    <row r="11" spans="1:14" x14ac:dyDescent="0.2">
      <c r="A11" s="1">
        <v>9</v>
      </c>
      <c r="B11" s="1">
        <v>30</v>
      </c>
      <c r="C11" s="4">
        <f>Model!C27</f>
        <v>12.7</v>
      </c>
      <c r="D11" s="4">
        <f>Model!C$10</f>
        <v>3.3</v>
      </c>
      <c r="E11" s="4">
        <f>Model!C$11</f>
        <v>7.2</v>
      </c>
      <c r="F11" s="4">
        <f>Model!G$6</f>
        <v>262</v>
      </c>
      <c r="G11" s="4">
        <f>Model!G$7</f>
        <v>1</v>
      </c>
      <c r="H11" s="4">
        <f>Model!C$15</f>
        <v>333</v>
      </c>
      <c r="I11" s="5">
        <f t="shared" si="1"/>
        <v>2.2626175389821364E-10</v>
      </c>
      <c r="J11" s="5">
        <f t="shared" si="2"/>
        <v>109.77788398665122</v>
      </c>
      <c r="K11" s="5">
        <f t="shared" si="0"/>
        <v>2574.9637625494938</v>
      </c>
      <c r="L11" s="5">
        <f t="shared" si="3"/>
        <v>4.5793028907589869E-6</v>
      </c>
      <c r="M11" s="5">
        <f t="shared" si="4"/>
        <v>1.5101212586319712</v>
      </c>
      <c r="N11" s="5">
        <f t="shared" si="5"/>
        <v>15.086111373733392</v>
      </c>
    </row>
    <row r="12" spans="1:14" x14ac:dyDescent="0.2">
      <c r="A12" s="1">
        <v>10</v>
      </c>
      <c r="B12" s="1">
        <v>31</v>
      </c>
      <c r="C12" s="4">
        <f>Model!C28</f>
        <v>9.1</v>
      </c>
      <c r="D12" s="4">
        <f>Model!C$10</f>
        <v>3.3</v>
      </c>
      <c r="E12" s="4">
        <f>Model!C$11</f>
        <v>7.2</v>
      </c>
      <c r="F12" s="4">
        <f>Model!G$6</f>
        <v>262</v>
      </c>
      <c r="G12" s="4">
        <f>Model!G$7</f>
        <v>1</v>
      </c>
      <c r="H12" s="4">
        <f>Model!C$15</f>
        <v>333</v>
      </c>
      <c r="I12" s="5">
        <f t="shared" si="1"/>
        <v>1.7024050227914191E-10</v>
      </c>
      <c r="J12" s="5">
        <f t="shared" si="2"/>
        <v>132.30394953776198</v>
      </c>
      <c r="K12" s="5">
        <f t="shared" si="0"/>
        <v>3064.2544767761715</v>
      </c>
      <c r="L12" s="5">
        <f t="shared" si="3"/>
        <v>2.8978893414938787E-6</v>
      </c>
      <c r="M12" s="5">
        <f t="shared" si="4"/>
        <v>0.95563984391248524</v>
      </c>
      <c r="N12" s="5">
        <f t="shared" si="5"/>
        <v>9.8650701087085846</v>
      </c>
    </row>
    <row r="13" spans="1:14" x14ac:dyDescent="0.2">
      <c r="A13" s="1">
        <v>11</v>
      </c>
      <c r="B13" s="1">
        <v>30</v>
      </c>
      <c r="C13" s="4">
        <f>Model!C29</f>
        <v>4.7</v>
      </c>
      <c r="D13" s="4">
        <f>Model!C$10</f>
        <v>3.3</v>
      </c>
      <c r="E13" s="4">
        <f>Model!C$11</f>
        <v>7.2</v>
      </c>
      <c r="F13" s="4">
        <f>Model!G$6</f>
        <v>262</v>
      </c>
      <c r="G13" s="4">
        <f>Model!G$7</f>
        <v>1</v>
      </c>
      <c r="H13" s="4">
        <f>Model!C$15</f>
        <v>333</v>
      </c>
      <c r="I13" s="5">
        <f t="shared" si="1"/>
        <v>1.1906391091978929E-10</v>
      </c>
      <c r="J13" s="5">
        <f t="shared" si="2"/>
        <v>167.51517792853946</v>
      </c>
      <c r="K13" s="5">
        <f t="shared" si="0"/>
        <v>3819.2899829075541</v>
      </c>
      <c r="L13" s="5">
        <f t="shared" si="3"/>
        <v>1.6273939342049706E-6</v>
      </c>
      <c r="M13" s="5">
        <f t="shared" si="4"/>
        <v>0.53666731265385292</v>
      </c>
      <c r="N13" s="5">
        <f t="shared" si="5"/>
        <v>5.3613064534119914</v>
      </c>
    </row>
    <row r="14" spans="1:14" x14ac:dyDescent="0.2">
      <c r="A14" s="1">
        <v>12</v>
      </c>
      <c r="B14" s="1">
        <v>31</v>
      </c>
      <c r="C14" s="4">
        <f>Model!C30</f>
        <v>1.6</v>
      </c>
      <c r="D14" s="4">
        <f>Model!C$10</f>
        <v>3.3</v>
      </c>
      <c r="E14" s="4">
        <f>Model!C$11</f>
        <v>7.2</v>
      </c>
      <c r="F14" s="4">
        <f>Model!G$6</f>
        <v>262</v>
      </c>
      <c r="G14" s="4">
        <f>Model!G$7</f>
        <v>1</v>
      </c>
      <c r="H14" s="4">
        <f>Model!C$15</f>
        <v>333</v>
      </c>
      <c r="I14" s="5">
        <f t="shared" si="1"/>
        <v>9.1931190490768314E-11</v>
      </c>
      <c r="J14" s="5">
        <f t="shared" si="2"/>
        <v>198.89454649789792</v>
      </c>
      <c r="K14" s="5">
        <f t="shared" si="0"/>
        <v>4484.1346603807169</v>
      </c>
      <c r="L14" s="5">
        <f t="shared" si="3"/>
        <v>1.070695226646106E-6</v>
      </c>
      <c r="M14" s="5">
        <f t="shared" si="4"/>
        <v>0.353084227413067</v>
      </c>
      <c r="N14" s="5">
        <f t="shared" si="5"/>
        <v>3.6448884795850902</v>
      </c>
    </row>
    <row r="15" spans="1:14" x14ac:dyDescent="0.2">
      <c r="A15" s="1" t="s">
        <v>28</v>
      </c>
      <c r="B15" s="6">
        <f>SUM(B3:B14)</f>
        <v>365.25</v>
      </c>
      <c r="C15" s="5"/>
      <c r="D15" s="5"/>
      <c r="E15" s="5"/>
      <c r="F15" s="5"/>
      <c r="G15" s="5"/>
      <c r="H15" s="5"/>
      <c r="I15" s="5"/>
      <c r="J15" s="5"/>
      <c r="K15" s="5"/>
      <c r="L15" s="5"/>
      <c r="M15" s="5"/>
      <c r="N15" s="6">
        <f>SUM(N3:N14)</f>
        <v>125.18627820689196</v>
      </c>
    </row>
  </sheetData>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6D330-0354-4EF3-A1A9-D48DBD7CD157}">
  <dimension ref="A1:I5"/>
  <sheetViews>
    <sheetView workbookViewId="0">
      <selection activeCell="B2" sqref="B2"/>
    </sheetView>
  </sheetViews>
  <sheetFormatPr defaultRowHeight="12.75" x14ac:dyDescent="0.2"/>
  <cols>
    <col min="1" max="1" width="18.5703125" style="1" bestFit="1" customWidth="1"/>
    <col min="2" max="2" width="18.5703125" style="1" customWidth="1"/>
    <col min="3" max="3" width="14.5703125" style="1" customWidth="1"/>
    <col min="4" max="4" width="50.5703125" style="1" bestFit="1" customWidth="1"/>
    <col min="5" max="5" width="9.140625" style="1"/>
    <col min="6" max="6" width="12.85546875" style="1" customWidth="1"/>
    <col min="7" max="7" width="12.42578125" style="1" bestFit="1" customWidth="1"/>
    <col min="8" max="8" width="9.140625" style="1"/>
    <col min="9" max="9" width="12" style="1" bestFit="1" customWidth="1"/>
    <col min="10" max="16384" width="9.140625" style="1"/>
  </cols>
  <sheetData>
    <row r="1" spans="1:9" ht="51" x14ac:dyDescent="0.2">
      <c r="A1" s="1" t="s">
        <v>87</v>
      </c>
      <c r="B1" s="1" t="s">
        <v>92</v>
      </c>
      <c r="C1" s="3" t="s">
        <v>88</v>
      </c>
      <c r="D1" s="1" t="s">
        <v>93</v>
      </c>
      <c r="G1" s="3" t="s">
        <v>85</v>
      </c>
      <c r="H1" s="3" t="s">
        <v>86</v>
      </c>
      <c r="I1" s="3" t="s">
        <v>98</v>
      </c>
    </row>
    <row r="2" spans="1:9" x14ac:dyDescent="0.2">
      <c r="A2" s="1" t="s">
        <v>89</v>
      </c>
      <c r="B2" s="5">
        <f>IF(LEN(C2)&gt;1,1,0)</f>
        <v>0</v>
      </c>
      <c r="C2" s="5" t="str">
        <f>IF(I2&gt;H2,CONCATENATE("Check inputs. Values imply a long storage period of &gt; ",ROUND(I2,0)," days."),"")</f>
        <v/>
      </c>
      <c r="D2" s="5" t="str">
        <f>IF(LEN(C2)&gt;1,CONCATENATE(B2,". ",C2),"")</f>
        <v/>
      </c>
      <c r="G2" s="1">
        <v>1</v>
      </c>
      <c r="H2" s="1">
        <v>365</v>
      </c>
      <c r="I2" s="5">
        <f>Model!C15*Warnings!G2/Model!C7</f>
        <v>121.97802197802199</v>
      </c>
    </row>
    <row r="3" spans="1:9" x14ac:dyDescent="0.2">
      <c r="A3" s="1" t="s">
        <v>90</v>
      </c>
      <c r="B3" s="5">
        <f>IF(LEN(C3)&gt;1,B2+1,B2)</f>
        <v>0</v>
      </c>
      <c r="C3" s="5" t="str">
        <f>IF(Model!L8&gt;Warnings!G5,CONCATENATE("Model assumes constant emission rate and is less accurate for high losses. Calculated loss is ",ROUND(Model!L8,0),"% of TAN flow."),"")</f>
        <v/>
      </c>
      <c r="D3" s="5" t="str">
        <f>IF(LEN(C3)&gt;1,CONCATENATE(B3,". ",C3),"")</f>
        <v/>
      </c>
    </row>
    <row r="4" spans="1:9" ht="36" customHeight="1" x14ac:dyDescent="0.2">
      <c r="A4" s="1" t="s">
        <v>94</v>
      </c>
      <c r="B4" s="5"/>
      <c r="C4" s="32"/>
      <c r="D4" s="32" t="str">
        <f>CONCATENATE(D2, " ", D3)</f>
        <v xml:space="preserve"> </v>
      </c>
      <c r="G4" s="1" t="s">
        <v>91</v>
      </c>
    </row>
    <row r="5" spans="1:9" x14ac:dyDescent="0.2">
      <c r="G5" s="1">
        <v>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4D1B-B8A9-457A-97D9-39EFD218058D}">
  <dimension ref="A1:E8"/>
  <sheetViews>
    <sheetView workbookViewId="0">
      <selection activeCell="E9" sqref="E9"/>
    </sheetView>
  </sheetViews>
  <sheetFormatPr defaultRowHeight="12.75" x14ac:dyDescent="0.2"/>
  <cols>
    <col min="2" max="2" width="11.85546875" customWidth="1"/>
    <col min="3" max="3" width="26.140625" bestFit="1" customWidth="1"/>
    <col min="5" max="5" width="49" customWidth="1"/>
  </cols>
  <sheetData>
    <row r="1" spans="1:5" x14ac:dyDescent="0.2">
      <c r="A1" t="s">
        <v>71</v>
      </c>
      <c r="B1" t="s">
        <v>72</v>
      </c>
      <c r="C1" t="s">
        <v>73</v>
      </c>
      <c r="D1" t="s">
        <v>74</v>
      </c>
      <c r="E1" t="s">
        <v>75</v>
      </c>
    </row>
    <row r="2" spans="1:5" x14ac:dyDescent="0.2">
      <c r="A2">
        <v>0.1</v>
      </c>
      <c r="B2" s="27">
        <v>44583</v>
      </c>
      <c r="C2" t="s">
        <v>76</v>
      </c>
      <c r="D2" t="s">
        <v>77</v>
      </c>
      <c r="E2" t="s">
        <v>78</v>
      </c>
    </row>
    <row r="3" spans="1:5" x14ac:dyDescent="0.2">
      <c r="A3">
        <v>0.2</v>
      </c>
      <c r="B3" s="27">
        <v>44586</v>
      </c>
      <c r="C3" t="s">
        <v>80</v>
      </c>
      <c r="D3" t="s">
        <v>77</v>
      </c>
      <c r="E3" t="s">
        <v>81</v>
      </c>
    </row>
    <row r="4" spans="1:5" x14ac:dyDescent="0.2">
      <c r="A4">
        <v>0.3</v>
      </c>
      <c r="B4" s="27">
        <v>44586</v>
      </c>
      <c r="C4" t="s">
        <v>95</v>
      </c>
      <c r="D4" t="s">
        <v>77</v>
      </c>
      <c r="E4" t="s">
        <v>96</v>
      </c>
    </row>
    <row r="5" spans="1:5" x14ac:dyDescent="0.2">
      <c r="A5">
        <v>0.3</v>
      </c>
      <c r="B5" s="27">
        <v>44586</v>
      </c>
      <c r="C5" t="s">
        <v>95</v>
      </c>
      <c r="D5" t="s">
        <v>77</v>
      </c>
      <c r="E5" t="s">
        <v>101</v>
      </c>
    </row>
    <row r="6" spans="1:5" x14ac:dyDescent="0.2">
      <c r="A6">
        <v>0.4</v>
      </c>
      <c r="B6" s="27">
        <v>44587</v>
      </c>
      <c r="C6" t="s">
        <v>102</v>
      </c>
      <c r="D6" t="s">
        <v>77</v>
      </c>
      <c r="E6" t="s">
        <v>103</v>
      </c>
    </row>
    <row r="7" spans="1:5" x14ac:dyDescent="0.2">
      <c r="A7">
        <v>0.5</v>
      </c>
      <c r="B7" s="27">
        <v>44799</v>
      </c>
      <c r="C7" t="s">
        <v>107</v>
      </c>
      <c r="D7" t="s">
        <v>77</v>
      </c>
      <c r="E7" t="s">
        <v>110</v>
      </c>
    </row>
    <row r="8" spans="1:5" x14ac:dyDescent="0.2">
      <c r="A8">
        <v>1</v>
      </c>
      <c r="B8" s="27">
        <v>44819</v>
      </c>
      <c r="C8" t="s">
        <v>107</v>
      </c>
      <c r="D8" t="s">
        <v>77</v>
      </c>
      <c r="E8"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vt:lpstr>
      <vt:lpstr>License</vt:lpstr>
      <vt:lpstr>Parameters</vt:lpstr>
      <vt:lpstr>Lookup</vt:lpstr>
      <vt:lpstr>Calculations</vt:lpstr>
      <vt:lpstr>Warnings</vt:lpstr>
      <vt:lpstr>ChangeLog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Sasha Hafner</dc:creator>
  <dc:description/>
  <cp:lastModifiedBy>Sasha Hafner</cp:lastModifiedBy>
  <cp:revision>5</cp:revision>
  <dcterms:created xsi:type="dcterms:W3CDTF">2022-01-20T19:24:52Z</dcterms:created>
  <dcterms:modified xsi:type="dcterms:W3CDTF">2022-09-15T17:47:27Z</dcterms:modified>
  <dc:language>en-US</dc:language>
</cp:coreProperties>
</file>