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harts/chart3.xml" ContentType="application/vnd.openxmlformats-officedocument.drawingml.chart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amil\Dropbox\GD-BMP shared\UQ2\data\"/>
    </mc:Choice>
  </mc:AlternateContent>
  <xr:revisionPtr revIDLastSave="0" documentId="13_ncr:1_{0CCCB46B-DC9E-46A4-AF97-5357B8B241C7}" xr6:coauthVersionLast="36" xr6:coauthVersionMax="36" xr10:uidLastSave="{00000000-0000-0000-0000-000000000000}"/>
  <bookViews>
    <workbookView xWindow="0" yWindow="0" windowWidth="28800" windowHeight="12990" tabRatio="870" activeTab="2" xr2:uid="{00000000-000D-0000-FFFF-FFFF00000000}"/>
  </bookViews>
  <sheets>
    <sheet name="Set-up_Mano_Grav" sheetId="2" r:id="rId1"/>
    <sheet name="Blank" sheetId="1" r:id="rId2"/>
    <sheet name="CEL" sheetId="63" r:id="rId3"/>
    <sheet name="Subs C" sheetId="52" r:id="rId4"/>
    <sheet name="Set-up_SYGC" sheetId="74" r:id="rId5"/>
    <sheet name="SYGC_Blank" sheetId="70" r:id="rId6"/>
    <sheet name="SYGC_CEL" sheetId="72" r:id="rId7"/>
    <sheet name="SYGC_Subs C" sheetId="73" r:id="rId8"/>
    <sheet name="WATER" sheetId="6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8" i="1" l="1"/>
  <c r="K11" i="1"/>
  <c r="U9" i="1"/>
  <c r="T9" i="1"/>
  <c r="Q23" i="1"/>
  <c r="I2" i="1"/>
  <c r="J29" i="2"/>
  <c r="K26" i="2"/>
  <c r="F31" i="74" l="1"/>
  <c r="G31" i="74" s="1"/>
  <c r="F30" i="74"/>
  <c r="G30" i="74" s="1"/>
  <c r="F29" i="74"/>
  <c r="G29" i="74" s="1"/>
  <c r="F27" i="74"/>
  <c r="G27" i="74" s="1"/>
  <c r="F26" i="74"/>
  <c r="G26" i="74" s="1"/>
  <c r="F25" i="74"/>
  <c r="G25" i="74" s="1"/>
  <c r="F23" i="74"/>
  <c r="G23" i="74" s="1"/>
  <c r="F22" i="74"/>
  <c r="G22" i="74" s="1"/>
  <c r="F21" i="74"/>
  <c r="G21" i="74" s="1"/>
  <c r="K17" i="74"/>
  <c r="J17" i="74"/>
  <c r="K16" i="74"/>
  <c r="L16" i="74" s="1"/>
  <c r="J16" i="74"/>
  <c r="K15" i="74"/>
  <c r="J15" i="74"/>
  <c r="K14" i="74"/>
  <c r="J14" i="74"/>
  <c r="K11" i="74"/>
  <c r="J11" i="74"/>
  <c r="L11" i="74" s="1"/>
  <c r="K10" i="74"/>
  <c r="L10" i="74" s="1"/>
  <c r="J10" i="74"/>
  <c r="K9" i="74"/>
  <c r="J9" i="74"/>
  <c r="K8" i="74"/>
  <c r="J8" i="74"/>
  <c r="S5" i="74"/>
  <c r="R5" i="74"/>
  <c r="K5" i="74"/>
  <c r="J5" i="74"/>
  <c r="P4" i="74"/>
  <c r="K4" i="74"/>
  <c r="J4" i="74"/>
  <c r="L4" i="74" s="1"/>
  <c r="K3" i="74"/>
  <c r="K6" i="74" s="1"/>
  <c r="J23" i="74" s="1"/>
  <c r="J3" i="74"/>
  <c r="K2" i="74"/>
  <c r="J2" i="74"/>
  <c r="J6" i="74" s="1"/>
  <c r="S12" i="73"/>
  <c r="K12" i="73"/>
  <c r="C12" i="73"/>
  <c r="S11" i="73"/>
  <c r="S10" i="73"/>
  <c r="S9" i="73"/>
  <c r="K11" i="73"/>
  <c r="K10" i="73"/>
  <c r="K9" i="73"/>
  <c r="C11" i="73"/>
  <c r="C10" i="73"/>
  <c r="C9" i="73"/>
  <c r="C8" i="73"/>
  <c r="W21" i="73"/>
  <c r="V21" i="73"/>
  <c r="O21" i="73"/>
  <c r="N21" i="73"/>
  <c r="G21" i="73"/>
  <c r="F21" i="73"/>
  <c r="W20" i="73"/>
  <c r="V20" i="73"/>
  <c r="O20" i="73"/>
  <c r="N20" i="73"/>
  <c r="G20" i="73"/>
  <c r="F20" i="73"/>
  <c r="W19" i="73"/>
  <c r="V19" i="73"/>
  <c r="O19" i="73"/>
  <c r="N19" i="73"/>
  <c r="G19" i="73"/>
  <c r="F19" i="73"/>
  <c r="W18" i="73"/>
  <c r="V18" i="73"/>
  <c r="O18" i="73"/>
  <c r="N18" i="73"/>
  <c r="G18" i="73"/>
  <c r="F18" i="73"/>
  <c r="W17" i="73"/>
  <c r="V17" i="73"/>
  <c r="O17" i="73"/>
  <c r="N17" i="73"/>
  <c r="G17" i="73"/>
  <c r="F17" i="73"/>
  <c r="W16" i="73"/>
  <c r="V16" i="73"/>
  <c r="O16" i="73"/>
  <c r="N16" i="73"/>
  <c r="G16" i="73"/>
  <c r="F16" i="73"/>
  <c r="W15" i="73"/>
  <c r="V15" i="73"/>
  <c r="O15" i="73"/>
  <c r="N15" i="73"/>
  <c r="G15" i="73"/>
  <c r="F15" i="73"/>
  <c r="W14" i="73"/>
  <c r="V14" i="73"/>
  <c r="O14" i="73"/>
  <c r="N14" i="73"/>
  <c r="G14" i="73"/>
  <c r="F14" i="73"/>
  <c r="W13" i="73"/>
  <c r="V13" i="73"/>
  <c r="O13" i="73"/>
  <c r="N13" i="73"/>
  <c r="G13" i="73"/>
  <c r="F13" i="73"/>
  <c r="W12" i="73"/>
  <c r="V12" i="73"/>
  <c r="O12" i="73"/>
  <c r="N12" i="73"/>
  <c r="G12" i="73"/>
  <c r="F12" i="73"/>
  <c r="W11" i="73"/>
  <c r="V11" i="73"/>
  <c r="O11" i="73"/>
  <c r="N11" i="73"/>
  <c r="G11" i="73"/>
  <c r="F11" i="73"/>
  <c r="W10" i="73"/>
  <c r="V10" i="73"/>
  <c r="O10" i="73"/>
  <c r="N10" i="73"/>
  <c r="G10" i="73"/>
  <c r="F10" i="73"/>
  <c r="W9" i="73"/>
  <c r="V9" i="73"/>
  <c r="O9" i="73"/>
  <c r="N9" i="73"/>
  <c r="G9" i="73"/>
  <c r="F9" i="73"/>
  <c r="W8" i="73"/>
  <c r="V8" i="73"/>
  <c r="O8" i="73"/>
  <c r="N8" i="73"/>
  <c r="G8" i="73"/>
  <c r="F8" i="73"/>
  <c r="B7" i="73"/>
  <c r="J7" i="73" s="1"/>
  <c r="R7" i="73" s="1"/>
  <c r="S13" i="72"/>
  <c r="S12" i="72"/>
  <c r="K13" i="72"/>
  <c r="K12" i="72"/>
  <c r="C13" i="72"/>
  <c r="C12" i="72"/>
  <c r="S11" i="72"/>
  <c r="S10" i="72"/>
  <c r="K11" i="72"/>
  <c r="K10" i="72"/>
  <c r="C11" i="72"/>
  <c r="C10" i="72"/>
  <c r="W21" i="72"/>
  <c r="V21" i="72"/>
  <c r="O21" i="72"/>
  <c r="N21" i="72"/>
  <c r="G21" i="72"/>
  <c r="F21" i="72"/>
  <c r="W20" i="72"/>
  <c r="V20" i="72"/>
  <c r="O20" i="72"/>
  <c r="N20" i="72"/>
  <c r="G20" i="72"/>
  <c r="F20" i="72"/>
  <c r="W19" i="72"/>
  <c r="V19" i="72"/>
  <c r="O19" i="72"/>
  <c r="N19" i="72"/>
  <c r="G19" i="72"/>
  <c r="F19" i="72"/>
  <c r="W18" i="72"/>
  <c r="V18" i="72"/>
  <c r="O18" i="72"/>
  <c r="N18" i="72"/>
  <c r="G18" i="72"/>
  <c r="F18" i="72"/>
  <c r="W17" i="72"/>
  <c r="V17" i="72"/>
  <c r="O17" i="72"/>
  <c r="N17" i="72"/>
  <c r="G17" i="72"/>
  <c r="F17" i="72"/>
  <c r="W16" i="72"/>
  <c r="V16" i="72"/>
  <c r="O16" i="72"/>
  <c r="N16" i="72"/>
  <c r="G16" i="72"/>
  <c r="F16" i="72"/>
  <c r="W15" i="72"/>
  <c r="V15" i="72"/>
  <c r="O15" i="72"/>
  <c r="N15" i="72"/>
  <c r="G15" i="72"/>
  <c r="F15" i="72"/>
  <c r="W14" i="72"/>
  <c r="V14" i="72"/>
  <c r="O14" i="72"/>
  <c r="N14" i="72"/>
  <c r="G14" i="72"/>
  <c r="F14" i="72"/>
  <c r="W13" i="72"/>
  <c r="V13" i="72"/>
  <c r="O13" i="72"/>
  <c r="N13" i="72"/>
  <c r="G13" i="72"/>
  <c r="F13" i="72"/>
  <c r="W12" i="72"/>
  <c r="V12" i="72"/>
  <c r="O12" i="72"/>
  <c r="N12" i="72"/>
  <c r="G12" i="72"/>
  <c r="F12" i="72"/>
  <c r="W11" i="72"/>
  <c r="V11" i="72"/>
  <c r="O11" i="72"/>
  <c r="N11" i="72"/>
  <c r="G11" i="72"/>
  <c r="F11" i="72"/>
  <c r="W10" i="72"/>
  <c r="V10" i="72"/>
  <c r="O10" i="72"/>
  <c r="N10" i="72"/>
  <c r="G10" i="72"/>
  <c r="F10" i="72"/>
  <c r="W9" i="72"/>
  <c r="V9" i="72"/>
  <c r="O9" i="72"/>
  <c r="N9" i="72"/>
  <c r="G9" i="72"/>
  <c r="F9" i="72"/>
  <c r="W8" i="72"/>
  <c r="V8" i="72"/>
  <c r="O8" i="72"/>
  <c r="N8" i="72"/>
  <c r="G8" i="72"/>
  <c r="F8" i="72"/>
  <c r="B7" i="72"/>
  <c r="J7" i="72" s="1"/>
  <c r="R7" i="72" s="1"/>
  <c r="V20" i="70"/>
  <c r="W20" i="70"/>
  <c r="V21" i="70"/>
  <c r="W21" i="70"/>
  <c r="N20" i="70"/>
  <c r="N21" i="70"/>
  <c r="O21" i="70"/>
  <c r="O20" i="70"/>
  <c r="F20" i="70"/>
  <c r="F21" i="70"/>
  <c r="G21" i="70"/>
  <c r="G20" i="70"/>
  <c r="L9" i="74" l="1"/>
  <c r="L15" i="74"/>
  <c r="L2" i="74"/>
  <c r="L5" i="74"/>
  <c r="L17" i="74"/>
  <c r="L3" i="74"/>
  <c r="K12" i="74"/>
  <c r="I26" i="74" s="1"/>
  <c r="K18" i="74"/>
  <c r="I23" i="74" s="1"/>
  <c r="I25" i="74"/>
  <c r="I31" i="74"/>
  <c r="J30" i="74"/>
  <c r="L14" i="74"/>
  <c r="J22" i="74"/>
  <c r="J25" i="74"/>
  <c r="J29" i="74"/>
  <c r="L8" i="74"/>
  <c r="J27" i="74"/>
  <c r="J31" i="74"/>
  <c r="J26" i="74"/>
  <c r="J21" i="74"/>
  <c r="W19" i="70"/>
  <c r="V19" i="70"/>
  <c r="W18" i="70"/>
  <c r="V18" i="70"/>
  <c r="W17" i="70"/>
  <c r="V17" i="70"/>
  <c r="W16" i="70"/>
  <c r="V16" i="70"/>
  <c r="W15" i="70"/>
  <c r="V15" i="70"/>
  <c r="W14" i="70"/>
  <c r="V14" i="70"/>
  <c r="W13" i="70"/>
  <c r="V13" i="70"/>
  <c r="W12" i="70"/>
  <c r="V12" i="70"/>
  <c r="W11" i="70"/>
  <c r="V11" i="70"/>
  <c r="W10" i="70"/>
  <c r="V10" i="70"/>
  <c r="W9" i="70"/>
  <c r="V9" i="70"/>
  <c r="W8" i="70"/>
  <c r="V8" i="70"/>
  <c r="O19" i="70"/>
  <c r="N19" i="70"/>
  <c r="O18" i="70"/>
  <c r="N18" i="70"/>
  <c r="O17" i="70"/>
  <c r="N17" i="70"/>
  <c r="O16" i="70"/>
  <c r="N16" i="70"/>
  <c r="O15" i="70"/>
  <c r="N15" i="70"/>
  <c r="O14" i="70"/>
  <c r="N14" i="70"/>
  <c r="O13" i="70"/>
  <c r="N13" i="70"/>
  <c r="O12" i="70"/>
  <c r="N12" i="70"/>
  <c r="O11" i="70"/>
  <c r="N11" i="70"/>
  <c r="O10" i="70"/>
  <c r="N10" i="70"/>
  <c r="O9" i="70"/>
  <c r="N9" i="70"/>
  <c r="O8" i="70"/>
  <c r="N8" i="70"/>
  <c r="B7" i="70"/>
  <c r="J7" i="70" s="1"/>
  <c r="R7" i="70" s="1"/>
  <c r="G19" i="70"/>
  <c r="F19" i="70"/>
  <c r="G18" i="70"/>
  <c r="F18" i="70"/>
  <c r="G17" i="70"/>
  <c r="F17" i="70"/>
  <c r="G16" i="70"/>
  <c r="F16" i="70"/>
  <c r="G15" i="70"/>
  <c r="F15" i="70"/>
  <c r="G14" i="70"/>
  <c r="F14" i="70"/>
  <c r="G13" i="70"/>
  <c r="F13" i="70"/>
  <c r="G12" i="70"/>
  <c r="F12" i="70"/>
  <c r="G11" i="70"/>
  <c r="F11" i="70"/>
  <c r="G10" i="70"/>
  <c r="F10" i="70"/>
  <c r="G9" i="70"/>
  <c r="F9" i="70"/>
  <c r="G8" i="70"/>
  <c r="F8" i="70"/>
  <c r="E61" i="52"/>
  <c r="D61" i="52"/>
  <c r="E40" i="52"/>
  <c r="D40" i="52"/>
  <c r="E19" i="52"/>
  <c r="D19" i="52"/>
  <c r="E61" i="63"/>
  <c r="D61" i="63"/>
  <c r="E40" i="63"/>
  <c r="D40" i="63"/>
  <c r="E19" i="63"/>
  <c r="D19" i="63"/>
  <c r="T54" i="63"/>
  <c r="T10" i="63"/>
  <c r="I30" i="74" l="1"/>
  <c r="I22" i="74"/>
  <c r="L6" i="74"/>
  <c r="I21" i="74"/>
  <c r="I27" i="74"/>
  <c r="K25" i="74"/>
  <c r="I29" i="74"/>
  <c r="K29" i="74" s="1"/>
  <c r="K27" i="74"/>
  <c r="K26" i="74"/>
  <c r="K30" i="74"/>
  <c r="K31" i="74"/>
  <c r="U37" i="1"/>
  <c r="E19" i="1"/>
  <c r="E61" i="1"/>
  <c r="D61" i="1"/>
  <c r="D19" i="1"/>
  <c r="L31" i="74" l="1"/>
  <c r="L27" i="74"/>
  <c r="K11" i="2" l="1"/>
  <c r="J11" i="2"/>
  <c r="K10" i="2"/>
  <c r="J10" i="2"/>
  <c r="K9" i="2"/>
  <c r="J9" i="2"/>
  <c r="K8" i="2"/>
  <c r="J8" i="2"/>
  <c r="L8" i="2" l="1"/>
  <c r="L9" i="2"/>
  <c r="L10" i="2"/>
  <c r="L11" i="2"/>
  <c r="K12" i="2"/>
  <c r="I26" i="2" l="1"/>
  <c r="I27" i="2"/>
  <c r="I25" i="2"/>
  <c r="T57" i="1"/>
  <c r="B4" i="67" l="1"/>
  <c r="B2" i="63"/>
  <c r="C2" i="63"/>
  <c r="D2" i="63"/>
  <c r="B3" i="63"/>
  <c r="C3" i="63"/>
  <c r="D3" i="63"/>
  <c r="B4" i="63"/>
  <c r="C4" i="63"/>
  <c r="D4" i="63"/>
  <c r="A3" i="63"/>
  <c r="A4" i="63"/>
  <c r="A2" i="63"/>
  <c r="T30" i="52"/>
  <c r="T53" i="1"/>
  <c r="U64" i="63" l="1"/>
  <c r="T64" i="63"/>
  <c r="U63" i="63"/>
  <c r="T63" i="63"/>
  <c r="U62" i="63"/>
  <c r="T62" i="63"/>
  <c r="U61" i="63"/>
  <c r="T61" i="63"/>
  <c r="U60" i="63"/>
  <c r="T60" i="63"/>
  <c r="U59" i="63"/>
  <c r="T59" i="63"/>
  <c r="U58" i="63"/>
  <c r="T58" i="63"/>
  <c r="U57" i="63"/>
  <c r="T57" i="63"/>
  <c r="U56" i="63"/>
  <c r="T56" i="63"/>
  <c r="U55" i="63"/>
  <c r="T55" i="63"/>
  <c r="U54" i="63"/>
  <c r="U53" i="63"/>
  <c r="T53" i="63"/>
  <c r="U52" i="63"/>
  <c r="T52" i="63"/>
  <c r="U51" i="63"/>
  <c r="T51" i="63"/>
  <c r="B50" i="63"/>
  <c r="Q50" i="63" s="1"/>
  <c r="U43" i="63"/>
  <c r="T43" i="63"/>
  <c r="U42" i="63"/>
  <c r="T42" i="63"/>
  <c r="U41" i="63"/>
  <c r="T41" i="63"/>
  <c r="U40" i="63"/>
  <c r="T40" i="63"/>
  <c r="U39" i="63"/>
  <c r="T39" i="63"/>
  <c r="U38" i="63"/>
  <c r="T38" i="63"/>
  <c r="U37" i="63"/>
  <c r="T37" i="63"/>
  <c r="U36" i="63"/>
  <c r="T36" i="63"/>
  <c r="U35" i="63"/>
  <c r="T35" i="63"/>
  <c r="U34" i="63"/>
  <c r="T34" i="63"/>
  <c r="U33" i="63"/>
  <c r="T33" i="63"/>
  <c r="U32" i="63"/>
  <c r="T32" i="63"/>
  <c r="U31" i="63"/>
  <c r="T31" i="63"/>
  <c r="U30" i="63"/>
  <c r="T30" i="63"/>
  <c r="B29" i="63"/>
  <c r="Q29" i="63" s="1"/>
  <c r="U22" i="63"/>
  <c r="T22" i="63"/>
  <c r="A22" i="63"/>
  <c r="A64" i="63" s="1"/>
  <c r="U21" i="63"/>
  <c r="T21" i="63"/>
  <c r="A21" i="63"/>
  <c r="A42" i="63" s="1"/>
  <c r="U20" i="63"/>
  <c r="T20" i="63"/>
  <c r="A20" i="63"/>
  <c r="A41" i="63" s="1"/>
  <c r="U19" i="63"/>
  <c r="T19" i="63"/>
  <c r="A19" i="63"/>
  <c r="A61" i="63" s="1"/>
  <c r="U18" i="63"/>
  <c r="T18" i="63"/>
  <c r="A18" i="63"/>
  <c r="A60" i="63" s="1"/>
  <c r="U17" i="63"/>
  <c r="T17" i="63"/>
  <c r="A17" i="63"/>
  <c r="A38" i="63" s="1"/>
  <c r="U16" i="63"/>
  <c r="T16" i="63"/>
  <c r="A16" i="63"/>
  <c r="A37" i="63" s="1"/>
  <c r="U15" i="63"/>
  <c r="T15" i="63"/>
  <c r="A15" i="63"/>
  <c r="A57" i="63" s="1"/>
  <c r="U14" i="63"/>
  <c r="T14" i="63"/>
  <c r="A14" i="63"/>
  <c r="A56" i="63" s="1"/>
  <c r="U13" i="63"/>
  <c r="T13" i="63"/>
  <c r="A13" i="63"/>
  <c r="A34" i="63" s="1"/>
  <c r="U12" i="63"/>
  <c r="T12" i="63"/>
  <c r="A12" i="63"/>
  <c r="A33" i="63" s="1"/>
  <c r="U11" i="63"/>
  <c r="T11" i="63"/>
  <c r="A11" i="63"/>
  <c r="A53" i="63" s="1"/>
  <c r="U10" i="63"/>
  <c r="A10" i="63"/>
  <c r="A52" i="63" s="1"/>
  <c r="U9" i="63"/>
  <c r="T9" i="63"/>
  <c r="A9" i="63"/>
  <c r="A30" i="63" s="1"/>
  <c r="Q8" i="63"/>
  <c r="O8" i="63"/>
  <c r="N8" i="63"/>
  <c r="A8" i="63"/>
  <c r="A50" i="63" s="1"/>
  <c r="A32" i="63" l="1"/>
  <c r="A58" i="63"/>
  <c r="A40" i="63"/>
  <c r="A51" i="63"/>
  <c r="A43" i="63"/>
  <c r="A59" i="63"/>
  <c r="A29" i="63"/>
  <c r="A63" i="63"/>
  <c r="A36" i="63"/>
  <c r="A55" i="63"/>
  <c r="A39" i="63"/>
  <c r="A54" i="63"/>
  <c r="A35" i="63"/>
  <c r="A62" i="63"/>
  <c r="A31" i="63"/>
  <c r="B9" i="63"/>
  <c r="B10" i="63" s="1"/>
  <c r="B11" i="63" s="1"/>
  <c r="B52" i="63" l="1"/>
  <c r="Q52" i="63" s="1"/>
  <c r="B31" i="63"/>
  <c r="Q31" i="63" s="1"/>
  <c r="Q10" i="63"/>
  <c r="B53" i="63"/>
  <c r="Q53" i="63" s="1"/>
  <c r="Q11" i="63"/>
  <c r="B32" i="63"/>
  <c r="Q32" i="63" s="1"/>
  <c r="B30" i="63"/>
  <c r="Q30" i="63" s="1"/>
  <c r="B51" i="63"/>
  <c r="Q51" i="63" s="1"/>
  <c r="Q9" i="63"/>
  <c r="B12" i="63"/>
  <c r="B33" i="63" l="1"/>
  <c r="Q33" i="63" s="1"/>
  <c r="B54" i="63"/>
  <c r="Q54" i="63" s="1"/>
  <c r="Q12" i="63"/>
  <c r="B13" i="63"/>
  <c r="B34" i="63" l="1"/>
  <c r="Q34" i="63" s="1"/>
  <c r="B55" i="63"/>
  <c r="Q55" i="63" s="1"/>
  <c r="Q13" i="63"/>
  <c r="B14" i="63"/>
  <c r="B56" i="63" l="1"/>
  <c r="Q56" i="63" s="1"/>
  <c r="B35" i="63"/>
  <c r="Q35" i="63" s="1"/>
  <c r="Q14" i="63"/>
  <c r="B15" i="63"/>
  <c r="B57" i="63" l="1"/>
  <c r="Q57" i="63" s="1"/>
  <c r="B36" i="63"/>
  <c r="Q36" i="63" s="1"/>
  <c r="Q15" i="63"/>
  <c r="B16" i="63"/>
  <c r="B37" i="63" l="1"/>
  <c r="Q37" i="63" s="1"/>
  <c r="Q16" i="63"/>
  <c r="B58" i="63"/>
  <c r="Q58" i="63" s="1"/>
  <c r="B17" i="63"/>
  <c r="B38" i="63" l="1"/>
  <c r="Q38" i="63" s="1"/>
  <c r="B59" i="63"/>
  <c r="Q59" i="63" s="1"/>
  <c r="Q17" i="63"/>
  <c r="B18" i="63"/>
  <c r="F21" i="2"/>
  <c r="B60" i="63" l="1"/>
  <c r="Q60" i="63" s="1"/>
  <c r="B39" i="63"/>
  <c r="Q39" i="63" s="1"/>
  <c r="Q18" i="63"/>
  <c r="B19" i="63"/>
  <c r="B61" i="63" l="1"/>
  <c r="Q61" i="63" s="1"/>
  <c r="Q19" i="63"/>
  <c r="B40" i="63"/>
  <c r="Q40" i="63" s="1"/>
  <c r="B20" i="63"/>
  <c r="T63" i="52"/>
  <c r="T64" i="52"/>
  <c r="U64" i="52"/>
  <c r="U63" i="52"/>
  <c r="T42" i="52"/>
  <c r="T43" i="52"/>
  <c r="U43" i="52"/>
  <c r="U42" i="52"/>
  <c r="T21" i="52"/>
  <c r="T22" i="52"/>
  <c r="U22" i="52"/>
  <c r="U21" i="52"/>
  <c r="T61" i="52"/>
  <c r="T62" i="52"/>
  <c r="U62" i="52"/>
  <c r="U61" i="52"/>
  <c r="T39" i="52"/>
  <c r="T40" i="52"/>
  <c r="T41" i="52"/>
  <c r="U41" i="52"/>
  <c r="U40" i="52"/>
  <c r="T19" i="52"/>
  <c r="T20" i="52"/>
  <c r="U20" i="52"/>
  <c r="U19" i="52"/>
  <c r="T61" i="1"/>
  <c r="T62" i="1"/>
  <c r="T63" i="1"/>
  <c r="T64" i="1"/>
  <c r="U64" i="1"/>
  <c r="U63" i="1"/>
  <c r="T43" i="1"/>
  <c r="T44" i="1"/>
  <c r="U44" i="1"/>
  <c r="U43" i="1"/>
  <c r="U62" i="1"/>
  <c r="U61" i="1"/>
  <c r="T41" i="1"/>
  <c r="T42" i="1"/>
  <c r="U42" i="1"/>
  <c r="U41" i="1"/>
  <c r="T21" i="1"/>
  <c r="T22" i="1"/>
  <c r="U22" i="1"/>
  <c r="U21" i="1"/>
  <c r="T19" i="1"/>
  <c r="T20" i="1"/>
  <c r="U20" i="1"/>
  <c r="U19" i="1"/>
  <c r="B41" i="63" l="1"/>
  <c r="Q41" i="63" s="1"/>
  <c r="Q20" i="63"/>
  <c r="B62" i="63"/>
  <c r="Q62" i="63" s="1"/>
  <c r="B21" i="63"/>
  <c r="A41" i="1"/>
  <c r="B42" i="63" l="1"/>
  <c r="Q42" i="63" s="1"/>
  <c r="Q21" i="63"/>
  <c r="B63" i="63"/>
  <c r="Q63" i="63" s="1"/>
  <c r="B22" i="63"/>
  <c r="T59" i="52"/>
  <c r="T60" i="52"/>
  <c r="U60" i="52"/>
  <c r="U59" i="52"/>
  <c r="T37" i="52"/>
  <c r="T38" i="52"/>
  <c r="U39" i="52"/>
  <c r="U38" i="52"/>
  <c r="T17" i="52"/>
  <c r="T18" i="52"/>
  <c r="U18" i="52"/>
  <c r="U17" i="52"/>
  <c r="T59" i="1"/>
  <c r="T60" i="1"/>
  <c r="U60" i="1"/>
  <c r="U59" i="1"/>
  <c r="T39" i="1"/>
  <c r="T40" i="1"/>
  <c r="U40" i="1"/>
  <c r="U39" i="1"/>
  <c r="T17" i="1"/>
  <c r="T18" i="1"/>
  <c r="U18" i="1"/>
  <c r="U17" i="1"/>
  <c r="B64" i="63" l="1"/>
  <c r="Q64" i="63" s="1"/>
  <c r="Q22" i="63"/>
  <c r="B43" i="63"/>
  <c r="Q43" i="63" s="1"/>
  <c r="U37" i="52"/>
  <c r="T16" i="52"/>
  <c r="U16" i="52"/>
  <c r="T58" i="1"/>
  <c r="U58" i="1"/>
  <c r="T38" i="1"/>
  <c r="U38" i="1"/>
  <c r="T16" i="1"/>
  <c r="U16" i="1"/>
  <c r="U57" i="52" l="1"/>
  <c r="T57" i="52"/>
  <c r="U56" i="52"/>
  <c r="T56" i="52"/>
  <c r="U55" i="52"/>
  <c r="T55" i="52"/>
  <c r="U54" i="52"/>
  <c r="T54" i="52"/>
  <c r="U53" i="52"/>
  <c r="T53" i="52"/>
  <c r="U52" i="52"/>
  <c r="T52" i="52"/>
  <c r="U51" i="52"/>
  <c r="T51" i="52"/>
  <c r="U36" i="52"/>
  <c r="T36" i="52"/>
  <c r="U35" i="52"/>
  <c r="T35" i="52"/>
  <c r="U34" i="52"/>
  <c r="T34" i="52"/>
  <c r="U33" i="52"/>
  <c r="T33" i="52"/>
  <c r="U32" i="52"/>
  <c r="T32" i="52"/>
  <c r="U31" i="52"/>
  <c r="T31" i="52"/>
  <c r="U30" i="52"/>
  <c r="U58" i="52"/>
  <c r="T58" i="52"/>
  <c r="U15" i="52"/>
  <c r="T15" i="52"/>
  <c r="U14" i="52"/>
  <c r="T14" i="52"/>
  <c r="U13" i="52"/>
  <c r="T13" i="52"/>
  <c r="U12" i="52"/>
  <c r="T12" i="52"/>
  <c r="U11" i="52"/>
  <c r="T11" i="52"/>
  <c r="U10" i="52"/>
  <c r="T10" i="52"/>
  <c r="U9" i="52"/>
  <c r="T9" i="52"/>
  <c r="Q8" i="52"/>
  <c r="F31" i="2"/>
  <c r="G31" i="2" s="1"/>
  <c r="F30" i="2"/>
  <c r="G30" i="2" s="1"/>
  <c r="F29" i="2"/>
  <c r="G29" i="2" s="1"/>
  <c r="T55" i="1"/>
  <c r="T56" i="1"/>
  <c r="U57" i="1"/>
  <c r="U56" i="1"/>
  <c r="U55" i="1"/>
  <c r="T35" i="1"/>
  <c r="T36" i="1"/>
  <c r="T37" i="1"/>
  <c r="U36" i="1"/>
  <c r="U35" i="1"/>
  <c r="T14" i="1"/>
  <c r="T15" i="1"/>
  <c r="U15" i="1"/>
  <c r="U14" i="1"/>
  <c r="T13" i="1"/>
  <c r="U13" i="1"/>
  <c r="U54" i="1"/>
  <c r="U53" i="1"/>
  <c r="U52" i="1"/>
  <c r="U51" i="1"/>
  <c r="U34" i="1"/>
  <c r="U33" i="1"/>
  <c r="U32" i="1"/>
  <c r="U31" i="1"/>
  <c r="U10" i="1"/>
  <c r="U11" i="1"/>
  <c r="U12" i="1"/>
  <c r="T54" i="1"/>
  <c r="T52" i="1"/>
  <c r="T51" i="1"/>
  <c r="T34" i="1"/>
  <c r="T33" i="1"/>
  <c r="T32" i="1"/>
  <c r="T31" i="1"/>
  <c r="T10" i="1"/>
  <c r="T11" i="1"/>
  <c r="T12" i="1"/>
  <c r="Q8" i="1"/>
  <c r="F27" i="2"/>
  <c r="E4" i="63" s="1"/>
  <c r="F22" i="2"/>
  <c r="G22" i="2" s="1"/>
  <c r="K17" i="2" l="1"/>
  <c r="J17" i="2"/>
  <c r="K16" i="2"/>
  <c r="J16" i="2"/>
  <c r="K15" i="2"/>
  <c r="J15" i="2"/>
  <c r="K14" i="2"/>
  <c r="J14" i="2"/>
  <c r="J5" i="2"/>
  <c r="K5" i="2"/>
  <c r="K18" i="2" l="1"/>
  <c r="L16" i="2"/>
  <c r="L17" i="2"/>
  <c r="L15" i="2"/>
  <c r="L14" i="2"/>
  <c r="L5" i="2"/>
  <c r="I30" i="2" l="1"/>
  <c r="I29" i="2"/>
  <c r="I31" i="2"/>
  <c r="H3" i="63"/>
  <c r="O8" i="52" l="1"/>
  <c r="N8" i="52"/>
  <c r="B2" i="52"/>
  <c r="C2" i="52"/>
  <c r="D2" i="52"/>
  <c r="E2" i="52"/>
  <c r="F2" i="52"/>
  <c r="H2" i="52"/>
  <c r="B3" i="52"/>
  <c r="C3" i="52"/>
  <c r="D3" i="52"/>
  <c r="B4" i="52"/>
  <c r="C4" i="52"/>
  <c r="D4" i="52"/>
  <c r="A3" i="52"/>
  <c r="A4" i="52"/>
  <c r="A2" i="52"/>
  <c r="B50" i="52"/>
  <c r="Q50" i="52" s="1"/>
  <c r="B29" i="52"/>
  <c r="Q29" i="52" s="1"/>
  <c r="A22" i="52"/>
  <c r="A64" i="52" s="1"/>
  <c r="A21" i="52"/>
  <c r="A63" i="52" s="1"/>
  <c r="A20" i="52"/>
  <c r="A41" i="52" s="1"/>
  <c r="A19" i="52"/>
  <c r="A18" i="52"/>
  <c r="A39" i="52" s="1"/>
  <c r="A17" i="52"/>
  <c r="A59" i="52" s="1"/>
  <c r="A16" i="52"/>
  <c r="A58" i="52" s="1"/>
  <c r="A15" i="52"/>
  <c r="A14" i="52"/>
  <c r="A56" i="52" s="1"/>
  <c r="A13" i="52"/>
  <c r="A34" i="52" s="1"/>
  <c r="A12" i="52"/>
  <c r="A54" i="52" s="1"/>
  <c r="A11" i="52"/>
  <c r="A10" i="52"/>
  <c r="A31" i="52" s="1"/>
  <c r="A9" i="52"/>
  <c r="A51" i="52" s="1"/>
  <c r="A8" i="52"/>
  <c r="F12" i="52" l="1"/>
  <c r="A62" i="52"/>
  <c r="A33" i="52"/>
  <c r="A55" i="52"/>
  <c r="A52" i="52"/>
  <c r="F8" i="52"/>
  <c r="F21" i="52"/>
  <c r="A60" i="52"/>
  <c r="A37" i="52"/>
  <c r="A38" i="52"/>
  <c r="F9" i="52"/>
  <c r="F22" i="52"/>
  <c r="A50" i="52"/>
  <c r="A29" i="52"/>
  <c r="A32" i="52"/>
  <c r="A53" i="52"/>
  <c r="A42" i="52"/>
  <c r="A30" i="52"/>
  <c r="F18" i="52"/>
  <c r="F10" i="52"/>
  <c r="F16" i="52"/>
  <c r="F11" i="52"/>
  <c r="A57" i="52"/>
  <c r="A36" i="52"/>
  <c r="A43" i="52"/>
  <c r="F13" i="52"/>
  <c r="F15" i="52"/>
  <c r="F19" i="52"/>
  <c r="A35" i="52"/>
  <c r="A61" i="52"/>
  <c r="A40" i="52"/>
  <c r="F20" i="52"/>
  <c r="B9" i="52"/>
  <c r="Q9" i="52" s="1"/>
  <c r="F14" i="52"/>
  <c r="F17" i="52"/>
  <c r="S5" i="2"/>
  <c r="B30" i="52" l="1"/>
  <c r="B10" i="52"/>
  <c r="Q10" i="52" s="1"/>
  <c r="B51" i="52"/>
  <c r="Q51" i="52" s="1"/>
  <c r="Q30" i="52" l="1"/>
  <c r="B31" i="52"/>
  <c r="B52" i="52"/>
  <c r="Q52" i="52" s="1"/>
  <c r="B11" i="52"/>
  <c r="Q11" i="52" s="1"/>
  <c r="Q31" i="52" l="1"/>
  <c r="B53" i="52"/>
  <c r="Q53" i="52" s="1"/>
  <c r="B32" i="52"/>
  <c r="B12" i="52"/>
  <c r="B13" i="52" l="1"/>
  <c r="Q13" i="52" s="1"/>
  <c r="Q12" i="52"/>
  <c r="Q32" i="52"/>
  <c r="B54" i="52"/>
  <c r="Q54" i="52" s="1"/>
  <c r="B33" i="52"/>
  <c r="B34" i="52" l="1"/>
  <c r="Q34" i="52" s="1"/>
  <c r="B55" i="52"/>
  <c r="Q55" i="52" s="1"/>
  <c r="B14" i="52"/>
  <c r="Q14" i="52" s="1"/>
  <c r="Q33" i="52"/>
  <c r="B35" i="52" l="1"/>
  <c r="Q35" i="52" s="1"/>
  <c r="B15" i="52"/>
  <c r="Q15" i="52" s="1"/>
  <c r="B56" i="52"/>
  <c r="Q56" i="52" s="1"/>
  <c r="B16" i="52" l="1"/>
  <c r="Q16" i="52" s="1"/>
  <c r="B36" i="52"/>
  <c r="Q36" i="52" s="1"/>
  <c r="B57" i="52"/>
  <c r="Q57" i="52" s="1"/>
  <c r="B17" i="52" l="1"/>
  <c r="Q17" i="52" s="1"/>
  <c r="B58" i="52"/>
  <c r="Q58" i="52" s="1"/>
  <c r="B37" i="52"/>
  <c r="Q37" i="52" s="1"/>
  <c r="B18" i="52" l="1"/>
  <c r="Q18" i="52" s="1"/>
  <c r="B38" i="52"/>
  <c r="Q38" i="52" s="1"/>
  <c r="B59" i="52"/>
  <c r="Q59" i="52" s="1"/>
  <c r="B60" i="52" l="1"/>
  <c r="Q60" i="52" s="1"/>
  <c r="B39" i="52"/>
  <c r="Q39" i="52" s="1"/>
  <c r="B19" i="52"/>
  <c r="Q19" i="52" s="1"/>
  <c r="B40" i="52" l="1"/>
  <c r="Q40" i="52" s="1"/>
  <c r="B61" i="52"/>
  <c r="Q61" i="52" s="1"/>
  <c r="B20" i="52"/>
  <c r="Q20" i="52" s="1"/>
  <c r="B2" i="1"/>
  <c r="C2" i="1"/>
  <c r="D2" i="1"/>
  <c r="B3" i="1"/>
  <c r="C3" i="1"/>
  <c r="D3" i="1"/>
  <c r="B4" i="1"/>
  <c r="C4" i="1"/>
  <c r="D4" i="1"/>
  <c r="A3" i="1"/>
  <c r="A4" i="1"/>
  <c r="A2" i="1"/>
  <c r="H4" i="52"/>
  <c r="H3" i="52"/>
  <c r="H4" i="63"/>
  <c r="H2" i="63"/>
  <c r="I22" i="2"/>
  <c r="H3" i="1" s="1"/>
  <c r="I23" i="2"/>
  <c r="H4" i="1" s="1"/>
  <c r="I21" i="2"/>
  <c r="H2" i="1" s="1"/>
  <c r="E3" i="1"/>
  <c r="F23" i="2"/>
  <c r="E4" i="1" s="1"/>
  <c r="F25" i="2"/>
  <c r="E2" i="63" s="1"/>
  <c r="F26" i="2"/>
  <c r="E3" i="63" s="1"/>
  <c r="E4" i="52"/>
  <c r="E2" i="1"/>
  <c r="B21" i="52" l="1"/>
  <c r="B63" i="52" s="1"/>
  <c r="Q63" i="52" s="1"/>
  <c r="B41" i="52"/>
  <c r="Q41" i="52" s="1"/>
  <c r="B62" i="52"/>
  <c r="Q62" i="52" s="1"/>
  <c r="G27" i="2"/>
  <c r="F4" i="63" s="1"/>
  <c r="F53" i="63" s="1"/>
  <c r="F3" i="52"/>
  <c r="E3" i="52"/>
  <c r="F60" i="63" l="1"/>
  <c r="F58" i="63"/>
  <c r="F54" i="63"/>
  <c r="F56" i="63"/>
  <c r="F61" i="63"/>
  <c r="F52" i="63"/>
  <c r="F62" i="63"/>
  <c r="F50" i="63"/>
  <c r="F63" i="63"/>
  <c r="F55" i="63"/>
  <c r="F59" i="63"/>
  <c r="F51" i="63"/>
  <c r="F64" i="63"/>
  <c r="F57" i="63"/>
  <c r="Q21" i="52"/>
  <c r="B22" i="52"/>
  <c r="B42" i="52"/>
  <c r="Q42" i="52" s="1"/>
  <c r="F35" i="52"/>
  <c r="F32" i="52"/>
  <c r="F34" i="52"/>
  <c r="F40" i="52"/>
  <c r="F29" i="52"/>
  <c r="F38" i="52"/>
  <c r="F39" i="52"/>
  <c r="F31" i="52"/>
  <c r="F41" i="52"/>
  <c r="F43" i="52"/>
  <c r="F33" i="52"/>
  <c r="F30" i="52"/>
  <c r="F37" i="52"/>
  <c r="F42" i="52"/>
  <c r="F36" i="52"/>
  <c r="A64" i="1"/>
  <c r="A44" i="1"/>
  <c r="B43" i="52" l="1"/>
  <c r="Q43" i="52" s="1"/>
  <c r="B64" i="52"/>
  <c r="Q64" i="52" s="1"/>
  <c r="Q22" i="52"/>
  <c r="B9" i="1"/>
  <c r="G21" i="2"/>
  <c r="F2" i="1" s="1"/>
  <c r="B8" i="73" l="1"/>
  <c r="J8" i="73" s="1"/>
  <c r="R8" i="73" s="1"/>
  <c r="B8" i="72"/>
  <c r="J8" i="72" s="1"/>
  <c r="R8" i="72" s="1"/>
  <c r="B8" i="70"/>
  <c r="J8" i="70" s="1"/>
  <c r="R8" i="70" s="1"/>
  <c r="Q9" i="1"/>
  <c r="B5" i="67"/>
  <c r="B10" i="1"/>
  <c r="F13" i="1"/>
  <c r="F21" i="1"/>
  <c r="F14" i="1"/>
  <c r="F22" i="1"/>
  <c r="F15" i="1"/>
  <c r="F16" i="1"/>
  <c r="F8" i="1"/>
  <c r="F9" i="1"/>
  <c r="F17" i="1"/>
  <c r="F10" i="1"/>
  <c r="F18" i="1"/>
  <c r="F11" i="1"/>
  <c r="F19" i="1"/>
  <c r="F12" i="1"/>
  <c r="F20" i="1"/>
  <c r="B9" i="73" l="1"/>
  <c r="J9" i="73" s="1"/>
  <c r="R9" i="73" s="1"/>
  <c r="B9" i="72"/>
  <c r="J9" i="72" s="1"/>
  <c r="R9" i="72" s="1"/>
  <c r="B9" i="70"/>
  <c r="J9" i="70" s="1"/>
  <c r="R9" i="70" s="1"/>
  <c r="Q10" i="1"/>
  <c r="B6" i="67"/>
  <c r="B11" i="1"/>
  <c r="F3" i="1"/>
  <c r="B10" i="73" l="1"/>
  <c r="J10" i="73" s="1"/>
  <c r="R10" i="73" s="1"/>
  <c r="B10" i="72"/>
  <c r="J10" i="72" s="1"/>
  <c r="R10" i="72" s="1"/>
  <c r="B10" i="70"/>
  <c r="J10" i="70" s="1"/>
  <c r="R10" i="70" s="1"/>
  <c r="Q11" i="1"/>
  <c r="B7" i="67"/>
  <c r="B12" i="1"/>
  <c r="F35" i="1"/>
  <c r="F43" i="1"/>
  <c r="F36" i="1"/>
  <c r="F44" i="1"/>
  <c r="F37" i="1"/>
  <c r="F38" i="1"/>
  <c r="F30" i="1"/>
  <c r="F31" i="1"/>
  <c r="F39" i="1"/>
  <c r="F42" i="1"/>
  <c r="F32" i="1"/>
  <c r="F40" i="1"/>
  <c r="F33" i="1"/>
  <c r="F41" i="1"/>
  <c r="F34" i="1"/>
  <c r="B11" i="72" l="1"/>
  <c r="J11" i="72" s="1"/>
  <c r="R11" i="72" s="1"/>
  <c r="B11" i="73"/>
  <c r="J11" i="73" s="1"/>
  <c r="R11" i="73" s="1"/>
  <c r="B11" i="70"/>
  <c r="J11" i="70" s="1"/>
  <c r="R11" i="70" s="1"/>
  <c r="Q12" i="1"/>
  <c r="B8" i="67"/>
  <c r="B13" i="1"/>
  <c r="A63" i="1"/>
  <c r="A43" i="1"/>
  <c r="B12" i="72" l="1"/>
  <c r="J12" i="72" s="1"/>
  <c r="R12" i="72" s="1"/>
  <c r="B12" i="73"/>
  <c r="J12" i="73" s="1"/>
  <c r="R12" i="73" s="1"/>
  <c r="B12" i="70"/>
  <c r="J12" i="70" s="1"/>
  <c r="R12" i="70" s="1"/>
  <c r="Q13" i="1"/>
  <c r="B9" i="67"/>
  <c r="B14" i="1"/>
  <c r="A61" i="1"/>
  <c r="A62" i="1"/>
  <c r="A42" i="1"/>
  <c r="B13" i="72" l="1"/>
  <c r="J13" i="72" s="1"/>
  <c r="R13" i="72" s="1"/>
  <c r="B13" i="73"/>
  <c r="J13" i="73" s="1"/>
  <c r="R13" i="73" s="1"/>
  <c r="B13" i="70"/>
  <c r="J13" i="70" s="1"/>
  <c r="R13" i="70" s="1"/>
  <c r="Q14" i="1"/>
  <c r="B10" i="67"/>
  <c r="B15" i="1"/>
  <c r="B14" i="72" l="1"/>
  <c r="J14" i="72" s="1"/>
  <c r="R14" i="72" s="1"/>
  <c r="B14" i="73"/>
  <c r="J14" i="73" s="1"/>
  <c r="R14" i="73" s="1"/>
  <c r="B14" i="70"/>
  <c r="J14" i="70" s="1"/>
  <c r="R14" i="70" s="1"/>
  <c r="Q15" i="1"/>
  <c r="B11" i="67"/>
  <c r="B16" i="1"/>
  <c r="G23" i="2"/>
  <c r="F4" i="1" s="1"/>
  <c r="B15" i="73" l="1"/>
  <c r="J15" i="73" s="1"/>
  <c r="R15" i="73" s="1"/>
  <c r="B15" i="72"/>
  <c r="J15" i="72" s="1"/>
  <c r="R15" i="72" s="1"/>
  <c r="B15" i="70"/>
  <c r="J15" i="70" s="1"/>
  <c r="R15" i="70" s="1"/>
  <c r="B12" i="67"/>
  <c r="Q16" i="1"/>
  <c r="B17" i="1"/>
  <c r="F55" i="1"/>
  <c r="F63" i="1"/>
  <c r="F56" i="1"/>
  <c r="F64" i="1"/>
  <c r="F57" i="1"/>
  <c r="F58" i="1"/>
  <c r="F50" i="1"/>
  <c r="F51" i="1"/>
  <c r="F59" i="1"/>
  <c r="F52" i="1"/>
  <c r="F60" i="1"/>
  <c r="F53" i="1"/>
  <c r="F61" i="1"/>
  <c r="F54" i="1"/>
  <c r="F62" i="1"/>
  <c r="A60" i="1"/>
  <c r="A40" i="1"/>
  <c r="B16" i="73" l="1"/>
  <c r="J16" i="73" s="1"/>
  <c r="R16" i="73" s="1"/>
  <c r="B16" i="72"/>
  <c r="J16" i="72" s="1"/>
  <c r="R16" i="72" s="1"/>
  <c r="B16" i="70"/>
  <c r="J16" i="70" s="1"/>
  <c r="R16" i="70" s="1"/>
  <c r="B13" i="67"/>
  <c r="Q17" i="1"/>
  <c r="B18" i="1"/>
  <c r="A59" i="1"/>
  <c r="A39" i="1"/>
  <c r="B17" i="73" l="1"/>
  <c r="J17" i="73" s="1"/>
  <c r="R17" i="73" s="1"/>
  <c r="B17" i="72"/>
  <c r="J17" i="72" s="1"/>
  <c r="R17" i="72" s="1"/>
  <c r="B17" i="70"/>
  <c r="J17" i="70" s="1"/>
  <c r="R17" i="70" s="1"/>
  <c r="B14" i="67"/>
  <c r="Q18" i="1"/>
  <c r="B19" i="1"/>
  <c r="B18" i="72" l="1"/>
  <c r="J18" i="72" s="1"/>
  <c r="R18" i="72" s="1"/>
  <c r="B18" i="73"/>
  <c r="J18" i="73" s="1"/>
  <c r="R18" i="73" s="1"/>
  <c r="B18" i="70"/>
  <c r="J18" i="70" s="1"/>
  <c r="R18" i="70" s="1"/>
  <c r="B15" i="67"/>
  <c r="B20" i="1"/>
  <c r="Q19" i="1"/>
  <c r="B19" i="73" l="1"/>
  <c r="J19" i="73" s="1"/>
  <c r="R19" i="73" s="1"/>
  <c r="B19" i="72"/>
  <c r="J19" i="72" s="1"/>
  <c r="R19" i="72" s="1"/>
  <c r="B19" i="70"/>
  <c r="J19" i="70" s="1"/>
  <c r="R19" i="70" s="1"/>
  <c r="B16" i="67"/>
  <c r="B21" i="1"/>
  <c r="Q20" i="1"/>
  <c r="B20" i="70" l="1"/>
  <c r="J20" i="70" s="1"/>
  <c r="R20" i="70" s="1"/>
  <c r="B20" i="72"/>
  <c r="J20" i="72" s="1"/>
  <c r="R20" i="72" s="1"/>
  <c r="B20" i="73"/>
  <c r="J20" i="73" s="1"/>
  <c r="R20" i="73" s="1"/>
  <c r="B17" i="67"/>
  <c r="B22" i="1"/>
  <c r="Q21" i="1"/>
  <c r="J2" i="2"/>
  <c r="B21" i="70" l="1"/>
  <c r="J21" i="70" s="1"/>
  <c r="R21" i="70" s="1"/>
  <c r="B21" i="72"/>
  <c r="J21" i="72" s="1"/>
  <c r="R21" i="72" s="1"/>
  <c r="B21" i="73"/>
  <c r="J21" i="73" s="1"/>
  <c r="R21" i="73" s="1"/>
  <c r="B18" i="67"/>
  <c r="Q22" i="1"/>
  <c r="B44" i="1"/>
  <c r="Q44" i="1" s="1"/>
  <c r="B64" i="1"/>
  <c r="Q64" i="1" s="1"/>
  <c r="F4" i="52"/>
  <c r="G26" i="2"/>
  <c r="F3" i="63" s="1"/>
  <c r="G25" i="2"/>
  <c r="F2" i="63" s="1"/>
  <c r="B19" i="67" l="1"/>
  <c r="F20" i="63"/>
  <c r="F22" i="63"/>
  <c r="F18" i="63"/>
  <c r="F12" i="63"/>
  <c r="F14" i="63"/>
  <c r="F13" i="63"/>
  <c r="F11" i="63"/>
  <c r="F9" i="63"/>
  <c r="F16" i="63"/>
  <c r="F8" i="63"/>
  <c r="F21" i="63"/>
  <c r="F19" i="63"/>
  <c r="F10" i="63"/>
  <c r="F17" i="63"/>
  <c r="F15" i="63"/>
  <c r="F35" i="63"/>
  <c r="F31" i="63"/>
  <c r="F34" i="63"/>
  <c r="F30" i="63"/>
  <c r="I30" i="63" s="1"/>
  <c r="J30" i="63" s="1"/>
  <c r="F41" i="63"/>
  <c r="F37" i="63"/>
  <c r="F33" i="63"/>
  <c r="F32" i="63"/>
  <c r="F29" i="63"/>
  <c r="F42" i="63"/>
  <c r="F38" i="63"/>
  <c r="F40" i="63"/>
  <c r="F43" i="63"/>
  <c r="F39" i="63"/>
  <c r="F36" i="63"/>
  <c r="F54" i="52"/>
  <c r="F52" i="52"/>
  <c r="F57" i="52"/>
  <c r="F56" i="52"/>
  <c r="F60" i="52"/>
  <c r="F59" i="52"/>
  <c r="F58" i="52"/>
  <c r="F62" i="52"/>
  <c r="F51" i="52"/>
  <c r="F53" i="52"/>
  <c r="F50" i="52"/>
  <c r="F61" i="52"/>
  <c r="F64" i="52"/>
  <c r="F63" i="52"/>
  <c r="F55" i="52"/>
  <c r="R5" i="2"/>
  <c r="I38" i="63" l="1"/>
  <c r="I42" i="63"/>
  <c r="I10" i="63"/>
  <c r="I13" i="63"/>
  <c r="I34" i="63"/>
  <c r="I21" i="63"/>
  <c r="I12" i="63"/>
  <c r="I29" i="63"/>
  <c r="I35" i="63"/>
  <c r="I8" i="63"/>
  <c r="I18" i="63"/>
  <c r="I14" i="63"/>
  <c r="I31" i="63"/>
  <c r="J31" i="63" s="1"/>
  <c r="I32" i="63"/>
  <c r="I43" i="63"/>
  <c r="I37" i="63"/>
  <c r="I15" i="63"/>
  <c r="I9" i="63"/>
  <c r="J9" i="63" s="1"/>
  <c r="I19" i="63"/>
  <c r="I36" i="63"/>
  <c r="I22" i="63"/>
  <c r="I39" i="63"/>
  <c r="I33" i="63"/>
  <c r="I16" i="63"/>
  <c r="I20" i="63"/>
  <c r="I57" i="63"/>
  <c r="I60" i="63"/>
  <c r="I61" i="63"/>
  <c r="I54" i="63"/>
  <c r="I55" i="63"/>
  <c r="I52" i="63"/>
  <c r="I56" i="63"/>
  <c r="I63" i="63"/>
  <c r="I51" i="63"/>
  <c r="J51" i="63" s="1"/>
  <c r="I59" i="63"/>
  <c r="I58" i="63"/>
  <c r="I64" i="63"/>
  <c r="I50" i="63"/>
  <c r="I53" i="63"/>
  <c r="I62" i="63"/>
  <c r="I9" i="1"/>
  <c r="J9" i="1" s="1"/>
  <c r="I40" i="63"/>
  <c r="I41" i="63"/>
  <c r="I17" i="63"/>
  <c r="I11" i="63"/>
  <c r="I62" i="52"/>
  <c r="I63" i="52"/>
  <c r="I51" i="52"/>
  <c r="J51" i="52" s="1"/>
  <c r="I55" i="52"/>
  <c r="I58" i="52"/>
  <c r="I21" i="52"/>
  <c r="I12" i="52"/>
  <c r="I8" i="52"/>
  <c r="I10" i="52"/>
  <c r="I20" i="52"/>
  <c r="I15" i="52"/>
  <c r="I17" i="52"/>
  <c r="I19" i="52"/>
  <c r="I22" i="52"/>
  <c r="I11" i="52"/>
  <c r="I14" i="52"/>
  <c r="I9" i="52"/>
  <c r="J9" i="52" s="1"/>
  <c r="I18" i="52"/>
  <c r="I16" i="52"/>
  <c r="I13" i="52"/>
  <c r="I32" i="52"/>
  <c r="I42" i="52"/>
  <c r="I37" i="52"/>
  <c r="I38" i="52"/>
  <c r="I29" i="52"/>
  <c r="I34" i="52"/>
  <c r="I41" i="52"/>
  <c r="I30" i="52"/>
  <c r="J30" i="52" s="1"/>
  <c r="I31" i="52"/>
  <c r="I40" i="52"/>
  <c r="I43" i="52"/>
  <c r="I36" i="52"/>
  <c r="I35" i="52"/>
  <c r="I33" i="52"/>
  <c r="I39" i="52"/>
  <c r="I10" i="1"/>
  <c r="I19" i="1"/>
  <c r="I21" i="1"/>
  <c r="I14" i="1"/>
  <c r="I12" i="1"/>
  <c r="I16" i="1"/>
  <c r="I8" i="1"/>
  <c r="I18" i="1"/>
  <c r="I20" i="1"/>
  <c r="I22" i="1"/>
  <c r="I11" i="1"/>
  <c r="I17" i="1"/>
  <c r="I15" i="1"/>
  <c r="I13" i="1"/>
  <c r="I38" i="1"/>
  <c r="I42" i="1"/>
  <c r="I36" i="1"/>
  <c r="I32" i="1"/>
  <c r="I40" i="1"/>
  <c r="I41" i="1"/>
  <c r="I31" i="1"/>
  <c r="I33" i="1"/>
  <c r="I30" i="1"/>
  <c r="I44" i="1"/>
  <c r="I34" i="1"/>
  <c r="I39" i="1"/>
  <c r="I43" i="1"/>
  <c r="I35" i="1"/>
  <c r="I37" i="1"/>
  <c r="I51" i="1"/>
  <c r="I56" i="1"/>
  <c r="I53" i="1"/>
  <c r="I62" i="1"/>
  <c r="I54" i="1"/>
  <c r="I59" i="1"/>
  <c r="I61" i="1"/>
  <c r="I57" i="1"/>
  <c r="I50" i="1"/>
  <c r="I58" i="1"/>
  <c r="I55" i="1"/>
  <c r="I60" i="1"/>
  <c r="I52" i="1"/>
  <c r="I63" i="1"/>
  <c r="I64" i="1"/>
  <c r="I64" i="52"/>
  <c r="I59" i="52"/>
  <c r="I54" i="52"/>
  <c r="I61" i="52"/>
  <c r="I60" i="52"/>
  <c r="I53" i="52"/>
  <c r="I57" i="52"/>
  <c r="I52" i="52"/>
  <c r="I50" i="52"/>
  <c r="I56" i="52"/>
  <c r="J10" i="63" l="1"/>
  <c r="J32" i="63"/>
  <c r="J33" i="63" s="1"/>
  <c r="J34" i="63" s="1"/>
  <c r="J35" i="63" s="1"/>
  <c r="J36" i="63" s="1"/>
  <c r="J37" i="63" s="1"/>
  <c r="J38" i="63" s="1"/>
  <c r="J39" i="63" s="1"/>
  <c r="J40" i="63" s="1"/>
  <c r="J41" i="63" s="1"/>
  <c r="J42" i="63" s="1"/>
  <c r="J43" i="63" s="1"/>
  <c r="J52" i="63"/>
  <c r="J53" i="63" s="1"/>
  <c r="J54" i="63" s="1"/>
  <c r="J55" i="63" s="1"/>
  <c r="J56" i="63" s="1"/>
  <c r="J57" i="63" s="1"/>
  <c r="J58" i="63" s="1"/>
  <c r="J59" i="63" s="1"/>
  <c r="J60" i="63" s="1"/>
  <c r="J61" i="63" s="1"/>
  <c r="J62" i="63" s="1"/>
  <c r="J63" i="63" s="1"/>
  <c r="J64" i="63" s="1"/>
  <c r="J11" i="63"/>
  <c r="J12" i="63" s="1"/>
  <c r="J13" i="63" s="1"/>
  <c r="J14" i="63" s="1"/>
  <c r="J15" i="63" s="1"/>
  <c r="J16" i="63" s="1"/>
  <c r="J17" i="63" s="1"/>
  <c r="J18" i="63" s="1"/>
  <c r="J19" i="63" s="1"/>
  <c r="J20" i="63" s="1"/>
  <c r="J21" i="63" s="1"/>
  <c r="J22" i="63" s="1"/>
  <c r="J31" i="52"/>
  <c r="J32" i="52" s="1"/>
  <c r="J33" i="52" s="1"/>
  <c r="J34" i="52" s="1"/>
  <c r="J35" i="52" s="1"/>
  <c r="J36" i="52" s="1"/>
  <c r="J37" i="52" s="1"/>
  <c r="J38" i="52" s="1"/>
  <c r="J39" i="52" s="1"/>
  <c r="J40" i="52" s="1"/>
  <c r="J41" i="52" s="1"/>
  <c r="J42" i="52" s="1"/>
  <c r="J43" i="52" s="1"/>
  <c r="J10" i="52"/>
  <c r="J11" i="52" s="1"/>
  <c r="J12" i="52" s="1"/>
  <c r="J13" i="52" s="1"/>
  <c r="J14" i="52" s="1"/>
  <c r="J15" i="52" s="1"/>
  <c r="J16" i="52" s="1"/>
  <c r="J17" i="52" s="1"/>
  <c r="J18" i="52" s="1"/>
  <c r="J19" i="52" s="1"/>
  <c r="J20" i="52" s="1"/>
  <c r="J21" i="52" s="1"/>
  <c r="J22" i="52" s="1"/>
  <c r="J52" i="52"/>
  <c r="J53" i="52" s="1"/>
  <c r="J54" i="52" s="1"/>
  <c r="J55" i="52" s="1"/>
  <c r="J56" i="52" s="1"/>
  <c r="J57" i="52" s="1"/>
  <c r="J58" i="52" s="1"/>
  <c r="J59" i="52" s="1"/>
  <c r="J60" i="52" s="1"/>
  <c r="J61" i="52" s="1"/>
  <c r="J62" i="52" s="1"/>
  <c r="J63" i="52" s="1"/>
  <c r="J64" i="52" s="1"/>
  <c r="P4" i="2" l="1"/>
  <c r="K2" i="2"/>
  <c r="K3" i="2"/>
  <c r="K4" i="2"/>
  <c r="J3" i="2"/>
  <c r="J4" i="2"/>
  <c r="B50" i="1"/>
  <c r="Q50" i="1" s="1"/>
  <c r="A50" i="1"/>
  <c r="A30" i="1"/>
  <c r="B30" i="1"/>
  <c r="Q30" i="1" s="1"/>
  <c r="A51" i="1"/>
  <c r="A52" i="1"/>
  <c r="A53" i="1"/>
  <c r="A54" i="1"/>
  <c r="A55" i="1"/>
  <c r="A56" i="1"/>
  <c r="A57" i="1"/>
  <c r="A58" i="1"/>
  <c r="A31" i="1"/>
  <c r="A32" i="1"/>
  <c r="A33" i="1"/>
  <c r="A34" i="1"/>
  <c r="A35" i="1"/>
  <c r="A36" i="1"/>
  <c r="A37" i="1"/>
  <c r="A38" i="1"/>
  <c r="K6" i="2" l="1"/>
  <c r="J6" i="2"/>
  <c r="B31" i="1"/>
  <c r="Q31" i="1" s="1"/>
  <c r="L3" i="2"/>
  <c r="L4" i="2"/>
  <c r="L2" i="2"/>
  <c r="B51" i="1"/>
  <c r="Q51" i="1" s="1"/>
  <c r="J21" i="2" l="1"/>
  <c r="I2" i="52"/>
  <c r="J23" i="2"/>
  <c r="I4" i="1" s="1"/>
  <c r="K50" i="1" s="1"/>
  <c r="J25" i="2"/>
  <c r="K9" i="1"/>
  <c r="J26" i="2"/>
  <c r="J30" i="2"/>
  <c r="K30" i="2" s="1"/>
  <c r="J27" i="2"/>
  <c r="J31" i="2"/>
  <c r="K31" i="2" s="1"/>
  <c r="J22" i="2"/>
  <c r="I3" i="1" s="1"/>
  <c r="B52" i="1"/>
  <c r="Q52" i="1" s="1"/>
  <c r="B32" i="1"/>
  <c r="Q32" i="1" s="1"/>
  <c r="J51" i="1"/>
  <c r="L6" i="2"/>
  <c r="I3" i="63" l="1"/>
  <c r="I4" i="63"/>
  <c r="K27" i="2"/>
  <c r="I2" i="63"/>
  <c r="K25" i="2"/>
  <c r="K51" i="1"/>
  <c r="K8" i="1"/>
  <c r="K30" i="1"/>
  <c r="I3" i="52"/>
  <c r="I4" i="52"/>
  <c r="B53" i="1"/>
  <c r="Q53" i="1" s="1"/>
  <c r="B33" i="1"/>
  <c r="Q33" i="1" s="1"/>
  <c r="K29" i="2"/>
  <c r="L31" i="2" s="1"/>
  <c r="J31" i="1"/>
  <c r="K31" i="1" s="1"/>
  <c r="M9" i="1" s="1"/>
  <c r="L27" i="2" l="1"/>
  <c r="N9" i="1"/>
  <c r="O9" i="1" s="1"/>
  <c r="K9" i="63"/>
  <c r="L9" i="63" s="1"/>
  <c r="K30" i="63"/>
  <c r="L30" i="63" s="1"/>
  <c r="K51" i="63"/>
  <c r="L51" i="63" s="1"/>
  <c r="B34" i="1"/>
  <c r="Q34" i="1" s="1"/>
  <c r="B54" i="1"/>
  <c r="Q54" i="1" s="1"/>
  <c r="J52" i="1"/>
  <c r="K52" i="1" s="1"/>
  <c r="J32" i="1"/>
  <c r="K32" i="1" s="1"/>
  <c r="J10" i="1"/>
  <c r="K10" i="1" s="1"/>
  <c r="N10" i="1" l="1"/>
  <c r="M10" i="1"/>
  <c r="K50" i="63"/>
  <c r="K8" i="63"/>
  <c r="K29" i="63"/>
  <c r="O9" i="63"/>
  <c r="N9" i="63"/>
  <c r="K29" i="52"/>
  <c r="K8" i="52"/>
  <c r="K50" i="52"/>
  <c r="K30" i="52"/>
  <c r="L30" i="52" s="1"/>
  <c r="K51" i="52"/>
  <c r="L51" i="52" s="1"/>
  <c r="K9" i="52"/>
  <c r="L9" i="52" s="1"/>
  <c r="B55" i="1"/>
  <c r="Q55" i="1" s="1"/>
  <c r="B35" i="1"/>
  <c r="Q35" i="1" s="1"/>
  <c r="J53" i="1"/>
  <c r="K53" i="1" s="1"/>
  <c r="J11" i="1"/>
  <c r="J33" i="1"/>
  <c r="K33" i="1" s="1"/>
  <c r="M11" i="1" l="1"/>
  <c r="N11" i="1"/>
  <c r="K31" i="63"/>
  <c r="L31" i="63" s="1"/>
  <c r="K52" i="63"/>
  <c r="L52" i="63" s="1"/>
  <c r="K10" i="63"/>
  <c r="L10" i="63" s="1"/>
  <c r="K31" i="52"/>
  <c r="L31" i="52" s="1"/>
  <c r="K10" i="52"/>
  <c r="L10" i="52" s="1"/>
  <c r="K52" i="52"/>
  <c r="L52" i="52" s="1"/>
  <c r="N9" i="52"/>
  <c r="O9" i="52"/>
  <c r="J34" i="1"/>
  <c r="K34" i="1" s="1"/>
  <c r="B56" i="1"/>
  <c r="Q56" i="1" s="1"/>
  <c r="B36" i="1"/>
  <c r="Q36" i="1" s="1"/>
  <c r="J54" i="1"/>
  <c r="K54" i="1" s="1"/>
  <c r="J12" i="1"/>
  <c r="K12" i="1" s="1"/>
  <c r="B57" i="1"/>
  <c r="Q57" i="1" s="1"/>
  <c r="B37" i="1"/>
  <c r="Q37" i="1" s="1"/>
  <c r="M12" i="1" l="1"/>
  <c r="N12" i="1"/>
  <c r="O10" i="63"/>
  <c r="N10" i="63"/>
  <c r="K32" i="63"/>
  <c r="L32" i="63" s="1"/>
  <c r="K11" i="63"/>
  <c r="L11" i="63" s="1"/>
  <c r="K53" i="63"/>
  <c r="L53" i="63" s="1"/>
  <c r="N10" i="52"/>
  <c r="O10" i="52"/>
  <c r="K53" i="52"/>
  <c r="L53" i="52" s="1"/>
  <c r="K11" i="52"/>
  <c r="L11" i="52" s="1"/>
  <c r="K32" i="52"/>
  <c r="L32" i="52" s="1"/>
  <c r="J35" i="1"/>
  <c r="K35" i="1" s="1"/>
  <c r="J55" i="1"/>
  <c r="K55" i="1" s="1"/>
  <c r="J13" i="1"/>
  <c r="K13" i="1" s="1"/>
  <c r="B58" i="1"/>
  <c r="Q58" i="1" s="1"/>
  <c r="B38" i="1"/>
  <c r="Q38" i="1" s="1"/>
  <c r="M13" i="1" l="1"/>
  <c r="N13" i="1"/>
  <c r="N11" i="63"/>
  <c r="O11" i="63"/>
  <c r="K12" i="63"/>
  <c r="L12" i="63" s="1"/>
  <c r="K54" i="63"/>
  <c r="L54" i="63" s="1"/>
  <c r="K33" i="63"/>
  <c r="L33" i="63" s="1"/>
  <c r="N11" i="52"/>
  <c r="O11" i="52"/>
  <c r="K12" i="52"/>
  <c r="L12" i="52" s="1"/>
  <c r="K33" i="52"/>
  <c r="L33" i="52" s="1"/>
  <c r="K54" i="52"/>
  <c r="L54" i="52" s="1"/>
  <c r="J36" i="1"/>
  <c r="K36" i="1" s="1"/>
  <c r="J14" i="1"/>
  <c r="K14" i="1" s="1"/>
  <c r="B59" i="1"/>
  <c r="Q59" i="1" s="1"/>
  <c r="B39" i="1"/>
  <c r="Q39" i="1" s="1"/>
  <c r="J56" i="1"/>
  <c r="K56" i="1" s="1"/>
  <c r="N14" i="1" l="1"/>
  <c r="M14" i="1"/>
  <c r="K55" i="63"/>
  <c r="L55" i="63" s="1"/>
  <c r="K34" i="63"/>
  <c r="L34" i="63" s="1"/>
  <c r="K13" i="63"/>
  <c r="L13" i="63" s="1"/>
  <c r="N12" i="63"/>
  <c r="O12" i="63"/>
  <c r="N12" i="52"/>
  <c r="O12" i="52"/>
  <c r="K13" i="52"/>
  <c r="L13" i="52" s="1"/>
  <c r="K55" i="52"/>
  <c r="L55" i="52" s="1"/>
  <c r="K34" i="52"/>
  <c r="L34" i="52" s="1"/>
  <c r="J37" i="1"/>
  <c r="K37" i="1" s="1"/>
  <c r="J15" i="1"/>
  <c r="K15" i="1" s="1"/>
  <c r="B40" i="1"/>
  <c r="Q40" i="1" s="1"/>
  <c r="B60" i="1"/>
  <c r="Q60" i="1" s="1"/>
  <c r="J57" i="1"/>
  <c r="K57" i="1" s="1"/>
  <c r="M15" i="1" l="1"/>
  <c r="N15" i="1"/>
  <c r="O13" i="63"/>
  <c r="N13" i="63"/>
  <c r="K56" i="63"/>
  <c r="L56" i="63" s="1"/>
  <c r="K35" i="63"/>
  <c r="L35" i="63" s="1"/>
  <c r="K14" i="63"/>
  <c r="L14" i="63" s="1"/>
  <c r="K14" i="52"/>
  <c r="L14" i="52" s="1"/>
  <c r="K56" i="52"/>
  <c r="L56" i="52" s="1"/>
  <c r="K35" i="52"/>
  <c r="L35" i="52" s="1"/>
  <c r="N13" i="52"/>
  <c r="O13" i="52"/>
  <c r="J16" i="1"/>
  <c r="J38" i="1"/>
  <c r="K38" i="1" s="1"/>
  <c r="B41" i="1"/>
  <c r="Q41" i="1" s="1"/>
  <c r="B61" i="1"/>
  <c r="Q61" i="1" s="1"/>
  <c r="J58" i="1"/>
  <c r="K58" i="1" s="1"/>
  <c r="K36" i="63" l="1"/>
  <c r="L36" i="63" s="1"/>
  <c r="K57" i="63"/>
  <c r="L57" i="63" s="1"/>
  <c r="K15" i="63"/>
  <c r="L15" i="63" s="1"/>
  <c r="N14" i="63"/>
  <c r="O14" i="63"/>
  <c r="N14" i="52"/>
  <c r="O14" i="52"/>
  <c r="K15" i="52"/>
  <c r="L15" i="52" s="1"/>
  <c r="K57" i="52"/>
  <c r="L57" i="52" s="1"/>
  <c r="K36" i="52"/>
  <c r="L36" i="52" s="1"/>
  <c r="J17" i="1"/>
  <c r="K17" i="1" s="1"/>
  <c r="K16" i="1"/>
  <c r="J39" i="1"/>
  <c r="K39" i="1" s="1"/>
  <c r="J59" i="1"/>
  <c r="K59" i="1" s="1"/>
  <c r="B42" i="1"/>
  <c r="Q42" i="1" s="1"/>
  <c r="B62" i="1"/>
  <c r="Q62" i="1" s="1"/>
  <c r="M17" i="1" l="1"/>
  <c r="N17" i="1"/>
  <c r="M16" i="1"/>
  <c r="N16" i="1"/>
  <c r="O15" i="63"/>
  <c r="N15" i="63"/>
  <c r="N15" i="52"/>
  <c r="O15" i="52"/>
  <c r="J18" i="1"/>
  <c r="K18" i="1" s="1"/>
  <c r="J40" i="1"/>
  <c r="K40" i="1" s="1"/>
  <c r="J60" i="1"/>
  <c r="K60" i="1" s="1"/>
  <c r="B63" i="1"/>
  <c r="Q63" i="1" s="1"/>
  <c r="B43" i="1"/>
  <c r="Q43" i="1" s="1"/>
  <c r="N18" i="1" l="1"/>
  <c r="M18" i="1"/>
  <c r="K17" i="63"/>
  <c r="L17" i="63" s="1"/>
  <c r="K59" i="63"/>
  <c r="L59" i="63" s="1"/>
  <c r="K38" i="63"/>
  <c r="L38" i="63" s="1"/>
  <c r="K58" i="63"/>
  <c r="L58" i="63" s="1"/>
  <c r="K16" i="63"/>
  <c r="L16" i="63" s="1"/>
  <c r="K37" i="63"/>
  <c r="L37" i="63" s="1"/>
  <c r="K59" i="52"/>
  <c r="L59" i="52" s="1"/>
  <c r="K17" i="52"/>
  <c r="L17" i="52" s="1"/>
  <c r="K38" i="52"/>
  <c r="L38" i="52" s="1"/>
  <c r="K16" i="52"/>
  <c r="L16" i="52" s="1"/>
  <c r="K58" i="52"/>
  <c r="L58" i="52" s="1"/>
  <c r="K37" i="52"/>
  <c r="L37" i="52" s="1"/>
  <c r="J19" i="1"/>
  <c r="K19" i="1" s="1"/>
  <c r="J41" i="1"/>
  <c r="K41" i="1" s="1"/>
  <c r="J61" i="1"/>
  <c r="K61" i="1" s="1"/>
  <c r="M19" i="1" l="1"/>
  <c r="N19" i="1"/>
  <c r="K39" i="63"/>
  <c r="L39" i="63" s="1"/>
  <c r="K18" i="63"/>
  <c r="L18" i="63" s="1"/>
  <c r="K60" i="63"/>
  <c r="L60" i="63" s="1"/>
  <c r="N17" i="63"/>
  <c r="O17" i="63"/>
  <c r="N16" i="63"/>
  <c r="O16" i="63"/>
  <c r="K18" i="52"/>
  <c r="L18" i="52" s="1"/>
  <c r="K60" i="52"/>
  <c r="L60" i="52" s="1"/>
  <c r="K39" i="52"/>
  <c r="L39" i="52" s="1"/>
  <c r="N16" i="52"/>
  <c r="O16" i="52"/>
  <c r="N17" i="52"/>
  <c r="O17" i="52"/>
  <c r="J20" i="1"/>
  <c r="K20" i="1" s="1"/>
  <c r="J42" i="1"/>
  <c r="K42" i="1" s="1"/>
  <c r="J62" i="1"/>
  <c r="K62" i="1" s="1"/>
  <c r="N20" i="1" l="1"/>
  <c r="M20" i="1"/>
  <c r="N18" i="63"/>
  <c r="O18" i="63"/>
  <c r="K40" i="63"/>
  <c r="L40" i="63" s="1"/>
  <c r="K61" i="63"/>
  <c r="L61" i="63" s="1"/>
  <c r="K19" i="63"/>
  <c r="L19" i="63" s="1"/>
  <c r="K19" i="52"/>
  <c r="L19" i="52" s="1"/>
  <c r="K61" i="52"/>
  <c r="L61" i="52" s="1"/>
  <c r="K40" i="52"/>
  <c r="L40" i="52" s="1"/>
  <c r="O18" i="52"/>
  <c r="N18" i="52"/>
  <c r="J21" i="1"/>
  <c r="K21" i="1" s="1"/>
  <c r="J43" i="1"/>
  <c r="J63" i="1"/>
  <c r="K63" i="1" s="1"/>
  <c r="K20" i="63" l="1"/>
  <c r="L20" i="63" s="1"/>
  <c r="K62" i="63"/>
  <c r="L62" i="63" s="1"/>
  <c r="K41" i="63"/>
  <c r="L41" i="63" s="1"/>
  <c r="N19" i="63"/>
  <c r="O19" i="63"/>
  <c r="N19" i="52"/>
  <c r="O19" i="52"/>
  <c r="K62" i="52"/>
  <c r="L62" i="52" s="1"/>
  <c r="K41" i="52"/>
  <c r="L41" i="52" s="1"/>
  <c r="K20" i="52"/>
  <c r="L20" i="52" s="1"/>
  <c r="J22" i="1"/>
  <c r="K22" i="1" s="1"/>
  <c r="J44" i="1"/>
  <c r="K44" i="1" s="1"/>
  <c r="K43" i="1"/>
  <c r="M21" i="1" s="1"/>
  <c r="J64" i="1"/>
  <c r="K64" i="1" s="1"/>
  <c r="N8" i="1"/>
  <c r="N21" i="1" l="1"/>
  <c r="N22" i="1"/>
  <c r="M22" i="1"/>
  <c r="N20" i="63"/>
  <c r="O20" i="63"/>
  <c r="K42" i="63"/>
  <c r="L42" i="63" s="1"/>
  <c r="K21" i="63"/>
  <c r="L21" i="63" s="1"/>
  <c r="K63" i="63"/>
  <c r="L63" i="63" s="1"/>
  <c r="N20" i="52"/>
  <c r="O20" i="52"/>
  <c r="O12" i="1"/>
  <c r="O19" i="1"/>
  <c r="O20" i="1"/>
  <c r="O10" i="1"/>
  <c r="O13" i="1"/>
  <c r="O21" i="63" l="1"/>
  <c r="N21" i="63"/>
  <c r="K43" i="63"/>
  <c r="L43" i="63" s="1"/>
  <c r="K64" i="63"/>
  <c r="L64" i="63" s="1"/>
  <c r="K22" i="63"/>
  <c r="L22" i="63" s="1"/>
  <c r="O22" i="1"/>
  <c r="K64" i="52"/>
  <c r="L64" i="52" s="1"/>
  <c r="K43" i="52"/>
  <c r="L43" i="52" s="1"/>
  <c r="K22" i="52"/>
  <c r="L22" i="52" s="1"/>
  <c r="K63" i="52"/>
  <c r="L63" i="52" s="1"/>
  <c r="K42" i="52"/>
  <c r="L42" i="52" s="1"/>
  <c r="K21" i="52"/>
  <c r="L21" i="52" s="1"/>
  <c r="O21" i="1"/>
  <c r="O15" i="1"/>
  <c r="O18" i="1"/>
  <c r="O16" i="1"/>
  <c r="O17" i="1"/>
  <c r="O14" i="1"/>
  <c r="O11" i="1"/>
  <c r="N22" i="63" l="1"/>
  <c r="O22" i="63"/>
  <c r="N21" i="52"/>
  <c r="O21" i="52"/>
  <c r="N22" i="52"/>
  <c r="O22" i="5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Sergi Astals</author>
  </authors>
  <commentList>
    <comment ref="O4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Sergi Astals:</t>
        </r>
        <r>
          <rPr>
            <sz val="12"/>
            <color indexed="81"/>
            <rFont val="Tahoma"/>
            <family val="2"/>
          </rPr>
          <t xml:space="preserve">
Ratio to normalise the methane volume to 0 C.
For 37 C, we have stimated that the biogas at the manomenter is about 30 C aprox.
For 55 C, we have stimated that the biogas at the manomenter is about 45 C aprox.
For 20 C, we have stimated that the biogas at the manomenter is about 22 C aprox.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Sergi Astals</author>
  </authors>
  <commentList>
    <comment ref="G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Sergi Astals:</t>
        </r>
        <r>
          <rPr>
            <sz val="9"/>
            <color indexed="81"/>
            <rFont val="Tahoma"/>
            <family val="2"/>
          </rPr>
          <t xml:space="preserve">
Gas removed after sampling
YES = 1
NO = 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Sergi Astals</author>
  </authors>
  <commentList>
    <comment ref="G6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Sergi Astals:</t>
        </r>
        <r>
          <rPr>
            <sz val="9"/>
            <color indexed="81"/>
            <rFont val="Tahoma"/>
            <family val="2"/>
          </rPr>
          <t xml:space="preserve">
Gas removed after sampling
YES = 1
NO = 0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Sergi Astals</author>
  </authors>
  <commentList>
    <comment ref="G6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Sergi Astals:</t>
        </r>
        <r>
          <rPr>
            <sz val="9"/>
            <color indexed="81"/>
            <rFont val="Tahoma"/>
            <family val="2"/>
          </rPr>
          <t xml:space="preserve">
Gas removed after sampling
YES = 1
NO = 0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Sergi Astals</author>
  </authors>
  <commentList>
    <comment ref="O4" authorId="0" shapeId="0" xr:uid="{00000000-0006-0000-0400-000001000000}">
      <text>
        <r>
          <rPr>
            <b/>
            <sz val="12"/>
            <color indexed="81"/>
            <rFont val="Tahoma"/>
            <family val="2"/>
          </rPr>
          <t>Sergi Astals:</t>
        </r>
        <r>
          <rPr>
            <sz val="12"/>
            <color indexed="81"/>
            <rFont val="Tahoma"/>
            <family val="2"/>
          </rPr>
          <t xml:space="preserve">
Ratio to normalise the methane volume to 0 C.
For 37 C, we have stimated that the biogas at the manomenter is about 30 C aprox.
For 55 C, we have stimated that the biogas at the manomenter is about 45 C aprox.
For 20 C, we have stimated that the biogas at the manomenter is about 22 C aprox.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<sst xmlns="http://schemas.openxmlformats.org/spreadsheetml/2006/main" count="237" uniqueCount="56">
  <si>
    <t>Date</t>
  </si>
  <si>
    <t xml:space="preserve">Sample </t>
  </si>
  <si>
    <t xml:space="preserve">Wcrucible </t>
  </si>
  <si>
    <t xml:space="preserve">W crucible + sample </t>
  </si>
  <si>
    <t>W 105ºC</t>
  </si>
  <si>
    <t>W 550ºC</t>
  </si>
  <si>
    <t>Sòlids Totals (g/kg)</t>
  </si>
  <si>
    <t>Sòlids Volàtils (g/kg)</t>
  </si>
  <si>
    <t>% SV/ST</t>
  </si>
  <si>
    <t>Temperature assessment</t>
  </si>
  <si>
    <t>R</t>
  </si>
  <si>
    <t>(L*atm)/(K*mol)</t>
  </si>
  <si>
    <t>T gas</t>
  </si>
  <si>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</t>
    </r>
  </si>
  <si>
    <t>R volume</t>
  </si>
  <si>
    <t>inoculum (g)</t>
  </si>
  <si>
    <t>Total (g)</t>
  </si>
  <si>
    <t>Headspace</t>
  </si>
  <si>
    <t>Subs VS (g)</t>
  </si>
  <si>
    <t>Inoculum VS (g)</t>
  </si>
  <si>
    <t>ISR</t>
  </si>
  <si>
    <t>Avg. ISR</t>
  </si>
  <si>
    <t>Accumulated 
time (d)</t>
  </si>
  <si>
    <t>Methane (%)</t>
  </si>
  <si>
    <t>Bottle 
Headspace (mL)</t>
  </si>
  <si>
    <t>Removed
{YES (1), NO (0)}</t>
  </si>
  <si>
    <t>Avg. Blank  (mL/gVS)</t>
  </si>
  <si>
    <t>s</t>
  </si>
  <si>
    <t>BOTTLE 1</t>
  </si>
  <si>
    <t>BOTTLE 2</t>
  </si>
  <si>
    <t>BOTTLE 3</t>
  </si>
  <si>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  <scheme val="minor"/>
      </rPr>
      <t>P
(mbar)</t>
    </r>
  </si>
  <si>
    <t>Blank 
(mL/gVS)</t>
  </si>
  <si>
    <t>Accumulated  CH4 production (mL) 
@ STP</t>
  </si>
  <si>
    <t>Specific CH4 production (mL/g VS) 
@ STP</t>
  </si>
  <si>
    <t>Volume (mL) per mol @STP</t>
  </si>
  <si>
    <t>Volum of CH4 produced in this sample event 
(mL) @STP</t>
  </si>
  <si>
    <t>Avg. (mL/gVS)</t>
  </si>
  <si>
    <t>BOTTLE 0</t>
  </si>
  <si>
    <t xml:space="preserve">Inoculum </t>
  </si>
  <si>
    <t>Oleic Oil (g)</t>
  </si>
  <si>
    <t>water (g)</t>
  </si>
  <si>
    <t>Pw (mbar) @exp T</t>
  </si>
  <si>
    <t>Initial Weight (g)</t>
  </si>
  <si>
    <t>Final Weight (g)</t>
  </si>
  <si>
    <t>Accum. 
time (d)</t>
  </si>
  <si>
    <t>Weigh lost between sampling (g)</t>
  </si>
  <si>
    <t>Weight lost due to biogas release (g)</t>
  </si>
  <si>
    <t>CO2(%)</t>
  </si>
  <si>
    <t>weight 1</t>
  </si>
  <si>
    <t>weight 2</t>
  </si>
  <si>
    <t>Blank</t>
  </si>
  <si>
    <t>C</t>
  </si>
  <si>
    <t>CEL</t>
  </si>
  <si>
    <t>Substrate (g)</t>
  </si>
  <si>
    <t>Volume (mL)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</si>
</sst>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"/>
    <numFmt numFmtId="165" formatCode="0.0000"/>
    <numFmt numFmtId="166" formatCode="0.000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b/>
      <sz val="15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indexed="62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3"/>
      <color indexed="56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rgb="FFCC0099"/>
      <name val="Cambria"/>
      <family val="1"/>
      <scheme val="major"/>
    </font>
    <font>
      <sz val="11"/>
      <color theme="1"/>
      <name val="Calibri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1"/>
      <color rgb="FFFF00FF"/>
      <name val="Calibri"/>
      <family val="2"/>
    </font>
    <font>
      <b/>
      <sz val="11"/>
      <color rgb="FFFF00FF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1"/>
      <charset val="136"/>
      <scheme val="minor"/>
    </font>
    <font>
      <b/>
      <sz val="11"/>
      <color theme="1"/>
      <name val="Symbol"/>
      <family val="1"/>
      <charset val="2"/>
    </font>
    <font>
      <b/>
      <sz val="11"/>
      <color indexed="8"/>
      <name val="Calibri"/>
      <family val="2"/>
      <scheme val="minor"/>
    </font>
    <font>
      <b/>
      <sz val="10"/>
      <color indexed="8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1"/>
      <color theme="4" tint="0.79998168889431442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49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54D7D4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Down="1">
      <left/>
      <right/>
      <top/>
      <bottom/>
      <diagonal/>
    </border>
  </borders>
  <cellStyleXfs count="665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7" fillId="0" borderId="7" applyNumberFormat="0" applyFill="0" applyAlignment="0" applyProtection="0"/>
    <xf numFmtId="0" fontId="18" fillId="7" borderId="8" applyNumberFormat="0" applyAlignment="0" applyProtection="0"/>
    <xf numFmtId="0" fontId="3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13" borderId="0" applyNumberFormat="0" applyBorder="0" applyAlignment="0" applyProtection="0"/>
    <xf numFmtId="0" fontId="1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0" fillId="28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0" fillId="12" borderId="0" applyNumberFormat="0" applyBorder="0" applyAlignment="0" applyProtection="0"/>
    <xf numFmtId="0" fontId="20" fillId="20" borderId="0" applyNumberFormat="0" applyBorder="0" applyAlignment="0" applyProtection="0"/>
    <xf numFmtId="0" fontId="20" fillId="24" borderId="0" applyNumberFormat="0" applyBorder="0" applyAlignment="0" applyProtection="0"/>
    <xf numFmtId="0" fontId="20" fillId="32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0" fillId="9" borderId="0" applyNumberFormat="0" applyBorder="0" applyAlignment="0" applyProtection="0"/>
    <xf numFmtId="0" fontId="20" fillId="21" borderId="0" applyNumberFormat="0" applyBorder="0" applyAlignment="0" applyProtection="0"/>
    <xf numFmtId="0" fontId="20" fillId="29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16" fillId="6" borderId="5" applyNumberFormat="0" applyAlignment="0" applyProtection="0"/>
    <xf numFmtId="0" fontId="32" fillId="42" borderId="11" applyNumberFormat="0" applyAlignment="0" applyProtection="0"/>
    <xf numFmtId="0" fontId="32" fillId="42" borderId="11" applyNumberFormat="0" applyAlignment="0" applyProtection="0"/>
    <xf numFmtId="0" fontId="33" fillId="54" borderId="12" applyNumberFormat="0" applyAlignment="0" applyProtection="0"/>
    <xf numFmtId="0" fontId="33" fillId="54" borderId="12" applyNumberFormat="0" applyAlignment="0" applyProtection="0"/>
    <xf numFmtId="0" fontId="37" fillId="0" borderId="13" applyNumberFormat="0" applyFill="0" applyAlignment="0" applyProtection="0"/>
    <xf numFmtId="0" fontId="37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8" fillId="34" borderId="11" applyNumberFormat="0" applyAlignment="0" applyProtection="0"/>
    <xf numFmtId="0" fontId="28" fillId="34" borderId="11" applyNumberFormat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31" fillId="35" borderId="0" applyNumberFormat="0" applyBorder="0" applyAlignment="0" applyProtection="0"/>
    <xf numFmtId="0" fontId="31" fillId="35" borderId="0" applyNumberFormat="0" applyBorder="0" applyAlignment="0" applyProtection="0"/>
    <xf numFmtId="0" fontId="14" fillId="5" borderId="5" applyNumberFormat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7" fillId="0" borderId="0"/>
    <xf numFmtId="0" fontId="21" fillId="0" borderId="0"/>
    <xf numFmtId="0" fontId="7" fillId="0" borderId="0"/>
    <xf numFmtId="0" fontId="21" fillId="38" borderId="17" applyNumberFormat="0" applyFont="0" applyAlignment="0" applyProtection="0"/>
    <xf numFmtId="0" fontId="21" fillId="38" borderId="17" applyNumberFormat="0" applyFont="0" applyAlignment="0" applyProtection="0"/>
    <xf numFmtId="0" fontId="1" fillId="8" borderId="9" applyNumberFormat="0" applyFont="0" applyAlignment="0" applyProtection="0"/>
    <xf numFmtId="0" fontId="15" fillId="6" borderId="6" applyNumberFormat="0" applyAlignment="0" applyProtection="0"/>
    <xf numFmtId="0" fontId="39" fillId="42" borderId="18" applyNumberFormat="0" applyAlignment="0" applyProtection="0"/>
    <xf numFmtId="0" fontId="39" fillId="42" borderId="18" applyNumberFormat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25" fillId="0" borderId="14" applyNumberFormat="0" applyFill="0" applyAlignment="0" applyProtection="0"/>
    <xf numFmtId="0" fontId="25" fillId="0" borderId="14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19" applyNumberFormat="0" applyFill="0" applyAlignment="0" applyProtection="0"/>
    <xf numFmtId="0" fontId="23" fillId="0" borderId="19" applyNumberFormat="0" applyFill="0" applyAlignment="0" applyProtection="0"/>
    <xf numFmtId="0" fontId="4" fillId="0" borderId="10" applyNumberFormat="0" applyFill="0" applyAlignment="0" applyProtection="0"/>
    <xf numFmtId="0" fontId="7" fillId="0" borderId="26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4" fillId="5" borderId="5" applyNumberFormat="0" applyAlignment="0" applyProtection="0"/>
    <xf numFmtId="0" fontId="15" fillId="6" borderId="6" applyNumberFormat="0" applyAlignment="0" applyProtection="0"/>
    <xf numFmtId="0" fontId="16" fillId="6" borderId="5" applyNumberFormat="0" applyAlignment="0" applyProtection="0"/>
    <xf numFmtId="0" fontId="1" fillId="8" borderId="9" applyNumberFormat="0" applyFont="0" applyAlignment="0" applyProtection="0"/>
    <xf numFmtId="0" fontId="4" fillId="0" borderId="10" applyNumberFormat="0" applyFill="0" applyAlignment="0" applyProtection="0"/>
    <xf numFmtId="0" fontId="20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20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0" fillId="32" borderId="0" applyNumberFormat="0" applyBorder="0" applyAlignment="0" applyProtection="0"/>
    <xf numFmtId="44" fontId="7" fillId="0" borderId="26" applyFont="0" applyFill="0" applyBorder="0" applyAlignment="0" applyProtection="0"/>
    <xf numFmtId="0" fontId="7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16" fillId="6" borderId="5" applyNumberFormat="0" applyAlignment="0" applyProtection="0"/>
    <xf numFmtId="0" fontId="16" fillId="6" borderId="5" applyNumberFormat="0" applyAlignment="0" applyProtection="0"/>
    <xf numFmtId="0" fontId="16" fillId="6" borderId="5" applyNumberFormat="0" applyAlignment="0" applyProtection="0"/>
    <xf numFmtId="0" fontId="16" fillId="6" borderId="5" applyNumberFormat="0" applyAlignment="0" applyProtection="0"/>
    <xf numFmtId="0" fontId="16" fillId="6" borderId="5" applyNumberFormat="0" applyAlignment="0" applyProtection="0"/>
    <xf numFmtId="0" fontId="16" fillId="6" borderId="5" applyNumberFormat="0" applyAlignment="0" applyProtection="0"/>
    <xf numFmtId="0" fontId="16" fillId="6" borderId="5" applyNumberFormat="0" applyAlignment="0" applyProtection="0"/>
    <xf numFmtId="0" fontId="16" fillId="6" borderId="5" applyNumberFormat="0" applyAlignment="0" applyProtection="0"/>
    <xf numFmtId="0" fontId="16" fillId="6" borderId="5" applyNumberFormat="0" applyAlignment="0" applyProtection="0"/>
    <xf numFmtId="0" fontId="16" fillId="6" borderId="5" applyNumberFormat="0" applyAlignment="0" applyProtection="0"/>
    <xf numFmtId="0" fontId="16" fillId="6" borderId="5" applyNumberFormat="0" applyAlignment="0" applyProtection="0"/>
    <xf numFmtId="0" fontId="16" fillId="6" borderId="5" applyNumberFormat="0" applyAlignment="0" applyProtection="0"/>
    <xf numFmtId="0" fontId="18" fillId="7" borderId="8" applyNumberFormat="0" applyAlignment="0" applyProtection="0"/>
    <xf numFmtId="0" fontId="18" fillId="7" borderId="8" applyNumberFormat="0" applyAlignment="0" applyProtection="0"/>
    <xf numFmtId="0" fontId="18" fillId="7" borderId="8" applyNumberFormat="0" applyAlignment="0" applyProtection="0"/>
    <xf numFmtId="0" fontId="18" fillId="7" borderId="8" applyNumberFormat="0" applyAlignment="0" applyProtection="0"/>
    <xf numFmtId="0" fontId="18" fillId="7" borderId="8" applyNumberFormat="0" applyAlignment="0" applyProtection="0"/>
    <xf numFmtId="0" fontId="18" fillId="7" borderId="8" applyNumberFormat="0" applyAlignment="0" applyProtection="0"/>
    <xf numFmtId="0" fontId="18" fillId="7" borderId="8" applyNumberFormat="0" applyAlignment="0" applyProtection="0"/>
    <xf numFmtId="0" fontId="18" fillId="7" borderId="8" applyNumberFormat="0" applyAlignment="0" applyProtection="0"/>
    <xf numFmtId="0" fontId="18" fillId="7" borderId="8" applyNumberFormat="0" applyAlignment="0" applyProtection="0"/>
    <xf numFmtId="0" fontId="18" fillId="7" borderId="8" applyNumberFormat="0" applyAlignment="0" applyProtection="0"/>
    <xf numFmtId="0" fontId="18" fillId="7" borderId="8" applyNumberFormat="0" applyAlignment="0" applyProtection="0"/>
    <xf numFmtId="0" fontId="18" fillId="7" borderId="8" applyNumberFormat="0" applyAlignment="0" applyProtection="0"/>
    <xf numFmtId="0" fontId="18" fillId="7" borderId="8" applyNumberFormat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5" borderId="5" applyNumberFormat="0" applyAlignment="0" applyProtection="0"/>
    <xf numFmtId="0" fontId="14" fillId="5" borderId="5" applyNumberFormat="0" applyAlignment="0" applyProtection="0"/>
    <xf numFmtId="0" fontId="14" fillId="5" borderId="5" applyNumberFormat="0" applyAlignment="0" applyProtection="0"/>
    <xf numFmtId="0" fontId="14" fillId="5" borderId="5" applyNumberFormat="0" applyAlignment="0" applyProtection="0"/>
    <xf numFmtId="0" fontId="14" fillId="5" borderId="5" applyNumberFormat="0" applyAlignment="0" applyProtection="0"/>
    <xf numFmtId="0" fontId="14" fillId="5" borderId="5" applyNumberFormat="0" applyAlignment="0" applyProtection="0"/>
    <xf numFmtId="0" fontId="14" fillId="5" borderId="5" applyNumberFormat="0" applyAlignment="0" applyProtection="0"/>
    <xf numFmtId="0" fontId="14" fillId="5" borderId="5" applyNumberFormat="0" applyAlignment="0" applyProtection="0"/>
    <xf numFmtId="0" fontId="14" fillId="5" borderId="5" applyNumberFormat="0" applyAlignment="0" applyProtection="0"/>
    <xf numFmtId="0" fontId="14" fillId="5" borderId="5" applyNumberFormat="0" applyAlignment="0" applyProtection="0"/>
    <xf numFmtId="0" fontId="14" fillId="5" borderId="5" applyNumberFormat="0" applyAlignment="0" applyProtection="0"/>
    <xf numFmtId="0" fontId="14" fillId="5" borderId="5" applyNumberFormat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47" fillId="0" borderId="0">
      <alignment vertical="center"/>
    </xf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5" fillId="6" borderId="6" applyNumberFormat="0" applyAlignment="0" applyProtection="0"/>
    <xf numFmtId="0" fontId="15" fillId="6" borderId="6" applyNumberFormat="0" applyAlignment="0" applyProtection="0"/>
    <xf numFmtId="0" fontId="15" fillId="6" borderId="6" applyNumberFormat="0" applyAlignment="0" applyProtection="0"/>
    <xf numFmtId="0" fontId="15" fillId="6" borderId="6" applyNumberFormat="0" applyAlignment="0" applyProtection="0"/>
    <xf numFmtId="0" fontId="15" fillId="6" borderId="6" applyNumberFormat="0" applyAlignment="0" applyProtection="0"/>
    <xf numFmtId="0" fontId="15" fillId="6" borderId="6" applyNumberFormat="0" applyAlignment="0" applyProtection="0"/>
    <xf numFmtId="0" fontId="15" fillId="6" borderId="6" applyNumberFormat="0" applyAlignment="0" applyProtection="0"/>
    <xf numFmtId="0" fontId="15" fillId="6" borderId="6" applyNumberFormat="0" applyAlignment="0" applyProtection="0"/>
    <xf numFmtId="0" fontId="15" fillId="6" borderId="6" applyNumberFormat="0" applyAlignment="0" applyProtection="0"/>
    <xf numFmtId="0" fontId="15" fillId="6" borderId="6" applyNumberFormat="0" applyAlignment="0" applyProtection="0"/>
    <xf numFmtId="0" fontId="15" fillId="6" borderId="6" applyNumberFormat="0" applyAlignment="0" applyProtection="0"/>
    <xf numFmtId="0" fontId="15" fillId="6" borderId="6" applyNumberFormat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4" fillId="0" borderId="10" applyNumberFormat="0" applyFill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2">
    <xf numFmtId="0" fontId="0" fillId="0" borderId="0" xfId="0"/>
    <xf numFmtId="1" fontId="0" fillId="0" borderId="0" xfId="0" applyNumberFormat="1" applyFill="1" applyAlignment="1">
      <alignment horizontal="center" wrapText="1"/>
    </xf>
    <xf numFmtId="0" fontId="0" fillId="0" borderId="0" xfId="0"/>
    <xf numFmtId="0" fontId="23" fillId="55" borderId="23" xfId="0" applyFont="1" applyFill="1" applyBorder="1" applyAlignment="1">
      <alignment horizontal="center"/>
    </xf>
    <xf numFmtId="0" fontId="0" fillId="0" borderId="0" xfId="0"/>
    <xf numFmtId="0" fontId="22" fillId="0" borderId="0" xfId="0" applyFont="1"/>
    <xf numFmtId="0" fontId="22" fillId="55" borderId="0" xfId="0" applyFont="1" applyFill="1" applyAlignment="1">
      <alignment horizontal="center"/>
    </xf>
    <xf numFmtId="0" fontId="24" fillId="0" borderId="0" xfId="0" applyFont="1"/>
    <xf numFmtId="0" fontId="22" fillId="0" borderId="0" xfId="0" applyFont="1" applyFill="1" applyAlignment="1">
      <alignment horizontal="center"/>
    </xf>
    <xf numFmtId="0" fontId="7" fillId="0" borderId="0" xfId="0" applyFont="1" applyFill="1" applyBorder="1" applyAlignment="1"/>
    <xf numFmtId="164" fontId="0" fillId="0" borderId="0" xfId="0" applyNumberFormat="1" applyBorder="1"/>
    <xf numFmtId="1" fontId="0" fillId="0" borderId="0" xfId="0" applyNumberFormat="1" applyBorder="1"/>
    <xf numFmtId="2" fontId="0" fillId="0" borderId="0" xfId="0" applyNumberFormat="1" applyFont="1" applyFill="1" applyBorder="1" applyAlignment="1">
      <alignment horizontal="center"/>
    </xf>
    <xf numFmtId="164" fontId="0" fillId="0" borderId="0" xfId="0" applyNumberFormat="1" applyFill="1" applyBorder="1" applyAlignment="1" applyProtection="1">
      <alignment horizontal="center" vertical="center"/>
      <protection locked="0"/>
    </xf>
    <xf numFmtId="0" fontId="23" fillId="56" borderId="21" xfId="0" applyFont="1" applyFill="1" applyBorder="1" applyAlignment="1">
      <alignment horizontal="center"/>
    </xf>
    <xf numFmtId="0" fontId="23" fillId="56" borderId="22" xfId="0" applyFont="1" applyFill="1" applyBorder="1" applyAlignment="1">
      <alignment horizontal="center"/>
    </xf>
    <xf numFmtId="0" fontId="22" fillId="56" borderId="22" xfId="0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" fontId="0" fillId="0" borderId="0" xfId="0" applyNumberFormat="1" applyFill="1" applyAlignment="1">
      <alignment horizontal="center"/>
    </xf>
    <xf numFmtId="164" fontId="0" fillId="0" borderId="0" xfId="0" applyNumberFormat="1" applyFill="1" applyBorder="1"/>
    <xf numFmtId="0" fontId="0" fillId="0" borderId="0" xfId="0" applyBorder="1" applyAlignment="1">
      <alignment horizontal="right"/>
    </xf>
    <xf numFmtId="0" fontId="22" fillId="0" borderId="0" xfId="0" applyFont="1" applyFill="1" applyAlignment="1">
      <alignment horizontal="right"/>
    </xf>
    <xf numFmtId="0" fontId="0" fillId="57" borderId="0" xfId="0" applyFill="1"/>
    <xf numFmtId="0" fontId="40" fillId="57" borderId="0" xfId="0" applyFont="1" applyFill="1" applyAlignment="1">
      <alignment horizontal="center"/>
    </xf>
    <xf numFmtId="0" fontId="0" fillId="0" borderId="0" xfId="0"/>
    <xf numFmtId="0" fontId="0" fillId="0" borderId="25" xfId="0" applyFill="1" applyBorder="1" applyAlignment="1">
      <alignment horizontal="center"/>
    </xf>
    <xf numFmtId="22" fontId="0" fillId="0" borderId="0" xfId="0" applyNumberFormat="1"/>
    <xf numFmtId="0" fontId="4" fillId="59" borderId="1" xfId="0" applyFont="1" applyFill="1" applyBorder="1" applyAlignment="1">
      <alignment horizontal="center" vertical="center" wrapText="1"/>
    </xf>
    <xf numFmtId="0" fontId="4" fillId="59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2" fontId="7" fillId="0" borderId="20" xfId="0" applyNumberFormat="1" applyFont="1" applyBorder="1" applyAlignment="1">
      <alignment horizontal="right" wrapText="1"/>
    </xf>
    <xf numFmtId="0" fontId="0" fillId="57" borderId="25" xfId="0" applyFill="1" applyBorder="1"/>
    <xf numFmtId="164" fontId="7" fillId="0" borderId="24" xfId="0" applyNumberFormat="1" applyFont="1" applyBorder="1" applyAlignment="1">
      <alignment horizontal="center" wrapText="1"/>
    </xf>
    <xf numFmtId="0" fontId="0" fillId="0" borderId="0" xfId="0"/>
    <xf numFmtId="164" fontId="4" fillId="61" borderId="0" xfId="0" applyNumberFormat="1" applyFont="1" applyFill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4" fillId="60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Border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/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Fill="1" applyAlignment="1">
      <alignment horizontal="center" wrapText="1"/>
    </xf>
    <xf numFmtId="164" fontId="7" fillId="0" borderId="0" xfId="0" applyNumberFormat="1" applyFont="1" applyBorder="1" applyAlignment="1">
      <alignment horizontal="center" wrapText="1"/>
    </xf>
    <xf numFmtId="0" fontId="0" fillId="0" borderId="0" xfId="0" applyFill="1" applyBorder="1" applyAlignment="1">
      <alignment horizontal="left"/>
    </xf>
    <xf numFmtId="164" fontId="0" fillId="0" borderId="0" xfId="0" applyNumberFormat="1" applyFill="1" applyBorder="1" applyAlignment="1">
      <alignment horizontal="center" wrapText="1"/>
    </xf>
    <xf numFmtId="164" fontId="0" fillId="0" borderId="0" xfId="0" applyNumberFormat="1" applyAlignment="1">
      <alignment horizontal="center"/>
    </xf>
    <xf numFmtId="0" fontId="44" fillId="61" borderId="22" xfId="0" applyFont="1" applyFill="1" applyBorder="1" applyAlignment="1">
      <alignment horizontal="center"/>
    </xf>
    <xf numFmtId="164" fontId="0" fillId="0" borderId="25" xfId="0" applyNumberFormat="1" applyFill="1" applyBorder="1" applyAlignment="1">
      <alignment horizontal="center"/>
    </xf>
    <xf numFmtId="2" fontId="45" fillId="61" borderId="0" xfId="0" applyNumberFormat="1" applyFont="1" applyFill="1" applyBorder="1" applyAlignment="1">
      <alignment horizontal="right"/>
    </xf>
    <xf numFmtId="2" fontId="0" fillId="0" borderId="0" xfId="0" applyNumberFormat="1" applyFill="1" applyBorder="1" applyAlignment="1">
      <alignment horizontal="right"/>
    </xf>
    <xf numFmtId="0" fontId="22" fillId="62" borderId="0" xfId="0" applyFont="1" applyFill="1" applyAlignment="1">
      <alignment horizontal="right"/>
    </xf>
    <xf numFmtId="0" fontId="0" fillId="62" borderId="0" xfId="0" applyFill="1" applyBorder="1" applyAlignment="1">
      <alignment horizontal="right"/>
    </xf>
    <xf numFmtId="0" fontId="23" fillId="62" borderId="0" xfId="0" applyFont="1" applyFill="1" applyBorder="1" applyAlignment="1">
      <alignment horizontal="center"/>
    </xf>
    <xf numFmtId="0" fontId="0" fillId="62" borderId="0" xfId="0" applyFill="1"/>
    <xf numFmtId="0" fontId="20" fillId="62" borderId="0" xfId="0" applyFont="1" applyFill="1"/>
    <xf numFmtId="0" fontId="0" fillId="0" borderId="0" xfId="0" applyAlignment="1">
      <alignment vertical="top" wrapText="1"/>
    </xf>
    <xf numFmtId="0" fontId="0" fillId="0" borderId="0" xfId="0"/>
    <xf numFmtId="2" fontId="0" fillId="63" borderId="0" xfId="0" applyNumberFormat="1" applyFill="1" applyBorder="1" applyAlignment="1">
      <alignment horizontal="center"/>
    </xf>
    <xf numFmtId="0" fontId="0" fillId="63" borderId="0" xfId="0" applyFill="1" applyBorder="1" applyAlignment="1">
      <alignment horizontal="center"/>
    </xf>
    <xf numFmtId="0" fontId="44" fillId="0" borderId="0" xfId="0" applyFont="1" applyFill="1" applyBorder="1" applyAlignment="1">
      <alignment horizontal="center"/>
    </xf>
    <xf numFmtId="164" fontId="46" fillId="0" borderId="0" xfId="0" applyNumberFormat="1" applyFont="1" applyBorder="1" applyAlignment="1">
      <alignment horizontal="center"/>
    </xf>
    <xf numFmtId="0" fontId="0" fillId="0" borderId="0" xfId="0" applyBorder="1"/>
    <xf numFmtId="164" fontId="4" fillId="0" borderId="0" xfId="0" applyNumberFormat="1" applyFont="1" applyFill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Fill="1" applyAlignment="1">
      <alignment horizontal="center"/>
    </xf>
    <xf numFmtId="0" fontId="4" fillId="64" borderId="1" xfId="0" applyFont="1" applyFill="1" applyBorder="1" applyAlignment="1">
      <alignment horizontal="center" vertical="center" wrapText="1"/>
    </xf>
    <xf numFmtId="0" fontId="0" fillId="61" borderId="0" xfId="0" applyFill="1" applyBorder="1" applyAlignment="1">
      <alignment horizontal="right"/>
    </xf>
    <xf numFmtId="2" fontId="0" fillId="61" borderId="0" xfId="0" applyNumberFormat="1" applyFill="1" applyBorder="1" applyAlignment="1">
      <alignment horizontal="center"/>
    </xf>
    <xf numFmtId="0" fontId="46" fillId="0" borderId="0" xfId="0" applyFont="1" applyBorder="1" applyAlignment="1">
      <alignment horizontal="center"/>
    </xf>
    <xf numFmtId="0" fontId="46" fillId="0" borderId="0" xfId="0" applyFont="1"/>
    <xf numFmtId="164" fontId="46" fillId="0" borderId="0" xfId="0" applyNumberFormat="1" applyFont="1" applyAlignment="1">
      <alignment horizontal="center"/>
    </xf>
    <xf numFmtId="2" fontId="0" fillId="0" borderId="0" xfId="0" applyNumberFormat="1" applyFill="1" applyBorder="1" applyAlignment="1" applyProtection="1">
      <alignment horizontal="center" vertical="center"/>
      <protection locked="0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4" fontId="46" fillId="0" borderId="0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 wrapText="1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2" fontId="49" fillId="0" borderId="0" xfId="0" applyNumberFormat="1" applyFont="1" applyFill="1" applyBorder="1" applyAlignment="1">
      <alignment horizontal="center"/>
    </xf>
    <xf numFmtId="2" fontId="45" fillId="0" borderId="0" xfId="0" applyNumberFormat="1" applyFont="1" applyFill="1" applyBorder="1" applyAlignment="1">
      <alignment horizontal="center"/>
    </xf>
    <xf numFmtId="0" fontId="46" fillId="0" borderId="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2" fontId="7" fillId="0" borderId="24" xfId="0" applyNumberFormat="1" applyFont="1" applyBorder="1" applyAlignment="1">
      <alignment horizontal="center" wrapText="1"/>
    </xf>
    <xf numFmtId="0" fontId="50" fillId="55" borderId="23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top" wrapText="1"/>
    </xf>
    <xf numFmtId="166" fontId="0" fillId="0" borderId="0" xfId="0" applyNumberFormat="1"/>
    <xf numFmtId="165" fontId="0" fillId="0" borderId="0" xfId="0" applyNumberFormat="1" applyAlignment="1">
      <alignment horizontal="center"/>
    </xf>
    <xf numFmtId="165" fontId="0" fillId="0" borderId="0" xfId="0" applyNumberFormat="1" applyFill="1" applyBorder="1"/>
    <xf numFmtId="0" fontId="0" fillId="62" borderId="0" xfId="0" applyFill="1" applyBorder="1"/>
    <xf numFmtId="164" fontId="7" fillId="62" borderId="0" xfId="0" applyNumberFormat="1" applyFont="1" applyFill="1" applyBorder="1" applyAlignment="1">
      <alignment horizontal="center" wrapText="1"/>
    </xf>
    <xf numFmtId="166" fontId="0" fillId="0" borderId="0" xfId="0" applyNumberFormat="1" applyAlignment="1">
      <alignment horizontal="center"/>
    </xf>
    <xf numFmtId="166" fontId="0" fillId="0" borderId="0" xfId="0" applyNumberFormat="1" applyFill="1" applyBorder="1"/>
    <xf numFmtId="165" fontId="0" fillId="0" borderId="0" xfId="0" applyNumberFormat="1" applyFill="1" applyBorder="1" applyAlignment="1">
      <alignment horizontal="center"/>
    </xf>
    <xf numFmtId="0" fontId="51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0" fontId="0" fillId="66" borderId="0" xfId="0" applyFill="1"/>
    <xf numFmtId="0" fontId="0" fillId="63" borderId="0" xfId="0" applyFill="1"/>
    <xf numFmtId="0" fontId="0" fillId="65" borderId="0" xfId="0" applyFill="1"/>
    <xf numFmtId="165" fontId="51" fillId="0" borderId="0" xfId="0" applyNumberFormat="1" applyFont="1" applyAlignment="1">
      <alignment horizontal="center"/>
    </xf>
    <xf numFmtId="22" fontId="7" fillId="0" borderId="0" xfId="0" applyNumberFormat="1" applyFont="1" applyBorder="1" applyAlignment="1">
      <alignment horizontal="right" wrapText="1"/>
    </xf>
    <xf numFmtId="165" fontId="0" fillId="67" borderId="0" xfId="0" applyNumberFormat="1" applyFill="1"/>
    <xf numFmtId="166" fontId="0" fillId="67" borderId="0" xfId="0" applyNumberFormat="1" applyFill="1" applyAlignment="1">
      <alignment horizontal="center"/>
    </xf>
    <xf numFmtId="165" fontId="0" fillId="67" borderId="0" xfId="0" applyNumberFormat="1" applyFill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0" fontId="53" fillId="0" borderId="0" xfId="0" applyFont="1" applyAlignment="1">
      <alignment horizontal="center"/>
    </xf>
    <xf numFmtId="166" fontId="3" fillId="0" borderId="0" xfId="0" applyNumberFormat="1" applyFont="1" applyAlignment="1">
      <alignment horizontal="center"/>
    </xf>
    <xf numFmtId="0" fontId="54" fillId="0" borderId="0" xfId="0" applyFont="1" applyAlignment="1">
      <alignment horizontal="center"/>
    </xf>
    <xf numFmtId="166" fontId="46" fillId="0" borderId="0" xfId="0" applyNumberFormat="1" applyFont="1" applyAlignment="1">
      <alignment horizontal="center"/>
    </xf>
    <xf numFmtId="0" fontId="0" fillId="58" borderId="0" xfId="0" applyFill="1" applyBorder="1" applyAlignment="1">
      <alignment horizontal="center"/>
    </xf>
  </cellXfs>
  <cellStyles count="665">
    <cellStyle name="20% - Accent1" xfId="140" builtinId="30" customBuiltin="1"/>
    <cellStyle name="20% - Accent1 10" xfId="157" xr:uid="{00000000-0005-0000-0000-000001000000}"/>
    <cellStyle name="20% - Accent1 11" xfId="158" xr:uid="{00000000-0005-0000-0000-000002000000}"/>
    <cellStyle name="20% - Accent1 12" xfId="159" xr:uid="{00000000-0005-0000-0000-000003000000}"/>
    <cellStyle name="20% - Accent1 13" xfId="160" xr:uid="{00000000-0005-0000-0000-000004000000}"/>
    <cellStyle name="20% - Accent1 14" xfId="161" xr:uid="{00000000-0005-0000-0000-000005000000}"/>
    <cellStyle name="20% - Accent1 2" xfId="17" xr:uid="{00000000-0005-0000-0000-000006000000}"/>
    <cellStyle name="20% - Accent1 3" xfId="162" xr:uid="{00000000-0005-0000-0000-000007000000}"/>
    <cellStyle name="20% - Accent1 4" xfId="163" xr:uid="{00000000-0005-0000-0000-000008000000}"/>
    <cellStyle name="20% - Accent1 5" xfId="164" xr:uid="{00000000-0005-0000-0000-000009000000}"/>
    <cellStyle name="20% - Accent1 6" xfId="165" xr:uid="{00000000-0005-0000-0000-00000A000000}"/>
    <cellStyle name="20% - Accent1 7" xfId="166" xr:uid="{00000000-0005-0000-0000-00000B000000}"/>
    <cellStyle name="20% - Accent1 8" xfId="167" xr:uid="{00000000-0005-0000-0000-00000C000000}"/>
    <cellStyle name="20% - Accent1 9" xfId="168" xr:uid="{00000000-0005-0000-0000-00000D000000}"/>
    <cellStyle name="20% - Accent2" xfId="143" builtinId="34" customBuiltin="1"/>
    <cellStyle name="20% - Accent2 10" xfId="169" xr:uid="{00000000-0005-0000-0000-00000F000000}"/>
    <cellStyle name="20% - Accent2 11" xfId="170" xr:uid="{00000000-0005-0000-0000-000010000000}"/>
    <cellStyle name="20% - Accent2 12" xfId="171" xr:uid="{00000000-0005-0000-0000-000011000000}"/>
    <cellStyle name="20% - Accent2 13" xfId="172" xr:uid="{00000000-0005-0000-0000-000012000000}"/>
    <cellStyle name="20% - Accent2 14" xfId="173" xr:uid="{00000000-0005-0000-0000-000013000000}"/>
    <cellStyle name="20% - Accent2 2" xfId="18" xr:uid="{00000000-0005-0000-0000-000014000000}"/>
    <cellStyle name="20% - Accent2 3" xfId="174" xr:uid="{00000000-0005-0000-0000-000015000000}"/>
    <cellStyle name="20% - Accent2 4" xfId="175" xr:uid="{00000000-0005-0000-0000-000016000000}"/>
    <cellStyle name="20% - Accent2 5" xfId="176" xr:uid="{00000000-0005-0000-0000-000017000000}"/>
    <cellStyle name="20% - Accent2 6" xfId="177" xr:uid="{00000000-0005-0000-0000-000018000000}"/>
    <cellStyle name="20% - Accent2 7" xfId="178" xr:uid="{00000000-0005-0000-0000-000019000000}"/>
    <cellStyle name="20% - Accent2 8" xfId="179" xr:uid="{00000000-0005-0000-0000-00001A000000}"/>
    <cellStyle name="20% - Accent2 9" xfId="180" xr:uid="{00000000-0005-0000-0000-00001B000000}"/>
    <cellStyle name="20% - Accent3" xfId="144" builtinId="38" customBuiltin="1"/>
    <cellStyle name="20% - Accent3 10" xfId="181" xr:uid="{00000000-0005-0000-0000-00001D000000}"/>
    <cellStyle name="20% - Accent3 11" xfId="182" xr:uid="{00000000-0005-0000-0000-00001E000000}"/>
    <cellStyle name="20% - Accent3 12" xfId="183" xr:uid="{00000000-0005-0000-0000-00001F000000}"/>
    <cellStyle name="20% - Accent3 13" xfId="184" xr:uid="{00000000-0005-0000-0000-000020000000}"/>
    <cellStyle name="20% - Accent3 14" xfId="185" xr:uid="{00000000-0005-0000-0000-000021000000}"/>
    <cellStyle name="20% - Accent3 2" xfId="19" xr:uid="{00000000-0005-0000-0000-000022000000}"/>
    <cellStyle name="20% - Accent3 3" xfId="186" xr:uid="{00000000-0005-0000-0000-000023000000}"/>
    <cellStyle name="20% - Accent3 4" xfId="187" xr:uid="{00000000-0005-0000-0000-000024000000}"/>
    <cellStyle name="20% - Accent3 5" xfId="188" xr:uid="{00000000-0005-0000-0000-000025000000}"/>
    <cellStyle name="20% - Accent3 6" xfId="189" xr:uid="{00000000-0005-0000-0000-000026000000}"/>
    <cellStyle name="20% - Accent3 7" xfId="190" xr:uid="{00000000-0005-0000-0000-000027000000}"/>
    <cellStyle name="20% - Accent3 8" xfId="191" xr:uid="{00000000-0005-0000-0000-000028000000}"/>
    <cellStyle name="20% - Accent3 9" xfId="192" xr:uid="{00000000-0005-0000-0000-000029000000}"/>
    <cellStyle name="20% - Accent4" xfId="148" builtinId="42" customBuiltin="1"/>
    <cellStyle name="20% - Accent4 10" xfId="193" xr:uid="{00000000-0005-0000-0000-00002B000000}"/>
    <cellStyle name="20% - Accent4 11" xfId="194" xr:uid="{00000000-0005-0000-0000-00002C000000}"/>
    <cellStyle name="20% - Accent4 12" xfId="195" xr:uid="{00000000-0005-0000-0000-00002D000000}"/>
    <cellStyle name="20% - Accent4 13" xfId="196" xr:uid="{00000000-0005-0000-0000-00002E000000}"/>
    <cellStyle name="20% - Accent4 14" xfId="197" xr:uid="{00000000-0005-0000-0000-00002F000000}"/>
    <cellStyle name="20% - Accent4 2" xfId="20" xr:uid="{00000000-0005-0000-0000-000030000000}"/>
    <cellStyle name="20% - Accent4 3" xfId="198" xr:uid="{00000000-0005-0000-0000-000031000000}"/>
    <cellStyle name="20% - Accent4 4" xfId="199" xr:uid="{00000000-0005-0000-0000-000032000000}"/>
    <cellStyle name="20% - Accent4 5" xfId="200" xr:uid="{00000000-0005-0000-0000-000033000000}"/>
    <cellStyle name="20% - Accent4 6" xfId="201" xr:uid="{00000000-0005-0000-0000-000034000000}"/>
    <cellStyle name="20% - Accent4 7" xfId="202" xr:uid="{00000000-0005-0000-0000-000035000000}"/>
    <cellStyle name="20% - Accent4 8" xfId="203" xr:uid="{00000000-0005-0000-0000-000036000000}"/>
    <cellStyle name="20% - Accent4 9" xfId="204" xr:uid="{00000000-0005-0000-0000-000037000000}"/>
    <cellStyle name="20% - Accent5" xfId="14" builtinId="46" customBuiltin="1"/>
    <cellStyle name="20% - Accent5 10" xfId="205" xr:uid="{00000000-0005-0000-0000-000039000000}"/>
    <cellStyle name="20% - Accent5 11" xfId="206" xr:uid="{00000000-0005-0000-0000-00003A000000}"/>
    <cellStyle name="20% - Accent5 12" xfId="207" xr:uid="{00000000-0005-0000-0000-00003B000000}"/>
    <cellStyle name="20% - Accent5 13" xfId="208" xr:uid="{00000000-0005-0000-0000-00003C000000}"/>
    <cellStyle name="20% - Accent5 14" xfId="209" xr:uid="{00000000-0005-0000-0000-00003D000000}"/>
    <cellStyle name="20% - Accent5 2" xfId="210" xr:uid="{00000000-0005-0000-0000-00003E000000}"/>
    <cellStyle name="20% - Accent5 3" xfId="211" xr:uid="{00000000-0005-0000-0000-00003F000000}"/>
    <cellStyle name="20% - Accent5 4" xfId="212" xr:uid="{00000000-0005-0000-0000-000040000000}"/>
    <cellStyle name="20% - Accent5 5" xfId="213" xr:uid="{00000000-0005-0000-0000-000041000000}"/>
    <cellStyle name="20% - Accent5 6" xfId="214" xr:uid="{00000000-0005-0000-0000-000042000000}"/>
    <cellStyle name="20% - Accent5 7" xfId="215" xr:uid="{00000000-0005-0000-0000-000043000000}"/>
    <cellStyle name="20% - Accent5 8" xfId="216" xr:uid="{00000000-0005-0000-0000-000044000000}"/>
    <cellStyle name="20% - Accent5 9" xfId="217" xr:uid="{00000000-0005-0000-0000-000045000000}"/>
    <cellStyle name="20% - Accent6" xfId="152" builtinId="50" customBuiltin="1"/>
    <cellStyle name="20% - Accent6 10" xfId="218" xr:uid="{00000000-0005-0000-0000-000047000000}"/>
    <cellStyle name="20% - Accent6 11" xfId="219" xr:uid="{00000000-0005-0000-0000-000048000000}"/>
    <cellStyle name="20% - Accent6 12" xfId="220" xr:uid="{00000000-0005-0000-0000-000049000000}"/>
    <cellStyle name="20% - Accent6 13" xfId="221" xr:uid="{00000000-0005-0000-0000-00004A000000}"/>
    <cellStyle name="20% - Accent6 14" xfId="222" xr:uid="{00000000-0005-0000-0000-00004B000000}"/>
    <cellStyle name="20% - Accent6 2" xfId="21" xr:uid="{00000000-0005-0000-0000-00004C000000}"/>
    <cellStyle name="20% - Accent6 3" xfId="223" xr:uid="{00000000-0005-0000-0000-00004D000000}"/>
    <cellStyle name="20% - Accent6 4" xfId="224" xr:uid="{00000000-0005-0000-0000-00004E000000}"/>
    <cellStyle name="20% - Accent6 5" xfId="225" xr:uid="{00000000-0005-0000-0000-00004F000000}"/>
    <cellStyle name="20% - Accent6 6" xfId="226" xr:uid="{00000000-0005-0000-0000-000050000000}"/>
    <cellStyle name="20% - Accent6 7" xfId="227" xr:uid="{00000000-0005-0000-0000-000051000000}"/>
    <cellStyle name="20% - Accent6 8" xfId="228" xr:uid="{00000000-0005-0000-0000-000052000000}"/>
    <cellStyle name="20% - Accent6 9" xfId="229" xr:uid="{00000000-0005-0000-0000-000053000000}"/>
    <cellStyle name="20% - Énfasis1 2" xfId="22" xr:uid="{00000000-0005-0000-0000-000054000000}"/>
    <cellStyle name="20% - Énfasis1 3" xfId="23" xr:uid="{00000000-0005-0000-0000-000055000000}"/>
    <cellStyle name="20% - Énfasis2 2" xfId="24" xr:uid="{00000000-0005-0000-0000-000056000000}"/>
    <cellStyle name="20% - Énfasis2 3" xfId="25" xr:uid="{00000000-0005-0000-0000-000057000000}"/>
    <cellStyle name="20% - Énfasis3 2" xfId="26" xr:uid="{00000000-0005-0000-0000-000058000000}"/>
    <cellStyle name="20% - Énfasis3 3" xfId="27" xr:uid="{00000000-0005-0000-0000-000059000000}"/>
    <cellStyle name="20% - Énfasis4 2" xfId="28" xr:uid="{00000000-0005-0000-0000-00005A000000}"/>
    <cellStyle name="20% - Énfasis4 3" xfId="29" xr:uid="{00000000-0005-0000-0000-00005B000000}"/>
    <cellStyle name="20% - Énfasis5 2" xfId="30" xr:uid="{00000000-0005-0000-0000-00005C000000}"/>
    <cellStyle name="20% - Énfasis5 3" xfId="31" xr:uid="{00000000-0005-0000-0000-00005D000000}"/>
    <cellStyle name="20% - Énfasis6 2" xfId="32" xr:uid="{00000000-0005-0000-0000-00005E000000}"/>
    <cellStyle name="20% - Énfasis6 3" xfId="33" xr:uid="{00000000-0005-0000-0000-00005F000000}"/>
    <cellStyle name="40% - Accent1" xfId="141" builtinId="31" customBuiltin="1"/>
    <cellStyle name="40% - Accent1 10" xfId="230" xr:uid="{00000000-0005-0000-0000-000061000000}"/>
    <cellStyle name="40% - Accent1 11" xfId="231" xr:uid="{00000000-0005-0000-0000-000062000000}"/>
    <cellStyle name="40% - Accent1 12" xfId="232" xr:uid="{00000000-0005-0000-0000-000063000000}"/>
    <cellStyle name="40% - Accent1 13" xfId="233" xr:uid="{00000000-0005-0000-0000-000064000000}"/>
    <cellStyle name="40% - Accent1 14" xfId="234" xr:uid="{00000000-0005-0000-0000-000065000000}"/>
    <cellStyle name="40% - Accent1 2" xfId="34" xr:uid="{00000000-0005-0000-0000-000066000000}"/>
    <cellStyle name="40% - Accent1 3" xfId="235" xr:uid="{00000000-0005-0000-0000-000067000000}"/>
    <cellStyle name="40% - Accent1 4" xfId="236" xr:uid="{00000000-0005-0000-0000-000068000000}"/>
    <cellStyle name="40% - Accent1 5" xfId="237" xr:uid="{00000000-0005-0000-0000-000069000000}"/>
    <cellStyle name="40% - Accent1 6" xfId="238" xr:uid="{00000000-0005-0000-0000-00006A000000}"/>
    <cellStyle name="40% - Accent1 7" xfId="239" xr:uid="{00000000-0005-0000-0000-00006B000000}"/>
    <cellStyle name="40% - Accent1 8" xfId="240" xr:uid="{00000000-0005-0000-0000-00006C000000}"/>
    <cellStyle name="40% - Accent1 9" xfId="241" xr:uid="{00000000-0005-0000-0000-00006D000000}"/>
    <cellStyle name="40% - Accent2" xfId="10" builtinId="35" customBuiltin="1"/>
    <cellStyle name="40% - Accent2 10" xfId="242" xr:uid="{00000000-0005-0000-0000-00006F000000}"/>
    <cellStyle name="40% - Accent2 11" xfId="243" xr:uid="{00000000-0005-0000-0000-000070000000}"/>
    <cellStyle name="40% - Accent2 12" xfId="244" xr:uid="{00000000-0005-0000-0000-000071000000}"/>
    <cellStyle name="40% - Accent2 13" xfId="245" xr:uid="{00000000-0005-0000-0000-000072000000}"/>
    <cellStyle name="40% - Accent2 14" xfId="246" xr:uid="{00000000-0005-0000-0000-000073000000}"/>
    <cellStyle name="40% - Accent2 2" xfId="247" xr:uid="{00000000-0005-0000-0000-000074000000}"/>
    <cellStyle name="40% - Accent2 3" xfId="248" xr:uid="{00000000-0005-0000-0000-000075000000}"/>
    <cellStyle name="40% - Accent2 4" xfId="249" xr:uid="{00000000-0005-0000-0000-000076000000}"/>
    <cellStyle name="40% - Accent2 5" xfId="250" xr:uid="{00000000-0005-0000-0000-000077000000}"/>
    <cellStyle name="40% - Accent2 6" xfId="251" xr:uid="{00000000-0005-0000-0000-000078000000}"/>
    <cellStyle name="40% - Accent2 7" xfId="252" xr:uid="{00000000-0005-0000-0000-000079000000}"/>
    <cellStyle name="40% - Accent2 8" xfId="253" xr:uid="{00000000-0005-0000-0000-00007A000000}"/>
    <cellStyle name="40% - Accent2 9" xfId="254" xr:uid="{00000000-0005-0000-0000-00007B000000}"/>
    <cellStyle name="40% - Accent3" xfId="145" builtinId="39" customBuiltin="1"/>
    <cellStyle name="40% - Accent3 10" xfId="255" xr:uid="{00000000-0005-0000-0000-00007D000000}"/>
    <cellStyle name="40% - Accent3 11" xfId="256" xr:uid="{00000000-0005-0000-0000-00007E000000}"/>
    <cellStyle name="40% - Accent3 12" xfId="257" xr:uid="{00000000-0005-0000-0000-00007F000000}"/>
    <cellStyle name="40% - Accent3 13" xfId="258" xr:uid="{00000000-0005-0000-0000-000080000000}"/>
    <cellStyle name="40% - Accent3 14" xfId="259" xr:uid="{00000000-0005-0000-0000-000081000000}"/>
    <cellStyle name="40% - Accent3 2" xfId="35" xr:uid="{00000000-0005-0000-0000-000082000000}"/>
    <cellStyle name="40% - Accent3 3" xfId="260" xr:uid="{00000000-0005-0000-0000-000083000000}"/>
    <cellStyle name="40% - Accent3 4" xfId="261" xr:uid="{00000000-0005-0000-0000-000084000000}"/>
    <cellStyle name="40% - Accent3 5" xfId="262" xr:uid="{00000000-0005-0000-0000-000085000000}"/>
    <cellStyle name="40% - Accent3 6" xfId="263" xr:uid="{00000000-0005-0000-0000-000086000000}"/>
    <cellStyle name="40% - Accent3 7" xfId="264" xr:uid="{00000000-0005-0000-0000-000087000000}"/>
    <cellStyle name="40% - Accent3 8" xfId="265" xr:uid="{00000000-0005-0000-0000-000088000000}"/>
    <cellStyle name="40% - Accent3 9" xfId="266" xr:uid="{00000000-0005-0000-0000-000089000000}"/>
    <cellStyle name="40% - Accent4" xfId="149" builtinId="43" customBuiltin="1"/>
    <cellStyle name="40% - Accent4 10" xfId="267" xr:uid="{00000000-0005-0000-0000-00008B000000}"/>
    <cellStyle name="40% - Accent4 11" xfId="268" xr:uid="{00000000-0005-0000-0000-00008C000000}"/>
    <cellStyle name="40% - Accent4 12" xfId="269" xr:uid="{00000000-0005-0000-0000-00008D000000}"/>
    <cellStyle name="40% - Accent4 13" xfId="270" xr:uid="{00000000-0005-0000-0000-00008E000000}"/>
    <cellStyle name="40% - Accent4 14" xfId="271" xr:uid="{00000000-0005-0000-0000-00008F000000}"/>
    <cellStyle name="40% - Accent4 2" xfId="36" xr:uid="{00000000-0005-0000-0000-000090000000}"/>
    <cellStyle name="40% - Accent4 3" xfId="272" xr:uid="{00000000-0005-0000-0000-000091000000}"/>
    <cellStyle name="40% - Accent4 4" xfId="273" xr:uid="{00000000-0005-0000-0000-000092000000}"/>
    <cellStyle name="40% - Accent4 5" xfId="274" xr:uid="{00000000-0005-0000-0000-000093000000}"/>
    <cellStyle name="40% - Accent4 6" xfId="275" xr:uid="{00000000-0005-0000-0000-000094000000}"/>
    <cellStyle name="40% - Accent4 7" xfId="276" xr:uid="{00000000-0005-0000-0000-000095000000}"/>
    <cellStyle name="40% - Accent4 8" xfId="277" xr:uid="{00000000-0005-0000-0000-000096000000}"/>
    <cellStyle name="40% - Accent4 9" xfId="278" xr:uid="{00000000-0005-0000-0000-000097000000}"/>
    <cellStyle name="40% - Accent5" xfId="15" builtinId="47" customBuiltin="1"/>
    <cellStyle name="40% - Accent5 10" xfId="279" xr:uid="{00000000-0005-0000-0000-000099000000}"/>
    <cellStyle name="40% - Accent5 11" xfId="280" xr:uid="{00000000-0005-0000-0000-00009A000000}"/>
    <cellStyle name="40% - Accent5 12" xfId="281" xr:uid="{00000000-0005-0000-0000-00009B000000}"/>
    <cellStyle name="40% - Accent5 13" xfId="282" xr:uid="{00000000-0005-0000-0000-00009C000000}"/>
    <cellStyle name="40% - Accent5 14" xfId="283" xr:uid="{00000000-0005-0000-0000-00009D000000}"/>
    <cellStyle name="40% - Accent5 2" xfId="284" xr:uid="{00000000-0005-0000-0000-00009E000000}"/>
    <cellStyle name="40% - Accent5 3" xfId="285" xr:uid="{00000000-0005-0000-0000-00009F000000}"/>
    <cellStyle name="40% - Accent5 4" xfId="286" xr:uid="{00000000-0005-0000-0000-0000A0000000}"/>
    <cellStyle name="40% - Accent5 5" xfId="287" xr:uid="{00000000-0005-0000-0000-0000A1000000}"/>
    <cellStyle name="40% - Accent5 6" xfId="288" xr:uid="{00000000-0005-0000-0000-0000A2000000}"/>
    <cellStyle name="40% - Accent5 7" xfId="289" xr:uid="{00000000-0005-0000-0000-0000A3000000}"/>
    <cellStyle name="40% - Accent5 8" xfId="290" xr:uid="{00000000-0005-0000-0000-0000A4000000}"/>
    <cellStyle name="40% - Accent5 9" xfId="291" xr:uid="{00000000-0005-0000-0000-0000A5000000}"/>
    <cellStyle name="40% - Accent6" xfId="153" builtinId="51" customBuiltin="1"/>
    <cellStyle name="40% - Accent6 10" xfId="292" xr:uid="{00000000-0005-0000-0000-0000A7000000}"/>
    <cellStyle name="40% - Accent6 11" xfId="293" xr:uid="{00000000-0005-0000-0000-0000A8000000}"/>
    <cellStyle name="40% - Accent6 12" xfId="294" xr:uid="{00000000-0005-0000-0000-0000A9000000}"/>
    <cellStyle name="40% - Accent6 13" xfId="295" xr:uid="{00000000-0005-0000-0000-0000AA000000}"/>
    <cellStyle name="40% - Accent6 14" xfId="296" xr:uid="{00000000-0005-0000-0000-0000AB000000}"/>
    <cellStyle name="40% - Accent6 2" xfId="37" xr:uid="{00000000-0005-0000-0000-0000AC000000}"/>
    <cellStyle name="40% - Accent6 3" xfId="297" xr:uid="{00000000-0005-0000-0000-0000AD000000}"/>
    <cellStyle name="40% - Accent6 4" xfId="298" xr:uid="{00000000-0005-0000-0000-0000AE000000}"/>
    <cellStyle name="40% - Accent6 5" xfId="299" xr:uid="{00000000-0005-0000-0000-0000AF000000}"/>
    <cellStyle name="40% - Accent6 6" xfId="300" xr:uid="{00000000-0005-0000-0000-0000B0000000}"/>
    <cellStyle name="40% - Accent6 7" xfId="301" xr:uid="{00000000-0005-0000-0000-0000B1000000}"/>
    <cellStyle name="40% - Accent6 8" xfId="302" xr:uid="{00000000-0005-0000-0000-0000B2000000}"/>
    <cellStyle name="40% - Accent6 9" xfId="303" xr:uid="{00000000-0005-0000-0000-0000B3000000}"/>
    <cellStyle name="40% - Énfasis1 2" xfId="38" xr:uid="{00000000-0005-0000-0000-0000B4000000}"/>
    <cellStyle name="40% - Énfasis1 3" xfId="39" xr:uid="{00000000-0005-0000-0000-0000B5000000}"/>
    <cellStyle name="40% - Énfasis2 2" xfId="40" xr:uid="{00000000-0005-0000-0000-0000B6000000}"/>
    <cellStyle name="40% - Énfasis2 3" xfId="41" xr:uid="{00000000-0005-0000-0000-0000B7000000}"/>
    <cellStyle name="40% - Énfasis3 2" xfId="42" xr:uid="{00000000-0005-0000-0000-0000B8000000}"/>
    <cellStyle name="40% - Énfasis3 3" xfId="43" xr:uid="{00000000-0005-0000-0000-0000B9000000}"/>
    <cellStyle name="40% - Énfasis4 2" xfId="44" xr:uid="{00000000-0005-0000-0000-0000BA000000}"/>
    <cellStyle name="40% - Énfasis4 3" xfId="45" xr:uid="{00000000-0005-0000-0000-0000BB000000}"/>
    <cellStyle name="40% - Énfasis5 2" xfId="46" xr:uid="{00000000-0005-0000-0000-0000BC000000}"/>
    <cellStyle name="40% - Énfasis5 3" xfId="47" xr:uid="{00000000-0005-0000-0000-0000BD000000}"/>
    <cellStyle name="40% - Énfasis6 2" xfId="48" xr:uid="{00000000-0005-0000-0000-0000BE000000}"/>
    <cellStyle name="40% - Énfasis6 3" xfId="49" xr:uid="{00000000-0005-0000-0000-0000BF000000}"/>
    <cellStyle name="60% - Accent1" xfId="142" builtinId="32" customBuiltin="1"/>
    <cellStyle name="60% - Accent1 10" xfId="304" xr:uid="{00000000-0005-0000-0000-0000C1000000}"/>
    <cellStyle name="60% - Accent1 11" xfId="305" xr:uid="{00000000-0005-0000-0000-0000C2000000}"/>
    <cellStyle name="60% - Accent1 12" xfId="306" xr:uid="{00000000-0005-0000-0000-0000C3000000}"/>
    <cellStyle name="60% - Accent1 13" xfId="307" xr:uid="{00000000-0005-0000-0000-0000C4000000}"/>
    <cellStyle name="60% - Accent1 14" xfId="308" xr:uid="{00000000-0005-0000-0000-0000C5000000}"/>
    <cellStyle name="60% - Accent1 2" xfId="50" xr:uid="{00000000-0005-0000-0000-0000C6000000}"/>
    <cellStyle name="60% - Accent1 3" xfId="309" xr:uid="{00000000-0005-0000-0000-0000C7000000}"/>
    <cellStyle name="60% - Accent1 4" xfId="310" xr:uid="{00000000-0005-0000-0000-0000C8000000}"/>
    <cellStyle name="60% - Accent1 5" xfId="311" xr:uid="{00000000-0005-0000-0000-0000C9000000}"/>
    <cellStyle name="60% - Accent1 6" xfId="312" xr:uid="{00000000-0005-0000-0000-0000CA000000}"/>
    <cellStyle name="60% - Accent1 7" xfId="313" xr:uid="{00000000-0005-0000-0000-0000CB000000}"/>
    <cellStyle name="60% - Accent1 8" xfId="314" xr:uid="{00000000-0005-0000-0000-0000CC000000}"/>
    <cellStyle name="60% - Accent1 9" xfId="315" xr:uid="{00000000-0005-0000-0000-0000CD000000}"/>
    <cellStyle name="60% - Accent2" xfId="11" builtinId="36" customBuiltin="1"/>
    <cellStyle name="60% - Accent2 10" xfId="316" xr:uid="{00000000-0005-0000-0000-0000CF000000}"/>
    <cellStyle name="60% - Accent2 11" xfId="317" xr:uid="{00000000-0005-0000-0000-0000D0000000}"/>
    <cellStyle name="60% - Accent2 12" xfId="318" xr:uid="{00000000-0005-0000-0000-0000D1000000}"/>
    <cellStyle name="60% - Accent2 13" xfId="319" xr:uid="{00000000-0005-0000-0000-0000D2000000}"/>
    <cellStyle name="60% - Accent2 14" xfId="320" xr:uid="{00000000-0005-0000-0000-0000D3000000}"/>
    <cellStyle name="60% - Accent2 2" xfId="321" xr:uid="{00000000-0005-0000-0000-0000D4000000}"/>
    <cellStyle name="60% - Accent2 3" xfId="322" xr:uid="{00000000-0005-0000-0000-0000D5000000}"/>
    <cellStyle name="60% - Accent2 4" xfId="323" xr:uid="{00000000-0005-0000-0000-0000D6000000}"/>
    <cellStyle name="60% - Accent2 5" xfId="324" xr:uid="{00000000-0005-0000-0000-0000D7000000}"/>
    <cellStyle name="60% - Accent2 6" xfId="325" xr:uid="{00000000-0005-0000-0000-0000D8000000}"/>
    <cellStyle name="60% - Accent2 7" xfId="326" xr:uid="{00000000-0005-0000-0000-0000D9000000}"/>
    <cellStyle name="60% - Accent2 8" xfId="327" xr:uid="{00000000-0005-0000-0000-0000DA000000}"/>
    <cellStyle name="60% - Accent2 9" xfId="328" xr:uid="{00000000-0005-0000-0000-0000DB000000}"/>
    <cellStyle name="60% - Accent3" xfId="146" builtinId="40" customBuiltin="1"/>
    <cellStyle name="60% - Accent3 10" xfId="329" xr:uid="{00000000-0005-0000-0000-0000DD000000}"/>
    <cellStyle name="60% - Accent3 11" xfId="330" xr:uid="{00000000-0005-0000-0000-0000DE000000}"/>
    <cellStyle name="60% - Accent3 12" xfId="331" xr:uid="{00000000-0005-0000-0000-0000DF000000}"/>
    <cellStyle name="60% - Accent3 13" xfId="332" xr:uid="{00000000-0005-0000-0000-0000E0000000}"/>
    <cellStyle name="60% - Accent3 14" xfId="333" xr:uid="{00000000-0005-0000-0000-0000E1000000}"/>
    <cellStyle name="60% - Accent3 2" xfId="51" xr:uid="{00000000-0005-0000-0000-0000E2000000}"/>
    <cellStyle name="60% - Accent3 3" xfId="334" xr:uid="{00000000-0005-0000-0000-0000E3000000}"/>
    <cellStyle name="60% - Accent3 4" xfId="335" xr:uid="{00000000-0005-0000-0000-0000E4000000}"/>
    <cellStyle name="60% - Accent3 5" xfId="336" xr:uid="{00000000-0005-0000-0000-0000E5000000}"/>
    <cellStyle name="60% - Accent3 6" xfId="337" xr:uid="{00000000-0005-0000-0000-0000E6000000}"/>
    <cellStyle name="60% - Accent3 7" xfId="338" xr:uid="{00000000-0005-0000-0000-0000E7000000}"/>
    <cellStyle name="60% - Accent3 8" xfId="339" xr:uid="{00000000-0005-0000-0000-0000E8000000}"/>
    <cellStyle name="60% - Accent3 9" xfId="340" xr:uid="{00000000-0005-0000-0000-0000E9000000}"/>
    <cellStyle name="60% - Accent4" xfId="150" builtinId="44" customBuiltin="1"/>
    <cellStyle name="60% - Accent4 10" xfId="341" xr:uid="{00000000-0005-0000-0000-0000EB000000}"/>
    <cellStyle name="60% - Accent4 11" xfId="342" xr:uid="{00000000-0005-0000-0000-0000EC000000}"/>
    <cellStyle name="60% - Accent4 12" xfId="343" xr:uid="{00000000-0005-0000-0000-0000ED000000}"/>
    <cellStyle name="60% - Accent4 13" xfId="344" xr:uid="{00000000-0005-0000-0000-0000EE000000}"/>
    <cellStyle name="60% - Accent4 14" xfId="345" xr:uid="{00000000-0005-0000-0000-0000EF000000}"/>
    <cellStyle name="60% - Accent4 2" xfId="52" xr:uid="{00000000-0005-0000-0000-0000F0000000}"/>
    <cellStyle name="60% - Accent4 3" xfId="346" xr:uid="{00000000-0005-0000-0000-0000F1000000}"/>
    <cellStyle name="60% - Accent4 4" xfId="347" xr:uid="{00000000-0005-0000-0000-0000F2000000}"/>
    <cellStyle name="60% - Accent4 5" xfId="348" xr:uid="{00000000-0005-0000-0000-0000F3000000}"/>
    <cellStyle name="60% - Accent4 6" xfId="349" xr:uid="{00000000-0005-0000-0000-0000F4000000}"/>
    <cellStyle name="60% - Accent4 7" xfId="350" xr:uid="{00000000-0005-0000-0000-0000F5000000}"/>
    <cellStyle name="60% - Accent4 8" xfId="351" xr:uid="{00000000-0005-0000-0000-0000F6000000}"/>
    <cellStyle name="60% - Accent4 9" xfId="352" xr:uid="{00000000-0005-0000-0000-0000F7000000}"/>
    <cellStyle name="60% - Accent5" xfId="16" builtinId="48" customBuiltin="1"/>
    <cellStyle name="60% - Accent5 10" xfId="353" xr:uid="{00000000-0005-0000-0000-0000F9000000}"/>
    <cellStyle name="60% - Accent5 11" xfId="354" xr:uid="{00000000-0005-0000-0000-0000FA000000}"/>
    <cellStyle name="60% - Accent5 12" xfId="355" xr:uid="{00000000-0005-0000-0000-0000FB000000}"/>
    <cellStyle name="60% - Accent5 13" xfId="356" xr:uid="{00000000-0005-0000-0000-0000FC000000}"/>
    <cellStyle name="60% - Accent5 14" xfId="357" xr:uid="{00000000-0005-0000-0000-0000FD000000}"/>
    <cellStyle name="60% - Accent5 2" xfId="358" xr:uid="{00000000-0005-0000-0000-0000FE000000}"/>
    <cellStyle name="60% - Accent5 3" xfId="359" xr:uid="{00000000-0005-0000-0000-0000FF000000}"/>
    <cellStyle name="60% - Accent5 4" xfId="360" xr:uid="{00000000-0005-0000-0000-000000010000}"/>
    <cellStyle name="60% - Accent5 5" xfId="361" xr:uid="{00000000-0005-0000-0000-000001010000}"/>
    <cellStyle name="60% - Accent5 6" xfId="362" xr:uid="{00000000-0005-0000-0000-000002010000}"/>
    <cellStyle name="60% - Accent5 7" xfId="363" xr:uid="{00000000-0005-0000-0000-000003010000}"/>
    <cellStyle name="60% - Accent5 8" xfId="364" xr:uid="{00000000-0005-0000-0000-000004010000}"/>
    <cellStyle name="60% - Accent5 9" xfId="365" xr:uid="{00000000-0005-0000-0000-000005010000}"/>
    <cellStyle name="60% - Accent6" xfId="154" builtinId="52" customBuiltin="1"/>
    <cellStyle name="60% - Accent6 10" xfId="366" xr:uid="{00000000-0005-0000-0000-000007010000}"/>
    <cellStyle name="60% - Accent6 11" xfId="367" xr:uid="{00000000-0005-0000-0000-000008010000}"/>
    <cellStyle name="60% - Accent6 12" xfId="368" xr:uid="{00000000-0005-0000-0000-000009010000}"/>
    <cellStyle name="60% - Accent6 13" xfId="369" xr:uid="{00000000-0005-0000-0000-00000A010000}"/>
    <cellStyle name="60% - Accent6 14" xfId="370" xr:uid="{00000000-0005-0000-0000-00000B010000}"/>
    <cellStyle name="60% - Accent6 2" xfId="53" xr:uid="{00000000-0005-0000-0000-00000C010000}"/>
    <cellStyle name="60% - Accent6 3" xfId="371" xr:uid="{00000000-0005-0000-0000-00000D010000}"/>
    <cellStyle name="60% - Accent6 4" xfId="372" xr:uid="{00000000-0005-0000-0000-00000E010000}"/>
    <cellStyle name="60% - Accent6 5" xfId="373" xr:uid="{00000000-0005-0000-0000-00000F010000}"/>
    <cellStyle name="60% - Accent6 6" xfId="374" xr:uid="{00000000-0005-0000-0000-000010010000}"/>
    <cellStyle name="60% - Accent6 7" xfId="375" xr:uid="{00000000-0005-0000-0000-000011010000}"/>
    <cellStyle name="60% - Accent6 8" xfId="376" xr:uid="{00000000-0005-0000-0000-000012010000}"/>
    <cellStyle name="60% - Accent6 9" xfId="377" xr:uid="{00000000-0005-0000-0000-000013010000}"/>
    <cellStyle name="60% - Énfasis1 2" xfId="54" xr:uid="{00000000-0005-0000-0000-000014010000}"/>
    <cellStyle name="60% - Énfasis1 3" xfId="55" xr:uid="{00000000-0005-0000-0000-000015010000}"/>
    <cellStyle name="60% - Énfasis2 2" xfId="56" xr:uid="{00000000-0005-0000-0000-000016010000}"/>
    <cellStyle name="60% - Énfasis2 3" xfId="57" xr:uid="{00000000-0005-0000-0000-000017010000}"/>
    <cellStyle name="60% - Énfasis3 2" xfId="58" xr:uid="{00000000-0005-0000-0000-000018010000}"/>
    <cellStyle name="60% - Énfasis3 3" xfId="59" xr:uid="{00000000-0005-0000-0000-000019010000}"/>
    <cellStyle name="60% - Énfasis4 2" xfId="60" xr:uid="{00000000-0005-0000-0000-00001A010000}"/>
    <cellStyle name="60% - Énfasis4 3" xfId="61" xr:uid="{00000000-0005-0000-0000-00001B010000}"/>
    <cellStyle name="60% - Énfasis5 2" xfId="62" xr:uid="{00000000-0005-0000-0000-00001C010000}"/>
    <cellStyle name="60% - Énfasis5 3" xfId="63" xr:uid="{00000000-0005-0000-0000-00001D010000}"/>
    <cellStyle name="60% - Énfasis6 2" xfId="64" xr:uid="{00000000-0005-0000-0000-00001E010000}"/>
    <cellStyle name="60% - Énfasis6 3" xfId="65" xr:uid="{00000000-0005-0000-0000-00001F010000}"/>
    <cellStyle name="Accent1" xfId="139" builtinId="29" customBuiltin="1"/>
    <cellStyle name="Accent1 10" xfId="378" xr:uid="{00000000-0005-0000-0000-000021010000}"/>
    <cellStyle name="Accent1 11" xfId="379" xr:uid="{00000000-0005-0000-0000-000022010000}"/>
    <cellStyle name="Accent1 12" xfId="380" xr:uid="{00000000-0005-0000-0000-000023010000}"/>
    <cellStyle name="Accent1 13" xfId="381" xr:uid="{00000000-0005-0000-0000-000024010000}"/>
    <cellStyle name="Accent1 14" xfId="382" xr:uid="{00000000-0005-0000-0000-000025010000}"/>
    <cellStyle name="Accent1 2" xfId="66" xr:uid="{00000000-0005-0000-0000-000026010000}"/>
    <cellStyle name="Accent1 3" xfId="383" xr:uid="{00000000-0005-0000-0000-000027010000}"/>
    <cellStyle name="Accent1 4" xfId="384" xr:uid="{00000000-0005-0000-0000-000028010000}"/>
    <cellStyle name="Accent1 5" xfId="385" xr:uid="{00000000-0005-0000-0000-000029010000}"/>
    <cellStyle name="Accent1 6" xfId="386" xr:uid="{00000000-0005-0000-0000-00002A010000}"/>
    <cellStyle name="Accent1 7" xfId="387" xr:uid="{00000000-0005-0000-0000-00002B010000}"/>
    <cellStyle name="Accent1 8" xfId="388" xr:uid="{00000000-0005-0000-0000-00002C010000}"/>
    <cellStyle name="Accent1 9" xfId="389" xr:uid="{00000000-0005-0000-0000-00002D010000}"/>
    <cellStyle name="Accent2" xfId="9" builtinId="33" customBuiltin="1"/>
    <cellStyle name="Accent2 10" xfId="390" xr:uid="{00000000-0005-0000-0000-00002F010000}"/>
    <cellStyle name="Accent2 11" xfId="391" xr:uid="{00000000-0005-0000-0000-000030010000}"/>
    <cellStyle name="Accent2 12" xfId="392" xr:uid="{00000000-0005-0000-0000-000031010000}"/>
    <cellStyle name="Accent2 13" xfId="393" xr:uid="{00000000-0005-0000-0000-000032010000}"/>
    <cellStyle name="Accent2 14" xfId="394" xr:uid="{00000000-0005-0000-0000-000033010000}"/>
    <cellStyle name="Accent2 2" xfId="395" xr:uid="{00000000-0005-0000-0000-000034010000}"/>
    <cellStyle name="Accent2 3" xfId="396" xr:uid="{00000000-0005-0000-0000-000035010000}"/>
    <cellStyle name="Accent2 4" xfId="397" xr:uid="{00000000-0005-0000-0000-000036010000}"/>
    <cellStyle name="Accent2 5" xfId="398" xr:uid="{00000000-0005-0000-0000-000037010000}"/>
    <cellStyle name="Accent2 6" xfId="399" xr:uid="{00000000-0005-0000-0000-000038010000}"/>
    <cellStyle name="Accent2 7" xfId="400" xr:uid="{00000000-0005-0000-0000-000039010000}"/>
    <cellStyle name="Accent2 8" xfId="401" xr:uid="{00000000-0005-0000-0000-00003A010000}"/>
    <cellStyle name="Accent2 9" xfId="402" xr:uid="{00000000-0005-0000-0000-00003B010000}"/>
    <cellStyle name="Accent3" xfId="12" builtinId="37" customBuiltin="1"/>
    <cellStyle name="Accent3 10" xfId="403" xr:uid="{00000000-0005-0000-0000-00003D010000}"/>
    <cellStyle name="Accent3 11" xfId="404" xr:uid="{00000000-0005-0000-0000-00003E010000}"/>
    <cellStyle name="Accent3 12" xfId="405" xr:uid="{00000000-0005-0000-0000-00003F010000}"/>
    <cellStyle name="Accent3 13" xfId="406" xr:uid="{00000000-0005-0000-0000-000040010000}"/>
    <cellStyle name="Accent3 14" xfId="407" xr:uid="{00000000-0005-0000-0000-000041010000}"/>
    <cellStyle name="Accent3 2" xfId="408" xr:uid="{00000000-0005-0000-0000-000042010000}"/>
    <cellStyle name="Accent3 3" xfId="409" xr:uid="{00000000-0005-0000-0000-000043010000}"/>
    <cellStyle name="Accent3 4" xfId="410" xr:uid="{00000000-0005-0000-0000-000044010000}"/>
    <cellStyle name="Accent3 5" xfId="411" xr:uid="{00000000-0005-0000-0000-000045010000}"/>
    <cellStyle name="Accent3 6" xfId="412" xr:uid="{00000000-0005-0000-0000-000046010000}"/>
    <cellStyle name="Accent3 7" xfId="413" xr:uid="{00000000-0005-0000-0000-000047010000}"/>
    <cellStyle name="Accent3 8" xfId="414" xr:uid="{00000000-0005-0000-0000-000048010000}"/>
    <cellStyle name="Accent3 9" xfId="415" xr:uid="{00000000-0005-0000-0000-000049010000}"/>
    <cellStyle name="Accent4" xfId="147" builtinId="41" customBuiltin="1"/>
    <cellStyle name="Accent4 10" xfId="416" xr:uid="{00000000-0005-0000-0000-00004B010000}"/>
    <cellStyle name="Accent4 11" xfId="417" xr:uid="{00000000-0005-0000-0000-00004C010000}"/>
    <cellStyle name="Accent4 12" xfId="418" xr:uid="{00000000-0005-0000-0000-00004D010000}"/>
    <cellStyle name="Accent4 13" xfId="419" xr:uid="{00000000-0005-0000-0000-00004E010000}"/>
    <cellStyle name="Accent4 14" xfId="420" xr:uid="{00000000-0005-0000-0000-00004F010000}"/>
    <cellStyle name="Accent4 2" xfId="67" xr:uid="{00000000-0005-0000-0000-000050010000}"/>
    <cellStyle name="Accent4 3" xfId="421" xr:uid="{00000000-0005-0000-0000-000051010000}"/>
    <cellStyle name="Accent4 4" xfId="422" xr:uid="{00000000-0005-0000-0000-000052010000}"/>
    <cellStyle name="Accent4 5" xfId="423" xr:uid="{00000000-0005-0000-0000-000053010000}"/>
    <cellStyle name="Accent4 6" xfId="424" xr:uid="{00000000-0005-0000-0000-000054010000}"/>
    <cellStyle name="Accent4 7" xfId="425" xr:uid="{00000000-0005-0000-0000-000055010000}"/>
    <cellStyle name="Accent4 8" xfId="426" xr:uid="{00000000-0005-0000-0000-000056010000}"/>
    <cellStyle name="Accent4 9" xfId="427" xr:uid="{00000000-0005-0000-0000-000057010000}"/>
    <cellStyle name="Accent5" xfId="13" builtinId="45" customBuiltin="1"/>
    <cellStyle name="Accent5 10" xfId="428" xr:uid="{00000000-0005-0000-0000-000059010000}"/>
    <cellStyle name="Accent5 11" xfId="429" xr:uid="{00000000-0005-0000-0000-00005A010000}"/>
    <cellStyle name="Accent5 12" xfId="430" xr:uid="{00000000-0005-0000-0000-00005B010000}"/>
    <cellStyle name="Accent5 13" xfId="431" xr:uid="{00000000-0005-0000-0000-00005C010000}"/>
    <cellStyle name="Accent5 14" xfId="432" xr:uid="{00000000-0005-0000-0000-00005D010000}"/>
    <cellStyle name="Accent5 2" xfId="433" xr:uid="{00000000-0005-0000-0000-00005E010000}"/>
    <cellStyle name="Accent5 3" xfId="434" xr:uid="{00000000-0005-0000-0000-00005F010000}"/>
    <cellStyle name="Accent5 4" xfId="435" xr:uid="{00000000-0005-0000-0000-000060010000}"/>
    <cellStyle name="Accent5 5" xfId="436" xr:uid="{00000000-0005-0000-0000-000061010000}"/>
    <cellStyle name="Accent5 6" xfId="437" xr:uid="{00000000-0005-0000-0000-000062010000}"/>
    <cellStyle name="Accent5 7" xfId="438" xr:uid="{00000000-0005-0000-0000-000063010000}"/>
    <cellStyle name="Accent5 8" xfId="439" xr:uid="{00000000-0005-0000-0000-000064010000}"/>
    <cellStyle name="Accent5 9" xfId="440" xr:uid="{00000000-0005-0000-0000-000065010000}"/>
    <cellStyle name="Accent6" xfId="151" builtinId="49" customBuiltin="1"/>
    <cellStyle name="Accent6 10" xfId="441" xr:uid="{00000000-0005-0000-0000-000067010000}"/>
    <cellStyle name="Accent6 11" xfId="442" xr:uid="{00000000-0005-0000-0000-000068010000}"/>
    <cellStyle name="Accent6 12" xfId="443" xr:uid="{00000000-0005-0000-0000-000069010000}"/>
    <cellStyle name="Accent6 13" xfId="444" xr:uid="{00000000-0005-0000-0000-00006A010000}"/>
    <cellStyle name="Accent6 14" xfId="445" xr:uid="{00000000-0005-0000-0000-00006B010000}"/>
    <cellStyle name="Accent6 2" xfId="68" xr:uid="{00000000-0005-0000-0000-00006C010000}"/>
    <cellStyle name="Accent6 3" xfId="446" xr:uid="{00000000-0005-0000-0000-00006D010000}"/>
    <cellStyle name="Accent6 4" xfId="447" xr:uid="{00000000-0005-0000-0000-00006E010000}"/>
    <cellStyle name="Accent6 5" xfId="448" xr:uid="{00000000-0005-0000-0000-00006F010000}"/>
    <cellStyle name="Accent6 6" xfId="449" xr:uid="{00000000-0005-0000-0000-000070010000}"/>
    <cellStyle name="Accent6 7" xfId="450" xr:uid="{00000000-0005-0000-0000-000071010000}"/>
    <cellStyle name="Accent6 8" xfId="451" xr:uid="{00000000-0005-0000-0000-000072010000}"/>
    <cellStyle name="Accent6 9" xfId="452" xr:uid="{00000000-0005-0000-0000-000073010000}"/>
    <cellStyle name="Bad" xfId="1" builtinId="27" customBuiltin="1"/>
    <cellStyle name="Bad 10" xfId="453" xr:uid="{00000000-0005-0000-0000-000075010000}"/>
    <cellStyle name="Bad 11" xfId="454" xr:uid="{00000000-0005-0000-0000-000076010000}"/>
    <cellStyle name="Bad 12" xfId="455" xr:uid="{00000000-0005-0000-0000-000077010000}"/>
    <cellStyle name="Bad 13" xfId="456" xr:uid="{00000000-0005-0000-0000-000078010000}"/>
    <cellStyle name="Bad 14" xfId="457" xr:uid="{00000000-0005-0000-0000-000079010000}"/>
    <cellStyle name="Bad 2" xfId="458" xr:uid="{00000000-0005-0000-0000-00007A010000}"/>
    <cellStyle name="Bad 3" xfId="459" xr:uid="{00000000-0005-0000-0000-00007B010000}"/>
    <cellStyle name="Bad 4" xfId="460" xr:uid="{00000000-0005-0000-0000-00007C010000}"/>
    <cellStyle name="Bad 5" xfId="461" xr:uid="{00000000-0005-0000-0000-00007D010000}"/>
    <cellStyle name="Bad 6" xfId="462" xr:uid="{00000000-0005-0000-0000-00007E010000}"/>
    <cellStyle name="Bad 7" xfId="463" xr:uid="{00000000-0005-0000-0000-00007F010000}"/>
    <cellStyle name="Bad 8" xfId="464" xr:uid="{00000000-0005-0000-0000-000080010000}"/>
    <cellStyle name="Bad 9" xfId="465" xr:uid="{00000000-0005-0000-0000-000081010000}"/>
    <cellStyle name="Buena 2" xfId="69" xr:uid="{00000000-0005-0000-0000-000082010000}"/>
    <cellStyle name="Buena 3" xfId="70" xr:uid="{00000000-0005-0000-0000-000083010000}"/>
    <cellStyle name="Calculation" xfId="136" builtinId="22" customBuiltin="1"/>
    <cellStyle name="Calculation 10" xfId="466" xr:uid="{00000000-0005-0000-0000-000085010000}"/>
    <cellStyle name="Calculation 11" xfId="467" xr:uid="{00000000-0005-0000-0000-000086010000}"/>
    <cellStyle name="Calculation 12" xfId="468" xr:uid="{00000000-0005-0000-0000-000087010000}"/>
    <cellStyle name="Calculation 13" xfId="469" xr:uid="{00000000-0005-0000-0000-000088010000}"/>
    <cellStyle name="Calculation 14" xfId="470" xr:uid="{00000000-0005-0000-0000-000089010000}"/>
    <cellStyle name="Calculation 2" xfId="71" xr:uid="{00000000-0005-0000-0000-00008A010000}"/>
    <cellStyle name="Calculation 3" xfId="471" xr:uid="{00000000-0005-0000-0000-00008B010000}"/>
    <cellStyle name="Calculation 4" xfId="472" xr:uid="{00000000-0005-0000-0000-00008C010000}"/>
    <cellStyle name="Calculation 5" xfId="473" xr:uid="{00000000-0005-0000-0000-00008D010000}"/>
    <cellStyle name="Calculation 6" xfId="474" xr:uid="{00000000-0005-0000-0000-00008E010000}"/>
    <cellStyle name="Calculation 7" xfId="475" xr:uid="{00000000-0005-0000-0000-00008F010000}"/>
    <cellStyle name="Calculation 8" xfId="476" xr:uid="{00000000-0005-0000-0000-000090010000}"/>
    <cellStyle name="Calculation 9" xfId="477" xr:uid="{00000000-0005-0000-0000-000091010000}"/>
    <cellStyle name="Cálculo 2" xfId="72" xr:uid="{00000000-0005-0000-0000-000092010000}"/>
    <cellStyle name="Cálculo 3" xfId="73" xr:uid="{00000000-0005-0000-0000-000093010000}"/>
    <cellStyle name="Celda de comprobación 2" xfId="74" xr:uid="{00000000-0005-0000-0000-000094010000}"/>
    <cellStyle name="Celda de comprobación 3" xfId="75" xr:uid="{00000000-0005-0000-0000-000095010000}"/>
    <cellStyle name="Celda vinculada 2" xfId="76" xr:uid="{00000000-0005-0000-0000-000096010000}"/>
    <cellStyle name="Celda vinculada 3" xfId="77" xr:uid="{00000000-0005-0000-0000-000097010000}"/>
    <cellStyle name="Check Cell" xfId="6" builtinId="23" customBuiltin="1"/>
    <cellStyle name="Check Cell 10" xfId="478" xr:uid="{00000000-0005-0000-0000-000099010000}"/>
    <cellStyle name="Check Cell 11" xfId="479" xr:uid="{00000000-0005-0000-0000-00009A010000}"/>
    <cellStyle name="Check Cell 12" xfId="480" xr:uid="{00000000-0005-0000-0000-00009B010000}"/>
    <cellStyle name="Check Cell 13" xfId="481" xr:uid="{00000000-0005-0000-0000-00009C010000}"/>
    <cellStyle name="Check Cell 14" xfId="482" xr:uid="{00000000-0005-0000-0000-00009D010000}"/>
    <cellStyle name="Check Cell 2" xfId="483" xr:uid="{00000000-0005-0000-0000-00009E010000}"/>
    <cellStyle name="Check Cell 3" xfId="484" xr:uid="{00000000-0005-0000-0000-00009F010000}"/>
    <cellStyle name="Check Cell 4" xfId="485" xr:uid="{00000000-0005-0000-0000-0000A0010000}"/>
    <cellStyle name="Check Cell 5" xfId="486" xr:uid="{00000000-0005-0000-0000-0000A1010000}"/>
    <cellStyle name="Check Cell 6" xfId="487" xr:uid="{00000000-0005-0000-0000-0000A2010000}"/>
    <cellStyle name="Check Cell 7" xfId="488" xr:uid="{00000000-0005-0000-0000-0000A3010000}"/>
    <cellStyle name="Check Cell 8" xfId="489" xr:uid="{00000000-0005-0000-0000-0000A4010000}"/>
    <cellStyle name="Check Cell 9" xfId="490" xr:uid="{00000000-0005-0000-0000-0000A5010000}"/>
    <cellStyle name="Currency 2" xfId="155" xr:uid="{00000000-0005-0000-0000-0000A6010000}"/>
    <cellStyle name="Encabezado 4 2" xfId="78" xr:uid="{00000000-0005-0000-0000-0000A7010000}"/>
    <cellStyle name="Encabezado 4 3" xfId="79" xr:uid="{00000000-0005-0000-0000-0000A8010000}"/>
    <cellStyle name="Énfasis1 2" xfId="80" xr:uid="{00000000-0005-0000-0000-0000A9010000}"/>
    <cellStyle name="Énfasis1 3" xfId="81" xr:uid="{00000000-0005-0000-0000-0000AA010000}"/>
    <cellStyle name="Énfasis2 2" xfId="82" xr:uid="{00000000-0005-0000-0000-0000AB010000}"/>
    <cellStyle name="Énfasis2 3" xfId="83" xr:uid="{00000000-0005-0000-0000-0000AC010000}"/>
    <cellStyle name="Énfasis3 2" xfId="84" xr:uid="{00000000-0005-0000-0000-0000AD010000}"/>
    <cellStyle name="Énfasis3 3" xfId="85" xr:uid="{00000000-0005-0000-0000-0000AE010000}"/>
    <cellStyle name="Énfasis4 2" xfId="86" xr:uid="{00000000-0005-0000-0000-0000AF010000}"/>
    <cellStyle name="Énfasis4 3" xfId="87" xr:uid="{00000000-0005-0000-0000-0000B0010000}"/>
    <cellStyle name="Énfasis5 2" xfId="88" xr:uid="{00000000-0005-0000-0000-0000B1010000}"/>
    <cellStyle name="Énfasis5 3" xfId="89" xr:uid="{00000000-0005-0000-0000-0000B2010000}"/>
    <cellStyle name="Énfasis6 2" xfId="90" xr:uid="{00000000-0005-0000-0000-0000B3010000}"/>
    <cellStyle name="Énfasis6 3" xfId="91" xr:uid="{00000000-0005-0000-0000-0000B4010000}"/>
    <cellStyle name="Entrada 2" xfId="92" xr:uid="{00000000-0005-0000-0000-0000B5010000}"/>
    <cellStyle name="Entrada 3" xfId="93" xr:uid="{00000000-0005-0000-0000-0000B6010000}"/>
    <cellStyle name="Explanatory Text" xfId="8" builtinId="53" customBuiltin="1"/>
    <cellStyle name="Explanatory Text 10" xfId="491" xr:uid="{00000000-0005-0000-0000-0000B8010000}"/>
    <cellStyle name="Explanatory Text 11" xfId="492" xr:uid="{00000000-0005-0000-0000-0000B9010000}"/>
    <cellStyle name="Explanatory Text 12" xfId="493" xr:uid="{00000000-0005-0000-0000-0000BA010000}"/>
    <cellStyle name="Explanatory Text 13" xfId="494" xr:uid="{00000000-0005-0000-0000-0000BB010000}"/>
    <cellStyle name="Explanatory Text 14" xfId="495" xr:uid="{00000000-0005-0000-0000-0000BC010000}"/>
    <cellStyle name="Explanatory Text 2" xfId="496" xr:uid="{00000000-0005-0000-0000-0000BD010000}"/>
    <cellStyle name="Explanatory Text 3" xfId="497" xr:uid="{00000000-0005-0000-0000-0000BE010000}"/>
    <cellStyle name="Explanatory Text 4" xfId="498" xr:uid="{00000000-0005-0000-0000-0000BF010000}"/>
    <cellStyle name="Explanatory Text 5" xfId="499" xr:uid="{00000000-0005-0000-0000-0000C0010000}"/>
    <cellStyle name="Explanatory Text 6" xfId="500" xr:uid="{00000000-0005-0000-0000-0000C1010000}"/>
    <cellStyle name="Explanatory Text 7" xfId="501" xr:uid="{00000000-0005-0000-0000-0000C2010000}"/>
    <cellStyle name="Explanatory Text 8" xfId="502" xr:uid="{00000000-0005-0000-0000-0000C3010000}"/>
    <cellStyle name="Explanatory Text 9" xfId="503" xr:uid="{00000000-0005-0000-0000-0000C4010000}"/>
    <cellStyle name="Good" xfId="3" builtinId="26" customBuiltin="1"/>
    <cellStyle name="Good 10" xfId="504" xr:uid="{00000000-0005-0000-0000-0000C6010000}"/>
    <cellStyle name="Good 11" xfId="505" xr:uid="{00000000-0005-0000-0000-0000C7010000}"/>
    <cellStyle name="Good 12" xfId="506" xr:uid="{00000000-0005-0000-0000-0000C8010000}"/>
    <cellStyle name="Good 13" xfId="507" xr:uid="{00000000-0005-0000-0000-0000C9010000}"/>
    <cellStyle name="Good 14" xfId="508" xr:uid="{00000000-0005-0000-0000-0000CA010000}"/>
    <cellStyle name="Good 2" xfId="509" xr:uid="{00000000-0005-0000-0000-0000CB010000}"/>
    <cellStyle name="Good 3" xfId="510" xr:uid="{00000000-0005-0000-0000-0000CC010000}"/>
    <cellStyle name="Good 4" xfId="511" xr:uid="{00000000-0005-0000-0000-0000CD010000}"/>
    <cellStyle name="Good 5" xfId="512" xr:uid="{00000000-0005-0000-0000-0000CE010000}"/>
    <cellStyle name="Good 6" xfId="513" xr:uid="{00000000-0005-0000-0000-0000CF010000}"/>
    <cellStyle name="Good 7" xfId="514" xr:uid="{00000000-0005-0000-0000-0000D0010000}"/>
    <cellStyle name="Good 8" xfId="515" xr:uid="{00000000-0005-0000-0000-0000D1010000}"/>
    <cellStyle name="Good 9" xfId="516" xr:uid="{00000000-0005-0000-0000-0000D2010000}"/>
    <cellStyle name="Heading 1" xfId="130" builtinId="16" customBuiltin="1"/>
    <cellStyle name="Heading 1 10" xfId="517" xr:uid="{00000000-0005-0000-0000-0000D4010000}"/>
    <cellStyle name="Heading 1 11" xfId="518" xr:uid="{00000000-0005-0000-0000-0000D5010000}"/>
    <cellStyle name="Heading 1 12" xfId="519" xr:uid="{00000000-0005-0000-0000-0000D6010000}"/>
    <cellStyle name="Heading 1 13" xfId="520" xr:uid="{00000000-0005-0000-0000-0000D7010000}"/>
    <cellStyle name="Heading 1 14" xfId="521" xr:uid="{00000000-0005-0000-0000-0000D8010000}"/>
    <cellStyle name="Heading 1 2" xfId="94" xr:uid="{00000000-0005-0000-0000-0000D9010000}"/>
    <cellStyle name="Heading 1 3" xfId="522" xr:uid="{00000000-0005-0000-0000-0000DA010000}"/>
    <cellStyle name="Heading 1 4" xfId="523" xr:uid="{00000000-0005-0000-0000-0000DB010000}"/>
    <cellStyle name="Heading 1 5" xfId="524" xr:uid="{00000000-0005-0000-0000-0000DC010000}"/>
    <cellStyle name="Heading 1 6" xfId="525" xr:uid="{00000000-0005-0000-0000-0000DD010000}"/>
    <cellStyle name="Heading 1 7" xfId="526" xr:uid="{00000000-0005-0000-0000-0000DE010000}"/>
    <cellStyle name="Heading 1 8" xfId="527" xr:uid="{00000000-0005-0000-0000-0000DF010000}"/>
    <cellStyle name="Heading 1 9" xfId="528" xr:uid="{00000000-0005-0000-0000-0000E0010000}"/>
    <cellStyle name="Heading 2" xfId="131" builtinId="17" customBuiltin="1"/>
    <cellStyle name="Heading 2 10" xfId="529" xr:uid="{00000000-0005-0000-0000-0000E2010000}"/>
    <cellStyle name="Heading 2 11" xfId="530" xr:uid="{00000000-0005-0000-0000-0000E3010000}"/>
    <cellStyle name="Heading 2 12" xfId="531" xr:uid="{00000000-0005-0000-0000-0000E4010000}"/>
    <cellStyle name="Heading 2 13" xfId="532" xr:uid="{00000000-0005-0000-0000-0000E5010000}"/>
    <cellStyle name="Heading 2 14" xfId="533" xr:uid="{00000000-0005-0000-0000-0000E6010000}"/>
    <cellStyle name="Heading 2 2" xfId="95" xr:uid="{00000000-0005-0000-0000-0000E7010000}"/>
    <cellStyle name="Heading 2 3" xfId="534" xr:uid="{00000000-0005-0000-0000-0000E8010000}"/>
    <cellStyle name="Heading 2 4" xfId="535" xr:uid="{00000000-0005-0000-0000-0000E9010000}"/>
    <cellStyle name="Heading 2 5" xfId="536" xr:uid="{00000000-0005-0000-0000-0000EA010000}"/>
    <cellStyle name="Heading 2 6" xfId="537" xr:uid="{00000000-0005-0000-0000-0000EB010000}"/>
    <cellStyle name="Heading 2 7" xfId="538" xr:uid="{00000000-0005-0000-0000-0000EC010000}"/>
    <cellStyle name="Heading 2 8" xfId="539" xr:uid="{00000000-0005-0000-0000-0000ED010000}"/>
    <cellStyle name="Heading 2 9" xfId="540" xr:uid="{00000000-0005-0000-0000-0000EE010000}"/>
    <cellStyle name="Heading 3" xfId="132" builtinId="18" customBuiltin="1"/>
    <cellStyle name="Heading 3 10" xfId="541" xr:uid="{00000000-0005-0000-0000-0000F0010000}"/>
    <cellStyle name="Heading 3 11" xfId="542" xr:uid="{00000000-0005-0000-0000-0000F1010000}"/>
    <cellStyle name="Heading 3 12" xfId="543" xr:uid="{00000000-0005-0000-0000-0000F2010000}"/>
    <cellStyle name="Heading 3 13" xfId="544" xr:uid="{00000000-0005-0000-0000-0000F3010000}"/>
    <cellStyle name="Heading 3 14" xfId="545" xr:uid="{00000000-0005-0000-0000-0000F4010000}"/>
    <cellStyle name="Heading 3 2" xfId="96" xr:uid="{00000000-0005-0000-0000-0000F5010000}"/>
    <cellStyle name="Heading 3 3" xfId="546" xr:uid="{00000000-0005-0000-0000-0000F6010000}"/>
    <cellStyle name="Heading 3 4" xfId="547" xr:uid="{00000000-0005-0000-0000-0000F7010000}"/>
    <cellStyle name="Heading 3 5" xfId="548" xr:uid="{00000000-0005-0000-0000-0000F8010000}"/>
    <cellStyle name="Heading 3 6" xfId="549" xr:uid="{00000000-0005-0000-0000-0000F9010000}"/>
    <cellStyle name="Heading 3 7" xfId="550" xr:uid="{00000000-0005-0000-0000-0000FA010000}"/>
    <cellStyle name="Heading 3 8" xfId="551" xr:uid="{00000000-0005-0000-0000-0000FB010000}"/>
    <cellStyle name="Heading 3 9" xfId="552" xr:uid="{00000000-0005-0000-0000-0000FC010000}"/>
    <cellStyle name="Heading 4" xfId="133" builtinId="19" customBuiltin="1"/>
    <cellStyle name="Heading 4 10" xfId="553" xr:uid="{00000000-0005-0000-0000-0000FE010000}"/>
    <cellStyle name="Heading 4 11" xfId="554" xr:uid="{00000000-0005-0000-0000-0000FF010000}"/>
    <cellStyle name="Heading 4 12" xfId="555" xr:uid="{00000000-0005-0000-0000-000000020000}"/>
    <cellStyle name="Heading 4 13" xfId="556" xr:uid="{00000000-0005-0000-0000-000001020000}"/>
    <cellStyle name="Heading 4 14" xfId="557" xr:uid="{00000000-0005-0000-0000-000002020000}"/>
    <cellStyle name="Heading 4 2" xfId="97" xr:uid="{00000000-0005-0000-0000-000003020000}"/>
    <cellStyle name="Heading 4 3" xfId="558" xr:uid="{00000000-0005-0000-0000-000004020000}"/>
    <cellStyle name="Heading 4 4" xfId="559" xr:uid="{00000000-0005-0000-0000-000005020000}"/>
    <cellStyle name="Heading 4 5" xfId="560" xr:uid="{00000000-0005-0000-0000-000006020000}"/>
    <cellStyle name="Heading 4 6" xfId="561" xr:uid="{00000000-0005-0000-0000-000007020000}"/>
    <cellStyle name="Heading 4 7" xfId="562" xr:uid="{00000000-0005-0000-0000-000008020000}"/>
    <cellStyle name="Heading 4 8" xfId="563" xr:uid="{00000000-0005-0000-0000-000009020000}"/>
    <cellStyle name="Heading 4 9" xfId="564" xr:uid="{00000000-0005-0000-0000-00000A020000}"/>
    <cellStyle name="Incorrecto 2" xfId="98" xr:uid="{00000000-0005-0000-0000-00000B020000}"/>
    <cellStyle name="Incorrecto 3" xfId="99" xr:uid="{00000000-0005-0000-0000-00000C020000}"/>
    <cellStyle name="Input" xfId="134" builtinId="20" customBuiltin="1"/>
    <cellStyle name="Input 10" xfId="565" xr:uid="{00000000-0005-0000-0000-00000E020000}"/>
    <cellStyle name="Input 11" xfId="566" xr:uid="{00000000-0005-0000-0000-00000F020000}"/>
    <cellStyle name="Input 12" xfId="567" xr:uid="{00000000-0005-0000-0000-000010020000}"/>
    <cellStyle name="Input 13" xfId="568" xr:uid="{00000000-0005-0000-0000-000011020000}"/>
    <cellStyle name="Input 14" xfId="569" xr:uid="{00000000-0005-0000-0000-000012020000}"/>
    <cellStyle name="Input 2" xfId="100" xr:uid="{00000000-0005-0000-0000-000013020000}"/>
    <cellStyle name="Input 3" xfId="570" xr:uid="{00000000-0005-0000-0000-000014020000}"/>
    <cellStyle name="Input 4" xfId="571" xr:uid="{00000000-0005-0000-0000-000015020000}"/>
    <cellStyle name="Input 5" xfId="572" xr:uid="{00000000-0005-0000-0000-000016020000}"/>
    <cellStyle name="Input 6" xfId="573" xr:uid="{00000000-0005-0000-0000-000017020000}"/>
    <cellStyle name="Input 7" xfId="574" xr:uid="{00000000-0005-0000-0000-000018020000}"/>
    <cellStyle name="Input 8" xfId="575" xr:uid="{00000000-0005-0000-0000-000019020000}"/>
    <cellStyle name="Input 9" xfId="576" xr:uid="{00000000-0005-0000-0000-00001A020000}"/>
    <cellStyle name="Linked Cell" xfId="5" builtinId="24" customBuiltin="1"/>
    <cellStyle name="Linked Cell 10" xfId="577" xr:uid="{00000000-0005-0000-0000-00001C020000}"/>
    <cellStyle name="Linked Cell 11" xfId="578" xr:uid="{00000000-0005-0000-0000-00001D020000}"/>
    <cellStyle name="Linked Cell 12" xfId="579" xr:uid="{00000000-0005-0000-0000-00001E020000}"/>
    <cellStyle name="Linked Cell 13" xfId="580" xr:uid="{00000000-0005-0000-0000-00001F020000}"/>
    <cellStyle name="Linked Cell 14" xfId="581" xr:uid="{00000000-0005-0000-0000-000020020000}"/>
    <cellStyle name="Linked Cell 2" xfId="582" xr:uid="{00000000-0005-0000-0000-000021020000}"/>
    <cellStyle name="Linked Cell 3" xfId="583" xr:uid="{00000000-0005-0000-0000-000022020000}"/>
    <cellStyle name="Linked Cell 4" xfId="584" xr:uid="{00000000-0005-0000-0000-000023020000}"/>
    <cellStyle name="Linked Cell 5" xfId="585" xr:uid="{00000000-0005-0000-0000-000024020000}"/>
    <cellStyle name="Linked Cell 6" xfId="586" xr:uid="{00000000-0005-0000-0000-000025020000}"/>
    <cellStyle name="Linked Cell 7" xfId="587" xr:uid="{00000000-0005-0000-0000-000026020000}"/>
    <cellStyle name="Linked Cell 8" xfId="588" xr:uid="{00000000-0005-0000-0000-000027020000}"/>
    <cellStyle name="Linked Cell 9" xfId="589" xr:uid="{00000000-0005-0000-0000-000028020000}"/>
    <cellStyle name="Neutral" xfId="4" builtinId="28" customBuiltin="1"/>
    <cellStyle name="Neutral 10" xfId="590" xr:uid="{00000000-0005-0000-0000-00002A020000}"/>
    <cellStyle name="Neutral 11" xfId="591" xr:uid="{00000000-0005-0000-0000-00002B020000}"/>
    <cellStyle name="Neutral 12" xfId="592" xr:uid="{00000000-0005-0000-0000-00002C020000}"/>
    <cellStyle name="Neutral 13" xfId="593" xr:uid="{00000000-0005-0000-0000-00002D020000}"/>
    <cellStyle name="Neutral 14" xfId="594" xr:uid="{00000000-0005-0000-0000-00002E020000}"/>
    <cellStyle name="Neutral 2" xfId="101" xr:uid="{00000000-0005-0000-0000-00002F020000}"/>
    <cellStyle name="Neutral 2 2" xfId="595" xr:uid="{00000000-0005-0000-0000-000030020000}"/>
    <cellStyle name="Neutral 3" xfId="102" xr:uid="{00000000-0005-0000-0000-000031020000}"/>
    <cellStyle name="Neutral 3 2" xfId="596" xr:uid="{00000000-0005-0000-0000-000032020000}"/>
    <cellStyle name="Neutral 4" xfId="597" xr:uid="{00000000-0005-0000-0000-000033020000}"/>
    <cellStyle name="Neutral 5" xfId="598" xr:uid="{00000000-0005-0000-0000-000034020000}"/>
    <cellStyle name="Neutral 6" xfId="599" xr:uid="{00000000-0005-0000-0000-000035020000}"/>
    <cellStyle name="Neutral 7" xfId="600" xr:uid="{00000000-0005-0000-0000-000036020000}"/>
    <cellStyle name="Neutral 8" xfId="601" xr:uid="{00000000-0005-0000-0000-000037020000}"/>
    <cellStyle name="Neutral 9" xfId="602" xr:uid="{00000000-0005-0000-0000-000038020000}"/>
    <cellStyle name="Normal" xfId="0" builtinId="0"/>
    <cellStyle name="Normal 2" xfId="103" xr:uid="{00000000-0005-0000-0000-00003A020000}"/>
    <cellStyle name="Normal 2 2" xfId="603" xr:uid="{00000000-0005-0000-0000-00003B020000}"/>
    <cellStyle name="Normal 3" xfId="104" xr:uid="{00000000-0005-0000-0000-00003C020000}"/>
    <cellStyle name="Normal 4" xfId="2" xr:uid="{00000000-0005-0000-0000-00003D020000}"/>
    <cellStyle name="Normal 5" xfId="105" xr:uid="{00000000-0005-0000-0000-00003E020000}"/>
    <cellStyle name="Normal 5 2" xfId="128" xr:uid="{00000000-0005-0000-0000-00003F020000}"/>
    <cellStyle name="Normal 6" xfId="156" xr:uid="{00000000-0005-0000-0000-000040020000}"/>
    <cellStyle name="Notas 2" xfId="106" xr:uid="{00000000-0005-0000-0000-000041020000}"/>
    <cellStyle name="Notas 3" xfId="107" xr:uid="{00000000-0005-0000-0000-000042020000}"/>
    <cellStyle name="Note" xfId="137" builtinId="10" customBuiltin="1"/>
    <cellStyle name="Note 10" xfId="604" xr:uid="{00000000-0005-0000-0000-000044020000}"/>
    <cellStyle name="Note 11" xfId="605" xr:uid="{00000000-0005-0000-0000-000045020000}"/>
    <cellStyle name="Note 12" xfId="606" xr:uid="{00000000-0005-0000-0000-000046020000}"/>
    <cellStyle name="Note 13" xfId="607" xr:uid="{00000000-0005-0000-0000-000047020000}"/>
    <cellStyle name="Note 14" xfId="608" xr:uid="{00000000-0005-0000-0000-000048020000}"/>
    <cellStyle name="Note 2" xfId="108" xr:uid="{00000000-0005-0000-0000-000049020000}"/>
    <cellStyle name="Note 3" xfId="609" xr:uid="{00000000-0005-0000-0000-00004A020000}"/>
    <cellStyle name="Note 4" xfId="610" xr:uid="{00000000-0005-0000-0000-00004B020000}"/>
    <cellStyle name="Note 5" xfId="611" xr:uid="{00000000-0005-0000-0000-00004C020000}"/>
    <cellStyle name="Note 6" xfId="612" xr:uid="{00000000-0005-0000-0000-00004D020000}"/>
    <cellStyle name="Note 7" xfId="613" xr:uid="{00000000-0005-0000-0000-00004E020000}"/>
    <cellStyle name="Note 8" xfId="614" xr:uid="{00000000-0005-0000-0000-00004F020000}"/>
    <cellStyle name="Note 9" xfId="615" xr:uid="{00000000-0005-0000-0000-000050020000}"/>
    <cellStyle name="Output" xfId="135" builtinId="21" customBuiltin="1"/>
    <cellStyle name="Output 10" xfId="616" xr:uid="{00000000-0005-0000-0000-000052020000}"/>
    <cellStyle name="Output 11" xfId="617" xr:uid="{00000000-0005-0000-0000-000053020000}"/>
    <cellStyle name="Output 12" xfId="618" xr:uid="{00000000-0005-0000-0000-000054020000}"/>
    <cellStyle name="Output 13" xfId="619" xr:uid="{00000000-0005-0000-0000-000055020000}"/>
    <cellStyle name="Output 14" xfId="620" xr:uid="{00000000-0005-0000-0000-000056020000}"/>
    <cellStyle name="Output 2" xfId="109" xr:uid="{00000000-0005-0000-0000-000057020000}"/>
    <cellStyle name="Output 3" xfId="621" xr:uid="{00000000-0005-0000-0000-000058020000}"/>
    <cellStyle name="Output 4" xfId="622" xr:uid="{00000000-0005-0000-0000-000059020000}"/>
    <cellStyle name="Output 5" xfId="623" xr:uid="{00000000-0005-0000-0000-00005A020000}"/>
    <cellStyle name="Output 6" xfId="624" xr:uid="{00000000-0005-0000-0000-00005B020000}"/>
    <cellStyle name="Output 7" xfId="625" xr:uid="{00000000-0005-0000-0000-00005C020000}"/>
    <cellStyle name="Output 8" xfId="626" xr:uid="{00000000-0005-0000-0000-00005D020000}"/>
    <cellStyle name="Output 9" xfId="627" xr:uid="{00000000-0005-0000-0000-00005E020000}"/>
    <cellStyle name="Salida 2" xfId="110" xr:uid="{00000000-0005-0000-0000-00005F020000}"/>
    <cellStyle name="Salida 3" xfId="111" xr:uid="{00000000-0005-0000-0000-000060020000}"/>
    <cellStyle name="Texto de advertencia 2" xfId="112" xr:uid="{00000000-0005-0000-0000-000061020000}"/>
    <cellStyle name="Texto de advertencia 3" xfId="113" xr:uid="{00000000-0005-0000-0000-000062020000}"/>
    <cellStyle name="Texto explicativo 2" xfId="114" xr:uid="{00000000-0005-0000-0000-000063020000}"/>
    <cellStyle name="Texto explicativo 3" xfId="115" xr:uid="{00000000-0005-0000-0000-000064020000}"/>
    <cellStyle name="Title" xfId="129" builtinId="15" customBuiltin="1"/>
    <cellStyle name="Title 10" xfId="628" xr:uid="{00000000-0005-0000-0000-000066020000}"/>
    <cellStyle name="Title 11" xfId="629" xr:uid="{00000000-0005-0000-0000-000067020000}"/>
    <cellStyle name="Title 12" xfId="630" xr:uid="{00000000-0005-0000-0000-000068020000}"/>
    <cellStyle name="Title 13" xfId="631" xr:uid="{00000000-0005-0000-0000-000069020000}"/>
    <cellStyle name="Title 14" xfId="632" xr:uid="{00000000-0005-0000-0000-00006A020000}"/>
    <cellStyle name="Title 2" xfId="116" xr:uid="{00000000-0005-0000-0000-00006B020000}"/>
    <cellStyle name="Title 3" xfId="633" xr:uid="{00000000-0005-0000-0000-00006C020000}"/>
    <cellStyle name="Title 4" xfId="634" xr:uid="{00000000-0005-0000-0000-00006D020000}"/>
    <cellStyle name="Title 5" xfId="635" xr:uid="{00000000-0005-0000-0000-00006E020000}"/>
    <cellStyle name="Title 6" xfId="636" xr:uid="{00000000-0005-0000-0000-00006F020000}"/>
    <cellStyle name="Title 7" xfId="637" xr:uid="{00000000-0005-0000-0000-000070020000}"/>
    <cellStyle name="Title 8" xfId="638" xr:uid="{00000000-0005-0000-0000-000071020000}"/>
    <cellStyle name="Title 9" xfId="639" xr:uid="{00000000-0005-0000-0000-000072020000}"/>
    <cellStyle name="Título 1 2" xfId="117" xr:uid="{00000000-0005-0000-0000-000073020000}"/>
    <cellStyle name="Título 1 3" xfId="118" xr:uid="{00000000-0005-0000-0000-000074020000}"/>
    <cellStyle name="Título 2 2" xfId="119" xr:uid="{00000000-0005-0000-0000-000075020000}"/>
    <cellStyle name="Título 2 3" xfId="120" xr:uid="{00000000-0005-0000-0000-000076020000}"/>
    <cellStyle name="Título 3 2" xfId="121" xr:uid="{00000000-0005-0000-0000-000077020000}"/>
    <cellStyle name="Título 3 3" xfId="122" xr:uid="{00000000-0005-0000-0000-000078020000}"/>
    <cellStyle name="Título 4" xfId="123" xr:uid="{00000000-0005-0000-0000-000079020000}"/>
    <cellStyle name="Título 5" xfId="124" xr:uid="{00000000-0005-0000-0000-00007A020000}"/>
    <cellStyle name="Total" xfId="138" builtinId="25" customBuiltin="1"/>
    <cellStyle name="Total 10" xfId="640" xr:uid="{00000000-0005-0000-0000-00007C020000}"/>
    <cellStyle name="Total 11" xfId="641" xr:uid="{00000000-0005-0000-0000-00007D020000}"/>
    <cellStyle name="Total 12" xfId="642" xr:uid="{00000000-0005-0000-0000-00007E020000}"/>
    <cellStyle name="Total 13" xfId="643" xr:uid="{00000000-0005-0000-0000-00007F020000}"/>
    <cellStyle name="Total 14" xfId="644" xr:uid="{00000000-0005-0000-0000-000080020000}"/>
    <cellStyle name="Total 2" xfId="125" xr:uid="{00000000-0005-0000-0000-000081020000}"/>
    <cellStyle name="Total 2 2" xfId="645" xr:uid="{00000000-0005-0000-0000-000082020000}"/>
    <cellStyle name="Total 3" xfId="126" xr:uid="{00000000-0005-0000-0000-000083020000}"/>
    <cellStyle name="Total 3 2" xfId="646" xr:uid="{00000000-0005-0000-0000-000084020000}"/>
    <cellStyle name="Total 4" xfId="127" xr:uid="{00000000-0005-0000-0000-000085020000}"/>
    <cellStyle name="Total 5" xfId="647" xr:uid="{00000000-0005-0000-0000-000086020000}"/>
    <cellStyle name="Total 6" xfId="648" xr:uid="{00000000-0005-0000-0000-000087020000}"/>
    <cellStyle name="Total 7" xfId="649" xr:uid="{00000000-0005-0000-0000-000088020000}"/>
    <cellStyle name="Total 8" xfId="650" xr:uid="{00000000-0005-0000-0000-000089020000}"/>
    <cellStyle name="Total 9" xfId="651" xr:uid="{00000000-0005-0000-0000-00008A020000}"/>
    <cellStyle name="Warning Text" xfId="7" builtinId="11" customBuiltin="1"/>
    <cellStyle name="Warning Text 10" xfId="652" xr:uid="{00000000-0005-0000-0000-00008C020000}"/>
    <cellStyle name="Warning Text 11" xfId="653" xr:uid="{00000000-0005-0000-0000-00008D020000}"/>
    <cellStyle name="Warning Text 12" xfId="654" xr:uid="{00000000-0005-0000-0000-00008E020000}"/>
    <cellStyle name="Warning Text 13" xfId="655" xr:uid="{00000000-0005-0000-0000-00008F020000}"/>
    <cellStyle name="Warning Text 14" xfId="656" xr:uid="{00000000-0005-0000-0000-000090020000}"/>
    <cellStyle name="Warning Text 2" xfId="657" xr:uid="{00000000-0005-0000-0000-000091020000}"/>
    <cellStyle name="Warning Text 3" xfId="658" xr:uid="{00000000-0005-0000-0000-000092020000}"/>
    <cellStyle name="Warning Text 4" xfId="659" xr:uid="{00000000-0005-0000-0000-000093020000}"/>
    <cellStyle name="Warning Text 5" xfId="660" xr:uid="{00000000-0005-0000-0000-000094020000}"/>
    <cellStyle name="Warning Text 6" xfId="661" xr:uid="{00000000-0005-0000-0000-000095020000}"/>
    <cellStyle name="Warning Text 7" xfId="662" xr:uid="{00000000-0005-0000-0000-000096020000}"/>
    <cellStyle name="Warning Text 8" xfId="663" xr:uid="{00000000-0005-0000-0000-000097020000}"/>
    <cellStyle name="Warning Text 9" xfId="664" xr:uid="{00000000-0005-0000-0000-000098020000}"/>
  </cellStyles>
  <dxfs count="0"/>
  <tableStyles count="0" defaultTableStyle="TableStyleMedium2" defaultPivotStyle="PivotStyleLight16"/>
  <colors>
    <mruColors>
      <color rgb="FFFF00FF"/>
      <color rgb="FFBDFFEE"/>
      <color rgb="FFFFFF99"/>
      <color rgb="FF00B4B0"/>
      <color rgb="FF66FFFF"/>
      <color rgb="FF54D7D4"/>
      <color rgb="FFFFFF66"/>
      <color rgb="FFCCFFCC"/>
      <color rgb="FF00A6A2"/>
      <color rgb="FF00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340064497735916E-2"/>
          <c:y val="1.5483866327535458E-2"/>
          <c:w val="0.79819895070847546"/>
          <c:h val="0.90826635318806581"/>
        </c:manualLayout>
      </c:layout>
      <c:scatterChart>
        <c:scatterStyle val="lineMarker"/>
        <c:varyColors val="0"/>
        <c:ser>
          <c:idx val="3"/>
          <c:order val="0"/>
          <c:spPr>
            <a:ln w="3810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Blank!$B$8:$B$22</c:f>
              <c:numCache>
                <c:formatCode>0.0</c:formatCode>
                <c:ptCount val="15"/>
                <c:pt idx="0">
                  <c:v>0</c:v>
                </c:pt>
                <c:pt idx="1">
                  <c:v>0.84027777777373558</c:v>
                </c:pt>
                <c:pt idx="2">
                  <c:v>1.84375</c:v>
                </c:pt>
                <c:pt idx="3">
                  <c:v>2.8506944444452529</c:v>
                </c:pt>
                <c:pt idx="4">
                  <c:v>3.8090277777737356</c:v>
                </c:pt>
                <c:pt idx="5">
                  <c:v>4.8611111111094942</c:v>
                </c:pt>
                <c:pt idx="6">
                  <c:v>5.859027777776646</c:v>
                </c:pt>
                <c:pt idx="7">
                  <c:v>6.8395833333343035</c:v>
                </c:pt>
                <c:pt idx="8">
                  <c:v>8.9166666666642413</c:v>
                </c:pt>
                <c:pt idx="9">
                  <c:v>10.878472222218988</c:v>
                </c:pt>
                <c:pt idx="10">
                  <c:v>13.125</c:v>
                </c:pt>
                <c:pt idx="11">
                  <c:v>15.854166666664241</c:v>
                </c:pt>
                <c:pt idx="12">
                  <c:v>18.909722222218988</c:v>
                </c:pt>
                <c:pt idx="13">
                  <c:v>22.861111111109494</c:v>
                </c:pt>
                <c:pt idx="14">
                  <c:v>27.145833333328483</c:v>
                </c:pt>
              </c:numCache>
            </c:numRef>
          </c:xVal>
          <c:yVal>
            <c:numRef>
              <c:f>Blank!$M$8:$M$25</c:f>
              <c:numCache>
                <c:formatCode>0.0</c:formatCode>
                <c:ptCount val="18"/>
                <c:pt idx="0">
                  <c:v>0</c:v>
                </c:pt>
                <c:pt idx="1">
                  <c:v>7.499793660141445</c:v>
                </c:pt>
                <c:pt idx="2">
                  <c:v>15.095341000313356</c:v>
                </c:pt>
                <c:pt idx="3">
                  <c:v>21.415568499765985</c:v>
                </c:pt>
                <c:pt idx="4">
                  <c:v>26.980971434669375</c:v>
                </c:pt>
                <c:pt idx="5">
                  <c:v>31.601758649954835</c:v>
                </c:pt>
                <c:pt idx="6">
                  <c:v>35.740399764536022</c:v>
                </c:pt>
                <c:pt idx="7">
                  <c:v>39.743257144749556</c:v>
                </c:pt>
                <c:pt idx="8">
                  <c:v>47.149282401477649</c:v>
                </c:pt>
                <c:pt idx="9">
                  <c:v>52.748081713489995</c:v>
                </c:pt>
                <c:pt idx="10">
                  <c:v>58.393129193530037</c:v>
                </c:pt>
                <c:pt idx="11">
                  <c:v>64.261148135934619</c:v>
                </c:pt>
                <c:pt idx="12">
                  <c:v>70.2793536364196</c:v>
                </c:pt>
                <c:pt idx="13">
                  <c:v>76.613455569938893</c:v>
                </c:pt>
                <c:pt idx="14">
                  <c:v>83.365296075465409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CB-47CB-97F1-9A9D6ED35DDC}"/>
            </c:ext>
          </c:extLst>
        </c:ser>
        <c:ser>
          <c:idx val="0"/>
          <c:order val="1"/>
          <c:spPr>
            <a:ln w="28575">
              <a:noFill/>
            </a:ln>
          </c:spPr>
          <c:marker>
            <c:spPr>
              <a:ln>
                <a:noFill/>
              </a:ln>
            </c:spPr>
          </c:marker>
          <c:xVal>
            <c:numRef>
              <c:f>Blank!$B$8:$B$22</c:f>
              <c:numCache>
                <c:formatCode>0.0</c:formatCode>
                <c:ptCount val="15"/>
                <c:pt idx="0">
                  <c:v>0</c:v>
                </c:pt>
                <c:pt idx="1">
                  <c:v>0.84027777777373558</c:v>
                </c:pt>
                <c:pt idx="2">
                  <c:v>1.84375</c:v>
                </c:pt>
                <c:pt idx="3">
                  <c:v>2.8506944444452529</c:v>
                </c:pt>
                <c:pt idx="4">
                  <c:v>3.8090277777737356</c:v>
                </c:pt>
                <c:pt idx="5">
                  <c:v>4.8611111111094942</c:v>
                </c:pt>
                <c:pt idx="6">
                  <c:v>5.859027777776646</c:v>
                </c:pt>
                <c:pt idx="7">
                  <c:v>6.8395833333343035</c:v>
                </c:pt>
                <c:pt idx="8">
                  <c:v>8.9166666666642413</c:v>
                </c:pt>
                <c:pt idx="9">
                  <c:v>10.878472222218988</c:v>
                </c:pt>
                <c:pt idx="10">
                  <c:v>13.125</c:v>
                </c:pt>
                <c:pt idx="11">
                  <c:v>15.854166666664241</c:v>
                </c:pt>
                <c:pt idx="12">
                  <c:v>18.909722222218988</c:v>
                </c:pt>
                <c:pt idx="13">
                  <c:v>22.861111111109494</c:v>
                </c:pt>
                <c:pt idx="14">
                  <c:v>27.145833333328483</c:v>
                </c:pt>
              </c:numCache>
            </c:numRef>
          </c:xVal>
          <c:yVal>
            <c:numRef>
              <c:f>Blank!$K$8:$K$25</c:f>
              <c:numCache>
                <c:formatCode>0.0</c:formatCode>
                <c:ptCount val="18"/>
                <c:pt idx="0">
                  <c:v>0</c:v>
                </c:pt>
                <c:pt idx="1">
                  <c:v>7.490917417023029</c:v>
                </c:pt>
                <c:pt idx="2">
                  <c:v>15.176750064074534</c:v>
                </c:pt>
                <c:pt idx="3">
                  <c:v>21.5237894129308</c:v>
                </c:pt>
                <c:pt idx="4">
                  <c:v>27.11747768726514</c:v>
                </c:pt>
                <c:pt idx="5">
                  <c:v>31.751198243391521</c:v>
                </c:pt>
                <c:pt idx="6">
                  <c:v>35.799734176510334</c:v>
                </c:pt>
                <c:pt idx="7">
                  <c:v>39.955966183194668</c:v>
                </c:pt>
                <c:pt idx="8">
                  <c:v>46.908247087347505</c:v>
                </c:pt>
                <c:pt idx="9">
                  <c:v>52.429447593549163</c:v>
                </c:pt>
                <c:pt idx="10">
                  <c:v>57.727006175506084</c:v>
                </c:pt>
                <c:pt idx="11">
                  <c:v>63.484414272938885</c:v>
                </c:pt>
                <c:pt idx="12">
                  <c:v>69.810510547650651</c:v>
                </c:pt>
                <c:pt idx="13">
                  <c:v>75.906463496073428</c:v>
                </c:pt>
                <c:pt idx="14">
                  <c:v>82.648421732445556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CB-47CB-97F1-9A9D6ED35DDC}"/>
            </c:ext>
          </c:extLst>
        </c:ser>
        <c:ser>
          <c:idx val="1"/>
          <c:order val="2"/>
          <c:spPr>
            <a:ln>
              <a:noFill/>
            </a:ln>
          </c:spPr>
          <c:marker>
            <c:spPr>
              <a:ln>
                <a:noFill/>
              </a:ln>
            </c:spPr>
          </c:marker>
          <c:xVal>
            <c:numRef>
              <c:f>Blank!$B$30:$B$44</c:f>
              <c:numCache>
                <c:formatCode>0.0</c:formatCode>
                <c:ptCount val="15"/>
                <c:pt idx="0" formatCode="General">
                  <c:v>0</c:v>
                </c:pt>
                <c:pt idx="1">
                  <c:v>0.84027777777373558</c:v>
                </c:pt>
                <c:pt idx="2">
                  <c:v>1.84375</c:v>
                </c:pt>
                <c:pt idx="3">
                  <c:v>2.8506944444452529</c:v>
                </c:pt>
                <c:pt idx="4">
                  <c:v>3.8090277777737356</c:v>
                </c:pt>
                <c:pt idx="5">
                  <c:v>4.8611111111094942</c:v>
                </c:pt>
                <c:pt idx="6">
                  <c:v>5.859027777776646</c:v>
                </c:pt>
                <c:pt idx="7">
                  <c:v>6.8395833333343035</c:v>
                </c:pt>
                <c:pt idx="8">
                  <c:v>8.9166666666642413</c:v>
                </c:pt>
                <c:pt idx="9">
                  <c:v>10.878472222218988</c:v>
                </c:pt>
                <c:pt idx="10">
                  <c:v>13.125</c:v>
                </c:pt>
                <c:pt idx="11">
                  <c:v>15.854166666664241</c:v>
                </c:pt>
                <c:pt idx="12">
                  <c:v>18.909722222218988</c:v>
                </c:pt>
                <c:pt idx="13">
                  <c:v>22.861111111109494</c:v>
                </c:pt>
                <c:pt idx="14">
                  <c:v>27.145833333328483</c:v>
                </c:pt>
              </c:numCache>
            </c:numRef>
          </c:xVal>
          <c:yVal>
            <c:numRef>
              <c:f>Blank!$K$30:$K$47</c:f>
              <c:numCache>
                <c:formatCode>0.0</c:formatCode>
                <c:ptCount val="18"/>
                <c:pt idx="0">
                  <c:v>0</c:v>
                </c:pt>
                <c:pt idx="1">
                  <c:v>7.4633209179005204</c:v>
                </c:pt>
                <c:pt idx="2">
                  <c:v>14.94479821097897</c:v>
                </c:pt>
                <c:pt idx="3">
                  <c:v>21.319300783304858</c:v>
                </c:pt>
                <c:pt idx="4">
                  <c:v>26.739149658552019</c:v>
                </c:pt>
                <c:pt idx="5">
                  <c:v>31.000113991837768</c:v>
                </c:pt>
                <c:pt idx="6">
                  <c:v>34.962646672285643</c:v>
                </c:pt>
                <c:pt idx="7">
                  <c:v>38.610170803188822</c:v>
                </c:pt>
                <c:pt idx="8">
                  <c:v>45.887272340752581</c:v>
                </c:pt>
                <c:pt idx="9">
                  <c:v>51.531969397905684</c:v>
                </c:pt>
                <c:pt idx="10">
                  <c:v>56.99739142527671</c:v>
                </c:pt>
                <c:pt idx="11">
                  <c:v>62.697041266763293</c:v>
                </c:pt>
                <c:pt idx="12">
                  <c:v>68.58670973703957</c:v>
                </c:pt>
                <c:pt idx="13">
                  <c:v>74.80834393257625</c:v>
                </c:pt>
                <c:pt idx="14">
                  <c:v>81.462824692335147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CB-47CB-97F1-9A9D6ED35DDC}"/>
            </c:ext>
          </c:extLst>
        </c:ser>
        <c:ser>
          <c:idx val="2"/>
          <c:order val="3"/>
          <c:spPr>
            <a:ln>
              <a:noFill/>
            </a:ln>
          </c:spPr>
          <c:marker>
            <c:spPr>
              <a:ln>
                <a:noFill/>
              </a:ln>
            </c:spPr>
          </c:marker>
          <c:xVal>
            <c:numRef>
              <c:f>Blank!$B$50:$B$64</c:f>
              <c:numCache>
                <c:formatCode>0.0</c:formatCode>
                <c:ptCount val="15"/>
                <c:pt idx="0">
                  <c:v>0</c:v>
                </c:pt>
                <c:pt idx="1">
                  <c:v>0.84027777777373558</c:v>
                </c:pt>
                <c:pt idx="2">
                  <c:v>1.84375</c:v>
                </c:pt>
                <c:pt idx="3">
                  <c:v>2.8506944444452529</c:v>
                </c:pt>
                <c:pt idx="4">
                  <c:v>3.8090277777737356</c:v>
                </c:pt>
                <c:pt idx="5">
                  <c:v>4.8611111111094942</c:v>
                </c:pt>
                <c:pt idx="6">
                  <c:v>5.859027777776646</c:v>
                </c:pt>
                <c:pt idx="7">
                  <c:v>6.8395833333343035</c:v>
                </c:pt>
                <c:pt idx="8">
                  <c:v>8.9166666666642413</c:v>
                </c:pt>
                <c:pt idx="9">
                  <c:v>10.878472222218988</c:v>
                </c:pt>
                <c:pt idx="10">
                  <c:v>13.125</c:v>
                </c:pt>
                <c:pt idx="11">
                  <c:v>15.854166666664241</c:v>
                </c:pt>
                <c:pt idx="12">
                  <c:v>18.909722222218988</c:v>
                </c:pt>
                <c:pt idx="13">
                  <c:v>22.861111111109494</c:v>
                </c:pt>
                <c:pt idx="14">
                  <c:v>27.145833333328483</c:v>
                </c:pt>
              </c:numCache>
            </c:numRef>
          </c:xVal>
          <c:yVal>
            <c:numRef>
              <c:f>Blank!$K$50:$K$67</c:f>
              <c:numCache>
                <c:formatCode>0.0</c:formatCode>
                <c:ptCount val="18"/>
                <c:pt idx="0">
                  <c:v>0</c:v>
                </c:pt>
                <c:pt idx="1">
                  <c:v>7.5451426455007873</c:v>
                </c:pt>
                <c:pt idx="2">
                  <c:v>15.164474725886565</c:v>
                </c:pt>
                <c:pt idx="3">
                  <c:v>21.403615303062299</c:v>
                </c:pt>
                <c:pt idx="4">
                  <c:v>27.086286958190975</c:v>
                </c:pt>
                <c:pt idx="5">
                  <c:v>32.053963714635216</c:v>
                </c:pt>
                <c:pt idx="6">
                  <c:v>36.458818444812103</c:v>
                </c:pt>
                <c:pt idx="7">
                  <c:v>40.663634447865185</c:v>
                </c:pt>
                <c:pt idx="8">
                  <c:v>48.652327776332854</c:v>
                </c:pt>
                <c:pt idx="9">
                  <c:v>54.282828149015124</c:v>
                </c:pt>
                <c:pt idx="10">
                  <c:v>60.454989979807323</c:v>
                </c:pt>
                <c:pt idx="11">
                  <c:v>66.601988868101699</c:v>
                </c:pt>
                <c:pt idx="12">
                  <c:v>72.44084062456858</c:v>
                </c:pt>
                <c:pt idx="13">
                  <c:v>79.125559281167</c:v>
                </c:pt>
                <c:pt idx="14">
                  <c:v>85.984641801615538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CB-47CB-97F1-9A9D6ED35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70816"/>
        <c:axId val="174372736"/>
        <c:extLst/>
      </c:scatterChart>
      <c:valAx>
        <c:axId val="174370816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crossAx val="174372736"/>
        <c:crosses val="autoZero"/>
        <c:crossBetween val="midCat"/>
      </c:valAx>
      <c:valAx>
        <c:axId val="174372736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crossAx val="174370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921855424021957E-2"/>
          <c:y val="4.0400556238110848E-2"/>
          <c:w val="0.82201930019548153"/>
          <c:h val="0.90929067392407659"/>
        </c:manualLayout>
      </c:layout>
      <c:scatterChart>
        <c:scatterStyle val="lineMarker"/>
        <c:varyColors val="0"/>
        <c:ser>
          <c:idx val="3"/>
          <c:order val="0"/>
          <c:spPr>
            <a:ln w="3810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CEL!$B$8:$B$22</c:f>
              <c:numCache>
                <c:formatCode>0.0</c:formatCode>
                <c:ptCount val="15"/>
                <c:pt idx="0">
                  <c:v>0</c:v>
                </c:pt>
                <c:pt idx="1">
                  <c:v>0.84027777777373558</c:v>
                </c:pt>
                <c:pt idx="2">
                  <c:v>1.84375</c:v>
                </c:pt>
                <c:pt idx="3">
                  <c:v>2.8506944444452529</c:v>
                </c:pt>
                <c:pt idx="4">
                  <c:v>3.8090277777737356</c:v>
                </c:pt>
                <c:pt idx="5">
                  <c:v>4.8611111111094942</c:v>
                </c:pt>
                <c:pt idx="6">
                  <c:v>5.859027777776646</c:v>
                </c:pt>
                <c:pt idx="7">
                  <c:v>6.8395833333343035</c:v>
                </c:pt>
                <c:pt idx="8">
                  <c:v>8.9166666666642413</c:v>
                </c:pt>
                <c:pt idx="9">
                  <c:v>10.878472222218988</c:v>
                </c:pt>
                <c:pt idx="10">
                  <c:v>13.125</c:v>
                </c:pt>
                <c:pt idx="11">
                  <c:v>15.854166666664241</c:v>
                </c:pt>
                <c:pt idx="12">
                  <c:v>18.909722222218988</c:v>
                </c:pt>
                <c:pt idx="13">
                  <c:v>22.861111111109494</c:v>
                </c:pt>
                <c:pt idx="14">
                  <c:v>27.145833333328483</c:v>
                </c:pt>
              </c:numCache>
            </c:numRef>
          </c:xVal>
          <c:yVal>
            <c:numRef>
              <c:f>CEL!$N$8:$N$25</c:f>
              <c:numCache>
                <c:formatCode>0.0</c:formatCode>
                <c:ptCount val="18"/>
                <c:pt idx="0">
                  <c:v>0</c:v>
                </c:pt>
                <c:pt idx="1">
                  <c:v>1.0406391884311841</c:v>
                </c:pt>
                <c:pt idx="2">
                  <c:v>17.705471059899281</c:v>
                </c:pt>
                <c:pt idx="3">
                  <c:v>96.098039895550059</c:v>
                </c:pt>
                <c:pt idx="4">
                  <c:v>177.87325137246307</c:v>
                </c:pt>
                <c:pt idx="5">
                  <c:v>229.39518130494912</c:v>
                </c:pt>
                <c:pt idx="6">
                  <c:v>254.78851741152573</c:v>
                </c:pt>
                <c:pt idx="7">
                  <c:v>270.77200120892047</c:v>
                </c:pt>
                <c:pt idx="8">
                  <c:v>294.73770953759725</c:v>
                </c:pt>
                <c:pt idx="9">
                  <c:v>305.43858300313428</c:v>
                </c:pt>
                <c:pt idx="10">
                  <c:v>313.74125167631007</c:v>
                </c:pt>
                <c:pt idx="11">
                  <c:v>319.22806673970376</c:v>
                </c:pt>
                <c:pt idx="12">
                  <c:v>322.96465088581795</c:v>
                </c:pt>
                <c:pt idx="13">
                  <c:v>327.27065388267744</c:v>
                </c:pt>
                <c:pt idx="14">
                  <c:v>332.80312494611508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8-4E1D-8E34-6B97128DC3D6}"/>
            </c:ext>
          </c:extLst>
        </c:ser>
        <c:ser>
          <c:idx val="0"/>
          <c:order val="1"/>
          <c:spPr>
            <a:ln w="28575">
              <a:noFill/>
            </a:ln>
          </c:spPr>
          <c:marker>
            <c:spPr>
              <a:ln>
                <a:noFill/>
              </a:ln>
            </c:spPr>
          </c:marker>
          <c:xVal>
            <c:numRef>
              <c:f>CEL!$B$8:$B$22</c:f>
              <c:numCache>
                <c:formatCode>0.0</c:formatCode>
                <c:ptCount val="15"/>
                <c:pt idx="0">
                  <c:v>0</c:v>
                </c:pt>
                <c:pt idx="1">
                  <c:v>0.84027777777373558</c:v>
                </c:pt>
                <c:pt idx="2">
                  <c:v>1.84375</c:v>
                </c:pt>
                <c:pt idx="3">
                  <c:v>2.8506944444452529</c:v>
                </c:pt>
                <c:pt idx="4">
                  <c:v>3.8090277777737356</c:v>
                </c:pt>
                <c:pt idx="5">
                  <c:v>4.8611111111094942</c:v>
                </c:pt>
                <c:pt idx="6">
                  <c:v>5.859027777776646</c:v>
                </c:pt>
                <c:pt idx="7">
                  <c:v>6.8395833333343035</c:v>
                </c:pt>
                <c:pt idx="8">
                  <c:v>8.9166666666642413</c:v>
                </c:pt>
                <c:pt idx="9">
                  <c:v>10.878472222218988</c:v>
                </c:pt>
                <c:pt idx="10">
                  <c:v>13.125</c:v>
                </c:pt>
                <c:pt idx="11">
                  <c:v>15.854166666664241</c:v>
                </c:pt>
                <c:pt idx="12">
                  <c:v>18.909722222218988</c:v>
                </c:pt>
                <c:pt idx="13">
                  <c:v>22.861111111109494</c:v>
                </c:pt>
                <c:pt idx="14">
                  <c:v>27.145833333328483</c:v>
                </c:pt>
              </c:numCache>
            </c:numRef>
          </c:xVal>
          <c:yVal>
            <c:numRef>
              <c:f>CEL!$L$8:$L$25</c:f>
              <c:numCache>
                <c:formatCode>0.0</c:formatCode>
                <c:ptCount val="18"/>
                <c:pt idx="0">
                  <c:v>0</c:v>
                </c:pt>
                <c:pt idx="1">
                  <c:v>0.48256081982058852</c:v>
                </c:pt>
                <c:pt idx="2">
                  <c:v>17.155302404431247</c:v>
                </c:pt>
                <c:pt idx="3">
                  <c:v>93.991406792394258</c:v>
                </c:pt>
                <c:pt idx="4">
                  <c:v>174.61639927350163</c:v>
                </c:pt>
                <c:pt idx="5">
                  <c:v>227.05902092290381</c:v>
                </c:pt>
                <c:pt idx="6">
                  <c:v>253.10567302808218</c:v>
                </c:pt>
                <c:pt idx="7">
                  <c:v>270.39949853512633</c:v>
                </c:pt>
                <c:pt idx="8">
                  <c:v>293.71662001278901</c:v>
                </c:pt>
                <c:pt idx="9">
                  <c:v>304.092358629366</c:v>
                </c:pt>
                <c:pt idx="10">
                  <c:v>311.30843298328421</c:v>
                </c:pt>
                <c:pt idx="11">
                  <c:v>315.96422129693786</c:v>
                </c:pt>
                <c:pt idx="12">
                  <c:v>320.08143927249472</c:v>
                </c:pt>
                <c:pt idx="13">
                  <c:v>324.40414726691813</c:v>
                </c:pt>
                <c:pt idx="14">
                  <c:v>330.37457354821265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A8-4E1D-8E34-6B97128DC3D6}"/>
            </c:ext>
          </c:extLst>
        </c:ser>
        <c:ser>
          <c:idx val="1"/>
          <c:order val="2"/>
          <c:spPr>
            <a:ln>
              <a:noFill/>
            </a:ln>
          </c:spPr>
          <c:marker>
            <c:spPr>
              <a:ln>
                <a:noFill/>
              </a:ln>
            </c:spPr>
          </c:marker>
          <c:xVal>
            <c:numRef>
              <c:f>CEL!$B$29:$B$43</c:f>
              <c:numCache>
                <c:formatCode>0.0</c:formatCode>
                <c:ptCount val="15"/>
                <c:pt idx="0" formatCode="General">
                  <c:v>0</c:v>
                </c:pt>
                <c:pt idx="1">
                  <c:v>0.84027777777373558</c:v>
                </c:pt>
                <c:pt idx="2">
                  <c:v>1.84375</c:v>
                </c:pt>
                <c:pt idx="3">
                  <c:v>2.8506944444452529</c:v>
                </c:pt>
                <c:pt idx="4">
                  <c:v>3.8090277777737356</c:v>
                </c:pt>
                <c:pt idx="5">
                  <c:v>4.8611111111094942</c:v>
                </c:pt>
                <c:pt idx="6">
                  <c:v>5.859027777776646</c:v>
                </c:pt>
                <c:pt idx="7">
                  <c:v>6.8395833333343035</c:v>
                </c:pt>
                <c:pt idx="8">
                  <c:v>8.9166666666642413</c:v>
                </c:pt>
                <c:pt idx="9">
                  <c:v>10.878472222218988</c:v>
                </c:pt>
                <c:pt idx="10">
                  <c:v>13.125</c:v>
                </c:pt>
                <c:pt idx="11">
                  <c:v>15.854166666664241</c:v>
                </c:pt>
                <c:pt idx="12">
                  <c:v>18.909722222218988</c:v>
                </c:pt>
                <c:pt idx="13">
                  <c:v>22.861111111109494</c:v>
                </c:pt>
                <c:pt idx="14">
                  <c:v>27.145833333328483</c:v>
                </c:pt>
              </c:numCache>
            </c:numRef>
          </c:xVal>
          <c:yVal>
            <c:numRef>
              <c:f>CEL!$L$29:$L$46</c:f>
              <c:numCache>
                <c:formatCode>0.0</c:formatCode>
                <c:ptCount val="18"/>
                <c:pt idx="0">
                  <c:v>0</c:v>
                </c:pt>
                <c:pt idx="1">
                  <c:v>1.5303617873729394</c:v>
                </c:pt>
                <c:pt idx="2">
                  <c:v>19.051111410981726</c:v>
                </c:pt>
                <c:pt idx="3">
                  <c:v>100.13699469099303</c:v>
                </c:pt>
                <c:pt idx="4">
                  <c:v>183.30173557520439</c:v>
                </c:pt>
                <c:pt idx="5">
                  <c:v>235.63818457861819</c:v>
                </c:pt>
                <c:pt idx="6">
                  <c:v>261.51191688256273</c:v>
                </c:pt>
                <c:pt idx="7">
                  <c:v>277.62609448293739</c:v>
                </c:pt>
                <c:pt idx="8">
                  <c:v>302.99926410629041</c:v>
                </c:pt>
                <c:pt idx="9">
                  <c:v>313.877804147201</c:v>
                </c:pt>
                <c:pt idx="10">
                  <c:v>322.24479348853305</c:v>
                </c:pt>
                <c:pt idx="11">
                  <c:v>329.19011334924534</c:v>
                </c:pt>
                <c:pt idx="12">
                  <c:v>333.63783291519212</c:v>
                </c:pt>
                <c:pt idx="13">
                  <c:v>338.91131401053929</c:v>
                </c:pt>
                <c:pt idx="14">
                  <c:v>345.0343828564632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A8-4E1D-8E34-6B97128DC3D6}"/>
            </c:ext>
          </c:extLst>
        </c:ser>
        <c:ser>
          <c:idx val="2"/>
          <c:order val="3"/>
          <c:spPr>
            <a:ln>
              <a:noFill/>
            </a:ln>
          </c:spPr>
          <c:marker>
            <c:spPr>
              <a:ln>
                <a:noFill/>
              </a:ln>
            </c:spPr>
          </c:marker>
          <c:xVal>
            <c:numRef>
              <c:f>CEL!$B$50:$B$64</c:f>
              <c:numCache>
                <c:formatCode>0.0</c:formatCode>
                <c:ptCount val="15"/>
                <c:pt idx="0">
                  <c:v>0</c:v>
                </c:pt>
                <c:pt idx="1">
                  <c:v>0.84027777777373558</c:v>
                </c:pt>
                <c:pt idx="2">
                  <c:v>1.84375</c:v>
                </c:pt>
                <c:pt idx="3">
                  <c:v>2.8506944444452529</c:v>
                </c:pt>
                <c:pt idx="4">
                  <c:v>3.8090277777737356</c:v>
                </c:pt>
                <c:pt idx="5">
                  <c:v>4.8611111111094942</c:v>
                </c:pt>
                <c:pt idx="6">
                  <c:v>5.859027777776646</c:v>
                </c:pt>
                <c:pt idx="7">
                  <c:v>6.8395833333343035</c:v>
                </c:pt>
                <c:pt idx="8">
                  <c:v>8.9166666666642413</c:v>
                </c:pt>
                <c:pt idx="9">
                  <c:v>10.878472222218988</c:v>
                </c:pt>
                <c:pt idx="10">
                  <c:v>13.125</c:v>
                </c:pt>
                <c:pt idx="11">
                  <c:v>15.854166666664241</c:v>
                </c:pt>
                <c:pt idx="12">
                  <c:v>18.909722222218988</c:v>
                </c:pt>
                <c:pt idx="13">
                  <c:v>22.861111111109494</c:v>
                </c:pt>
                <c:pt idx="14">
                  <c:v>27.145833333328483</c:v>
                </c:pt>
              </c:numCache>
            </c:numRef>
          </c:xVal>
          <c:yVal>
            <c:numRef>
              <c:f>CEL!$L$50:$L$67</c:f>
              <c:numCache>
                <c:formatCode>0.0</c:formatCode>
                <c:ptCount val="18"/>
                <c:pt idx="0">
                  <c:v>0</c:v>
                </c:pt>
                <c:pt idx="1">
                  <c:v>1.1089949581000242</c:v>
                </c:pt>
                <c:pt idx="2">
                  <c:v>16.909999364284872</c:v>
                </c:pt>
                <c:pt idx="3">
                  <c:v>94.165718203262898</c:v>
                </c:pt>
                <c:pt idx="4">
                  <c:v>175.70161926868317</c:v>
                </c:pt>
                <c:pt idx="5">
                  <c:v>225.48833841332529</c:v>
                </c:pt>
                <c:pt idx="6">
                  <c:v>249.74796232393226</c:v>
                </c:pt>
                <c:pt idx="7">
                  <c:v>264.29041060869764</c:v>
                </c:pt>
                <c:pt idx="8">
                  <c:v>287.49724449371229</c:v>
                </c:pt>
                <c:pt idx="9">
                  <c:v>298.34558623283579</c:v>
                </c:pt>
                <c:pt idx="10">
                  <c:v>307.67052855711302</c:v>
                </c:pt>
                <c:pt idx="11">
                  <c:v>312.52986557292809</c:v>
                </c:pt>
                <c:pt idx="12">
                  <c:v>315.17468046976711</c:v>
                </c:pt>
                <c:pt idx="13">
                  <c:v>318.49650037057484</c:v>
                </c:pt>
                <c:pt idx="14">
                  <c:v>323.00041843366949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A8-4E1D-8E34-6B97128DC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07232"/>
        <c:axId val="175009152"/>
      </c:scatterChart>
      <c:valAx>
        <c:axId val="175007232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crossAx val="175009152"/>
        <c:crosses val="autoZero"/>
        <c:crossBetween val="midCat"/>
      </c:valAx>
      <c:valAx>
        <c:axId val="17500915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" sourceLinked="0"/>
        <c:majorTickMark val="out"/>
        <c:minorTickMark val="none"/>
        <c:tickLblPos val="nextTo"/>
        <c:crossAx val="175007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921855424021957E-2"/>
          <c:y val="4.0400556238110848E-2"/>
          <c:w val="0.82201930019548153"/>
          <c:h val="0.90929067392407659"/>
        </c:manualLayout>
      </c:layout>
      <c:scatterChart>
        <c:scatterStyle val="lineMarker"/>
        <c:varyColors val="0"/>
        <c:ser>
          <c:idx val="3"/>
          <c:order val="0"/>
          <c:spPr>
            <a:ln w="3810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'Subs C'!$B$8:$B$22</c:f>
              <c:numCache>
                <c:formatCode>0.0</c:formatCode>
                <c:ptCount val="15"/>
                <c:pt idx="0">
                  <c:v>0</c:v>
                </c:pt>
                <c:pt idx="1">
                  <c:v>0.84027777777373558</c:v>
                </c:pt>
                <c:pt idx="2">
                  <c:v>1.84375</c:v>
                </c:pt>
                <c:pt idx="3">
                  <c:v>2.8506944444452529</c:v>
                </c:pt>
                <c:pt idx="4">
                  <c:v>3.8090277777737356</c:v>
                </c:pt>
                <c:pt idx="5">
                  <c:v>4.8611111111094942</c:v>
                </c:pt>
                <c:pt idx="6">
                  <c:v>5.859027777776646</c:v>
                </c:pt>
                <c:pt idx="7">
                  <c:v>6.8395833333343035</c:v>
                </c:pt>
                <c:pt idx="8">
                  <c:v>8.9166666666642413</c:v>
                </c:pt>
                <c:pt idx="9">
                  <c:v>10.878472222218988</c:v>
                </c:pt>
                <c:pt idx="10">
                  <c:v>13.125</c:v>
                </c:pt>
                <c:pt idx="11">
                  <c:v>15.854166666664241</c:v>
                </c:pt>
                <c:pt idx="12">
                  <c:v>18.909722222218988</c:v>
                </c:pt>
                <c:pt idx="13">
                  <c:v>22.861111111109494</c:v>
                </c:pt>
                <c:pt idx="14">
                  <c:v>27.145833333328483</c:v>
                </c:pt>
              </c:numCache>
            </c:numRef>
          </c:xVal>
          <c:yVal>
            <c:numRef>
              <c:f>'Subs C'!$N$8:$N$25</c:f>
              <c:numCache>
                <c:formatCode>0.0</c:formatCode>
                <c:ptCount val="18"/>
                <c:pt idx="0">
                  <c:v>0</c:v>
                </c:pt>
                <c:pt idx="1">
                  <c:v>66.576530712667079</c:v>
                </c:pt>
                <c:pt idx="2">
                  <c:v>168.55644635647786</c:v>
                </c:pt>
                <c:pt idx="3">
                  <c:v>287.78505842567091</c:v>
                </c:pt>
                <c:pt idx="4">
                  <c:v>353.31871374993801</c:v>
                </c:pt>
                <c:pt idx="5">
                  <c:v>391.4485676034692</c:v>
                </c:pt>
                <c:pt idx="6">
                  <c:v>415.08329223123263</c:v>
                </c:pt>
                <c:pt idx="7">
                  <c:v>429.98012319395502</c:v>
                </c:pt>
                <c:pt idx="8">
                  <c:v>451.83995976728255</c:v>
                </c:pt>
                <c:pt idx="9">
                  <c:v>464.46189045498613</c:v>
                </c:pt>
                <c:pt idx="10">
                  <c:v>474.60115587963543</c:v>
                </c:pt>
                <c:pt idx="11">
                  <c:v>481.65315710449482</c:v>
                </c:pt>
                <c:pt idx="12">
                  <c:v>488.11900972249117</c:v>
                </c:pt>
                <c:pt idx="13">
                  <c:v>494.77908047551506</c:v>
                </c:pt>
                <c:pt idx="14">
                  <c:v>500.53268017111651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15-47BD-9690-88CAEE2FED9D}"/>
            </c:ext>
          </c:extLst>
        </c:ser>
        <c:ser>
          <c:idx val="0"/>
          <c:order val="1"/>
          <c:spPr>
            <a:ln w="28575">
              <a:noFill/>
            </a:ln>
          </c:spPr>
          <c:marker>
            <c:spPr>
              <a:ln>
                <a:noFill/>
              </a:ln>
            </c:spPr>
          </c:marker>
          <c:xVal>
            <c:numRef>
              <c:f>'Subs C'!$B$8:$B$22</c:f>
              <c:numCache>
                <c:formatCode>0.0</c:formatCode>
                <c:ptCount val="15"/>
                <c:pt idx="0">
                  <c:v>0</c:v>
                </c:pt>
                <c:pt idx="1">
                  <c:v>0.84027777777373558</c:v>
                </c:pt>
                <c:pt idx="2">
                  <c:v>1.84375</c:v>
                </c:pt>
                <c:pt idx="3">
                  <c:v>2.8506944444452529</c:v>
                </c:pt>
                <c:pt idx="4">
                  <c:v>3.8090277777737356</c:v>
                </c:pt>
                <c:pt idx="5">
                  <c:v>4.8611111111094942</c:v>
                </c:pt>
                <c:pt idx="6">
                  <c:v>5.859027777776646</c:v>
                </c:pt>
                <c:pt idx="7">
                  <c:v>6.8395833333343035</c:v>
                </c:pt>
                <c:pt idx="8">
                  <c:v>8.9166666666642413</c:v>
                </c:pt>
                <c:pt idx="9">
                  <c:v>10.878472222218988</c:v>
                </c:pt>
                <c:pt idx="10">
                  <c:v>13.125</c:v>
                </c:pt>
                <c:pt idx="11">
                  <c:v>15.854166666664241</c:v>
                </c:pt>
                <c:pt idx="12">
                  <c:v>18.909722222218988</c:v>
                </c:pt>
                <c:pt idx="13">
                  <c:v>22.861111111109494</c:v>
                </c:pt>
                <c:pt idx="14">
                  <c:v>27.145833333328483</c:v>
                </c:pt>
              </c:numCache>
            </c:numRef>
          </c:xVal>
          <c:yVal>
            <c:numRef>
              <c:f>'Subs C'!$L$8:$L$25</c:f>
              <c:numCache>
                <c:formatCode>0.0</c:formatCode>
                <c:ptCount val="18"/>
                <c:pt idx="0">
                  <c:v>0</c:v>
                </c:pt>
                <c:pt idx="1">
                  <c:v>65.66676375327124</c:v>
                </c:pt>
                <c:pt idx="2">
                  <c:v>167.9269628009055</c:v>
                </c:pt>
                <c:pt idx="3">
                  <c:v>289.42261067828997</c:v>
                </c:pt>
                <c:pt idx="4">
                  <c:v>351.91364996385039</c:v>
                </c:pt>
                <c:pt idx="5">
                  <c:v>389.24945422255178</c:v>
                </c:pt>
                <c:pt idx="6">
                  <c:v>411.52917449037994</c:v>
                </c:pt>
                <c:pt idx="7">
                  <c:v>425.20096183879986</c:v>
                </c:pt>
                <c:pt idx="8">
                  <c:v>446.69181483388672</c:v>
                </c:pt>
                <c:pt idx="9">
                  <c:v>460.29253337876804</c:v>
                </c:pt>
                <c:pt idx="10">
                  <c:v>471.12477049604649</c:v>
                </c:pt>
                <c:pt idx="11">
                  <c:v>477.74264916528125</c:v>
                </c:pt>
                <c:pt idx="12">
                  <c:v>484.67963855338576</c:v>
                </c:pt>
                <c:pt idx="13">
                  <c:v>490.74267198542634</c:v>
                </c:pt>
                <c:pt idx="14">
                  <c:v>496.44338027205708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15-47BD-9690-88CAEE2FED9D}"/>
            </c:ext>
          </c:extLst>
        </c:ser>
        <c:ser>
          <c:idx val="1"/>
          <c:order val="2"/>
          <c:spPr>
            <a:ln>
              <a:noFill/>
            </a:ln>
          </c:spPr>
          <c:marker>
            <c:spPr>
              <a:ln>
                <a:noFill/>
              </a:ln>
            </c:spPr>
          </c:marker>
          <c:xVal>
            <c:numRef>
              <c:f>'Subs C'!$B$29:$B$43</c:f>
              <c:numCache>
                <c:formatCode>0.0</c:formatCode>
                <c:ptCount val="15"/>
                <c:pt idx="0" formatCode="General">
                  <c:v>0</c:v>
                </c:pt>
                <c:pt idx="1">
                  <c:v>0.84027777777373558</c:v>
                </c:pt>
                <c:pt idx="2">
                  <c:v>1.84375</c:v>
                </c:pt>
                <c:pt idx="3">
                  <c:v>2.8506944444452529</c:v>
                </c:pt>
                <c:pt idx="4">
                  <c:v>3.8090277777737356</c:v>
                </c:pt>
                <c:pt idx="5">
                  <c:v>4.8611111111094942</c:v>
                </c:pt>
                <c:pt idx="6">
                  <c:v>5.859027777776646</c:v>
                </c:pt>
                <c:pt idx="7">
                  <c:v>6.8395833333343035</c:v>
                </c:pt>
                <c:pt idx="8">
                  <c:v>8.9166666666642413</c:v>
                </c:pt>
                <c:pt idx="9">
                  <c:v>10.878472222218988</c:v>
                </c:pt>
                <c:pt idx="10">
                  <c:v>13.125</c:v>
                </c:pt>
                <c:pt idx="11">
                  <c:v>15.854166666664241</c:v>
                </c:pt>
                <c:pt idx="12">
                  <c:v>18.909722222218988</c:v>
                </c:pt>
                <c:pt idx="13">
                  <c:v>22.861111111109494</c:v>
                </c:pt>
                <c:pt idx="14">
                  <c:v>27.145833333328483</c:v>
                </c:pt>
              </c:numCache>
            </c:numRef>
          </c:xVal>
          <c:yVal>
            <c:numRef>
              <c:f>'Subs C'!$L$29:$L$46</c:f>
              <c:numCache>
                <c:formatCode>0.0</c:formatCode>
                <c:ptCount val="18"/>
                <c:pt idx="0">
                  <c:v>0</c:v>
                </c:pt>
                <c:pt idx="1">
                  <c:v>68.834412060139059</c:v>
                </c:pt>
                <c:pt idx="2">
                  <c:v>175.06766705602212</c:v>
                </c:pt>
                <c:pt idx="3">
                  <c:v>297.15352788029122</c:v>
                </c:pt>
                <c:pt idx="4">
                  <c:v>372.08968202135452</c:v>
                </c:pt>
                <c:pt idx="5">
                  <c:v>409.65237298831642</c:v>
                </c:pt>
                <c:pt idx="6">
                  <c:v>434.84278244418692</c:v>
                </c:pt>
                <c:pt idx="7">
                  <c:v>451.22592008209705</c:v>
                </c:pt>
                <c:pt idx="8">
                  <c:v>473.64537489611195</c:v>
                </c:pt>
                <c:pt idx="9">
                  <c:v>487.3426847784865</c:v>
                </c:pt>
                <c:pt idx="10">
                  <c:v>498.58608093115981</c:v>
                </c:pt>
                <c:pt idx="11">
                  <c:v>506.39197043599023</c:v>
                </c:pt>
                <c:pt idx="12">
                  <c:v>513.05355573696033</c:v>
                </c:pt>
                <c:pt idx="13">
                  <c:v>520.89009699888163</c:v>
                </c:pt>
                <c:pt idx="14">
                  <c:v>527.37313023322724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15-47BD-9690-88CAEE2FED9D}"/>
            </c:ext>
          </c:extLst>
        </c:ser>
        <c:ser>
          <c:idx val="2"/>
          <c:order val="3"/>
          <c:spPr>
            <a:ln>
              <a:noFill/>
            </a:ln>
          </c:spPr>
          <c:marker>
            <c:spPr>
              <a:ln>
                <a:noFill/>
              </a:ln>
            </c:spPr>
          </c:marker>
          <c:xVal>
            <c:numRef>
              <c:f>'Subs C'!$B$50:$B$64</c:f>
              <c:numCache>
                <c:formatCode>0.0</c:formatCode>
                <c:ptCount val="15"/>
                <c:pt idx="0">
                  <c:v>0</c:v>
                </c:pt>
                <c:pt idx="1">
                  <c:v>0.84027777777373558</c:v>
                </c:pt>
                <c:pt idx="2">
                  <c:v>1.84375</c:v>
                </c:pt>
                <c:pt idx="3">
                  <c:v>2.8506944444452529</c:v>
                </c:pt>
                <c:pt idx="4">
                  <c:v>3.8090277777737356</c:v>
                </c:pt>
                <c:pt idx="5">
                  <c:v>4.8611111111094942</c:v>
                </c:pt>
                <c:pt idx="6">
                  <c:v>5.859027777776646</c:v>
                </c:pt>
                <c:pt idx="7">
                  <c:v>6.8395833333343035</c:v>
                </c:pt>
                <c:pt idx="8">
                  <c:v>8.9166666666642413</c:v>
                </c:pt>
                <c:pt idx="9">
                  <c:v>10.878472222218988</c:v>
                </c:pt>
                <c:pt idx="10">
                  <c:v>13.125</c:v>
                </c:pt>
                <c:pt idx="11">
                  <c:v>15.854166666664241</c:v>
                </c:pt>
                <c:pt idx="12">
                  <c:v>18.909722222218988</c:v>
                </c:pt>
                <c:pt idx="13">
                  <c:v>22.861111111109494</c:v>
                </c:pt>
                <c:pt idx="14">
                  <c:v>27.145833333328483</c:v>
                </c:pt>
              </c:numCache>
            </c:numRef>
          </c:xVal>
          <c:yVal>
            <c:numRef>
              <c:f>'Subs C'!$L$50:$L$67</c:f>
              <c:numCache>
                <c:formatCode>0.0</c:formatCode>
                <c:ptCount val="18"/>
                <c:pt idx="0">
                  <c:v>0</c:v>
                </c:pt>
                <c:pt idx="1">
                  <c:v>65.228416324590938</c:v>
                </c:pt>
                <c:pt idx="2">
                  <c:v>162.67470921250592</c:v>
                </c:pt>
                <c:pt idx="3">
                  <c:v>276.77903671843154</c:v>
                </c:pt>
                <c:pt idx="4">
                  <c:v>335.95280926460913</c:v>
                </c:pt>
                <c:pt idx="5">
                  <c:v>375.44387559953947</c:v>
                </c:pt>
                <c:pt idx="6">
                  <c:v>398.87791975913092</c:v>
                </c:pt>
                <c:pt idx="7">
                  <c:v>413.51348766096817</c:v>
                </c:pt>
                <c:pt idx="8">
                  <c:v>435.18268957184875</c:v>
                </c:pt>
                <c:pt idx="9">
                  <c:v>445.75045320770397</c:v>
                </c:pt>
                <c:pt idx="10">
                  <c:v>454.09261621170009</c:v>
                </c:pt>
                <c:pt idx="11">
                  <c:v>460.8248517122131</c:v>
                </c:pt>
                <c:pt idx="12">
                  <c:v>466.62383487712742</c:v>
                </c:pt>
                <c:pt idx="13">
                  <c:v>472.7044724422372</c:v>
                </c:pt>
                <c:pt idx="14">
                  <c:v>477.78153000806515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15-47BD-9690-88CAEE2FE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07232"/>
        <c:axId val="175009152"/>
      </c:scatterChart>
      <c:valAx>
        <c:axId val="175007232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crossAx val="175009152"/>
        <c:crosses val="autoZero"/>
        <c:crossBetween val="midCat"/>
      </c:valAx>
      <c:valAx>
        <c:axId val="17500915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" sourceLinked="0"/>
        <c:majorTickMark val="out"/>
        <c:minorTickMark val="none"/>
        <c:tickLblPos val="nextTo"/>
        <c:crossAx val="175007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510991</xdr:colOff>
      <xdr:row>7</xdr:row>
      <xdr:rowOff>68708</xdr:rowOff>
    </xdr:from>
    <xdr:to>
      <xdr:col>32</xdr:col>
      <xdr:colOff>590429</xdr:colOff>
      <xdr:row>36</xdr:row>
      <xdr:rowOff>175475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460464</xdr:colOff>
      <xdr:row>9</xdr:row>
      <xdr:rowOff>63867</xdr:rowOff>
    </xdr:from>
    <xdr:to>
      <xdr:col>34</xdr:col>
      <xdr:colOff>517923</xdr:colOff>
      <xdr:row>37</xdr:row>
      <xdr:rowOff>172728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460463</xdr:colOff>
      <xdr:row>5</xdr:row>
      <xdr:rowOff>190500</xdr:rowOff>
    </xdr:from>
    <xdr:to>
      <xdr:col>38</xdr:col>
      <xdr:colOff>415635</xdr:colOff>
      <xdr:row>37</xdr:row>
      <xdr:rowOff>172728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8"/>
  </sheetPr>
  <dimension ref="A1:BI32"/>
  <sheetViews>
    <sheetView zoomScale="70" zoomScaleNormal="70" workbookViewId="0">
      <selection activeCell="H27" sqref="H27"/>
    </sheetView>
  </sheetViews>
  <sheetFormatPr defaultColWidth="9.140625" defaultRowHeight="15"/>
  <cols>
    <col min="1" max="1" width="8.85546875" style="41"/>
    <col min="2" max="2" width="17.28515625" customWidth="1"/>
    <col min="3" max="3" width="16.7109375" bestFit="1" customWidth="1"/>
    <col min="4" max="4" width="23.85546875" customWidth="1"/>
    <col min="5" max="5" width="22" customWidth="1"/>
    <col min="6" max="6" width="23" bestFit="1" customWidth="1"/>
    <col min="7" max="7" width="16.7109375" customWidth="1"/>
    <col min="8" max="8" width="18.140625" customWidth="1"/>
    <col min="9" max="9" width="15" customWidth="1"/>
    <col min="10" max="10" width="22.5703125" bestFit="1" customWidth="1"/>
    <col min="11" max="11" width="23.85546875" bestFit="1" customWidth="1"/>
    <col min="12" max="12" width="11.42578125" bestFit="1" customWidth="1"/>
    <col min="13" max="13" width="13" customWidth="1"/>
    <col min="14" max="14" width="4.7109375" style="57" customWidth="1"/>
    <col min="15" max="15" width="18.85546875" bestFit="1" customWidth="1"/>
    <col min="16" max="16" width="14.42578125" bestFit="1" customWidth="1"/>
    <col min="17" max="17" width="15.7109375" bestFit="1" customWidth="1"/>
    <col min="18" max="18" width="27.28515625" bestFit="1" customWidth="1"/>
    <col min="19" max="19" width="17.85546875" customWidth="1"/>
    <col min="20" max="20" width="11.7109375" customWidth="1"/>
    <col min="23" max="24" width="11.140625" bestFit="1" customWidth="1"/>
  </cols>
  <sheetData>
    <row r="1" spans="2:61">
      <c r="B1" s="6"/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/>
      <c r="J1" s="6" t="s">
        <v>6</v>
      </c>
      <c r="K1" s="6" t="s">
        <v>7</v>
      </c>
      <c r="L1" s="6" t="s">
        <v>8</v>
      </c>
      <c r="M1" s="8"/>
      <c r="N1" s="54"/>
      <c r="O1" s="121" t="s">
        <v>9</v>
      </c>
      <c r="P1" s="121"/>
      <c r="Q1" s="121"/>
      <c r="R1" s="21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</row>
    <row r="2" spans="2:61">
      <c r="B2" s="7"/>
      <c r="C2" s="18"/>
      <c r="D2" s="38" t="s">
        <v>39</v>
      </c>
      <c r="E2" s="87">
        <v>27.445900000000002</v>
      </c>
      <c r="F2" s="87">
        <v>51.498199999999997</v>
      </c>
      <c r="G2" s="87">
        <v>28.093</v>
      </c>
      <c r="H2" s="87">
        <v>27.633099999999999</v>
      </c>
      <c r="I2" s="88"/>
      <c r="J2" s="12">
        <f t="shared" ref="J2:J4" si="0">(G2-E2)/(F2-E2)*1000</f>
        <v>26.903871978979073</v>
      </c>
      <c r="K2" s="12">
        <f>(G2-H2)/(F2-E2)*1000</f>
        <v>19.120832519135433</v>
      </c>
      <c r="L2" s="12">
        <f>+K2/J2</f>
        <v>0.71070931849791741</v>
      </c>
      <c r="M2" s="19"/>
      <c r="N2" s="55"/>
      <c r="O2" s="60" t="s">
        <v>10</v>
      </c>
      <c r="P2" s="60">
        <v>8.2059999999999994E-2</v>
      </c>
      <c r="Q2" s="60" t="s">
        <v>11</v>
      </c>
      <c r="R2" s="40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</row>
    <row r="3" spans="2:61">
      <c r="B3" s="7"/>
      <c r="C3" s="18"/>
      <c r="D3" s="38" t="s">
        <v>39</v>
      </c>
      <c r="E3" s="87">
        <v>21.644200000000001</v>
      </c>
      <c r="F3" s="87">
        <v>48.459099999999999</v>
      </c>
      <c r="G3" s="87">
        <v>22.359100000000002</v>
      </c>
      <c r="H3" s="87">
        <v>21.852399999999999</v>
      </c>
      <c r="I3" s="88"/>
      <c r="J3" s="12">
        <f t="shared" si="0"/>
        <v>26.660550663996517</v>
      </c>
      <c r="K3" s="12">
        <f t="shared" ref="K3:K4" si="1">(G3-H3)/(F3-E3)*1000</f>
        <v>18.896210688833527</v>
      </c>
      <c r="L3" s="12">
        <f t="shared" ref="L3:L4" si="2">+K3/J3</f>
        <v>0.70877045740663314</v>
      </c>
      <c r="M3" s="19"/>
      <c r="N3" s="55"/>
      <c r="O3" s="60" t="s">
        <v>12</v>
      </c>
      <c r="P3" s="60">
        <v>30</v>
      </c>
      <c r="Q3" s="60" t="s">
        <v>13</v>
      </c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</row>
    <row r="4" spans="2:61">
      <c r="B4" s="7"/>
      <c r="C4" s="18"/>
      <c r="D4" s="38" t="s">
        <v>39</v>
      </c>
      <c r="E4" s="87">
        <v>21.916</v>
      </c>
      <c r="F4" s="87">
        <v>43.850499999999997</v>
      </c>
      <c r="G4" s="87">
        <v>22.5017</v>
      </c>
      <c r="H4" s="87">
        <v>22.087</v>
      </c>
      <c r="I4" s="88"/>
      <c r="J4" s="12">
        <f t="shared" si="0"/>
        <v>26.702227085185406</v>
      </c>
      <c r="K4" s="12">
        <f t="shared" si="1"/>
        <v>18.906289179147002</v>
      </c>
      <c r="L4" s="12">
        <f t="shared" si="2"/>
        <v>0.70804165955267273</v>
      </c>
      <c r="M4" s="19"/>
      <c r="N4" s="55"/>
      <c r="O4" s="40" t="s">
        <v>14</v>
      </c>
      <c r="P4" s="52">
        <f>+(P2*(273.15+P3))/(P2*273.15)</f>
        <v>1.1098297638660077</v>
      </c>
      <c r="Q4" s="40"/>
      <c r="R4" s="76" t="s">
        <v>35</v>
      </c>
      <c r="S4" s="62" t="s">
        <v>42</v>
      </c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</row>
    <row r="5" spans="2:61" s="60" customFormat="1">
      <c r="B5" s="7"/>
      <c r="C5" s="18"/>
      <c r="D5" s="38" t="s">
        <v>39</v>
      </c>
      <c r="E5" s="87">
        <v>25.755800000000001</v>
      </c>
      <c r="F5" s="87">
        <v>51.262599999999999</v>
      </c>
      <c r="G5" s="87">
        <v>26.436299999999999</v>
      </c>
      <c r="H5" s="87">
        <v>25.949100000000001</v>
      </c>
      <c r="I5" s="88"/>
      <c r="J5" s="12">
        <f t="shared" ref="J5" si="3">(G5-E5)/(F5-E5)*1000</f>
        <v>26.679160067119302</v>
      </c>
      <c r="K5" s="12">
        <f t="shared" ref="K5" si="4">(G5-H5)/(F5-E5)*1000</f>
        <v>19.100788809258624</v>
      </c>
      <c r="L5" s="12">
        <f t="shared" ref="L5" si="5">+K5/J5</f>
        <v>0.71594415870683159</v>
      </c>
      <c r="M5" s="19"/>
      <c r="N5" s="55"/>
      <c r="O5" s="40"/>
      <c r="P5" s="52"/>
      <c r="Q5" s="40"/>
      <c r="R5" s="77">
        <f>(1*0.08206*273.15)/(1/1.01325)*1000</f>
        <v>22711.683629249997</v>
      </c>
      <c r="S5" s="61">
        <f>0.61121*(EXP((18.678-(P3/234.5))*(P3/(254.14+P3))))*10</f>
        <v>43.328871056985747</v>
      </c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</row>
    <row r="6" spans="2:61">
      <c r="B6" s="60"/>
      <c r="C6" s="18"/>
      <c r="D6" s="38"/>
      <c r="E6" s="87"/>
      <c r="F6" s="87"/>
      <c r="G6" s="87"/>
      <c r="H6" s="87"/>
      <c r="I6" s="88"/>
      <c r="J6" s="89">
        <f>AVERAGE(J2:J5)</f>
        <v>26.736452448820071</v>
      </c>
      <c r="K6" s="90">
        <f>AVERAGE(K2:K5)</f>
        <v>19.006030299093645</v>
      </c>
      <c r="L6" s="89">
        <f>AVERAGE(L2:L5)</f>
        <v>0.71086639854101374</v>
      </c>
      <c r="M6" s="19"/>
      <c r="N6" s="55"/>
      <c r="O6" s="20"/>
      <c r="P6" s="20"/>
      <c r="Q6" s="20"/>
      <c r="R6" s="20"/>
      <c r="S6" s="44"/>
      <c r="T6" s="10"/>
      <c r="U6" s="11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</row>
    <row r="7" spans="2:61" s="69" customFormat="1">
      <c r="C7" s="18"/>
      <c r="D7" s="38"/>
      <c r="E7" s="87"/>
      <c r="F7" s="87"/>
      <c r="G7" s="87"/>
      <c r="H7" s="87"/>
      <c r="I7" s="88"/>
      <c r="J7" s="89"/>
      <c r="K7" s="90"/>
      <c r="L7" s="89"/>
      <c r="M7" s="19"/>
      <c r="N7" s="55"/>
      <c r="O7" s="20"/>
      <c r="P7" s="20"/>
      <c r="Q7" s="20"/>
      <c r="R7" s="20"/>
      <c r="S7" s="44"/>
      <c r="T7" s="10"/>
      <c r="U7" s="11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</row>
    <row r="8" spans="2:61" s="69" customFormat="1">
      <c r="C8" s="18"/>
      <c r="D8" s="38" t="s">
        <v>53</v>
      </c>
      <c r="E8" s="87">
        <v>21.393899999999999</v>
      </c>
      <c r="F8" s="87">
        <v>23.237400000000001</v>
      </c>
      <c r="G8" s="87">
        <v>23.189800000000002</v>
      </c>
      <c r="H8" s="87">
        <v>21.394500000000001</v>
      </c>
      <c r="I8" s="88"/>
      <c r="J8" s="12">
        <f t="shared" ref="J8:J11" si="6">(G8-E8)/(F8-E8)*1000</f>
        <v>974.17954976946078</v>
      </c>
      <c r="K8" s="12">
        <f>(G8-H8)/(F8-E8)*1000</f>
        <v>973.85408190941075</v>
      </c>
      <c r="L8" s="12">
        <f>+K8/J8</f>
        <v>0.99966590567403402</v>
      </c>
      <c r="M8" s="19"/>
      <c r="N8" s="55"/>
      <c r="O8" s="20"/>
      <c r="P8" s="20"/>
      <c r="Q8" s="20"/>
      <c r="R8" s="20"/>
      <c r="S8" s="44"/>
      <c r="T8" s="10"/>
      <c r="U8" s="11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</row>
    <row r="9" spans="2:61" s="69" customFormat="1">
      <c r="C9" s="18"/>
      <c r="D9" s="38" t="s">
        <v>53</v>
      </c>
      <c r="E9" s="91">
        <v>25.941299999999998</v>
      </c>
      <c r="F9" s="87">
        <v>28.518799999999999</v>
      </c>
      <c r="G9" s="87">
        <v>28.450900000000001</v>
      </c>
      <c r="H9" s="87">
        <v>25.941700000000001</v>
      </c>
      <c r="I9" s="87"/>
      <c r="J9" s="12">
        <f t="shared" si="6"/>
        <v>973.65664403491837</v>
      </c>
      <c r="K9" s="12">
        <f t="shared" ref="K9:K11" si="7">(G9-H9)/(F9-E9)*1000</f>
        <v>973.50145489815691</v>
      </c>
      <c r="L9" s="12">
        <f t="shared" ref="L9:L11" si="8">+K9/J9</f>
        <v>0.99984061204972796</v>
      </c>
      <c r="M9" s="19"/>
      <c r="N9" s="55"/>
      <c r="O9" s="20"/>
      <c r="P9" s="20"/>
      <c r="Q9" s="20"/>
      <c r="R9" s="20"/>
      <c r="S9" s="44"/>
      <c r="T9" s="10"/>
      <c r="U9" s="11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</row>
    <row r="10" spans="2:61" s="69" customFormat="1">
      <c r="C10" s="18"/>
      <c r="D10" s="38" t="s">
        <v>53</v>
      </c>
      <c r="E10" s="91">
        <v>21.5791</v>
      </c>
      <c r="F10" s="91">
        <v>23.476800000000001</v>
      </c>
      <c r="G10" s="91">
        <v>23.4285</v>
      </c>
      <c r="H10" s="91">
        <v>21.579699999999999</v>
      </c>
      <c r="I10" s="88"/>
      <c r="J10" s="12">
        <f t="shared" si="6"/>
        <v>974.54813721873791</v>
      </c>
      <c r="K10" s="12">
        <f t="shared" si="7"/>
        <v>974.23196501027576</v>
      </c>
      <c r="L10" s="12">
        <f t="shared" si="8"/>
        <v>0.99967557045528355</v>
      </c>
      <c r="M10" s="19"/>
      <c r="N10" s="55"/>
      <c r="O10" s="20"/>
      <c r="P10" s="20"/>
      <c r="Q10" s="20"/>
      <c r="R10" s="20"/>
      <c r="S10" s="44"/>
      <c r="T10" s="10"/>
      <c r="U10" s="11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</row>
    <row r="11" spans="2:61" s="69" customFormat="1">
      <c r="C11" s="18"/>
      <c r="D11" s="38" t="s">
        <v>53</v>
      </c>
      <c r="E11" s="87">
        <v>26.095800000000001</v>
      </c>
      <c r="F11" s="91">
        <v>28.221399999999999</v>
      </c>
      <c r="G11" s="91">
        <v>28.167200000000001</v>
      </c>
      <c r="H11" s="91">
        <v>26.0962</v>
      </c>
      <c r="I11" s="88"/>
      <c r="J11" s="12">
        <f t="shared" si="6"/>
        <v>974.50131727512326</v>
      </c>
      <c r="K11" s="12">
        <f t="shared" si="7"/>
        <v>974.31313511479243</v>
      </c>
      <c r="L11" s="12">
        <f t="shared" si="8"/>
        <v>0.99980689388819199</v>
      </c>
      <c r="M11" s="19"/>
      <c r="N11" s="55"/>
      <c r="O11" s="20"/>
      <c r="P11" s="20"/>
      <c r="Q11" s="20"/>
      <c r="R11" s="20"/>
      <c r="S11" s="44"/>
      <c r="T11" s="10"/>
      <c r="U11" s="11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</row>
    <row r="12" spans="2:61" s="69" customFormat="1">
      <c r="C12" s="18"/>
      <c r="D12" s="38"/>
      <c r="E12" s="87"/>
      <c r="F12" s="87"/>
      <c r="G12" s="87"/>
      <c r="H12" s="87"/>
      <c r="I12" s="88"/>
      <c r="J12" s="89"/>
      <c r="K12" s="90">
        <f>AVERAGE(K8:K11)</f>
        <v>973.97515923315905</v>
      </c>
      <c r="L12" s="89"/>
      <c r="M12" s="19"/>
      <c r="N12" s="55"/>
      <c r="O12" s="20"/>
      <c r="P12" s="20"/>
      <c r="Q12" s="20"/>
      <c r="R12" s="20"/>
      <c r="S12" s="44"/>
      <c r="T12" s="10"/>
      <c r="U12" s="11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</row>
    <row r="13" spans="2:61" s="69" customFormat="1">
      <c r="C13" s="18"/>
      <c r="D13" s="38"/>
      <c r="E13" s="87"/>
      <c r="F13" s="87"/>
      <c r="G13" s="87"/>
      <c r="H13" s="87"/>
      <c r="I13" s="88"/>
      <c r="J13" s="89"/>
      <c r="K13" s="90"/>
      <c r="L13" s="89"/>
      <c r="M13" s="19"/>
      <c r="N13" s="55"/>
      <c r="O13" s="20"/>
      <c r="P13" s="20"/>
      <c r="Q13" s="20"/>
      <c r="R13" s="20"/>
      <c r="S13" s="44"/>
      <c r="T13" s="10"/>
      <c r="U13" s="11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</row>
    <row r="14" spans="2:61">
      <c r="B14" s="60"/>
      <c r="C14" s="18"/>
      <c r="D14" s="38" t="s">
        <v>52</v>
      </c>
      <c r="E14" s="87">
        <v>21.643799999999999</v>
      </c>
      <c r="F14" s="87">
        <v>30.834</v>
      </c>
      <c r="G14" s="87">
        <v>30.195</v>
      </c>
      <c r="H14" s="87">
        <v>22.6873</v>
      </c>
      <c r="I14" s="88"/>
      <c r="J14" s="12">
        <f t="shared" ref="J14:J17" si="9">(G14-E14)/(F14-E14)*1000</f>
        <v>930.46941307044472</v>
      </c>
      <c r="K14" s="12">
        <f>(G14-H14)/(F14-E14)*1000</f>
        <v>816.92455006419868</v>
      </c>
      <c r="L14" s="12">
        <f>+K14/J14</f>
        <v>0.877970343343624</v>
      </c>
      <c r="M14" s="19"/>
      <c r="N14" s="55"/>
      <c r="O14" s="20"/>
      <c r="P14" s="20"/>
      <c r="Q14" s="20"/>
      <c r="R14" s="20"/>
      <c r="S14" s="44"/>
      <c r="T14" s="10"/>
      <c r="U14" s="11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</row>
    <row r="15" spans="2:61">
      <c r="B15" s="60"/>
      <c r="C15" s="18"/>
      <c r="D15" s="38" t="s">
        <v>52</v>
      </c>
      <c r="E15" s="91">
        <v>21.573499999999999</v>
      </c>
      <c r="F15" s="87">
        <v>31.680199999999999</v>
      </c>
      <c r="G15" s="87">
        <v>30.983599999999999</v>
      </c>
      <c r="H15" s="87">
        <v>22.782699999999998</v>
      </c>
      <c r="I15" s="87"/>
      <c r="J15" s="12">
        <f t="shared" si="9"/>
        <v>931.07542521297751</v>
      </c>
      <c r="K15" s="12">
        <f t="shared" ref="K15:K17" si="10">(G15-H15)/(F15-E15)*1000</f>
        <v>811.43202034294097</v>
      </c>
      <c r="L15" s="12">
        <f t="shared" ref="L15:L17" si="11">+K15/J15</f>
        <v>0.87149977152208813</v>
      </c>
      <c r="M15" s="19"/>
      <c r="N15" s="55"/>
      <c r="O15" s="20"/>
      <c r="P15" s="20"/>
      <c r="Q15" s="20"/>
      <c r="R15" s="20"/>
      <c r="S15" s="44"/>
      <c r="T15" s="10"/>
      <c r="U15" s="11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</row>
    <row r="16" spans="2:61">
      <c r="B16" s="60"/>
      <c r="C16" s="18"/>
      <c r="D16" s="38" t="s">
        <v>52</v>
      </c>
      <c r="E16" s="91">
        <v>25.939699999999998</v>
      </c>
      <c r="F16" s="91">
        <v>36.945099999999996</v>
      </c>
      <c r="G16" s="91">
        <v>36.184699999999999</v>
      </c>
      <c r="H16" s="91">
        <v>27.276399999999999</v>
      </c>
      <c r="I16" s="88"/>
      <c r="J16" s="12">
        <f t="shared" si="9"/>
        <v>930.9066458284118</v>
      </c>
      <c r="K16" s="12">
        <f t="shared" si="10"/>
        <v>809.44808911988673</v>
      </c>
      <c r="L16" s="12">
        <f t="shared" si="11"/>
        <v>0.86952659834065382</v>
      </c>
      <c r="M16" s="19"/>
      <c r="N16" s="55"/>
      <c r="O16" s="20"/>
      <c r="P16" s="20"/>
      <c r="Q16" s="20"/>
      <c r="R16" s="20"/>
      <c r="S16" s="44"/>
      <c r="T16" s="10"/>
      <c r="U16" s="11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</row>
    <row r="17" spans="1:61">
      <c r="B17" s="60"/>
      <c r="C17" s="18"/>
      <c r="D17" s="38" t="s">
        <v>52</v>
      </c>
      <c r="E17" s="87">
        <v>25.756</v>
      </c>
      <c r="F17" s="91">
        <v>36.2742</v>
      </c>
      <c r="G17" s="91">
        <v>35.549700000000001</v>
      </c>
      <c r="H17" s="91">
        <v>26.985600000000002</v>
      </c>
      <c r="I17" s="88"/>
      <c r="J17" s="12">
        <f t="shared" si="9"/>
        <v>931.11939305204316</v>
      </c>
      <c r="K17" s="12">
        <f t="shared" si="10"/>
        <v>814.21726150862321</v>
      </c>
      <c r="L17" s="12">
        <f t="shared" si="11"/>
        <v>0.87444990146726975</v>
      </c>
      <c r="M17" s="19"/>
      <c r="N17" s="55"/>
      <c r="O17" s="20"/>
      <c r="P17" s="20"/>
      <c r="Q17" s="20"/>
      <c r="R17" s="20"/>
      <c r="S17" s="44"/>
      <c r="T17" s="10"/>
      <c r="U17" s="11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</row>
    <row r="18" spans="1:61">
      <c r="B18" s="60"/>
      <c r="C18" s="18"/>
      <c r="D18" s="38"/>
      <c r="E18" s="87"/>
      <c r="F18" s="87"/>
      <c r="G18" s="87"/>
      <c r="H18" s="87"/>
      <c r="I18" s="88"/>
      <c r="J18" s="89"/>
      <c r="K18" s="90">
        <f>AVERAGE(K14:K17)</f>
        <v>813.00548025891248</v>
      </c>
      <c r="L18" s="89"/>
      <c r="M18" s="19"/>
      <c r="N18" s="55"/>
      <c r="O18" s="20"/>
      <c r="P18" s="20"/>
      <c r="Q18" s="20"/>
      <c r="R18" s="20"/>
      <c r="S18" s="44"/>
      <c r="T18" s="10"/>
      <c r="U18" s="11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</row>
    <row r="19" spans="1:61" ht="15.75" thickBot="1">
      <c r="A19" s="60"/>
      <c r="B19" s="60"/>
      <c r="C19" s="18"/>
      <c r="D19" s="38"/>
      <c r="E19" s="43"/>
      <c r="F19" s="43"/>
      <c r="G19" s="43"/>
      <c r="H19" s="38"/>
      <c r="I19" s="38"/>
      <c r="J19" s="39"/>
      <c r="K19" s="39"/>
      <c r="L19" s="39"/>
      <c r="M19" s="19"/>
      <c r="N19" s="55"/>
      <c r="O19" s="40"/>
      <c r="P19" s="40"/>
      <c r="Q19" s="40"/>
      <c r="R19" s="40"/>
      <c r="S19" s="38"/>
      <c r="T19" s="38"/>
      <c r="U19" s="38"/>
      <c r="V19" s="38"/>
      <c r="W19" s="38"/>
      <c r="X19" s="38"/>
      <c r="Y19" s="38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</row>
    <row r="20" spans="1:61" ht="15.75" thickBot="1">
      <c r="A20" s="60"/>
      <c r="B20" s="14"/>
      <c r="C20" s="50" t="s">
        <v>15</v>
      </c>
      <c r="D20" s="50" t="s">
        <v>41</v>
      </c>
      <c r="E20" s="50" t="s">
        <v>54</v>
      </c>
      <c r="F20" s="15" t="s">
        <v>16</v>
      </c>
      <c r="G20" s="15" t="s">
        <v>17</v>
      </c>
      <c r="H20" s="15"/>
      <c r="I20" s="15" t="s">
        <v>18</v>
      </c>
      <c r="J20" s="15" t="s">
        <v>19</v>
      </c>
      <c r="K20" s="16" t="s">
        <v>20</v>
      </c>
      <c r="L20" s="15" t="s">
        <v>21</v>
      </c>
      <c r="M20" s="15"/>
      <c r="N20" s="56"/>
      <c r="O20" s="63"/>
      <c r="P20" s="63"/>
      <c r="Q20" s="35"/>
      <c r="R20" s="35"/>
      <c r="S20" s="35"/>
      <c r="T20" s="35"/>
      <c r="U20" s="35"/>
      <c r="V20" s="38"/>
      <c r="W20" s="35"/>
      <c r="X20" s="35"/>
      <c r="Y20" s="38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</row>
    <row r="21" spans="1:61" s="69" customFormat="1">
      <c r="A21" s="69">
        <v>1</v>
      </c>
      <c r="B21" s="9" t="s">
        <v>51</v>
      </c>
      <c r="C21" s="13">
        <v>80.039000000000001</v>
      </c>
      <c r="D21" s="81">
        <v>0</v>
      </c>
      <c r="E21" s="81">
        <v>0</v>
      </c>
      <c r="F21" s="13">
        <f>SUM(C21:E21)</f>
        <v>80.039000000000001</v>
      </c>
      <c r="G21" s="13">
        <f>160-F21</f>
        <v>79.960999999999999</v>
      </c>
      <c r="H21" s="12"/>
      <c r="I21" s="12">
        <f>E21*$K$18/1000</f>
        <v>0</v>
      </c>
      <c r="J21" s="39">
        <f>C21*$K$6/1000</f>
        <v>1.5212236591091561</v>
      </c>
      <c r="K21" s="92"/>
      <c r="L21" s="35"/>
      <c r="M21" s="35"/>
      <c r="N21" s="56"/>
      <c r="O21" s="63"/>
      <c r="P21" s="63"/>
      <c r="Q21" s="35"/>
      <c r="R21" s="35"/>
      <c r="S21" s="35"/>
      <c r="T21" s="35"/>
      <c r="U21" s="35"/>
      <c r="V21" s="38"/>
      <c r="W21" s="35"/>
      <c r="X21" s="35"/>
      <c r="Y21" s="38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</row>
    <row r="22" spans="1:61">
      <c r="A22" s="60">
        <v>2</v>
      </c>
      <c r="B22" s="9" t="s">
        <v>51</v>
      </c>
      <c r="C22" s="13">
        <v>80.031000000000006</v>
      </c>
      <c r="D22" s="81">
        <v>0</v>
      </c>
      <c r="E22" s="81">
        <v>0</v>
      </c>
      <c r="F22" s="13">
        <f>SUM(C22:E22)</f>
        <v>80.031000000000006</v>
      </c>
      <c r="G22" s="13">
        <f>160-F22</f>
        <v>79.968999999999994</v>
      </c>
      <c r="H22" s="12"/>
      <c r="I22" s="12">
        <f>E22*$K$18/1000</f>
        <v>0</v>
      </c>
      <c r="J22" s="39">
        <f t="shared" ref="J22:J23" si="12">C22*$K$6/1000</f>
        <v>1.5210716108667637</v>
      </c>
      <c r="K22" s="5"/>
      <c r="L22" s="60"/>
      <c r="M22" s="49"/>
      <c r="N22" s="58"/>
      <c r="O22" s="40"/>
      <c r="P22" s="53"/>
      <c r="Q22" s="40"/>
      <c r="R22" s="40"/>
      <c r="S22" s="38"/>
      <c r="T22" s="38"/>
      <c r="U22" s="38"/>
      <c r="V22" s="38"/>
      <c r="W22" s="38"/>
      <c r="X22" s="38"/>
      <c r="Y22" s="38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</row>
    <row r="23" spans="1:61">
      <c r="A23" s="60">
        <v>3</v>
      </c>
      <c r="B23" s="9" t="s">
        <v>51</v>
      </c>
      <c r="C23" s="13">
        <v>79.986999999999995</v>
      </c>
      <c r="D23" s="81">
        <v>0</v>
      </c>
      <c r="E23" s="81">
        <v>0</v>
      </c>
      <c r="F23" s="13">
        <f t="shared" ref="F23:F26" si="13">SUM(C23:E23)</f>
        <v>79.986999999999995</v>
      </c>
      <c r="G23" s="13">
        <f t="shared" ref="G23" si="14">160-F23</f>
        <v>80.013000000000005</v>
      </c>
      <c r="H23" s="12"/>
      <c r="I23" s="12">
        <f>E23*$K$18/1000</f>
        <v>0</v>
      </c>
      <c r="J23" s="39">
        <f t="shared" si="12"/>
        <v>1.5202353455336033</v>
      </c>
      <c r="K23" s="5"/>
      <c r="L23" s="60"/>
      <c r="M23" s="49"/>
      <c r="N23" s="58"/>
      <c r="O23" s="40"/>
      <c r="P23" s="40"/>
      <c r="Q23" s="40"/>
      <c r="R23" s="40"/>
      <c r="S23" s="38"/>
      <c r="T23" s="39"/>
      <c r="U23" s="39"/>
      <c r="V23" s="38"/>
      <c r="W23" s="38"/>
      <c r="X23" s="38"/>
      <c r="Y23" s="38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</row>
    <row r="24" spans="1:61" s="60" customFormat="1">
      <c r="A24" s="38"/>
      <c r="B24" s="9"/>
      <c r="C24" s="13"/>
      <c r="D24" s="81"/>
      <c r="E24" s="81"/>
      <c r="F24" s="13"/>
      <c r="G24" s="13"/>
      <c r="H24" s="12"/>
      <c r="I24" s="12"/>
      <c r="J24" s="39"/>
      <c r="K24" s="5"/>
      <c r="M24" s="49"/>
      <c r="N24" s="58"/>
      <c r="O24" s="40"/>
      <c r="P24" s="40"/>
      <c r="Q24" s="40"/>
      <c r="R24" s="40"/>
      <c r="S24" s="38"/>
      <c r="T24" s="38"/>
      <c r="U24" s="38"/>
      <c r="V24" s="38"/>
      <c r="W24" s="38"/>
      <c r="X24" s="38"/>
      <c r="Y24" s="38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</row>
    <row r="25" spans="1:61">
      <c r="A25" s="69">
        <v>7</v>
      </c>
      <c r="B25" s="9" t="s">
        <v>53</v>
      </c>
      <c r="C25" s="13">
        <v>80.037000000000006</v>
      </c>
      <c r="D25" s="81">
        <v>0</v>
      </c>
      <c r="E25" s="81">
        <v>0.8518</v>
      </c>
      <c r="F25" s="13">
        <f t="shared" si="13"/>
        <v>80.888800000000003</v>
      </c>
      <c r="G25" s="13">
        <f>160-F25</f>
        <v>79.111199999999997</v>
      </c>
      <c r="H25" s="12"/>
      <c r="I25" s="12">
        <f>E25*$K$12/1000</f>
        <v>0.82963204063480489</v>
      </c>
      <c r="J25" s="39">
        <f>C25*$K$6/1000</f>
        <v>1.5211856470485581</v>
      </c>
      <c r="K25" s="39">
        <f>+J25/(I25)</f>
        <v>1.8335666567127771</v>
      </c>
      <c r="L25" s="70"/>
    </row>
    <row r="26" spans="1:61">
      <c r="A26" s="69">
        <v>8</v>
      </c>
      <c r="B26" s="9" t="s">
        <v>53</v>
      </c>
      <c r="C26" s="13">
        <v>80.013000000000005</v>
      </c>
      <c r="D26" s="81">
        <v>0</v>
      </c>
      <c r="E26" s="81">
        <v>0.85299999999999998</v>
      </c>
      <c r="F26" s="13">
        <f t="shared" si="13"/>
        <v>80.866</v>
      </c>
      <c r="G26" s="13">
        <f t="shared" ref="G26:G27" si="15">160-F26</f>
        <v>79.134</v>
      </c>
      <c r="H26" s="12"/>
      <c r="I26" s="12">
        <f t="shared" ref="I26:I27" si="16">E26*$K$12/1000</f>
        <v>0.83080081082588475</v>
      </c>
      <c r="J26" s="39">
        <f t="shared" ref="J26:J27" si="17">C26*$K$6/1000</f>
        <v>1.5207295023213798</v>
      </c>
      <c r="K26" s="39">
        <f>+J26/(I26)</f>
        <v>1.8304381537731635</v>
      </c>
      <c r="L26" s="70"/>
    </row>
    <row r="27" spans="1:61" s="69" customFormat="1">
      <c r="A27" s="69">
        <v>9</v>
      </c>
      <c r="B27" s="9" t="s">
        <v>53</v>
      </c>
      <c r="C27" s="13">
        <v>80.025000000000006</v>
      </c>
      <c r="D27" s="81">
        <v>0</v>
      </c>
      <c r="E27" s="81">
        <v>0.85270000000000001</v>
      </c>
      <c r="F27" s="13">
        <f>SUM(C27:E27)</f>
        <v>80.877700000000004</v>
      </c>
      <c r="G27" s="13">
        <f t="shared" si="15"/>
        <v>79.122299999999996</v>
      </c>
      <c r="H27" s="12"/>
      <c r="I27" s="12">
        <f t="shared" si="16"/>
        <v>0.83050861827811473</v>
      </c>
      <c r="J27" s="39">
        <f t="shared" si="17"/>
        <v>1.5209575746849691</v>
      </c>
      <c r="K27" s="39">
        <f t="shared" ref="K26:K27" si="18">+J27/(I27)</f>
        <v>1.8313567628453458</v>
      </c>
      <c r="L27" s="70">
        <f>AVERAGE(K25:K27)</f>
        <v>1.8317871911104289</v>
      </c>
      <c r="M27" s="72"/>
      <c r="N27" s="57"/>
    </row>
    <row r="28" spans="1:61">
      <c r="A28" s="38"/>
      <c r="B28" s="9"/>
      <c r="C28" s="13"/>
      <c r="D28" s="81"/>
      <c r="F28" s="13"/>
      <c r="G28" s="13"/>
      <c r="H28" s="12"/>
      <c r="I28" s="12"/>
      <c r="J28" s="39"/>
      <c r="K28" s="5"/>
      <c r="L28" s="69"/>
    </row>
    <row r="29" spans="1:61">
      <c r="A29" s="38">
        <v>10</v>
      </c>
      <c r="B29" s="9" t="s">
        <v>52</v>
      </c>
      <c r="C29" s="13">
        <v>80.024000000000001</v>
      </c>
      <c r="D29" s="81">
        <v>0</v>
      </c>
      <c r="E29" s="81">
        <v>0.97040000000000004</v>
      </c>
      <c r="F29" s="13">
        <f t="shared" ref="F29:F30" si="19">SUM(C29:E29)</f>
        <v>80.994399999999999</v>
      </c>
      <c r="G29" s="13">
        <f>160-F29</f>
        <v>79.005600000000001</v>
      </c>
      <c r="H29" s="12"/>
      <c r="I29" s="12">
        <f>E29*$K$18/1000</f>
        <v>0.78894051804324872</v>
      </c>
      <c r="J29" s="39">
        <f>C29*$K$6/1000</f>
        <v>1.5209385686546697</v>
      </c>
      <c r="K29" s="39">
        <f>+J29/(I29)</f>
        <v>1.9278241310598954</v>
      </c>
      <c r="L29" s="70"/>
    </row>
    <row r="30" spans="1:61" s="69" customFormat="1">
      <c r="A30" s="38">
        <v>11</v>
      </c>
      <c r="B30" s="9" t="s">
        <v>52</v>
      </c>
      <c r="C30" s="13">
        <v>80.001999999999995</v>
      </c>
      <c r="D30" s="81">
        <v>0</v>
      </c>
      <c r="E30" s="81">
        <v>0.9718</v>
      </c>
      <c r="F30" s="13">
        <f t="shared" si="19"/>
        <v>80.973799999999997</v>
      </c>
      <c r="G30" s="13">
        <f t="shared" ref="G30:G31" si="20">160-F30</f>
        <v>79.026200000000003</v>
      </c>
      <c r="H30" s="12"/>
      <c r="I30" s="12">
        <f>E30*$K$18/1000</f>
        <v>0.79007872571561122</v>
      </c>
      <c r="J30" s="39">
        <f t="shared" ref="J30:J31" si="21">C30*$K$6/1000</f>
        <v>1.5205204359880897</v>
      </c>
      <c r="K30" s="39">
        <f t="shared" ref="K30:K31" si="22">+J30/(I30)</f>
        <v>1.9245176290639687</v>
      </c>
      <c r="L30" s="70"/>
      <c r="N30" s="57"/>
    </row>
    <row r="31" spans="1:61">
      <c r="A31" s="69">
        <v>12</v>
      </c>
      <c r="B31" s="9" t="s">
        <v>52</v>
      </c>
      <c r="C31" s="13">
        <v>80.021000000000001</v>
      </c>
      <c r="D31" s="81">
        <v>0</v>
      </c>
      <c r="E31" s="81">
        <v>0.97130000000000005</v>
      </c>
      <c r="F31" s="13">
        <f>SUM(C31:E31)</f>
        <v>80.9923</v>
      </c>
      <c r="G31" s="13">
        <f t="shared" si="20"/>
        <v>79.0077</v>
      </c>
      <c r="H31" s="12"/>
      <c r="I31" s="12">
        <f>E31*$K$18/1000</f>
        <v>0.78967222297548179</v>
      </c>
      <c r="J31" s="39">
        <f t="shared" si="21"/>
        <v>1.5208815505637727</v>
      </c>
      <c r="K31" s="39">
        <f t="shared" si="22"/>
        <v>1.9259656175230491</v>
      </c>
      <c r="L31" s="70">
        <f>AVERAGE(K29:K31)</f>
        <v>1.9261024592156379</v>
      </c>
      <c r="P31" s="69"/>
    </row>
    <row r="32" spans="1:61">
      <c r="C32" s="13"/>
      <c r="D32" s="81"/>
      <c r="F32" s="13"/>
      <c r="J32" s="39"/>
      <c r="P32" s="69"/>
    </row>
  </sheetData>
  <mergeCells count="1">
    <mergeCell ref="O1:Q1"/>
  </mergeCells>
  <pageMargins left="0.7" right="0.7" top="0.75" bottom="0.75" header="0.3" footer="0.3"/>
  <pageSetup paperSize="9" orientation="portrait" verticalDpi="0" r:id="rId1"/>
  <ignoredErrors>
    <ignoredError sqref="G25:G26 G22:G23 G21 G28 G27 G24 F28 F25:F26 F24 F23 F22 F27 F29:G31" unlocked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4" tint="0.79998168889431442"/>
  </sheetPr>
  <dimension ref="A1:AA75"/>
  <sheetViews>
    <sheetView zoomScaleNormal="100" workbookViewId="0">
      <pane ySplit="6" topLeftCell="A41" activePane="bottomLeft" state="frozen"/>
      <selection pane="bottomLeft" activeCell="R50" sqref="R50"/>
    </sheetView>
  </sheetViews>
  <sheetFormatPr defaultColWidth="9.140625" defaultRowHeight="15"/>
  <cols>
    <col min="1" max="1" width="22" customWidth="1"/>
    <col min="2" max="2" width="18.7109375" customWidth="1"/>
    <col min="3" max="3" width="14.28515625" customWidth="1"/>
    <col min="4" max="4" width="15.85546875" bestFit="1" customWidth="1"/>
    <col min="5" max="5" width="15.85546875" style="69" customWidth="1"/>
    <col min="6" max="6" width="15.140625" bestFit="1" customWidth="1"/>
    <col min="7" max="7" width="16.42578125" style="2" customWidth="1"/>
    <col min="8" max="8" width="17.5703125" customWidth="1"/>
    <col min="9" max="9" width="21.85546875" bestFit="1" customWidth="1"/>
    <col min="10" max="10" width="19.5703125" customWidth="1"/>
    <col min="11" max="11" width="21.7109375" customWidth="1"/>
    <col min="12" max="12" width="9.28515625" customWidth="1"/>
    <col min="13" max="13" width="15" bestFit="1" customWidth="1"/>
    <col min="15" max="15" width="5.7109375" bestFit="1" customWidth="1"/>
    <col min="16" max="16" width="4.42578125" customWidth="1"/>
    <col min="17" max="17" width="12.5703125" customWidth="1"/>
    <col min="18" max="19" width="11.140625" bestFit="1" customWidth="1"/>
    <col min="20" max="20" width="12.85546875" customWidth="1"/>
    <col min="21" max="21" width="16.7109375" customWidth="1"/>
  </cols>
  <sheetData>
    <row r="1" spans="1:21">
      <c r="A1" s="3"/>
      <c r="B1" s="94" t="s">
        <v>15</v>
      </c>
      <c r="C1" s="94" t="s">
        <v>41</v>
      </c>
      <c r="D1" s="94" t="s">
        <v>40</v>
      </c>
      <c r="E1" s="94" t="s">
        <v>16</v>
      </c>
      <c r="F1" s="94" t="s">
        <v>17</v>
      </c>
      <c r="G1" s="94"/>
      <c r="H1" s="94" t="s">
        <v>18</v>
      </c>
      <c r="I1" s="94" t="s">
        <v>19</v>
      </c>
      <c r="K1" s="35"/>
      <c r="L1" s="60"/>
      <c r="M1" s="60"/>
      <c r="N1" s="60"/>
    </row>
    <row r="2" spans="1:21">
      <c r="A2" s="32" t="str">
        <f>+'Set-up_Mano_Grav'!B21</f>
        <v>Blank</v>
      </c>
      <c r="B2" s="32">
        <f>+'Set-up_Mano_Grav'!C21</f>
        <v>80.039000000000001</v>
      </c>
      <c r="C2" s="32">
        <f>+'Set-up_Mano_Grav'!D21</f>
        <v>0</v>
      </c>
      <c r="D2" s="32">
        <f>+'Set-up_Mano_Grav'!E21</f>
        <v>0</v>
      </c>
      <c r="E2" s="32">
        <f>+'Set-up_Mano_Grav'!F21</f>
        <v>80.039000000000001</v>
      </c>
      <c r="F2" s="32">
        <f>+'Set-up_Mano_Grav'!G21</f>
        <v>79.960999999999999</v>
      </c>
      <c r="G2" s="32"/>
      <c r="H2" s="32">
        <f>+'Set-up_Mano_Grav'!I21</f>
        <v>0</v>
      </c>
      <c r="I2" s="93">
        <f>+'Set-up_Mano_Grav'!J21</f>
        <v>1.5212236591091561</v>
      </c>
      <c r="K2" s="47"/>
      <c r="L2" s="60"/>
      <c r="M2" s="60"/>
      <c r="N2" s="60"/>
    </row>
    <row r="3" spans="1:21">
      <c r="A3" s="32" t="str">
        <f>+'Set-up_Mano_Grav'!B22</f>
        <v>Blank</v>
      </c>
      <c r="B3" s="32">
        <f>+'Set-up_Mano_Grav'!C22</f>
        <v>80.031000000000006</v>
      </c>
      <c r="C3" s="32">
        <f>+'Set-up_Mano_Grav'!D22</f>
        <v>0</v>
      </c>
      <c r="D3" s="32">
        <f>+'Set-up_Mano_Grav'!E22</f>
        <v>0</v>
      </c>
      <c r="E3" s="32">
        <f>+'Set-up_Mano_Grav'!F22</f>
        <v>80.031000000000006</v>
      </c>
      <c r="F3" s="32">
        <f>+'Set-up_Mano_Grav'!G22</f>
        <v>79.968999999999994</v>
      </c>
      <c r="G3" s="32"/>
      <c r="H3" s="32">
        <f>+'Set-up_Mano_Grav'!I22</f>
        <v>0</v>
      </c>
      <c r="I3" s="93">
        <f>+'Set-up_Mano_Grav'!J22</f>
        <v>1.5210716108667637</v>
      </c>
      <c r="K3" s="47"/>
      <c r="L3" s="60"/>
      <c r="M3" s="60"/>
      <c r="N3" s="60"/>
    </row>
    <row r="4" spans="1:21" s="4" customFormat="1">
      <c r="A4" s="32" t="str">
        <f>+'Set-up_Mano_Grav'!B23</f>
        <v>Blank</v>
      </c>
      <c r="B4" s="32">
        <f>+'Set-up_Mano_Grav'!C23</f>
        <v>79.986999999999995</v>
      </c>
      <c r="C4" s="32">
        <f>+'Set-up_Mano_Grav'!D23</f>
        <v>0</v>
      </c>
      <c r="D4" s="32">
        <f>+'Set-up_Mano_Grav'!E23</f>
        <v>0</v>
      </c>
      <c r="E4" s="32">
        <f>+'Set-up_Mano_Grav'!F23</f>
        <v>79.986999999999995</v>
      </c>
      <c r="F4" s="32">
        <f>+'Set-up_Mano_Grav'!G23</f>
        <v>80.013000000000005</v>
      </c>
      <c r="G4" s="32"/>
      <c r="H4" s="32">
        <f>+'Set-up_Mano_Grav'!I23</f>
        <v>0</v>
      </c>
      <c r="I4" s="93">
        <f>+'Set-up_Mano_Grav'!J23</f>
        <v>1.5202353455336033</v>
      </c>
      <c r="K4" s="47"/>
      <c r="L4" s="60"/>
      <c r="M4" s="60"/>
      <c r="N4" s="60"/>
    </row>
    <row r="5" spans="1:21" s="4" customFormat="1">
      <c r="A5" s="60"/>
      <c r="B5" s="60"/>
      <c r="C5" s="60"/>
      <c r="D5" s="60"/>
      <c r="E5" s="69"/>
      <c r="F5" s="60"/>
      <c r="G5" s="60"/>
      <c r="H5" s="60"/>
      <c r="I5" s="60"/>
      <c r="J5" s="60"/>
      <c r="K5" s="60"/>
      <c r="L5" s="60"/>
      <c r="M5" s="60"/>
      <c r="N5" s="60"/>
    </row>
    <row r="6" spans="1:21" s="24" customFormat="1" ht="84.75" customHeight="1">
      <c r="A6" s="28" t="s">
        <v>0</v>
      </c>
      <c r="B6" s="36" t="s">
        <v>22</v>
      </c>
      <c r="C6" s="27" t="s">
        <v>31</v>
      </c>
      <c r="D6" s="28" t="s">
        <v>23</v>
      </c>
      <c r="E6" s="28" t="s">
        <v>48</v>
      </c>
      <c r="F6" s="36" t="s">
        <v>24</v>
      </c>
      <c r="G6" s="27" t="s">
        <v>25</v>
      </c>
      <c r="H6" s="29"/>
      <c r="I6" s="36" t="s">
        <v>36</v>
      </c>
      <c r="J6" s="36" t="s">
        <v>33</v>
      </c>
      <c r="K6" s="36" t="s">
        <v>34</v>
      </c>
      <c r="L6" s="60"/>
      <c r="M6" s="36" t="s">
        <v>26</v>
      </c>
      <c r="N6" s="36" t="s">
        <v>27</v>
      </c>
      <c r="P6" s="57"/>
      <c r="Q6" s="36" t="s">
        <v>45</v>
      </c>
      <c r="R6" s="36" t="s">
        <v>43</v>
      </c>
      <c r="S6" s="36" t="s">
        <v>44</v>
      </c>
      <c r="T6" s="36" t="s">
        <v>46</v>
      </c>
      <c r="U6" s="36" t="s">
        <v>47</v>
      </c>
    </row>
    <row r="7" spans="1:21">
      <c r="A7" s="23" t="s">
        <v>38</v>
      </c>
      <c r="B7" s="31"/>
      <c r="C7" s="22"/>
      <c r="D7" s="22"/>
      <c r="E7" s="22"/>
      <c r="F7" s="22"/>
      <c r="G7" s="22"/>
      <c r="H7" s="22"/>
      <c r="I7" s="22"/>
      <c r="J7" s="22"/>
      <c r="K7" s="22"/>
      <c r="L7" s="60"/>
      <c r="M7" s="60"/>
      <c r="N7" s="60"/>
      <c r="P7" s="57"/>
    </row>
    <row r="8" spans="1:21">
      <c r="A8" s="30">
        <v>43416.520833333336</v>
      </c>
      <c r="B8" s="32">
        <v>0</v>
      </c>
      <c r="C8" s="96">
        <v>0</v>
      </c>
      <c r="D8" s="71">
        <v>0</v>
      </c>
      <c r="E8" s="71">
        <v>0</v>
      </c>
      <c r="F8" s="45">
        <f t="shared" ref="F8:F22" si="0">+$F$2</f>
        <v>79.960999999999999</v>
      </c>
      <c r="G8" s="1">
        <v>1</v>
      </c>
      <c r="H8" s="60"/>
      <c r="I8" s="70">
        <f>((((1013.25+$C8-'Set-up_Mano_Grav'!$S$5)/1013.25)*($D8/100)*(($F8+1.5)/1000)/(0.08206*(273.15+'Set-up_Mano_Grav'!$P$3)))-(((1013.25-'Set-up_Mano_Grav'!$S$5)/1013.25)*($D8/100)*($F8/1000)/(0.08206*(273.15+'Set-up_Mano_Grav'!$P$3))))*'Set-up_Mano_Grav'!$R$5</f>
        <v>0</v>
      </c>
      <c r="J8" s="72">
        <v>0</v>
      </c>
      <c r="K8" s="49">
        <f t="shared" ref="K8:K22" si="1">+J8/$I$2</f>
        <v>0</v>
      </c>
      <c r="L8" s="60"/>
      <c r="M8" s="34">
        <f>AVERAGE(K8,K30,K50)</f>
        <v>0</v>
      </c>
      <c r="N8" s="49">
        <f t="shared" ref="N8" si="2">+_xlfn.STDEV.S(K8,K30,K50)</f>
        <v>0</v>
      </c>
      <c r="O8" s="70"/>
      <c r="P8" s="57"/>
      <c r="Q8" s="72">
        <f t="shared" ref="Q8:Q23" si="3">+B8</f>
        <v>0</v>
      </c>
      <c r="R8" s="71"/>
      <c r="S8" s="71">
        <v>183.71680000000001</v>
      </c>
    </row>
    <row r="9" spans="1:21">
      <c r="A9" s="30">
        <v>43417.361111111109</v>
      </c>
      <c r="B9" s="32">
        <f>(IF(A9&lt;A8,"",A9-A8+B8))</f>
        <v>0.84027777777373558</v>
      </c>
      <c r="C9" s="86">
        <v>348</v>
      </c>
      <c r="D9" s="48">
        <v>11.78</v>
      </c>
      <c r="E9" s="72">
        <v>22.22</v>
      </c>
      <c r="F9" s="45">
        <f t="shared" si="0"/>
        <v>79.960999999999999</v>
      </c>
      <c r="G9" s="44">
        <v>1</v>
      </c>
      <c r="H9" s="60"/>
      <c r="I9" s="70">
        <f>((((1013.25+$C9-'Set-up_Mano_Grav'!$S$5)/1013.25)*($D9/100)*(($F9+1.5)/1000)/(0.08206*(273.15+'Set-up_Mano_Grav'!$P$3)))-(((1013.25-'Set-up_Mano_Grav'!$S$5)/1013.25)*($D8/100)*($F9/1000)/(0.08206*(273.15+'Set-up_Mano_Grav'!$P$3))))*'Set-up_Mano_Grav'!$R$5</f>
        <v>11.39536080320828</v>
      </c>
      <c r="J9" s="70">
        <f>+I9+J8</f>
        <v>11.39536080320828</v>
      </c>
      <c r="K9" s="72">
        <f>+J9/$I$2</f>
        <v>7.490917417023029</v>
      </c>
      <c r="L9" s="60"/>
      <c r="M9" s="34">
        <f t="shared" ref="M9:M22" si="4">AVERAGE(K9,K31,K51)</f>
        <v>7.499793660141445</v>
      </c>
      <c r="N9" s="72">
        <f t="shared" ref="N9:N22" si="5">+_xlfn.STDEV.S(K9,K31,K51)</f>
        <v>4.1626788799954233E-2</v>
      </c>
      <c r="O9" s="70">
        <f>+N9/M9</f>
        <v>5.5503912089188276E-3</v>
      </c>
      <c r="P9" s="57"/>
      <c r="Q9" s="72">
        <f t="shared" si="3"/>
        <v>0.84027777777373558</v>
      </c>
      <c r="R9" s="71">
        <v>183.7157</v>
      </c>
      <c r="S9" s="71">
        <v>183.6832</v>
      </c>
      <c r="T9" s="103">
        <f>+S8-R9</f>
        <v>1.1000000000080945E-3</v>
      </c>
      <c r="U9" s="99">
        <f>+R9-S9</f>
        <v>3.2499999999998863E-2</v>
      </c>
    </row>
    <row r="10" spans="1:21">
      <c r="A10" s="30">
        <v>43418.364583333336</v>
      </c>
      <c r="B10" s="32">
        <f t="shared" ref="B10:B17" si="6">(IF(A10&lt;A9,"",A10-A9+B9))</f>
        <v>1.84375</v>
      </c>
      <c r="C10" s="67">
        <v>260</v>
      </c>
      <c r="D10" s="73">
        <v>22.07</v>
      </c>
      <c r="E10" s="48">
        <v>24.42</v>
      </c>
      <c r="F10" s="45">
        <f t="shared" si="0"/>
        <v>79.960999999999999</v>
      </c>
      <c r="G10" s="44">
        <v>1</v>
      </c>
      <c r="H10" s="60"/>
      <c r="I10" s="70">
        <f>((((1013.25+$C10-'Set-up_Mano_Grav'!$S$5)/1013.25)*($D10/100)*(($F10+1.5)/1000)/(0.08206*(273.15+'Set-up_Mano_Grav'!$P$3)))-(((1013.25-'Set-up_Mano_Grav'!$S$5)/1013.25)*($D9/100)*($F10/1000)/(0.08206*(273.15+'Set-up_Mano_Grav'!$P$3))))*'Set-up_Mano_Grav'!$R$5</f>
        <v>11.691870462648303</v>
      </c>
      <c r="J10" s="70">
        <f t="shared" ref="J10:J16" si="7">+I10+J9</f>
        <v>23.087231265856584</v>
      </c>
      <c r="K10" s="72">
        <f t="shared" si="1"/>
        <v>15.176750064074534</v>
      </c>
      <c r="L10" s="60"/>
      <c r="M10" s="34">
        <f t="shared" si="4"/>
        <v>15.095341000313356</v>
      </c>
      <c r="N10" s="72">
        <f t="shared" si="5"/>
        <v>0.13051827284844214</v>
      </c>
      <c r="O10" s="70">
        <f t="shared" ref="O10:O16" si="8">+N10/M10</f>
        <v>8.6462619722027338E-3</v>
      </c>
      <c r="P10" s="57"/>
      <c r="Q10" s="72">
        <f t="shared" si="3"/>
        <v>1.84375</v>
      </c>
      <c r="R10" s="71">
        <v>183.68199999999999</v>
      </c>
      <c r="S10" s="71">
        <v>183.6602</v>
      </c>
      <c r="T10" s="103">
        <f t="shared" ref="T10:T12" si="9">+S9-R10</f>
        <v>1.2000000000114142E-3</v>
      </c>
      <c r="U10" s="99">
        <f t="shared" ref="U10:U22" si="10">+R10-S10</f>
        <v>2.179999999998472E-2</v>
      </c>
    </row>
    <row r="11" spans="1:21">
      <c r="A11" s="30">
        <v>43419.371527777781</v>
      </c>
      <c r="B11" s="32">
        <f>(IF(A11&lt;A10,"",A11-A10+B10))</f>
        <v>2.8506944444452529</v>
      </c>
      <c r="C11" s="67">
        <v>216</v>
      </c>
      <c r="D11" s="73">
        <v>28.81</v>
      </c>
      <c r="E11" s="73">
        <v>26.01</v>
      </c>
      <c r="F11" s="45">
        <f t="shared" si="0"/>
        <v>79.960999999999999</v>
      </c>
      <c r="G11" s="44">
        <v>1</v>
      </c>
      <c r="H11" s="60"/>
      <c r="I11" s="70">
        <f>((((1013.25+$C11-'Set-up_Mano_Grav'!$S$5)/1013.25)*($D11/100)*(($F11+1.5)/1000)/(0.08206*(273.15+'Set-up_Mano_Grav'!$P$3)))-(((1013.25-'Set-up_Mano_Grav'!$S$5)/1013.25)*($D10/100)*($F11/1000)/(0.08206*(273.15+'Set-up_Mano_Grav'!$P$3))))*'Set-up_Mano_Grav'!$R$5</f>
        <v>9.6552664227769256</v>
      </c>
      <c r="J11" s="70">
        <f t="shared" si="7"/>
        <v>32.742497688633506</v>
      </c>
      <c r="K11" s="72">
        <f>+J11/$I$2</f>
        <v>21.5237894129308</v>
      </c>
      <c r="L11" s="60"/>
      <c r="M11" s="34">
        <f t="shared" si="4"/>
        <v>21.415568499765985</v>
      </c>
      <c r="N11" s="72">
        <f t="shared" si="5"/>
        <v>0.10276701365297958</v>
      </c>
      <c r="O11" s="70">
        <f t="shared" si="8"/>
        <v>4.7987058412249269E-3</v>
      </c>
      <c r="P11" s="57"/>
      <c r="Q11" s="72">
        <f t="shared" si="3"/>
        <v>2.8506944444452529</v>
      </c>
      <c r="R11" s="99">
        <v>183.6585</v>
      </c>
      <c r="S11" s="71">
        <v>183.64099999999999</v>
      </c>
      <c r="T11" s="103">
        <f t="shared" si="9"/>
        <v>1.6999999999995907E-3</v>
      </c>
      <c r="U11" s="99">
        <f t="shared" si="10"/>
        <v>1.7500000000012506E-2</v>
      </c>
    </row>
    <row r="12" spans="1:21">
      <c r="A12" s="30">
        <v>43420.329861111109</v>
      </c>
      <c r="B12" s="32">
        <f t="shared" si="6"/>
        <v>3.8090277777737356</v>
      </c>
      <c r="C12" s="67">
        <v>188</v>
      </c>
      <c r="D12" s="64">
        <v>33.700000000000003</v>
      </c>
      <c r="E12" s="73">
        <v>27.39</v>
      </c>
      <c r="F12" s="45">
        <f t="shared" si="0"/>
        <v>79.960999999999999</v>
      </c>
      <c r="G12" s="44">
        <v>1</v>
      </c>
      <c r="H12" s="60"/>
      <c r="I12" s="70">
        <f>((((1013.25+$C12-'Set-up_Mano_Grav'!$S$5)/1013.25)*($D12/100)*(($F12+1.5)/1000)/(0.08206*(273.15+'Set-up_Mano_Grav'!$P$3)))-(((1013.25-'Set-up_Mano_Grav'!$S$5)/1013.25)*($D11/100)*($F12/1000)/(0.08206*(273.15+'Set-up_Mano_Grav'!$P$3))))*'Set-up_Mano_Grav'!$R$5</f>
        <v>8.5092509445988682</v>
      </c>
      <c r="J12" s="70">
        <f t="shared" si="7"/>
        <v>41.251748633232374</v>
      </c>
      <c r="K12" s="72">
        <f t="shared" si="1"/>
        <v>27.11747768726514</v>
      </c>
      <c r="L12" s="60"/>
      <c r="M12" s="34">
        <f t="shared" si="4"/>
        <v>26.980971434669375</v>
      </c>
      <c r="N12" s="72">
        <f t="shared" si="5"/>
        <v>0.21000367603558739</v>
      </c>
      <c r="O12" s="70">
        <f t="shared" si="8"/>
        <v>7.7833993688508117E-3</v>
      </c>
      <c r="P12" s="57"/>
      <c r="Q12" s="72">
        <f t="shared" si="3"/>
        <v>3.8090277777737356</v>
      </c>
      <c r="R12" s="71">
        <v>183.64150000000001</v>
      </c>
      <c r="S12" s="71">
        <v>183.62690000000001</v>
      </c>
      <c r="T12" s="103">
        <f t="shared" si="9"/>
        <v>-5.0000000001659828E-4</v>
      </c>
      <c r="U12" s="99">
        <f t="shared" si="10"/>
        <v>1.4600000000001501E-2</v>
      </c>
    </row>
    <row r="13" spans="1:21">
      <c r="A13" s="30">
        <v>43421.381944444445</v>
      </c>
      <c r="B13" s="32">
        <f t="shared" si="6"/>
        <v>4.8611111111094942</v>
      </c>
      <c r="C13" s="68">
        <v>158</v>
      </c>
      <c r="D13" s="64">
        <v>36.96</v>
      </c>
      <c r="E13" s="64">
        <v>27.54</v>
      </c>
      <c r="F13" s="45">
        <f t="shared" si="0"/>
        <v>79.960999999999999</v>
      </c>
      <c r="G13" s="44">
        <v>1</v>
      </c>
      <c r="H13" s="60"/>
      <c r="I13" s="70">
        <f>((((1013.25+$C13-'Set-up_Mano_Grav'!$S$5)/1013.25)*($D13/100)*(($F13+1.5)/1000)/(0.08206*(273.15+'Set-up_Mano_Grav'!$P$3)))-(((1013.25-'Set-up_Mano_Grav'!$S$5)/1013.25)*($D12/100)*($F13/1000)/(0.08206*(273.15+'Set-up_Mano_Grav'!$P$3))))*'Set-up_Mano_Grav'!$R$5</f>
        <v>7.0489253396798848</v>
      </c>
      <c r="J13" s="70">
        <f t="shared" si="7"/>
        <v>48.300673972912257</v>
      </c>
      <c r="K13" s="72">
        <f t="shared" si="1"/>
        <v>31.751198243391521</v>
      </c>
      <c r="L13" s="60"/>
      <c r="M13" s="34">
        <f t="shared" si="4"/>
        <v>31.601758649954835</v>
      </c>
      <c r="N13" s="72">
        <f t="shared" si="5"/>
        <v>0.54258543440176865</v>
      </c>
      <c r="O13" s="70">
        <f t="shared" si="8"/>
        <v>1.7169469598570714E-2</v>
      </c>
      <c r="P13" s="57"/>
      <c r="Q13" s="72">
        <f t="shared" si="3"/>
        <v>4.8611111111094942</v>
      </c>
      <c r="R13" s="71">
        <v>183.62559999999999</v>
      </c>
      <c r="S13" s="71">
        <v>183.6123</v>
      </c>
      <c r="T13" s="103">
        <f>+S12-R13</f>
        <v>1.3000000000147338E-3</v>
      </c>
      <c r="U13" s="99">
        <f t="shared" si="10"/>
        <v>1.3299999999986767E-2</v>
      </c>
    </row>
    <row r="14" spans="1:21">
      <c r="A14" s="30">
        <v>43422.379861111112</v>
      </c>
      <c r="B14" s="32">
        <f t="shared" si="6"/>
        <v>5.859027777776646</v>
      </c>
      <c r="C14" s="68">
        <v>130</v>
      </c>
      <c r="D14" s="64">
        <v>39.619999999999997</v>
      </c>
      <c r="E14" s="64">
        <v>27.97</v>
      </c>
      <c r="F14" s="45">
        <f t="shared" si="0"/>
        <v>79.960999999999999</v>
      </c>
      <c r="G14" s="44">
        <v>1</v>
      </c>
      <c r="H14" s="60"/>
      <c r="I14" s="70">
        <f>((((1013.25+$C14-'Set-up_Mano_Grav'!$S$5)/1013.25)*($D14/100)*(($F14+1.5)/1000)/(0.08206*(273.15+'Set-up_Mano_Grav'!$P$3)))-(((1013.25-'Set-up_Mano_Grav'!$S$5)/1013.25)*($D13/100)*($F14/1000)/(0.08206*(273.15+'Set-up_Mano_Grav'!$P$3))))*'Set-up_Mano_Grav'!$R$5</f>
        <v>6.158728646213901</v>
      </c>
      <c r="J14" s="70">
        <f t="shared" si="7"/>
        <v>54.459402619126159</v>
      </c>
      <c r="K14" s="72">
        <f t="shared" si="1"/>
        <v>35.799734176510334</v>
      </c>
      <c r="L14" s="60"/>
      <c r="M14" s="34">
        <f t="shared" si="4"/>
        <v>35.740399764536022</v>
      </c>
      <c r="N14" s="72">
        <f t="shared" si="5"/>
        <v>0.74984859975830742</v>
      </c>
      <c r="O14" s="70">
        <f t="shared" si="8"/>
        <v>2.0980420048416933E-2</v>
      </c>
      <c r="P14" s="57"/>
      <c r="Q14" s="72">
        <f t="shared" si="3"/>
        <v>5.859027777776646</v>
      </c>
      <c r="R14" s="71">
        <v>183.61449999999999</v>
      </c>
      <c r="S14" s="71">
        <v>183.60390000000001</v>
      </c>
      <c r="T14" s="103">
        <f t="shared" ref="T14:T22" si="11">+S13-R14</f>
        <v>-2.1999999999877673E-3</v>
      </c>
      <c r="U14" s="99">
        <f t="shared" si="10"/>
        <v>1.0599999999982401E-2</v>
      </c>
    </row>
    <row r="15" spans="1:21">
      <c r="A15" s="30">
        <v>43423.36041666667</v>
      </c>
      <c r="B15" s="32">
        <f t="shared" si="6"/>
        <v>6.8395833333343035</v>
      </c>
      <c r="C15" s="68">
        <v>118</v>
      </c>
      <c r="D15" s="64">
        <v>42.59</v>
      </c>
      <c r="E15" s="64">
        <v>29.02</v>
      </c>
      <c r="F15" s="45">
        <f t="shared" si="0"/>
        <v>79.960999999999999</v>
      </c>
      <c r="G15" s="44">
        <v>1</v>
      </c>
      <c r="H15" s="60"/>
      <c r="I15" s="70">
        <f>((((1013.25+$C15-'Set-up_Mano_Grav'!$S$5)/1013.25)*($D15/100)*(($F15+1.5)/1000)/(0.08206*(273.15+'Set-up_Mano_Grav'!$P$3)))-(((1013.25-'Set-up_Mano_Grav'!$S$5)/1013.25)*($D14/100)*($F15/1000)/(0.08206*(273.15+'Set-up_Mano_Grav'!$P$3))))*'Set-up_Mano_Grav'!$R$5</f>
        <v>6.3225584613149346</v>
      </c>
      <c r="J15" s="70">
        <f t="shared" si="7"/>
        <v>60.781961080441093</v>
      </c>
      <c r="K15" s="72">
        <f t="shared" si="1"/>
        <v>39.955966183194668</v>
      </c>
      <c r="L15" s="60"/>
      <c r="M15" s="34">
        <f t="shared" si="4"/>
        <v>39.743257144749556</v>
      </c>
      <c r="N15" s="72">
        <f t="shared" si="5"/>
        <v>1.0431261123560589</v>
      </c>
      <c r="O15" s="70">
        <f t="shared" si="8"/>
        <v>2.6246618603927515E-2</v>
      </c>
      <c r="P15" s="57"/>
      <c r="Q15" s="72">
        <f t="shared" si="3"/>
        <v>6.8395833333343035</v>
      </c>
      <c r="R15" s="103">
        <v>183.60040000000001</v>
      </c>
      <c r="S15" s="71">
        <v>183.59229999999999</v>
      </c>
      <c r="T15" s="103">
        <f t="shared" si="11"/>
        <v>3.5000000000025011E-3</v>
      </c>
      <c r="U15" s="99">
        <f t="shared" si="10"/>
        <v>8.1000000000130967E-3</v>
      </c>
    </row>
    <row r="16" spans="1:21">
      <c r="A16" s="30">
        <v>43425.4375</v>
      </c>
      <c r="B16" s="32">
        <f t="shared" si="6"/>
        <v>8.9166666666642413</v>
      </c>
      <c r="C16" s="68">
        <v>190</v>
      </c>
      <c r="D16" s="64">
        <v>47.38</v>
      </c>
      <c r="E16" s="64">
        <v>29.33</v>
      </c>
      <c r="F16" s="45">
        <f t="shared" si="0"/>
        <v>79.960999999999999</v>
      </c>
      <c r="G16" s="44">
        <v>1</v>
      </c>
      <c r="H16" s="60"/>
      <c r="I16" s="70">
        <f>((((1013.25+$C16-'Set-up_Mano_Grav'!$S$5)/1013.25)*($D16/100)*(($F16+1.5)/1000)/(0.08206*(273.15+'Set-up_Mano_Grav'!$P$3)))-(((1013.25-'Set-up_Mano_Grav'!$S$5)/1013.25)*($D15/100)*($F16/1000)/(0.08206*(273.15+'Set-up_Mano_Grav'!$P$3))))*'Set-up_Mano_Grav'!$R$5</f>
        <v>10.575974196170097</v>
      </c>
      <c r="J16" s="70">
        <f t="shared" si="7"/>
        <v>71.357935276611187</v>
      </c>
      <c r="K16" s="72">
        <f t="shared" si="1"/>
        <v>46.908247087347505</v>
      </c>
      <c r="L16" s="60"/>
      <c r="M16" s="34">
        <f t="shared" si="4"/>
        <v>47.149282401477649</v>
      </c>
      <c r="N16" s="72">
        <f t="shared" si="5"/>
        <v>1.3981975566604903</v>
      </c>
      <c r="O16" s="70">
        <f t="shared" si="8"/>
        <v>2.9654694312307731E-2</v>
      </c>
      <c r="P16" s="57"/>
      <c r="Q16" s="72">
        <f t="shared" si="3"/>
        <v>8.9166666666642413</v>
      </c>
      <c r="R16" s="71">
        <v>183.59460000000001</v>
      </c>
      <c r="S16" s="71">
        <v>183.58</v>
      </c>
      <c r="T16" s="103">
        <f t="shared" si="11"/>
        <v>-2.3000000000195087E-3</v>
      </c>
      <c r="U16" s="99">
        <f t="shared" si="10"/>
        <v>1.4600000000001501E-2</v>
      </c>
    </row>
    <row r="17" spans="1:21">
      <c r="A17" s="30">
        <v>43427.399305555555</v>
      </c>
      <c r="B17" s="32">
        <f t="shared" si="6"/>
        <v>10.878472222218988</v>
      </c>
      <c r="C17" s="68">
        <v>170</v>
      </c>
      <c r="D17" s="64">
        <v>49.61</v>
      </c>
      <c r="E17" s="64">
        <v>29.3</v>
      </c>
      <c r="F17" s="45">
        <f t="shared" si="0"/>
        <v>79.960999999999999</v>
      </c>
      <c r="G17" s="44">
        <v>1</v>
      </c>
      <c r="H17" s="69"/>
      <c r="I17" s="70">
        <f>((((1013.25+$C17-'Set-up_Mano_Grav'!$S$5)/1013.25)*($D17/100)*(($F17+1.5)/1000)/(0.08206*(273.15+'Set-up_Mano_Grav'!$P$3)))-(((1013.25-'Set-up_Mano_Grav'!$S$5)/1013.25)*($D16/100)*($F17/1000)/(0.08206*(273.15+'Set-up_Mano_Grav'!$P$3))))*'Set-up_Mano_Grav'!$R$5</f>
        <v>8.3989808367194172</v>
      </c>
      <c r="J17" s="70">
        <f t="shared" ref="J17" si="12">+I17+J16</f>
        <v>79.756916113330604</v>
      </c>
      <c r="K17" s="72">
        <f t="shared" si="1"/>
        <v>52.429447593549163</v>
      </c>
      <c r="L17" s="69"/>
      <c r="M17" s="34">
        <f t="shared" si="4"/>
        <v>52.748081713489995</v>
      </c>
      <c r="N17" s="72">
        <f t="shared" si="5"/>
        <v>1.4028370339892289</v>
      </c>
      <c r="O17" s="70">
        <f t="shared" ref="O17" si="13">+N17/M17</f>
        <v>2.6595034139989624E-2</v>
      </c>
      <c r="P17" s="57"/>
      <c r="Q17" s="72">
        <f t="shared" si="3"/>
        <v>10.878472222218988</v>
      </c>
      <c r="R17" s="71">
        <v>183.58170000000001</v>
      </c>
      <c r="S17" s="71">
        <v>183.56809999999999</v>
      </c>
      <c r="T17" s="103">
        <f t="shared" si="11"/>
        <v>-1.6999999999995907E-3</v>
      </c>
      <c r="U17" s="99">
        <f t="shared" si="10"/>
        <v>1.3600000000025148E-2</v>
      </c>
    </row>
    <row r="18" spans="1:21">
      <c r="A18" s="30">
        <v>43429.645833333336</v>
      </c>
      <c r="B18" s="32">
        <f t="shared" ref="B18" si="14">(IF(A18&lt;A17,"",A18-A17+B17))</f>
        <v>13.125</v>
      </c>
      <c r="C18" s="68">
        <v>178</v>
      </c>
      <c r="D18" s="64">
        <v>50.71</v>
      </c>
      <c r="E18" s="64">
        <v>29.33</v>
      </c>
      <c r="F18" s="45">
        <f t="shared" si="0"/>
        <v>79.960999999999999</v>
      </c>
      <c r="G18" s="44">
        <v>1</v>
      </c>
      <c r="H18" s="69"/>
      <c r="I18" s="70">
        <f>((((1013.25+$C18-'Set-up_Mano_Grav'!$S$5)/1013.25)*($D18/100)*(($F18+1.5)/1000)/(0.08206*(273.15+'Set-up_Mano_Grav'!$P$3)))-(((1013.25-'Set-up_Mano_Grav'!$S$5)/1013.25)*($D17/100)*($F18/1000)/(0.08206*(273.15+'Set-up_Mano_Grav'!$P$3))))*'Set-up_Mano_Grav'!$R$5</f>
        <v>8.0587714503896208</v>
      </c>
      <c r="J18" s="70">
        <f t="shared" ref="J18" si="15">+I18+J17</f>
        <v>87.815687563720218</v>
      </c>
      <c r="K18" s="72">
        <f t="shared" si="1"/>
        <v>57.727006175506084</v>
      </c>
      <c r="L18" s="69"/>
      <c r="M18" s="34">
        <f t="shared" si="4"/>
        <v>58.393129193530037</v>
      </c>
      <c r="N18" s="72">
        <f t="shared" si="5"/>
        <v>1.822508394337061</v>
      </c>
      <c r="O18" s="70">
        <f t="shared" ref="O18" si="16">+N18/M18</f>
        <v>3.1211007519340053E-2</v>
      </c>
      <c r="P18" s="57"/>
      <c r="Q18" s="72">
        <f t="shared" si="3"/>
        <v>13.125</v>
      </c>
      <c r="R18" s="71">
        <v>183.56790000000001</v>
      </c>
      <c r="S18" s="71">
        <v>183.5539</v>
      </c>
      <c r="T18" s="103">
        <f t="shared" si="11"/>
        <v>1.999999999782176E-4</v>
      </c>
      <c r="U18" s="99">
        <f t="shared" si="10"/>
        <v>1.4000000000010004E-2</v>
      </c>
    </row>
    <row r="19" spans="1:21">
      <c r="A19" s="30">
        <v>43432.375</v>
      </c>
      <c r="B19" s="32">
        <f t="shared" ref="B19:B20" si="17">(IF(A19&lt;A18,"",A19-A18+B18))</f>
        <v>15.854166666664241</v>
      </c>
      <c r="C19" s="68">
        <v>178</v>
      </c>
      <c r="D19" s="64">
        <f>50.44*1.0399</f>
        <v>52.452556000000001</v>
      </c>
      <c r="E19" s="64">
        <f>29.06*1.0312</f>
        <v>29.966671999999996</v>
      </c>
      <c r="F19" s="45">
        <f t="shared" si="0"/>
        <v>79.960999999999999</v>
      </c>
      <c r="G19" s="44">
        <v>1</v>
      </c>
      <c r="H19" s="69"/>
      <c r="I19" s="70">
        <f>((((1013.25+$C19-'Set-up_Mano_Grav'!$S$5)/1013.25)*($D19/100)*(($F19+1.5)/1000)/(0.08206*(273.15+'Set-up_Mano_Grav'!$P$3)))-(((1013.25-'Set-up_Mano_Grav'!$S$5)/1013.25)*($D18/100)*($F19/1000)/(0.08206*(273.15+'Set-up_Mano_Grav'!$P$3))))*'Set-up_Mano_Grav'!$R$5</f>
        <v>8.7583054129614109</v>
      </c>
      <c r="J19" s="70">
        <f t="shared" ref="J19:J20" si="18">+I19+J18</f>
        <v>96.573992976681623</v>
      </c>
      <c r="K19" s="72">
        <f t="shared" si="1"/>
        <v>63.484414272938885</v>
      </c>
      <c r="L19" s="69"/>
      <c r="M19" s="34">
        <f t="shared" si="4"/>
        <v>64.261148135934619</v>
      </c>
      <c r="N19" s="72">
        <f t="shared" si="5"/>
        <v>2.0651006180675213</v>
      </c>
      <c r="O19" s="70">
        <f t="shared" ref="O19:O20" si="19">+N19/M19</f>
        <v>3.213606787259881E-2</v>
      </c>
      <c r="P19" s="57"/>
      <c r="Q19" s="72">
        <f t="shared" si="3"/>
        <v>15.854166666664241</v>
      </c>
      <c r="R19" s="71">
        <v>183.55260000000001</v>
      </c>
      <c r="S19" s="71">
        <v>183.53970000000001</v>
      </c>
      <c r="T19" s="103">
        <f t="shared" si="11"/>
        <v>1.2999999999863121E-3</v>
      </c>
      <c r="U19" s="99">
        <f t="shared" si="10"/>
        <v>1.290000000000191E-2</v>
      </c>
    </row>
    <row r="20" spans="1:21">
      <c r="A20" s="30">
        <v>43435.430555555555</v>
      </c>
      <c r="B20" s="32">
        <f t="shared" si="17"/>
        <v>18.909722222218988</v>
      </c>
      <c r="C20" s="68">
        <v>170</v>
      </c>
      <c r="D20" s="64">
        <v>55.31</v>
      </c>
      <c r="E20" s="64">
        <v>31.04</v>
      </c>
      <c r="F20" s="45">
        <f t="shared" si="0"/>
        <v>79.960999999999999</v>
      </c>
      <c r="G20" s="44">
        <v>1</v>
      </c>
      <c r="H20" s="69"/>
      <c r="I20" s="70">
        <f>((((1013.25+$C20-'Set-up_Mano_Grav'!$S$5)/1013.25)*($D20/100)*(($F20+1.5)/1000)/(0.08206*(273.15+'Set-up_Mano_Grav'!$P$3)))-(((1013.25-'Set-up_Mano_Grav'!$S$5)/1013.25)*($D19/100)*($F20/1000)/(0.08206*(273.15+'Set-up_Mano_Grav'!$P$3))))*'Set-up_Mano_Grav'!$R$5</f>
        <v>9.6234073228938435</v>
      </c>
      <c r="J20" s="70">
        <f t="shared" si="18"/>
        <v>106.19740029957546</v>
      </c>
      <c r="K20" s="72">
        <f t="shared" si="1"/>
        <v>69.810510547650651</v>
      </c>
      <c r="L20" s="69"/>
      <c r="M20" s="34">
        <f t="shared" si="4"/>
        <v>70.2793536364196</v>
      </c>
      <c r="N20" s="72">
        <f t="shared" si="5"/>
        <v>1.969375943279011</v>
      </c>
      <c r="O20" s="70">
        <f t="shared" si="19"/>
        <v>2.802211234706713E-2</v>
      </c>
      <c r="P20" s="57"/>
      <c r="Q20" s="72">
        <f t="shared" si="3"/>
        <v>18.909722222218988</v>
      </c>
      <c r="R20" s="71">
        <v>183.53800000000001</v>
      </c>
      <c r="S20" s="71">
        <v>183.52600000000001</v>
      </c>
      <c r="T20" s="103">
        <f t="shared" si="11"/>
        <v>1.6999999999995907E-3</v>
      </c>
      <c r="U20" s="99">
        <f t="shared" si="10"/>
        <v>1.2000000000000455E-2</v>
      </c>
    </row>
    <row r="21" spans="1:21" s="41" customFormat="1">
      <c r="A21" s="30">
        <v>43439.381944444445</v>
      </c>
      <c r="B21" s="32">
        <f t="shared" ref="B21:B22" si="20">(IF(A21&lt;A20,"",A21-A20+B20))</f>
        <v>22.861111111109494</v>
      </c>
      <c r="C21" s="68">
        <v>180</v>
      </c>
      <c r="D21" s="64">
        <v>56.78</v>
      </c>
      <c r="E21" s="64">
        <v>31.03</v>
      </c>
      <c r="F21" s="45">
        <f t="shared" si="0"/>
        <v>79.960999999999999</v>
      </c>
      <c r="G21" s="44">
        <v>1</v>
      </c>
      <c r="H21" s="69"/>
      <c r="I21" s="70">
        <f>((((1013.25+$C21-'Set-up_Mano_Grav'!$S$5)/1013.25)*($D21/100)*(($F21+1.5)/1000)/(0.08206*(273.15+'Set-up_Mano_Grav'!$P$3)))-(((1013.25-'Set-up_Mano_Grav'!$S$5)/1013.25)*($D20/100)*($F21/1000)/(0.08206*(273.15+'Set-up_Mano_Grav'!$P$3))))*'Set-up_Mano_Grav'!$R$5</f>
        <v>9.2733078499569519</v>
      </c>
      <c r="J21" s="70">
        <f t="shared" ref="J21" si="21">+I21+J20</f>
        <v>115.47070814953241</v>
      </c>
      <c r="K21" s="72">
        <f t="shared" si="1"/>
        <v>75.906463496073428</v>
      </c>
      <c r="L21" s="69"/>
      <c r="M21" s="34">
        <f t="shared" si="4"/>
        <v>76.613455569938893</v>
      </c>
      <c r="N21" s="72">
        <f t="shared" si="5"/>
        <v>2.2437614480840717</v>
      </c>
      <c r="O21" s="70">
        <f t="shared" ref="O21" si="22">+N21/M21</f>
        <v>2.9286780388541368E-2</v>
      </c>
      <c r="P21" s="57"/>
      <c r="Q21" s="72">
        <f t="shared" si="3"/>
        <v>22.861111111109494</v>
      </c>
      <c r="R21" s="71">
        <v>183.52029999999999</v>
      </c>
      <c r="S21" s="71">
        <v>183.5077</v>
      </c>
      <c r="T21" s="103">
        <f t="shared" si="11"/>
        <v>5.7000000000186901E-3</v>
      </c>
      <c r="U21" s="99">
        <f t="shared" si="10"/>
        <v>1.2599999999991951E-2</v>
      </c>
    </row>
    <row r="22" spans="1:21" s="41" customFormat="1">
      <c r="A22" s="30">
        <v>43443.666666666664</v>
      </c>
      <c r="B22" s="32">
        <f t="shared" si="20"/>
        <v>27.145833333328483</v>
      </c>
      <c r="C22" s="68">
        <v>200</v>
      </c>
      <c r="D22" s="64">
        <v>58.15</v>
      </c>
      <c r="E22" s="64">
        <v>31.18</v>
      </c>
      <c r="F22" s="45">
        <f t="shared" si="0"/>
        <v>79.960999999999999</v>
      </c>
      <c r="G22" s="44">
        <v>1</v>
      </c>
      <c r="H22" s="69"/>
      <c r="I22" s="70">
        <f>((((1013.25+$C22-'Set-up_Mano_Grav'!$S$5)/1013.25)*($D22/100)*(($F22+1.5)/1000)/(0.08206*(273.15+'Set-up_Mano_Grav'!$P$3)))-(((1013.25-'Set-up_Mano_Grav'!$S$5)/1013.25)*($D21/100)*($F22/1000)/(0.08206*(273.15+'Set-up_Mano_Grav'!$P$3))))*'Set-up_Mano_Grav'!$R$5</f>
        <v>10.256026377895113</v>
      </c>
      <c r="J22" s="70">
        <f>+I22+J21</f>
        <v>125.72673452742752</v>
      </c>
      <c r="K22" s="72">
        <f t="shared" si="1"/>
        <v>82.648421732445556</v>
      </c>
      <c r="L22" s="83"/>
      <c r="M22" s="34">
        <f t="shared" si="4"/>
        <v>83.365296075465409</v>
      </c>
      <c r="N22" s="72">
        <f t="shared" si="5"/>
        <v>2.3445978568200845</v>
      </c>
      <c r="O22" s="70">
        <f t="shared" ref="O22" si="23">+N22/M22</f>
        <v>2.8124387091454293E-2</v>
      </c>
      <c r="P22" s="57"/>
      <c r="Q22" s="72">
        <f t="shared" si="3"/>
        <v>27.145833333328483</v>
      </c>
      <c r="R22" s="71">
        <v>183.5068</v>
      </c>
      <c r="S22" s="71">
        <v>183.4914</v>
      </c>
      <c r="T22" s="103">
        <f t="shared" si="11"/>
        <v>9.0000000000145519E-4</v>
      </c>
      <c r="U22" s="99">
        <f t="shared" si="10"/>
        <v>1.5399999999999636E-2</v>
      </c>
    </row>
    <row r="23" spans="1:21" s="41" customFormat="1">
      <c r="A23" s="30"/>
      <c r="B23" s="32"/>
      <c r="C23" s="68"/>
      <c r="D23" s="64"/>
      <c r="E23" s="64"/>
      <c r="F23" s="45"/>
      <c r="G23" s="44"/>
      <c r="H23" s="69"/>
      <c r="I23" s="70"/>
      <c r="J23" s="70"/>
      <c r="K23" s="72"/>
      <c r="L23" s="84"/>
      <c r="M23" s="34"/>
      <c r="N23" s="72"/>
      <c r="O23" s="70"/>
      <c r="P23" s="57"/>
      <c r="Q23" s="72">
        <f t="shared" si="3"/>
        <v>0</v>
      </c>
      <c r="R23" s="71"/>
      <c r="S23" s="71"/>
      <c r="T23" s="103"/>
      <c r="U23" s="99"/>
    </row>
    <row r="24" spans="1:21">
      <c r="A24" s="30"/>
      <c r="B24" s="32"/>
      <c r="C24" s="68"/>
      <c r="D24" s="64"/>
      <c r="E24" s="64"/>
      <c r="F24" s="45"/>
      <c r="G24" s="44"/>
      <c r="H24" s="69"/>
      <c r="I24" s="70"/>
      <c r="J24" s="70"/>
      <c r="K24" s="72"/>
      <c r="L24" s="84"/>
      <c r="M24" s="34"/>
      <c r="N24" s="72"/>
      <c r="O24" s="70"/>
      <c r="P24" s="57"/>
      <c r="Q24" s="72"/>
      <c r="R24" s="71"/>
      <c r="S24" s="71"/>
      <c r="T24" s="103"/>
      <c r="U24" s="99"/>
    </row>
    <row r="25" spans="1:21" s="69" customFormat="1">
      <c r="A25" s="30"/>
      <c r="B25" s="32"/>
      <c r="C25" s="68"/>
      <c r="D25" s="64"/>
      <c r="E25" s="64"/>
      <c r="F25" s="45"/>
      <c r="G25" s="44"/>
      <c r="I25" s="70"/>
      <c r="J25" s="70"/>
      <c r="K25" s="72"/>
      <c r="L25" s="84"/>
      <c r="M25" s="34"/>
      <c r="N25" s="72"/>
      <c r="O25" s="70"/>
      <c r="P25" s="57"/>
      <c r="Q25" s="72"/>
      <c r="R25" s="71"/>
      <c r="S25" s="71"/>
      <c r="T25" s="103"/>
      <c r="U25" s="99"/>
    </row>
    <row r="26" spans="1:21" s="69" customFormat="1">
      <c r="A26" s="112"/>
      <c r="B26" s="46"/>
      <c r="C26" s="44"/>
      <c r="D26" s="17"/>
      <c r="E26" s="17"/>
      <c r="F26" s="45"/>
      <c r="G26" s="44"/>
      <c r="I26" s="70"/>
      <c r="J26" s="70"/>
      <c r="K26" s="72"/>
      <c r="L26" s="83"/>
      <c r="M26" s="66"/>
      <c r="N26" s="72"/>
      <c r="P26" s="57"/>
      <c r="T26" s="100"/>
      <c r="U26" s="100"/>
    </row>
    <row r="27" spans="1:21" s="69" customFormat="1">
      <c r="A27" s="112"/>
      <c r="B27" s="46"/>
      <c r="C27" s="44"/>
      <c r="D27" s="17"/>
      <c r="E27" s="17"/>
      <c r="F27" s="45"/>
      <c r="G27" s="44"/>
      <c r="I27" s="70"/>
      <c r="J27" s="70"/>
      <c r="K27" s="72"/>
      <c r="L27" s="83"/>
      <c r="M27" s="66"/>
      <c r="N27" s="72"/>
      <c r="P27" s="57"/>
      <c r="T27" s="98"/>
    </row>
    <row r="28" spans="1:21">
      <c r="L28" s="83"/>
      <c r="P28" s="57"/>
      <c r="T28" s="98"/>
    </row>
    <row r="29" spans="1:21">
      <c r="A29" s="23" t="s">
        <v>28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83"/>
      <c r="M29" s="60"/>
      <c r="N29" s="60"/>
      <c r="P29" s="57"/>
      <c r="T29" s="98"/>
    </row>
    <row r="30" spans="1:21">
      <c r="A30" s="26">
        <f t="shared" ref="A30:B40" si="24">+A8</f>
        <v>43416.520833333336</v>
      </c>
      <c r="B30" s="25">
        <f t="shared" si="24"/>
        <v>0</v>
      </c>
      <c r="C30" s="71">
        <v>0</v>
      </c>
      <c r="D30" s="71">
        <v>0</v>
      </c>
      <c r="E30" s="71">
        <v>0</v>
      </c>
      <c r="F30" s="45">
        <f t="shared" ref="F30:F44" si="25">+$F$3</f>
        <v>79.968999999999994</v>
      </c>
      <c r="G30" s="1">
        <v>1</v>
      </c>
      <c r="H30" s="60"/>
      <c r="I30" s="70">
        <f>((((1013.25+$C30-'Set-up_Mano_Grav'!$S$5)/1013.25)*($D30/100)*(($F30+1.5)/1000)/(0.08206*(273.15+'Set-up_Mano_Grav'!$P$3)))-(((1013.25-'Set-up_Mano_Grav'!$S$5)/1013.25)*($D30/100)*($F30/1000)/(0.08206*(273.15+'Set-up_Mano_Grav'!$P$3))))*'Set-up_Mano_Grav'!$R$5</f>
        <v>0</v>
      </c>
      <c r="J30" s="72">
        <v>0</v>
      </c>
      <c r="K30" s="72">
        <f t="shared" ref="K30:K44" si="26">+J30/$I$3</f>
        <v>0</v>
      </c>
      <c r="L30" s="83"/>
      <c r="M30" s="60"/>
      <c r="N30" s="60"/>
      <c r="P30" s="57"/>
      <c r="Q30" s="72">
        <f t="shared" ref="Q30:Q44" si="27">+B30</f>
        <v>0</v>
      </c>
      <c r="S30">
        <v>184.28254999999999</v>
      </c>
      <c r="T30" s="98"/>
    </row>
    <row r="31" spans="1:21">
      <c r="A31" s="26">
        <f t="shared" si="24"/>
        <v>43417.361111111109</v>
      </c>
      <c r="B31" s="32">
        <f t="shared" si="24"/>
        <v>0.84027777777373558</v>
      </c>
      <c r="C31" s="86">
        <v>344</v>
      </c>
      <c r="D31" s="48">
        <v>11.77</v>
      </c>
      <c r="E31" s="72">
        <v>22.2</v>
      </c>
      <c r="F31" s="45">
        <f t="shared" si="25"/>
        <v>79.968999999999994</v>
      </c>
      <c r="G31" s="44">
        <v>1</v>
      </c>
      <c r="H31" s="60"/>
      <c r="I31" s="70">
        <f>((((1013.25+$C31-'Set-up_Mano_Grav'!$S$5)/1013.25)*($D31/100)*(($F31+1.5)/1000)/(0.08206*(273.15+'Set-up_Mano_Grav'!$P$3)))-(((1013.25-'Set-up_Mano_Grav'!$S$5)/1013.25)*($D30/100)*($F31/1000)/(0.08206*(273.15+'Set-up_Mano_Grav'!$P$3))))*'Set-up_Mano_Grav'!$R$5</f>
        <v>11.352245571006558</v>
      </c>
      <c r="J31" s="72">
        <f>+I31+J30</f>
        <v>11.352245571006558</v>
      </c>
      <c r="K31" s="72">
        <f t="shared" si="26"/>
        <v>7.4633209179005204</v>
      </c>
      <c r="L31" s="83"/>
      <c r="M31" s="60"/>
      <c r="N31" s="60"/>
      <c r="P31" s="57"/>
      <c r="Q31" s="72">
        <f t="shared" si="27"/>
        <v>0.84027777777373558</v>
      </c>
      <c r="R31">
        <v>184.28149999999999</v>
      </c>
      <c r="S31">
        <v>184.25</v>
      </c>
      <c r="T31" s="103">
        <f>+S30-R31</f>
        <v>1.0499999999922238E-3</v>
      </c>
      <c r="U31" s="99">
        <f>+R31-S31</f>
        <v>3.1499999999994088E-2</v>
      </c>
    </row>
    <row r="32" spans="1:21">
      <c r="A32" s="26">
        <f t="shared" si="24"/>
        <v>43418.364583333336</v>
      </c>
      <c r="B32" s="32">
        <f t="shared" si="24"/>
        <v>1.84375</v>
      </c>
      <c r="C32" s="67">
        <v>266</v>
      </c>
      <c r="D32" s="73">
        <v>21.61</v>
      </c>
      <c r="E32" s="48">
        <v>24.25</v>
      </c>
      <c r="F32" s="45">
        <f t="shared" si="25"/>
        <v>79.968999999999994</v>
      </c>
      <c r="G32" s="44">
        <v>1</v>
      </c>
      <c r="H32" s="60"/>
      <c r="I32" s="70">
        <f>((((1013.25+$C32-'Set-up_Mano_Grav'!$S$5)/1013.25)*($D32/100)*(($F32+1.5)/1000)/(0.08206*(273.15+'Set-up_Mano_Grav'!$P$3)))-(((1013.25-'Set-up_Mano_Grav'!$S$5)/1013.25)*($D31/100)*($F32/1000)/(0.08206*(273.15+'Set-up_Mano_Grav'!$P$3))))*'Set-up_Mano_Grav'!$R$5</f>
        <v>11.379862717845949</v>
      </c>
      <c r="J32" s="72">
        <f t="shared" ref="J32:J44" si="28">+I32+J31</f>
        <v>22.732108288852508</v>
      </c>
      <c r="K32" s="72">
        <f t="shared" si="26"/>
        <v>14.94479821097897</v>
      </c>
      <c r="L32" s="83"/>
      <c r="M32" s="60"/>
      <c r="N32" s="60"/>
      <c r="P32" s="57"/>
      <c r="Q32" s="72">
        <f t="shared" si="27"/>
        <v>1.84375</v>
      </c>
      <c r="R32">
        <v>184.24959999999999</v>
      </c>
      <c r="S32">
        <v>184.22659999999999</v>
      </c>
      <c r="T32" s="103">
        <f t="shared" ref="T32:T44" si="29">+S31-R32</f>
        <v>4.0000000001327862E-4</v>
      </c>
      <c r="U32" s="99">
        <f t="shared" ref="U32:U44" si="30">+R32-S32</f>
        <v>2.2999999999996135E-2</v>
      </c>
    </row>
    <row r="33" spans="1:22">
      <c r="A33" s="26">
        <f t="shared" si="24"/>
        <v>43419.371527777781</v>
      </c>
      <c r="B33" s="32">
        <f t="shared" si="24"/>
        <v>2.8506944444452529</v>
      </c>
      <c r="C33" s="67">
        <v>208</v>
      </c>
      <c r="D33" s="73">
        <v>28.68</v>
      </c>
      <c r="E33" s="73">
        <v>26.19</v>
      </c>
      <c r="F33" s="45">
        <f t="shared" si="25"/>
        <v>79.968999999999994</v>
      </c>
      <c r="G33" s="44">
        <v>1</v>
      </c>
      <c r="H33" s="60"/>
      <c r="I33" s="70">
        <f>((((1013.25+$C33-'Set-up_Mano_Grav'!$S$5)/1013.25)*($D33/100)*(($F33+1.5)/1000)/(0.08206*(273.15+'Set-up_Mano_Grav'!$P$3)))-(((1013.25-'Set-up_Mano_Grav'!$S$5)/1013.25)*($D32/100)*($F33/1000)/(0.08206*(273.15+'Set-up_Mano_Grav'!$P$3))))*'Set-up_Mano_Grav'!$R$5</f>
        <v>9.6960748961620666</v>
      </c>
      <c r="J33" s="72">
        <f t="shared" si="28"/>
        <v>32.428183185014575</v>
      </c>
      <c r="K33" s="72">
        <f t="shared" si="26"/>
        <v>21.319300783304858</v>
      </c>
      <c r="L33" s="83"/>
      <c r="M33" s="60"/>
      <c r="N33" s="60"/>
      <c r="P33" s="57"/>
      <c r="Q33" s="72">
        <f t="shared" si="27"/>
        <v>2.8506944444452529</v>
      </c>
      <c r="R33">
        <v>184.22409999999999</v>
      </c>
      <c r="S33">
        <v>184.20670000000001</v>
      </c>
      <c r="T33" s="103">
        <f t="shared" si="29"/>
        <v>2.4999999999977263E-3</v>
      </c>
      <c r="U33" s="99">
        <f t="shared" si="30"/>
        <v>1.7399999999980764E-2</v>
      </c>
    </row>
    <row r="34" spans="1:22">
      <c r="A34" s="26">
        <f t="shared" si="24"/>
        <v>43420.329861111109</v>
      </c>
      <c r="B34" s="32">
        <f t="shared" si="24"/>
        <v>3.8090277777737356</v>
      </c>
      <c r="C34" s="67">
        <v>178</v>
      </c>
      <c r="D34" s="64">
        <v>33.57</v>
      </c>
      <c r="E34" s="73">
        <v>26.88</v>
      </c>
      <c r="F34" s="45">
        <f t="shared" si="25"/>
        <v>79.968999999999994</v>
      </c>
      <c r="G34" s="44">
        <v>1</v>
      </c>
      <c r="H34" s="60"/>
      <c r="I34" s="70">
        <f>((((1013.25+$C34-'Set-up_Mano_Grav'!$S$5)/1013.25)*($D34/100)*(($F34+1.5)/1000)/(0.08206*(273.15+'Set-up_Mano_Grav'!$P$3)))-(((1013.25-'Set-up_Mano_Grav'!$S$5)/1013.25)*($D33/100)*($F34/1000)/(0.08206*(273.15+'Set-up_Mano_Grav'!$P$3))))*'Set-up_Mano_Grav'!$R$5</f>
        <v>8.2439782593266173</v>
      </c>
      <c r="J34" s="72">
        <f>+I34+J33</f>
        <v>40.672161444341192</v>
      </c>
      <c r="K34" s="72">
        <f t="shared" si="26"/>
        <v>26.739149658552019</v>
      </c>
      <c r="L34" s="83"/>
      <c r="M34" s="60"/>
      <c r="N34" s="60"/>
      <c r="P34" s="57"/>
      <c r="Q34" s="72">
        <f t="shared" si="27"/>
        <v>3.8090277777737356</v>
      </c>
      <c r="R34" s="84">
        <v>184.2073</v>
      </c>
      <c r="S34">
        <v>184.1926</v>
      </c>
      <c r="T34" s="103">
        <f t="shared" si="29"/>
        <v>-5.9999999999149622E-4</v>
      </c>
      <c r="U34" s="99">
        <f t="shared" si="30"/>
        <v>1.470000000000482E-2</v>
      </c>
    </row>
    <row r="35" spans="1:22">
      <c r="A35" s="26">
        <f t="shared" si="24"/>
        <v>43421.381944444445</v>
      </c>
      <c r="B35" s="32">
        <f t="shared" si="24"/>
        <v>4.8611111111094942</v>
      </c>
      <c r="C35" s="68">
        <v>147</v>
      </c>
      <c r="D35" s="64">
        <v>36.520000000000003</v>
      </c>
      <c r="E35" s="64">
        <v>27.79</v>
      </c>
      <c r="F35" s="45">
        <f t="shared" si="25"/>
        <v>79.968999999999994</v>
      </c>
      <c r="G35" s="44">
        <v>1</v>
      </c>
      <c r="H35" s="60"/>
      <c r="I35" s="70">
        <f>((((1013.25+$C35-'Set-up_Mano_Grav'!$S$5)/1013.25)*($D35/100)*(($F35+1.5)/1000)/(0.08206*(273.15+'Set-up_Mano_Grav'!$P$3)))-(((1013.25-'Set-up_Mano_Grav'!$S$5)/1013.25)*($D34/100)*($F35/1000)/(0.08206*(273.15+'Set-up_Mano_Grav'!$P$3))))*'Set-up_Mano_Grav'!$R$5</f>
        <v>6.4812318822767772</v>
      </c>
      <c r="J35" s="72">
        <f t="shared" si="28"/>
        <v>47.153393326617973</v>
      </c>
      <c r="K35" s="72">
        <f t="shared" si="26"/>
        <v>31.000113991837768</v>
      </c>
      <c r="L35" s="83"/>
      <c r="M35" s="60"/>
      <c r="N35" s="60"/>
      <c r="O35" s="60"/>
      <c r="P35" s="57"/>
      <c r="Q35" s="72">
        <f t="shared" si="27"/>
        <v>4.8611111111094942</v>
      </c>
      <c r="R35" s="84">
        <v>184.1919</v>
      </c>
      <c r="S35" s="84">
        <v>184.18010000000001</v>
      </c>
      <c r="T35" s="103">
        <f t="shared" si="29"/>
        <v>6.9999999999481588E-4</v>
      </c>
      <c r="U35" s="99">
        <f t="shared" si="30"/>
        <v>1.1799999999993815E-2</v>
      </c>
    </row>
    <row r="36" spans="1:22">
      <c r="A36" s="26">
        <f t="shared" si="24"/>
        <v>43422.379861111112</v>
      </c>
      <c r="B36" s="32">
        <f t="shared" si="24"/>
        <v>5.859027777776646</v>
      </c>
      <c r="C36" s="68">
        <v>124</v>
      </c>
      <c r="D36" s="64">
        <v>39.29</v>
      </c>
      <c r="E36" s="64">
        <v>28.07</v>
      </c>
      <c r="F36" s="45">
        <f t="shared" si="25"/>
        <v>79.968999999999994</v>
      </c>
      <c r="G36" s="44">
        <v>1</v>
      </c>
      <c r="H36" s="60"/>
      <c r="I36" s="70">
        <f>((((1013.25+$C36-'Set-up_Mano_Grav'!$S$5)/1013.25)*($D36/100)*(($F36+1.5)/1000)/(0.08206*(273.15+'Set-up_Mano_Grav'!$P$3)))-(((1013.25-'Set-up_Mano_Grav'!$S$5)/1013.25)*($D35/100)*($F36/1000)/(0.08206*(273.15+'Set-up_Mano_Grav'!$P$3))))*'Set-up_Mano_Grav'!$R$5</f>
        <v>6.0272959673610451</v>
      </c>
      <c r="J36" s="72">
        <f t="shared" si="28"/>
        <v>53.180689293979015</v>
      </c>
      <c r="K36" s="72">
        <f t="shared" si="26"/>
        <v>34.962646672285643</v>
      </c>
      <c r="L36" s="83"/>
      <c r="M36" s="60"/>
      <c r="N36" s="60"/>
      <c r="O36" s="60"/>
      <c r="P36" s="57"/>
      <c r="Q36" s="72">
        <f t="shared" si="27"/>
        <v>5.859027777776646</v>
      </c>
      <c r="R36" s="84">
        <v>184.18190000000001</v>
      </c>
      <c r="S36" s="84">
        <v>184.17189999999999</v>
      </c>
      <c r="T36" s="103">
        <f t="shared" si="29"/>
        <v>-1.8000000000029104E-3</v>
      </c>
      <c r="U36" s="99">
        <f t="shared" si="30"/>
        <v>1.0000000000019327E-2</v>
      </c>
    </row>
    <row r="37" spans="1:22">
      <c r="A37" s="26">
        <f t="shared" si="24"/>
        <v>43423.36041666667</v>
      </c>
      <c r="B37" s="32">
        <f t="shared" si="24"/>
        <v>6.8395833333343035</v>
      </c>
      <c r="C37" s="68">
        <v>112</v>
      </c>
      <c r="D37" s="85">
        <v>41.56</v>
      </c>
      <c r="E37" s="85">
        <v>28.73</v>
      </c>
      <c r="F37" s="45">
        <f t="shared" si="25"/>
        <v>79.968999999999994</v>
      </c>
      <c r="G37" s="44">
        <v>1</v>
      </c>
      <c r="H37" s="60"/>
      <c r="I37" s="70">
        <f>((((1013.25+$C37-'Set-up_Mano_Grav'!$S$5)/1013.25)*($D37/100)*(($F37+1.5)/1000)/(0.08206*(273.15+'Set-up_Mano_Grav'!$P$3)))-(((1013.25-'Set-up_Mano_Grav'!$S$5)/1013.25)*($D36/100)*($F37/1000)/(0.08206*(273.15+'Set-up_Mano_Grav'!$P$3))))*'Set-up_Mano_Grav'!$R$5</f>
        <v>5.5481454054682926</v>
      </c>
      <c r="J37" s="72">
        <f t="shared" si="28"/>
        <v>58.728834699447305</v>
      </c>
      <c r="K37" s="72">
        <f t="shared" si="26"/>
        <v>38.610170803188822</v>
      </c>
      <c r="L37" s="83"/>
      <c r="M37" s="60"/>
      <c r="N37" s="60"/>
      <c r="O37" s="60"/>
      <c r="P37" s="57"/>
      <c r="Q37" s="72">
        <f t="shared" si="27"/>
        <v>6.8395833333343035</v>
      </c>
      <c r="R37" s="113">
        <v>184.1677</v>
      </c>
      <c r="S37" s="113">
        <v>184.17140000000001</v>
      </c>
      <c r="T37" s="114">
        <f t="shared" si="29"/>
        <v>4.199999999997317E-3</v>
      </c>
      <c r="U37" s="115">
        <f t="shared" si="30"/>
        <v>-3.7000000000091404E-3</v>
      </c>
    </row>
    <row r="38" spans="1:22">
      <c r="A38" s="26">
        <f t="shared" si="24"/>
        <v>43425.4375</v>
      </c>
      <c r="B38" s="32">
        <f t="shared" si="24"/>
        <v>8.9166666666642413</v>
      </c>
      <c r="C38" s="68">
        <v>196</v>
      </c>
      <c r="D38" s="64">
        <v>46.87</v>
      </c>
      <c r="E38" s="64">
        <v>29.19</v>
      </c>
      <c r="F38" s="45">
        <f t="shared" si="25"/>
        <v>79.968999999999994</v>
      </c>
      <c r="G38" s="44">
        <v>1</v>
      </c>
      <c r="H38" s="60"/>
      <c r="I38" s="70">
        <f>((((1013.25+$C38-'Set-up_Mano_Grav'!$S$5)/1013.25)*($D38/100)*(($F38+1.5)/1000)/(0.08206*(273.15+'Set-up_Mano_Grav'!$P$3)))-(((1013.25-'Set-up_Mano_Grav'!$S$5)/1013.25)*($D37/100)*($F38/1000)/(0.08206*(273.15+'Set-up_Mano_Grav'!$P$3))))*'Set-up_Mano_Grav'!$R$5</f>
        <v>11.06899255818311</v>
      </c>
      <c r="J38" s="72">
        <f t="shared" si="28"/>
        <v>69.797827257630416</v>
      </c>
      <c r="K38" s="72">
        <f t="shared" si="26"/>
        <v>45.887272340752581</v>
      </c>
      <c r="L38" s="83"/>
      <c r="M38" s="60"/>
      <c r="N38" s="60"/>
      <c r="O38" s="60"/>
      <c r="P38" s="57"/>
      <c r="Q38" s="72">
        <f t="shared" si="27"/>
        <v>8.9166666666642413</v>
      </c>
      <c r="R38" s="84">
        <v>184.1738</v>
      </c>
      <c r="S38" s="84">
        <v>184.15799999999999</v>
      </c>
      <c r="T38" s="103">
        <f t="shared" si="29"/>
        <v>-2.3999999999944066E-3</v>
      </c>
      <c r="U38" s="99">
        <f t="shared" si="30"/>
        <v>1.5800000000012915E-2</v>
      </c>
    </row>
    <row r="39" spans="1:22">
      <c r="A39" s="26">
        <f t="shared" si="24"/>
        <v>43427.399305555555</v>
      </c>
      <c r="B39" s="32">
        <f t="shared" si="24"/>
        <v>10.878472222218988</v>
      </c>
      <c r="C39" s="68">
        <v>169</v>
      </c>
      <c r="D39" s="64">
        <v>49.45</v>
      </c>
      <c r="E39" s="64">
        <v>28.91</v>
      </c>
      <c r="F39" s="45">
        <f t="shared" si="25"/>
        <v>79.968999999999994</v>
      </c>
      <c r="G39" s="44">
        <v>1</v>
      </c>
      <c r="H39" s="69"/>
      <c r="I39" s="70">
        <f>((((1013.25+$C39-'Set-up_Mano_Grav'!$S$5)/1013.25)*($D39/100)*(($F39+1.5)/1000)/(0.08206*(273.15+'Set-up_Mano_Grav'!$P$3)))-(((1013.25-'Set-up_Mano_Grav'!$S$5)/1013.25)*($D38/100)*($F39/1000)/(0.08206*(273.15+'Set-up_Mano_Grav'!$P$3))))*'Set-up_Mano_Grav'!$R$5</f>
        <v>8.5859884455787512</v>
      </c>
      <c r="J39" s="72">
        <f t="shared" si="28"/>
        <v>78.383815703209166</v>
      </c>
      <c r="K39" s="72">
        <f t="shared" si="26"/>
        <v>51.531969397905684</v>
      </c>
      <c r="L39" s="83"/>
      <c r="M39" s="60"/>
      <c r="N39" s="60"/>
      <c r="O39" s="60"/>
      <c r="P39" s="57"/>
      <c r="Q39" s="72">
        <f t="shared" si="27"/>
        <v>10.878472222218988</v>
      </c>
      <c r="R39" s="84">
        <v>184.16040000000001</v>
      </c>
      <c r="S39" s="84">
        <v>184.14660000000001</v>
      </c>
      <c r="T39" s="103">
        <f t="shared" si="29"/>
        <v>-2.4000000000228283E-3</v>
      </c>
      <c r="U39" s="99">
        <f t="shared" si="30"/>
        <v>1.3800000000003365E-2</v>
      </c>
    </row>
    <row r="40" spans="1:22">
      <c r="A40" s="26">
        <f t="shared" si="24"/>
        <v>43429.645833333336</v>
      </c>
      <c r="B40" s="32">
        <f t="shared" si="24"/>
        <v>13.125</v>
      </c>
      <c r="C40" s="68">
        <v>180</v>
      </c>
      <c r="D40" s="64">
        <v>50.79</v>
      </c>
      <c r="E40" s="64">
        <v>29.55</v>
      </c>
      <c r="F40" s="45">
        <f t="shared" si="25"/>
        <v>79.968999999999994</v>
      </c>
      <c r="G40" s="44">
        <v>1</v>
      </c>
      <c r="H40" s="69"/>
      <c r="I40" s="70">
        <f>((((1013.25+$C40-'Set-up_Mano_Grav'!$S$5)/1013.25)*($D40/100)*(($F40+1.5)/1000)/(0.08206*(273.15+'Set-up_Mano_Grav'!$P$3)))-(((1013.25-'Set-up_Mano_Grav'!$S$5)/1013.25)*($D39/100)*($F40/1000)/(0.08206*(273.15+'Set-up_Mano_Grav'!$P$3))))*'Set-up_Mano_Grav'!$R$5</f>
        <v>8.3132982872399399</v>
      </c>
      <c r="J40" s="72">
        <f t="shared" si="28"/>
        <v>86.697113990449111</v>
      </c>
      <c r="K40" s="72">
        <f t="shared" si="26"/>
        <v>56.99739142527671</v>
      </c>
      <c r="L40" s="83"/>
      <c r="M40" s="60"/>
      <c r="N40" s="60"/>
      <c r="O40" s="60"/>
      <c r="P40" s="57"/>
      <c r="Q40" s="72">
        <f t="shared" si="27"/>
        <v>13.125</v>
      </c>
      <c r="R40" s="84">
        <v>184.1456</v>
      </c>
      <c r="S40" s="84">
        <v>184.1328</v>
      </c>
      <c r="T40" s="103">
        <f t="shared" si="29"/>
        <v>1.0000000000047748E-3</v>
      </c>
      <c r="U40" s="99">
        <f t="shared" si="30"/>
        <v>1.279999999999859E-2</v>
      </c>
    </row>
    <row r="41" spans="1:22">
      <c r="A41" s="26">
        <f t="shared" ref="A41:A44" si="31">+A19</f>
        <v>43432.375</v>
      </c>
      <c r="B41" s="32">
        <f t="shared" ref="B41" si="32">+B19</f>
        <v>15.854166666664241</v>
      </c>
      <c r="C41" s="68">
        <v>175</v>
      </c>
      <c r="D41" s="116">
        <v>52.55</v>
      </c>
      <c r="E41" s="116">
        <v>30.04</v>
      </c>
      <c r="F41" s="45">
        <f t="shared" si="25"/>
        <v>79.968999999999994</v>
      </c>
      <c r="G41" s="44">
        <v>1</v>
      </c>
      <c r="H41" s="69"/>
      <c r="I41" s="70">
        <f>((((1013.25+$C41-'Set-up_Mano_Grav'!$S$5)/1013.25)*($D41/100)*(($F41+1.5)/1000)/(0.08206*(273.15+'Set-up_Mano_Grav'!$P$3)))-(((1013.25-'Set-up_Mano_Grav'!$S$5)/1013.25)*($D40/100)*($F41/1000)/(0.08206*(273.15+'Set-up_Mano_Grav'!$P$3))))*'Set-up_Mano_Grav'!$R$5</f>
        <v>8.669575565766495</v>
      </c>
      <c r="J41" s="72">
        <f t="shared" si="28"/>
        <v>95.366689556215604</v>
      </c>
      <c r="K41" s="72">
        <f t="shared" si="26"/>
        <v>62.697041266763293</v>
      </c>
      <c r="L41" s="83"/>
      <c r="M41" s="60"/>
      <c r="N41" s="60"/>
      <c r="O41" s="60"/>
      <c r="P41" s="57"/>
      <c r="Q41" s="72">
        <f t="shared" si="27"/>
        <v>15.854166666664241</v>
      </c>
      <c r="R41" s="84">
        <v>184.13140000000001</v>
      </c>
      <c r="S41" s="84">
        <v>184.11750000000001</v>
      </c>
      <c r="T41" s="103">
        <f t="shared" si="29"/>
        <v>1.3999999999896318E-3</v>
      </c>
      <c r="U41" s="99">
        <f t="shared" si="30"/>
        <v>1.3900000000006685E-2</v>
      </c>
    </row>
    <row r="42" spans="1:22">
      <c r="A42" s="26">
        <f t="shared" si="31"/>
        <v>43435.430555555555</v>
      </c>
      <c r="B42" s="32">
        <f t="shared" ref="B42:B44" si="33">+B20</f>
        <v>18.909722222218988</v>
      </c>
      <c r="C42" s="68">
        <v>176</v>
      </c>
      <c r="D42" s="64">
        <v>54.31</v>
      </c>
      <c r="E42" s="64">
        <v>30.53</v>
      </c>
      <c r="F42" s="45">
        <f t="shared" si="25"/>
        <v>79.968999999999994</v>
      </c>
      <c r="G42" s="44">
        <v>1</v>
      </c>
      <c r="H42" s="69"/>
      <c r="I42" s="70">
        <f>((((1013.25+$C42-'Set-up_Mano_Grav'!$S$5)/1013.25)*($D42/100)*(($F42+1.5)/1000)/(0.08206*(273.15+'Set-up_Mano_Grav'!$P$3)))-(((1013.25-'Set-up_Mano_Grav'!$S$5)/1013.25)*($D41/100)*($F42/1000)/(0.08206*(273.15+'Set-up_Mano_Grav'!$P$3))))*'Set-up_Mano_Grav'!$R$5</f>
        <v>8.9586075075543175</v>
      </c>
      <c r="J42" s="72">
        <f t="shared" si="28"/>
        <v>104.32529706376992</v>
      </c>
      <c r="K42" s="72">
        <f t="shared" si="26"/>
        <v>68.58670973703957</v>
      </c>
      <c r="L42" s="83"/>
      <c r="M42" s="60"/>
      <c r="N42" s="60"/>
      <c r="O42" s="60"/>
      <c r="P42" s="57"/>
      <c r="Q42" s="72">
        <f t="shared" si="27"/>
        <v>18.909722222218988</v>
      </c>
      <c r="R42" s="84">
        <v>184.11580000000001</v>
      </c>
      <c r="S42" s="84">
        <v>184.1028</v>
      </c>
      <c r="T42" s="103">
        <f t="shared" si="29"/>
        <v>1.6999999999995907E-3</v>
      </c>
      <c r="U42" s="99">
        <f t="shared" si="30"/>
        <v>1.300000000000523E-2</v>
      </c>
    </row>
    <row r="43" spans="1:22" s="41" customFormat="1">
      <c r="A43" s="26">
        <f t="shared" si="31"/>
        <v>43439.381944444445</v>
      </c>
      <c r="B43" s="32">
        <f t="shared" si="33"/>
        <v>22.861111111109494</v>
      </c>
      <c r="C43" s="68">
        <v>172</v>
      </c>
      <c r="D43" s="64">
        <v>56.57</v>
      </c>
      <c r="E43" s="64">
        <v>31.26</v>
      </c>
      <c r="F43" s="45">
        <f t="shared" si="25"/>
        <v>79.968999999999994</v>
      </c>
      <c r="G43" s="44">
        <v>1</v>
      </c>
      <c r="H43" s="69"/>
      <c r="I43" s="70">
        <f>((((1013.25+$C43-'Set-up_Mano_Grav'!$S$5)/1013.25)*($D43/100)*(($F43+1.5)/1000)/(0.08206*(273.15+'Set-up_Mano_Grav'!$P$3)))-(((1013.25-'Set-up_Mano_Grav'!$S$5)/1013.25)*($D42/100)*($F43/1000)/(0.08206*(273.15+'Set-up_Mano_Grav'!$P$3))))*'Set-up_Mano_Grav'!$R$5</f>
        <v>9.4635511480287331</v>
      </c>
      <c r="J43" s="72">
        <f t="shared" si="28"/>
        <v>113.78884821179865</v>
      </c>
      <c r="K43" s="72">
        <f t="shared" si="26"/>
        <v>74.80834393257625</v>
      </c>
      <c r="L43" s="83"/>
      <c r="M43" s="60"/>
      <c r="N43" s="60"/>
      <c r="O43" s="60"/>
      <c r="P43" s="57"/>
      <c r="Q43" s="72">
        <f t="shared" si="27"/>
        <v>22.861111111109494</v>
      </c>
      <c r="R43" s="84">
        <v>184.0993</v>
      </c>
      <c r="S43" s="84">
        <v>184.08690000000001</v>
      </c>
      <c r="T43" s="103">
        <f t="shared" si="29"/>
        <v>3.5000000000025011E-3</v>
      </c>
      <c r="U43" s="99">
        <f t="shared" si="30"/>
        <v>1.2399999999985312E-2</v>
      </c>
    </row>
    <row r="44" spans="1:22" s="41" customFormat="1">
      <c r="A44" s="26">
        <f t="shared" si="31"/>
        <v>43443.666666666664</v>
      </c>
      <c r="B44" s="32">
        <f t="shared" si="33"/>
        <v>27.145833333328483</v>
      </c>
      <c r="C44" s="68">
        <v>192</v>
      </c>
      <c r="D44" s="64">
        <v>58.22</v>
      </c>
      <c r="E44" s="64">
        <v>31.44</v>
      </c>
      <c r="F44" s="45">
        <f t="shared" si="25"/>
        <v>79.968999999999994</v>
      </c>
      <c r="G44" s="44">
        <v>1</v>
      </c>
      <c r="H44" s="69"/>
      <c r="I44" s="70">
        <f>((((1013.25+$C44-'Set-up_Mano_Grav'!$S$5)/1013.25)*($D44/100)*(($F44+1.5)/1000)/(0.08206*(273.15+'Set-up_Mano_Grav'!$P$3)))-(((1013.25-'Set-up_Mano_Grav'!$S$5)/1013.25)*($D43/100)*($F44/1000)/(0.08206*(273.15+'Set-up_Mano_Grav'!$P$3))))*'Set-up_Mano_Grav'!$R$5</f>
        <v>10.121941768728339</v>
      </c>
      <c r="J44" s="72">
        <f t="shared" si="28"/>
        <v>123.91078998052699</v>
      </c>
      <c r="K44" s="72">
        <f t="shared" si="26"/>
        <v>81.462824692335147</v>
      </c>
      <c r="L44" s="83"/>
      <c r="M44" s="60"/>
      <c r="N44" s="60"/>
      <c r="O44" s="60"/>
      <c r="P44" s="57"/>
      <c r="Q44" s="72">
        <f t="shared" si="27"/>
        <v>27.145833333328483</v>
      </c>
      <c r="R44" s="84">
        <v>184.08629999999999</v>
      </c>
      <c r="S44" s="84">
        <v>184.072</v>
      </c>
      <c r="T44" s="103">
        <f t="shared" si="29"/>
        <v>6.0000000001991793E-4</v>
      </c>
      <c r="U44" s="99">
        <f t="shared" si="30"/>
        <v>1.4299999999991542E-2</v>
      </c>
    </row>
    <row r="45" spans="1:22" s="41" customFormat="1">
      <c r="A45" s="26"/>
      <c r="B45" s="32"/>
      <c r="C45" s="68"/>
      <c r="D45" s="64"/>
      <c r="E45" s="64"/>
      <c r="F45" s="45"/>
      <c r="G45" s="44"/>
      <c r="H45" s="69"/>
      <c r="I45" s="70"/>
      <c r="J45" s="72"/>
      <c r="K45" s="72"/>
      <c r="L45" s="84"/>
      <c r="M45" s="60"/>
      <c r="N45" s="60"/>
      <c r="O45" s="60"/>
      <c r="P45" s="57"/>
      <c r="Q45" s="72"/>
      <c r="R45" s="84"/>
      <c r="S45" s="84"/>
      <c r="T45" s="103"/>
      <c r="U45" s="99"/>
    </row>
    <row r="46" spans="1:22" s="41" customFormat="1">
      <c r="A46" s="26"/>
      <c r="B46" s="32"/>
      <c r="C46" s="68"/>
      <c r="D46" s="64"/>
      <c r="E46" s="64"/>
      <c r="F46" s="45"/>
      <c r="G46" s="44"/>
      <c r="H46" s="69"/>
      <c r="I46" s="70"/>
      <c r="J46" s="72"/>
      <c r="K46" s="72"/>
      <c r="L46" s="84"/>
      <c r="M46" s="69"/>
      <c r="N46" s="69"/>
      <c r="O46" s="69"/>
      <c r="P46" s="57"/>
      <c r="Q46" s="72"/>
      <c r="R46" s="84"/>
      <c r="S46" s="84"/>
      <c r="T46" s="103"/>
      <c r="U46" s="99"/>
      <c r="V46" s="38"/>
    </row>
    <row r="47" spans="1:22" s="33" customFormat="1">
      <c r="A47" s="26"/>
      <c r="B47" s="32"/>
      <c r="C47" s="68"/>
      <c r="D47" s="64"/>
      <c r="E47" s="64"/>
      <c r="F47" s="45"/>
      <c r="G47" s="44"/>
      <c r="H47" s="69"/>
      <c r="I47" s="70"/>
      <c r="J47" s="72"/>
      <c r="K47" s="72"/>
      <c r="L47" s="84"/>
      <c r="M47" s="69"/>
      <c r="N47" s="69"/>
      <c r="O47" s="69"/>
      <c r="P47" s="57"/>
      <c r="Q47" s="72"/>
      <c r="R47" s="84"/>
      <c r="S47" s="84"/>
      <c r="T47" s="103"/>
      <c r="U47" s="99"/>
      <c r="V47" s="38"/>
    </row>
    <row r="48" spans="1:22">
      <c r="A48" s="60"/>
      <c r="B48" s="60"/>
      <c r="C48" s="60"/>
      <c r="D48" s="60"/>
      <c r="F48" s="60"/>
      <c r="G48" s="60"/>
      <c r="H48" s="60"/>
      <c r="I48" s="60"/>
      <c r="J48" s="60"/>
      <c r="K48" s="60"/>
      <c r="L48" s="83"/>
      <c r="M48" s="60"/>
      <c r="N48" s="60"/>
      <c r="O48" s="38"/>
      <c r="P48" s="102"/>
      <c r="Q48" s="95"/>
      <c r="R48" s="38"/>
      <c r="S48" s="38"/>
      <c r="T48" s="100"/>
      <c r="U48" s="100"/>
      <c r="V48" s="100"/>
    </row>
    <row r="49" spans="1:27">
      <c r="A49" s="23" t="s">
        <v>29</v>
      </c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83"/>
      <c r="M49" s="60"/>
      <c r="N49" s="60"/>
      <c r="O49" s="38"/>
      <c r="P49" s="102"/>
      <c r="Q49" s="95"/>
      <c r="R49" s="38"/>
      <c r="S49" s="38"/>
      <c r="T49" s="104"/>
      <c r="U49" s="38"/>
      <c r="V49" s="38"/>
    </row>
    <row r="50" spans="1:27">
      <c r="A50" s="26">
        <f t="shared" ref="A50:B60" si="34">+A8</f>
        <v>43416.520833333336</v>
      </c>
      <c r="B50" s="51">
        <f t="shared" si="34"/>
        <v>0</v>
      </c>
      <c r="C50" s="96">
        <v>0</v>
      </c>
      <c r="D50" s="71">
        <v>0</v>
      </c>
      <c r="E50" s="71">
        <v>0</v>
      </c>
      <c r="F50" s="45">
        <f t="shared" ref="F50:F64" si="35">+$F$4</f>
        <v>80.013000000000005</v>
      </c>
      <c r="G50" s="1">
        <v>1</v>
      </c>
      <c r="H50" s="71"/>
      <c r="I50" s="70">
        <f>((((1013.25+$C50-'Set-up_Mano_Grav'!$S$5)/1013.25)*($D50/100)*(($F50+1.5)/1000)/(0.08206*(273.15+'Set-up_Mano_Grav'!$P$3)))-(((1013.25-'Set-up_Mano_Grav'!$S$5)/1013.25)*($D50/100)*($F50/1000)/(0.08206*(273.15+'Set-up_Mano_Grav'!$P$3))))*'Set-up_Mano_Grav'!$R$5</f>
        <v>0</v>
      </c>
      <c r="J50" s="71">
        <v>0</v>
      </c>
      <c r="K50" s="72">
        <f t="shared" ref="K50:K64" si="36">+J50/$I$4</f>
        <v>0</v>
      </c>
      <c r="L50" s="83"/>
      <c r="M50" s="60"/>
      <c r="N50" s="60"/>
      <c r="O50" s="38"/>
      <c r="P50" s="102"/>
      <c r="Q50" s="72">
        <f t="shared" ref="Q50:Q64" si="37">+B50</f>
        <v>0</v>
      </c>
      <c r="R50" s="38"/>
      <c r="S50" s="38">
        <v>183.2664</v>
      </c>
      <c r="T50" s="104"/>
      <c r="U50" s="38"/>
      <c r="V50" s="38"/>
    </row>
    <row r="51" spans="1:27">
      <c r="A51" s="26">
        <f t="shared" si="34"/>
        <v>43417.361111111109</v>
      </c>
      <c r="B51" s="32">
        <f t="shared" si="34"/>
        <v>0.84027777777373558</v>
      </c>
      <c r="C51" s="86">
        <v>348</v>
      </c>
      <c r="D51" s="48">
        <v>11.85</v>
      </c>
      <c r="E51" s="48">
        <v>22.27</v>
      </c>
      <c r="F51" s="45">
        <f t="shared" si="35"/>
        <v>80.013000000000005</v>
      </c>
      <c r="G51" s="44">
        <v>1</v>
      </c>
      <c r="H51" s="71"/>
      <c r="I51" s="70">
        <f>((((1013.25+$C51-'Set-up_Mano_Grav'!$S$5)/1013.25)*($D51/100)*(($F51+1.5)/1000)/(0.08206*(273.15+'Set-up_Mano_Grav'!$P$3)))-(((1013.25-'Set-up_Mano_Grav'!$S$5)/1013.25)*($D50/100)*($F51/1000)/(0.08206*(273.15+'Set-up_Mano_Grav'!$P$3))))*'Set-up_Mano_Grav'!$R$5</f>
        <v>11.470392536783216</v>
      </c>
      <c r="J51" s="72">
        <f>+I51+J50</f>
        <v>11.470392536783216</v>
      </c>
      <c r="K51" s="72">
        <f t="shared" si="36"/>
        <v>7.5451426455007873</v>
      </c>
      <c r="L51" s="83"/>
      <c r="M51" s="60"/>
      <c r="N51" s="60"/>
      <c r="O51" s="38"/>
      <c r="P51" s="102"/>
      <c r="Q51" s="72">
        <f t="shared" si="37"/>
        <v>0.84027777777373558</v>
      </c>
      <c r="R51" s="38">
        <v>183.2655</v>
      </c>
      <c r="S51" s="38">
        <v>183.23310000000001</v>
      </c>
      <c r="T51" s="103">
        <f>+S50-R51</f>
        <v>9.0000000000145519E-4</v>
      </c>
      <c r="U51" s="99">
        <f>+R51-S51</f>
        <v>3.2399999999995543E-2</v>
      </c>
      <c r="V51" s="38"/>
    </row>
    <row r="52" spans="1:27">
      <c r="A52" s="26">
        <f t="shared" si="34"/>
        <v>43418.364583333336</v>
      </c>
      <c r="B52" s="32">
        <f t="shared" si="34"/>
        <v>1.84375</v>
      </c>
      <c r="C52" s="67">
        <v>262</v>
      </c>
      <c r="D52" s="73">
        <v>21.96</v>
      </c>
      <c r="E52" s="73">
        <v>24.41</v>
      </c>
      <c r="F52" s="45">
        <f t="shared" si="35"/>
        <v>80.013000000000005</v>
      </c>
      <c r="G52" s="44">
        <v>1</v>
      </c>
      <c r="H52" s="71"/>
      <c r="I52" s="70">
        <f>((((1013.25+$C52-'Set-up_Mano_Grav'!$S$5)/1013.25)*($D52/100)*(($F52+1.5)/1000)/(0.08206*(273.15+'Set-up_Mano_Grav'!$P$3)))-(((1013.25-'Set-up_Mano_Grav'!$S$5)/1013.25)*($D51/100)*($F52/1000)/(0.08206*(273.15+'Set-up_Mano_Grav'!$P$3))))*'Set-up_Mano_Grav'!$R$5</f>
        <v>11.583177937960542</v>
      </c>
      <c r="J52" s="72">
        <f t="shared" ref="J52:J53" si="38">+I52+J51</f>
        <v>23.053570474743758</v>
      </c>
      <c r="K52" s="72">
        <f t="shared" si="36"/>
        <v>15.164474725886565</v>
      </c>
      <c r="L52" s="83"/>
      <c r="M52" s="60"/>
      <c r="N52" s="60"/>
      <c r="O52" s="38"/>
      <c r="P52" s="102"/>
      <c r="Q52" s="72">
        <f t="shared" si="37"/>
        <v>1.84375</v>
      </c>
      <c r="R52" s="100">
        <v>183.2337</v>
      </c>
      <c r="S52" s="100">
        <v>183.21019999999999</v>
      </c>
      <c r="T52" s="103">
        <f t="shared" ref="T52:T64" si="39">+S51-R52</f>
        <v>-5.9999999999149622E-4</v>
      </c>
      <c r="U52" s="99">
        <f t="shared" ref="U52:U64" si="40">+R52-S52</f>
        <v>2.3500000000012733E-2</v>
      </c>
      <c r="V52" s="38"/>
    </row>
    <row r="53" spans="1:27">
      <c r="A53" s="26">
        <f t="shared" si="34"/>
        <v>43419.371527777781</v>
      </c>
      <c r="B53" s="32">
        <f t="shared" si="34"/>
        <v>2.8506944444452529</v>
      </c>
      <c r="C53" s="67">
        <v>202</v>
      </c>
      <c r="D53" s="73">
        <v>28.86</v>
      </c>
      <c r="E53" s="73">
        <v>26.04</v>
      </c>
      <c r="F53" s="45">
        <f t="shared" si="35"/>
        <v>80.013000000000005</v>
      </c>
      <c r="G53" s="44">
        <v>1</v>
      </c>
      <c r="H53" s="71"/>
      <c r="I53" s="70">
        <f>((((1013.25+$C53-'Set-up_Mano_Grav'!$S$5)/1013.25)*($D53/100)*(($F53+1.5)/1000)/(0.08206*(273.15+'Set-up_Mano_Grav'!$P$3)))-(((1013.25-'Set-up_Mano_Grav'!$S$5)/1013.25)*($D52/100)*($F53/1000)/(0.08206*(273.15+'Set-up_Mano_Grav'!$P$3))))*'Set-up_Mano_Grav'!$R$5</f>
        <v>9.4849620311754741</v>
      </c>
      <c r="J53" s="72">
        <f t="shared" si="38"/>
        <v>32.538532505919235</v>
      </c>
      <c r="K53" s="72">
        <f t="shared" si="36"/>
        <v>21.403615303062299</v>
      </c>
      <c r="L53" s="83"/>
      <c r="M53" s="60"/>
      <c r="N53" s="60"/>
      <c r="O53" s="38"/>
      <c r="P53" s="102"/>
      <c r="Q53" s="72">
        <f t="shared" si="37"/>
        <v>2.8506944444452529</v>
      </c>
      <c r="R53" s="100">
        <v>183.208</v>
      </c>
      <c r="S53" s="100">
        <v>183.1925</v>
      </c>
      <c r="T53" s="103">
        <f>+S52-R53</f>
        <v>2.1999999999877673E-3</v>
      </c>
      <c r="U53" s="99">
        <f t="shared" si="40"/>
        <v>1.5500000000002956E-2</v>
      </c>
      <c r="V53" s="38"/>
    </row>
    <row r="54" spans="1:27">
      <c r="A54" s="26">
        <f t="shared" si="34"/>
        <v>43420.329861111109</v>
      </c>
      <c r="B54" s="32">
        <f t="shared" si="34"/>
        <v>3.8090277777737356</v>
      </c>
      <c r="C54" s="67">
        <v>191</v>
      </c>
      <c r="D54" s="64">
        <v>33.799999999999997</v>
      </c>
      <c r="E54" s="64">
        <v>27.18</v>
      </c>
      <c r="F54" s="45">
        <f t="shared" si="35"/>
        <v>80.013000000000005</v>
      </c>
      <c r="G54" s="44">
        <v>1</v>
      </c>
      <c r="H54" s="71"/>
      <c r="I54" s="70">
        <f>((((1013.25+$C54-'Set-up_Mano_Grav'!$S$5)/1013.25)*($D54/100)*(($F54+1.5)/1000)/(0.08206*(273.15+'Set-up_Mano_Grav'!$P$3)))-(((1013.25-'Set-up_Mano_Grav'!$S$5)/1013.25)*($D53/100)*($F54/1000)/(0.08206*(273.15+'Set-up_Mano_Grav'!$P$3))))*'Set-up_Mano_Grav'!$R$5</f>
        <v>8.6389983071885492</v>
      </c>
      <c r="J54" s="72">
        <f>+I54+J53</f>
        <v>41.177530813107786</v>
      </c>
      <c r="K54" s="72">
        <f t="shared" si="36"/>
        <v>27.086286958190975</v>
      </c>
      <c r="L54" s="83"/>
      <c r="M54" s="60"/>
      <c r="N54" s="60"/>
      <c r="O54" s="38"/>
      <c r="P54" s="102"/>
      <c r="Q54" s="72">
        <f t="shared" si="37"/>
        <v>3.8090277777737356</v>
      </c>
      <c r="R54" s="100">
        <v>183.19200000000001</v>
      </c>
      <c r="S54" s="100">
        <v>183.178</v>
      </c>
      <c r="T54" s="103">
        <f t="shared" si="39"/>
        <v>4.9999999998817657E-4</v>
      </c>
      <c r="U54" s="99">
        <f t="shared" si="40"/>
        <v>1.4000000000010004E-2</v>
      </c>
      <c r="V54" s="38"/>
    </row>
    <row r="55" spans="1:27">
      <c r="A55" s="26">
        <f t="shared" si="34"/>
        <v>43421.381944444445</v>
      </c>
      <c r="B55" s="32">
        <f t="shared" si="34"/>
        <v>4.8611111111094942</v>
      </c>
      <c r="C55" s="68">
        <v>160</v>
      </c>
      <c r="D55" s="64">
        <v>37.58</v>
      </c>
      <c r="E55" s="64">
        <v>27.87</v>
      </c>
      <c r="F55" s="45">
        <f t="shared" si="35"/>
        <v>80.013000000000005</v>
      </c>
      <c r="G55" s="44">
        <v>1</v>
      </c>
      <c r="H55" s="71"/>
      <c r="I55" s="70">
        <f>((((1013.25+$C55-'Set-up_Mano_Grav'!$S$5)/1013.25)*($D55/100)*(($F55+1.5)/1000)/(0.08206*(273.15+'Set-up_Mano_Grav'!$P$3)))-(((1013.25-'Set-up_Mano_Grav'!$S$5)/1013.25)*($D54/100)*($F55/1000)/(0.08206*(273.15+'Set-up_Mano_Grav'!$P$3))))*'Set-up_Mano_Grav'!$R$5</f>
        <v>7.5520377903322631</v>
      </c>
      <c r="J55" s="72">
        <f t="shared" ref="J55:J58" si="41">+I55+J54</f>
        <v>48.72956860344005</v>
      </c>
      <c r="K55" s="72">
        <f t="shared" si="36"/>
        <v>32.053963714635216</v>
      </c>
      <c r="L55" s="83"/>
      <c r="M55" s="60"/>
      <c r="N55" s="60"/>
      <c r="O55" s="38"/>
      <c r="P55" s="102"/>
      <c r="Q55" s="72">
        <f t="shared" si="37"/>
        <v>4.8611111111094942</v>
      </c>
      <c r="R55" s="100">
        <v>183.17599999999999</v>
      </c>
      <c r="S55" s="100">
        <v>183.1627</v>
      </c>
      <c r="T55" s="103">
        <f t="shared" si="39"/>
        <v>2.0000000000095497E-3</v>
      </c>
      <c r="U55" s="105">
        <f t="shared" si="40"/>
        <v>1.3299999999986767E-2</v>
      </c>
      <c r="V55" s="38"/>
    </row>
    <row r="56" spans="1:27">
      <c r="A56" s="26">
        <f t="shared" si="34"/>
        <v>43422.379861111112</v>
      </c>
      <c r="B56" s="32">
        <f t="shared" si="34"/>
        <v>5.859027777776646</v>
      </c>
      <c r="C56" s="68">
        <v>140</v>
      </c>
      <c r="D56" s="64">
        <v>40.450000000000003</v>
      </c>
      <c r="E56" s="64">
        <v>28.29</v>
      </c>
      <c r="F56" s="45">
        <f t="shared" si="35"/>
        <v>80.013000000000005</v>
      </c>
      <c r="G56" s="44">
        <v>1</v>
      </c>
      <c r="H56" s="71"/>
      <c r="I56" s="70">
        <f>((((1013.25+$C56-'Set-up_Mano_Grav'!$S$5)/1013.25)*($D56/100)*(($F56+1.5)/1000)/(0.08206*(273.15+'Set-up_Mano_Grav'!$P$3)))-(((1013.25-'Set-up_Mano_Grav'!$S$5)/1013.25)*($D55/100)*($F56/1000)/(0.08206*(273.15+'Set-up_Mano_Grav'!$P$3))))*'Set-up_Mano_Grav'!$R$5</f>
        <v>6.6964158527557816</v>
      </c>
      <c r="J56" s="72">
        <f t="shared" si="41"/>
        <v>55.425984456195835</v>
      </c>
      <c r="K56" s="72">
        <f t="shared" si="36"/>
        <v>36.458818444812103</v>
      </c>
      <c r="L56" s="83"/>
      <c r="M56" s="60"/>
      <c r="N56" s="60"/>
      <c r="O56" s="38"/>
      <c r="P56" s="102"/>
      <c r="Q56" s="72">
        <f t="shared" si="37"/>
        <v>5.859027777776646</v>
      </c>
      <c r="R56" s="100">
        <v>183.16399999999999</v>
      </c>
      <c r="S56" s="100">
        <v>183.155</v>
      </c>
      <c r="T56" s="103">
        <f t="shared" si="39"/>
        <v>-1.2999999999863121E-3</v>
      </c>
      <c r="U56" s="105">
        <f t="shared" si="40"/>
        <v>8.9999999999861302E-3</v>
      </c>
      <c r="V56" s="38"/>
      <c r="AA56" s="69"/>
    </row>
    <row r="57" spans="1:27">
      <c r="A57" s="26">
        <f t="shared" si="34"/>
        <v>43423.36041666667</v>
      </c>
      <c r="B57" s="32">
        <f t="shared" si="34"/>
        <v>6.8395833333343035</v>
      </c>
      <c r="C57" s="68">
        <v>134</v>
      </c>
      <c r="D57" s="64">
        <v>42.77</v>
      </c>
      <c r="E57" s="64">
        <v>28.84</v>
      </c>
      <c r="F57" s="45">
        <f t="shared" si="35"/>
        <v>80.013000000000005</v>
      </c>
      <c r="G57" s="44">
        <v>1</v>
      </c>
      <c r="H57" s="71"/>
      <c r="I57" s="70">
        <f>((((1013.25+$C57-'Set-up_Mano_Grav'!$S$5)/1013.25)*($D57/100)*(($F57+1.5)/1000)/(0.08206*(273.15+'Set-up_Mano_Grav'!$P$3)))-(((1013.25-'Set-up_Mano_Grav'!$S$5)/1013.25)*($D56/100)*($F57/1000)/(0.08206*(273.15+'Set-up_Mano_Grav'!$P$3))))*'Set-up_Mano_Grav'!$R$5</f>
        <v>6.3923099093066247</v>
      </c>
      <c r="J57" s="72">
        <f t="shared" si="41"/>
        <v>61.81829436550246</v>
      </c>
      <c r="K57" s="72">
        <f t="shared" si="36"/>
        <v>40.663634447865185</v>
      </c>
      <c r="L57" s="83"/>
      <c r="M57" s="60"/>
      <c r="N57" s="60"/>
      <c r="O57" s="38"/>
      <c r="P57" s="102"/>
      <c r="Q57" s="72">
        <f t="shared" si="37"/>
        <v>6.8395833333343035</v>
      </c>
      <c r="R57" s="100">
        <v>183.15190000000001</v>
      </c>
      <c r="S57" s="100">
        <v>183.14150000000001</v>
      </c>
      <c r="T57" s="103">
        <f>+S56-R57</f>
        <v>3.0999999999892225E-3</v>
      </c>
      <c r="U57" s="105">
        <f t="shared" si="40"/>
        <v>1.0400000000004184E-2</v>
      </c>
      <c r="V57" s="38"/>
      <c r="AA57" s="69"/>
    </row>
    <row r="58" spans="1:27">
      <c r="A58" s="26">
        <f t="shared" si="34"/>
        <v>43425.4375</v>
      </c>
      <c r="B58" s="32">
        <f t="shared" si="34"/>
        <v>8.9166666666642413</v>
      </c>
      <c r="C58" s="68">
        <v>206</v>
      </c>
      <c r="D58" s="64">
        <v>48.69</v>
      </c>
      <c r="E58" s="64">
        <v>29.61</v>
      </c>
      <c r="F58" s="45">
        <f t="shared" si="35"/>
        <v>80.013000000000005</v>
      </c>
      <c r="G58" s="44">
        <v>1</v>
      </c>
      <c r="H58" s="71"/>
      <c r="I58" s="70">
        <f>((((1013.25+$C58-'Set-up_Mano_Grav'!$S$5)/1013.25)*($D58/100)*(($F58+1.5)/1000)/(0.08206*(273.15+'Set-up_Mano_Grav'!$P$3)))-(((1013.25-'Set-up_Mano_Grav'!$S$5)/1013.25)*($D57/100)*($F58/1000)/(0.08206*(273.15+'Set-up_Mano_Grav'!$P$3))))*'Set-up_Mano_Grav'!$R$5</f>
        <v>12.144693962565032</v>
      </c>
      <c r="J58" s="72">
        <f t="shared" si="41"/>
        <v>73.962988328067496</v>
      </c>
      <c r="K58" s="72">
        <f t="shared" si="36"/>
        <v>48.652327776332854</v>
      </c>
      <c r="L58" s="83"/>
      <c r="M58" s="60"/>
      <c r="N58" s="60"/>
      <c r="O58" s="38"/>
      <c r="P58" s="102"/>
      <c r="Q58" s="72">
        <f t="shared" si="37"/>
        <v>8.9166666666642413</v>
      </c>
      <c r="R58" s="100">
        <v>183.1454</v>
      </c>
      <c r="S58" s="100">
        <v>183.12979999999999</v>
      </c>
      <c r="T58" s="103">
        <f t="shared" si="39"/>
        <v>-3.899999999987358E-3</v>
      </c>
      <c r="U58" s="105">
        <f t="shared" si="40"/>
        <v>1.5600000000006276E-2</v>
      </c>
      <c r="V58" s="38"/>
      <c r="AA58" s="69"/>
    </row>
    <row r="59" spans="1:27">
      <c r="A59" s="26">
        <f t="shared" si="34"/>
        <v>43427.399305555555</v>
      </c>
      <c r="B59" s="32">
        <f t="shared" si="34"/>
        <v>10.878472222218988</v>
      </c>
      <c r="C59" s="68">
        <v>182</v>
      </c>
      <c r="D59" s="64">
        <v>50.36</v>
      </c>
      <c r="E59" s="64">
        <v>29.16</v>
      </c>
      <c r="F59" s="45">
        <f t="shared" si="35"/>
        <v>80.013000000000005</v>
      </c>
      <c r="G59" s="44">
        <v>1</v>
      </c>
      <c r="H59" s="71"/>
      <c r="I59" s="70">
        <f>((((1013.25+$C59-'Set-up_Mano_Grav'!$S$5)/1013.25)*($D59/100)*(($F59+1.5)/1000)/(0.08206*(273.15+'Set-up_Mano_Grav'!$P$3)))-(((1013.25-'Set-up_Mano_Grav'!$S$5)/1013.25)*($D58/100)*($F59/1000)/(0.08206*(273.15+'Set-up_Mano_Grav'!$P$3))))*'Set-up_Mano_Grav'!$R$5</f>
        <v>8.559685679591718</v>
      </c>
      <c r="J59" s="72">
        <f t="shared" ref="J59" si="42">+I59+J58</f>
        <v>82.522674007659219</v>
      </c>
      <c r="K59" s="72">
        <f t="shared" si="36"/>
        <v>54.282828149015124</v>
      </c>
      <c r="L59" s="83"/>
      <c r="M59" s="60"/>
      <c r="N59" s="60"/>
      <c r="O59" s="38"/>
      <c r="P59" s="102"/>
      <c r="Q59" s="72">
        <f t="shared" si="37"/>
        <v>10.878472222218988</v>
      </c>
      <c r="R59" s="100">
        <v>183.13159999999999</v>
      </c>
      <c r="S59" s="100">
        <v>183.1208</v>
      </c>
      <c r="T59" s="103">
        <f t="shared" si="39"/>
        <v>-1.8000000000029104E-3</v>
      </c>
      <c r="U59" s="105">
        <f t="shared" si="40"/>
        <v>1.0799999999989041E-2</v>
      </c>
      <c r="V59" s="38"/>
      <c r="AA59" s="69"/>
    </row>
    <row r="60" spans="1:27">
      <c r="A60" s="26">
        <f t="shared" si="34"/>
        <v>43429.645833333336</v>
      </c>
      <c r="B60" s="32">
        <f t="shared" si="34"/>
        <v>13.125</v>
      </c>
      <c r="C60" s="68">
        <v>190</v>
      </c>
      <c r="D60" s="64">
        <v>52.35</v>
      </c>
      <c r="E60" s="64">
        <v>29.82</v>
      </c>
      <c r="F60" s="45">
        <f t="shared" si="35"/>
        <v>80.013000000000005</v>
      </c>
      <c r="G60" s="44">
        <v>1</v>
      </c>
      <c r="H60" s="71"/>
      <c r="I60" s="70">
        <f>((((1013.25+$C60-'Set-up_Mano_Grav'!$S$5)/1013.25)*($D60/100)*(($F60+1.5)/1000)/(0.08206*(273.15+'Set-up_Mano_Grav'!$P$3)))-(((1013.25-'Set-up_Mano_Grav'!$S$5)/1013.25)*($D59/100)*($F60/1000)/(0.08206*(273.15+'Set-up_Mano_Grav'!$P$3))))*'Set-up_Mano_Grav'!$R$5</f>
        <v>9.3831385735237021</v>
      </c>
      <c r="J60" s="72">
        <f t="shared" ref="J60" si="43">+I60+J59</f>
        <v>91.905812581182914</v>
      </c>
      <c r="K60" s="72">
        <f t="shared" si="36"/>
        <v>60.454989979807323</v>
      </c>
      <c r="L60" s="83"/>
      <c r="M60" s="60"/>
      <c r="N60" s="60"/>
      <c r="O60" s="38"/>
      <c r="P60" s="102"/>
      <c r="Q60" s="72">
        <f t="shared" si="37"/>
        <v>13.125</v>
      </c>
      <c r="R60" s="100">
        <v>183.11969999999999</v>
      </c>
      <c r="S60" s="100">
        <v>183.1045</v>
      </c>
      <c r="T60" s="103">
        <f t="shared" si="39"/>
        <v>1.1000000000080945E-3</v>
      </c>
      <c r="U60" s="105">
        <f t="shared" si="40"/>
        <v>1.5199999999992997E-2</v>
      </c>
      <c r="V60" s="38"/>
      <c r="AA60" s="69"/>
    </row>
    <row r="61" spans="1:27">
      <c r="A61" s="26">
        <f t="shared" ref="A61:B61" si="44">+A19</f>
        <v>43432.375</v>
      </c>
      <c r="B61" s="32">
        <f t="shared" si="44"/>
        <v>15.854166666664241</v>
      </c>
      <c r="C61" s="68">
        <v>180</v>
      </c>
      <c r="D61" s="64">
        <f>52.32*1.0399</f>
        <v>54.407568000000005</v>
      </c>
      <c r="E61" s="64">
        <f>29.71*1.0312</f>
        <v>30.636951999999997</v>
      </c>
      <c r="F61" s="45">
        <f t="shared" si="35"/>
        <v>80.013000000000005</v>
      </c>
      <c r="G61" s="44">
        <v>1</v>
      </c>
      <c r="H61" s="71"/>
      <c r="I61" s="70">
        <f>((((1013.25+$C61-'Set-up_Mano_Grav'!$S$5)/1013.25)*($D61/100)*(($F61+1.5)/1000)/(0.08206*(273.15+'Set-up_Mano_Grav'!$P$3)))-(((1013.25-'Set-up_Mano_Grav'!$S$5)/1013.25)*($D60/100)*($F61/1000)/(0.08206*(273.15+'Set-up_Mano_Grav'!$P$3))))*'Set-up_Mano_Grav'!$R$5</f>
        <v>9.3448849789408772</v>
      </c>
      <c r="J61" s="72">
        <f t="shared" ref="J61:J62" si="45">+I61+J60</f>
        <v>101.2506975601238</v>
      </c>
      <c r="K61" s="72">
        <f t="shared" si="36"/>
        <v>66.601988868101699</v>
      </c>
      <c r="L61" s="83"/>
      <c r="M61" s="60"/>
      <c r="N61" s="60"/>
      <c r="O61" s="38"/>
      <c r="P61" s="102"/>
      <c r="Q61" s="72">
        <f t="shared" si="37"/>
        <v>15.854166666664241</v>
      </c>
      <c r="R61" s="100">
        <v>183.102</v>
      </c>
      <c r="S61" s="100">
        <v>183.0891</v>
      </c>
      <c r="T61" s="103">
        <f t="shared" si="39"/>
        <v>2.4999999999977263E-3</v>
      </c>
      <c r="U61" s="105">
        <f t="shared" si="40"/>
        <v>1.290000000000191E-2</v>
      </c>
      <c r="V61" s="38"/>
      <c r="AA61" s="69"/>
    </row>
    <row r="62" spans="1:27">
      <c r="A62" s="26">
        <f t="shared" ref="A62:B64" si="46">+A20</f>
        <v>43435.430555555555</v>
      </c>
      <c r="B62" s="32">
        <f t="shared" si="46"/>
        <v>18.909722222218988</v>
      </c>
      <c r="C62" s="68">
        <v>182</v>
      </c>
      <c r="D62" s="64">
        <v>55.46</v>
      </c>
      <c r="E62" s="64">
        <v>30.39</v>
      </c>
      <c r="F62" s="45">
        <f t="shared" si="35"/>
        <v>80.013000000000005</v>
      </c>
      <c r="G62" s="44">
        <v>1</v>
      </c>
      <c r="H62" s="71"/>
      <c r="I62" s="70">
        <f>((((1013.25+$C62-'Set-up_Mano_Grav'!$S$5)/1013.25)*($D62/100)*(($F62+1.5)/1000)/(0.08206*(273.15+'Set-up_Mano_Grav'!$P$3)))-(((1013.25-'Set-up_Mano_Grav'!$S$5)/1013.25)*($D61/100)*($F62/1000)/(0.08206*(273.15+'Set-up_Mano_Grav'!$P$3))))*'Set-up_Mano_Grav'!$R$5</f>
        <v>8.8764288175119006</v>
      </c>
      <c r="J62" s="72">
        <f t="shared" si="45"/>
        <v>110.1271263776357</v>
      </c>
      <c r="K62" s="72">
        <f t="shared" si="36"/>
        <v>72.44084062456858</v>
      </c>
      <c r="L62" s="83"/>
      <c r="M62" s="60"/>
      <c r="N62" s="60"/>
      <c r="O62" s="38"/>
      <c r="P62" s="102"/>
      <c r="Q62" s="72">
        <f t="shared" si="37"/>
        <v>18.909722222218988</v>
      </c>
      <c r="R62" s="100">
        <v>183.0873</v>
      </c>
      <c r="S62" s="100">
        <v>183.0746</v>
      </c>
      <c r="T62" s="103">
        <f t="shared" si="39"/>
        <v>1.8000000000029104E-3</v>
      </c>
      <c r="U62" s="105">
        <f t="shared" si="40"/>
        <v>1.2699999999995271E-2</v>
      </c>
      <c r="V62" s="38"/>
      <c r="AA62" s="69"/>
    </row>
    <row r="63" spans="1:27">
      <c r="A63" s="26">
        <f t="shared" si="46"/>
        <v>43439.381944444445</v>
      </c>
      <c r="B63" s="32">
        <f t="shared" si="46"/>
        <v>22.861111111109494</v>
      </c>
      <c r="C63" s="68">
        <v>188</v>
      </c>
      <c r="D63" s="64">
        <v>57.55</v>
      </c>
      <c r="E63" s="64">
        <v>31.26</v>
      </c>
      <c r="F63" s="45">
        <f t="shared" si="35"/>
        <v>80.013000000000005</v>
      </c>
      <c r="G63" s="44">
        <v>1</v>
      </c>
      <c r="H63" s="71"/>
      <c r="I63" s="70">
        <f>((((1013.25+$C63-'Set-up_Mano_Grav'!$S$5)/1013.25)*($D63/100)*(($F63+1.5)/1000)/(0.08206*(273.15+'Set-up_Mano_Grav'!$P$3)))-(((1013.25-'Set-up_Mano_Grav'!$S$5)/1013.25)*($D62/100)*($F63/1000)/(0.08206*(273.15+'Set-up_Mano_Grav'!$P$3))))*'Set-up_Mano_Grav'!$R$5</f>
        <v>10.162345576708818</v>
      </c>
      <c r="J63" s="72">
        <f t="shared" ref="J63:J64" si="47">+I63+J62</f>
        <v>120.28947195434452</v>
      </c>
      <c r="K63" s="72">
        <f t="shared" si="36"/>
        <v>79.125559281167</v>
      </c>
      <c r="L63" s="83"/>
      <c r="M63" s="60"/>
      <c r="N63" s="60"/>
      <c r="O63" s="38"/>
      <c r="P63" s="101"/>
      <c r="Q63" s="72">
        <f t="shared" si="37"/>
        <v>22.861111111109494</v>
      </c>
      <c r="R63" s="100">
        <v>183.06960000000001</v>
      </c>
      <c r="S63" s="100">
        <v>183.05619999999999</v>
      </c>
      <c r="T63" s="103">
        <f t="shared" si="39"/>
        <v>4.9999999999954525E-3</v>
      </c>
      <c r="U63" s="105">
        <f t="shared" si="40"/>
        <v>1.3400000000018508E-2</v>
      </c>
      <c r="V63" s="38"/>
      <c r="AA63" s="69"/>
    </row>
    <row r="64" spans="1:27">
      <c r="A64" s="26">
        <f t="shared" si="46"/>
        <v>43443.666666666664</v>
      </c>
      <c r="B64" s="32">
        <f t="shared" si="46"/>
        <v>27.145833333328483</v>
      </c>
      <c r="C64" s="68">
        <v>198</v>
      </c>
      <c r="D64" s="64">
        <v>59.07</v>
      </c>
      <c r="E64" s="64">
        <v>31.43</v>
      </c>
      <c r="F64" s="45">
        <f t="shared" si="35"/>
        <v>80.013000000000005</v>
      </c>
      <c r="G64" s="44">
        <v>1</v>
      </c>
      <c r="H64" s="71"/>
      <c r="I64" s="70">
        <f>((((1013.25+$C64-'Set-up_Mano_Grav'!$S$5)/1013.25)*($D64/100)*(($F64+1.5)/1000)/(0.08206*(273.15+'Set-up_Mano_Grav'!$P$3)))-(((1013.25-'Set-up_Mano_Grav'!$S$5)/1013.25)*($D63/100)*($F64/1000)/(0.08206*(273.15+'Set-up_Mano_Grav'!$P$3))))*'Set-up_Mano_Grav'!$R$5</f>
        <v>10.427419685517588</v>
      </c>
      <c r="J64" s="72">
        <f t="shared" si="47"/>
        <v>130.7168916398621</v>
      </c>
      <c r="K64" s="72">
        <f t="shared" si="36"/>
        <v>85.984641801615538</v>
      </c>
      <c r="L64" s="83"/>
      <c r="M64" s="60"/>
      <c r="N64" s="60"/>
      <c r="O64" s="38"/>
      <c r="P64" s="101"/>
      <c r="Q64" s="72">
        <f t="shared" si="37"/>
        <v>27.145833333328483</v>
      </c>
      <c r="R64" s="100">
        <v>183.0548</v>
      </c>
      <c r="S64" s="100">
        <v>183.04</v>
      </c>
      <c r="T64" s="103">
        <f t="shared" si="39"/>
        <v>1.3999999999896318E-3</v>
      </c>
      <c r="U64" s="105">
        <f t="shared" si="40"/>
        <v>1.480000000000814E-2</v>
      </c>
      <c r="V64" s="38"/>
      <c r="AA64" s="69"/>
    </row>
    <row r="65" spans="1:27">
      <c r="A65" s="26"/>
      <c r="B65" s="32"/>
      <c r="C65" s="68"/>
      <c r="D65" s="64"/>
      <c r="E65" s="64"/>
      <c r="F65" s="45"/>
      <c r="G65" s="44"/>
      <c r="H65" s="71"/>
      <c r="I65" s="70"/>
      <c r="J65" s="72"/>
      <c r="K65" s="72"/>
      <c r="L65" s="83"/>
      <c r="M65" s="60"/>
      <c r="N65" s="60"/>
      <c r="O65" s="60"/>
      <c r="P65" s="57"/>
      <c r="Q65" s="72"/>
      <c r="R65" s="100"/>
      <c r="S65" s="100"/>
      <c r="T65" s="103"/>
      <c r="U65" s="99"/>
      <c r="AA65" s="69"/>
    </row>
    <row r="66" spans="1:27">
      <c r="A66" s="26"/>
      <c r="B66" s="32"/>
      <c r="C66" s="68"/>
      <c r="D66" s="64"/>
      <c r="E66" s="64"/>
      <c r="F66" s="45"/>
      <c r="G66" s="44"/>
      <c r="H66" s="71"/>
      <c r="I66" s="70"/>
      <c r="J66" s="72"/>
      <c r="K66" s="72"/>
      <c r="L66" s="83"/>
      <c r="M66" s="69"/>
      <c r="N66" s="69"/>
      <c r="O66" s="69"/>
      <c r="P66" s="57"/>
      <c r="Q66" s="72"/>
      <c r="R66" s="100"/>
      <c r="S66" s="100"/>
      <c r="T66" s="103"/>
      <c r="U66" s="99"/>
      <c r="AA66" s="69"/>
    </row>
    <row r="67" spans="1:27">
      <c r="A67" s="26"/>
      <c r="B67" s="32"/>
      <c r="C67" s="68"/>
      <c r="D67" s="64"/>
      <c r="E67" s="64"/>
      <c r="F67" s="45"/>
      <c r="G67" s="44"/>
      <c r="H67" s="71"/>
      <c r="I67" s="70"/>
      <c r="J67" s="72"/>
      <c r="K67" s="72"/>
      <c r="L67" s="83"/>
      <c r="M67" s="69"/>
      <c r="N67" s="69"/>
      <c r="O67" s="69"/>
      <c r="P67" s="57"/>
      <c r="Q67" s="72"/>
      <c r="R67" s="100"/>
      <c r="S67" s="100"/>
      <c r="T67" s="103"/>
      <c r="U67" s="99"/>
      <c r="W67" s="100"/>
      <c r="AA67" s="69"/>
    </row>
    <row r="68" spans="1:27">
      <c r="T68" s="100"/>
      <c r="U68" s="100"/>
      <c r="AA68" s="69"/>
    </row>
    <row r="69" spans="1:27">
      <c r="AA69" s="69"/>
    </row>
    <row r="70" spans="1:27">
      <c r="AA70" s="69"/>
    </row>
    <row r="71" spans="1:27">
      <c r="AA71" s="69"/>
    </row>
    <row r="72" spans="1:27">
      <c r="AA72" s="69"/>
    </row>
    <row r="73" spans="1:27">
      <c r="AA73" s="69"/>
    </row>
    <row r="74" spans="1:27">
      <c r="AA74" s="69"/>
    </row>
    <row r="75" spans="1:27">
      <c r="AA75" s="69"/>
    </row>
  </sheetData>
  <sortState ref="Y52:Z70">
    <sortCondition ref="Y52:Y70"/>
  </sortState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79998168889431442"/>
  </sheetPr>
  <dimension ref="A1:AK69"/>
  <sheetViews>
    <sheetView tabSelected="1" zoomScale="70" zoomScaleNormal="70" workbookViewId="0">
      <pane xSplit="1" ySplit="6" topLeftCell="B43" activePane="bottomRight" state="frozen"/>
      <selection pane="topRight" activeCell="B1" sqref="B1"/>
      <selection pane="bottomLeft" activeCell="A7" sqref="A7"/>
      <selection pane="bottomRight" activeCell="D62" sqref="D62"/>
    </sheetView>
  </sheetViews>
  <sheetFormatPr defaultColWidth="9.140625" defaultRowHeight="15"/>
  <cols>
    <col min="1" max="1" width="19.140625" style="69" customWidth="1"/>
    <col min="2" max="2" width="16.85546875" style="69" bestFit="1" customWidth="1"/>
    <col min="3" max="3" width="14.28515625" style="69" customWidth="1"/>
    <col min="4" max="4" width="15.85546875" style="69" bestFit="1" customWidth="1"/>
    <col min="5" max="5" width="15.85546875" style="69" customWidth="1"/>
    <col min="6" max="6" width="15.140625" style="69" bestFit="1" customWidth="1"/>
    <col min="7" max="7" width="16.42578125" style="69" customWidth="1"/>
    <col min="8" max="8" width="15.85546875" style="69" customWidth="1"/>
    <col min="9" max="9" width="21.85546875" style="69" bestFit="1" customWidth="1"/>
    <col min="10" max="10" width="18.28515625" style="69" bestFit="1" customWidth="1"/>
    <col min="11" max="11" width="17.85546875" style="69" customWidth="1"/>
    <col min="12" max="12" width="20.7109375" style="69" customWidth="1"/>
    <col min="13" max="13" width="8.140625" style="69" bestFit="1" customWidth="1"/>
    <col min="14" max="14" width="12.140625" style="69" customWidth="1"/>
    <col min="15" max="15" width="9.140625" style="69"/>
    <col min="16" max="16" width="4.42578125" style="69" customWidth="1"/>
    <col min="17" max="17" width="12.5703125" style="69" customWidth="1"/>
    <col min="18" max="19" width="11.140625" style="69" bestFit="1" customWidth="1"/>
    <col min="20" max="20" width="12.85546875" style="69" customWidth="1"/>
    <col min="21" max="21" width="16.7109375" style="69" customWidth="1"/>
    <col min="22" max="16384" width="9.140625" style="69"/>
  </cols>
  <sheetData>
    <row r="1" spans="1:37">
      <c r="A1" s="3"/>
      <c r="B1" s="3" t="s">
        <v>15</v>
      </c>
      <c r="C1" s="3" t="s">
        <v>41</v>
      </c>
      <c r="D1" s="3" t="s">
        <v>40</v>
      </c>
      <c r="E1" s="3" t="s">
        <v>16</v>
      </c>
      <c r="F1" s="3" t="s">
        <v>17</v>
      </c>
      <c r="G1" s="3"/>
      <c r="H1" s="3" t="s">
        <v>18</v>
      </c>
      <c r="I1" s="3" t="s">
        <v>19</v>
      </c>
      <c r="K1" s="35"/>
      <c r="L1" s="35"/>
    </row>
    <row r="2" spans="1:37">
      <c r="A2" s="59" t="str">
        <f>+'Set-up_Mano_Grav'!B25</f>
        <v>CEL</v>
      </c>
      <c r="B2" s="97">
        <f>+'Set-up_Mano_Grav'!C25</f>
        <v>80.037000000000006</v>
      </c>
      <c r="C2" s="97">
        <f>+'Set-up_Mano_Grav'!D25</f>
        <v>0</v>
      </c>
      <c r="D2" s="97">
        <f>+'Set-up_Mano_Grav'!E25</f>
        <v>0.8518</v>
      </c>
      <c r="E2" s="97">
        <f>+'Set-up_Mano_Grav'!F25</f>
        <v>80.888800000000003</v>
      </c>
      <c r="F2" s="97">
        <f>+'Set-up_Mano_Grav'!G25</f>
        <v>79.111199999999997</v>
      </c>
      <c r="G2" s="97"/>
      <c r="H2" s="97">
        <f>+'Set-up_Mano_Grav'!I25</f>
        <v>0.82963204063480489</v>
      </c>
      <c r="I2" s="97">
        <f>+'Set-up_Mano_Grav'!J25</f>
        <v>1.5211856470485581</v>
      </c>
      <c r="K2" s="39"/>
      <c r="L2" s="74"/>
    </row>
    <row r="3" spans="1:37">
      <c r="A3" s="59" t="str">
        <f>+'Set-up_Mano_Grav'!B26</f>
        <v>CEL</v>
      </c>
      <c r="B3" s="97">
        <f>+'Set-up_Mano_Grav'!C26</f>
        <v>80.013000000000005</v>
      </c>
      <c r="C3" s="97">
        <f>+'Set-up_Mano_Grav'!D26</f>
        <v>0</v>
      </c>
      <c r="D3" s="97">
        <f>+'Set-up_Mano_Grav'!E26</f>
        <v>0.85299999999999998</v>
      </c>
      <c r="E3" s="97">
        <f>+'Set-up_Mano_Grav'!F26</f>
        <v>80.866</v>
      </c>
      <c r="F3" s="97">
        <f>+'Set-up_Mano_Grav'!G26</f>
        <v>79.134</v>
      </c>
      <c r="G3" s="97"/>
      <c r="H3" s="97">
        <f>+'Set-up_Mano_Grav'!I26</f>
        <v>0.83080081082588475</v>
      </c>
      <c r="I3" s="97">
        <f>+'Set-up_Mano_Grav'!J26</f>
        <v>1.5207295023213798</v>
      </c>
      <c r="K3" s="39"/>
    </row>
    <row r="4" spans="1:37">
      <c r="A4" s="59" t="str">
        <f>+'Set-up_Mano_Grav'!B27</f>
        <v>CEL</v>
      </c>
      <c r="B4" s="97">
        <f>+'Set-up_Mano_Grav'!C27</f>
        <v>80.025000000000006</v>
      </c>
      <c r="C4" s="97">
        <f>+'Set-up_Mano_Grav'!D27</f>
        <v>0</v>
      </c>
      <c r="D4" s="97">
        <f>+'Set-up_Mano_Grav'!E27</f>
        <v>0.85270000000000001</v>
      </c>
      <c r="E4" s="97">
        <f>+'Set-up_Mano_Grav'!F27</f>
        <v>80.877700000000004</v>
      </c>
      <c r="F4" s="97">
        <f>+'Set-up_Mano_Grav'!G27</f>
        <v>79.122299999999996</v>
      </c>
      <c r="G4" s="97"/>
      <c r="H4" s="97">
        <f>+'Set-up_Mano_Grav'!I27</f>
        <v>0.83050861827811473</v>
      </c>
      <c r="I4" s="97">
        <f>+'Set-up_Mano_Grav'!J27</f>
        <v>1.5209575746849691</v>
      </c>
      <c r="K4" s="39"/>
    </row>
    <row r="6" spans="1:37" ht="84.75" customHeight="1">
      <c r="A6" s="28" t="s">
        <v>0</v>
      </c>
      <c r="B6" s="36" t="s">
        <v>22</v>
      </c>
      <c r="C6" s="27" t="s">
        <v>31</v>
      </c>
      <c r="D6" s="28" t="s">
        <v>23</v>
      </c>
      <c r="E6" s="28" t="s">
        <v>48</v>
      </c>
      <c r="F6" s="36" t="s">
        <v>24</v>
      </c>
      <c r="G6" s="27" t="s">
        <v>25</v>
      </c>
      <c r="H6" s="29"/>
      <c r="I6" s="36" t="s">
        <v>36</v>
      </c>
      <c r="J6" s="36" t="s">
        <v>33</v>
      </c>
      <c r="K6" s="75" t="s">
        <v>32</v>
      </c>
      <c r="L6" s="36" t="s">
        <v>34</v>
      </c>
      <c r="N6" s="36" t="s">
        <v>37</v>
      </c>
      <c r="O6" s="36" t="s">
        <v>27</v>
      </c>
      <c r="P6" s="57"/>
      <c r="Q6" s="36" t="s">
        <v>45</v>
      </c>
      <c r="R6" s="36" t="s">
        <v>43</v>
      </c>
      <c r="S6" s="36" t="s">
        <v>44</v>
      </c>
      <c r="T6" s="36" t="s">
        <v>46</v>
      </c>
      <c r="U6" s="36" t="s">
        <v>47</v>
      </c>
    </row>
    <row r="7" spans="1:37">
      <c r="A7" s="23" t="s">
        <v>28</v>
      </c>
      <c r="B7" s="31"/>
      <c r="C7" s="22"/>
      <c r="D7" s="22"/>
      <c r="E7" s="22"/>
      <c r="F7" s="22"/>
      <c r="G7" s="22"/>
      <c r="H7" s="22"/>
      <c r="I7" s="22"/>
      <c r="J7" s="22"/>
      <c r="K7" s="22"/>
      <c r="L7" s="22"/>
      <c r="P7" s="57"/>
    </row>
    <row r="8" spans="1:37">
      <c r="A8" s="30">
        <f>+Blank!A8</f>
        <v>43416.520833333336</v>
      </c>
      <c r="B8" s="32">
        <v>0</v>
      </c>
      <c r="C8" s="71">
        <v>0</v>
      </c>
      <c r="D8" s="71">
        <v>0</v>
      </c>
      <c r="E8" s="71">
        <v>0</v>
      </c>
      <c r="F8" s="45">
        <f t="shared" ref="F8:F22" si="0">+$F$2</f>
        <v>79.111199999999997</v>
      </c>
      <c r="G8" s="1">
        <v>1</v>
      </c>
      <c r="I8" s="70">
        <f>((((1013.25+$C8-'Set-up_Mano_Grav'!$S$5)/1013.25)*($D8/100)*(($F8+1.5)/1000)/(0.08206*(273.15+'Set-up_Mano_Grav'!$P$3)))-(((1013.25-'Set-up_Mano_Grav'!$S$5)/1013.25)*($D7/100)*($F8/1000)/(0.08206*(273.15+'Set-up_Mano_Grav'!$P$3))))*'Set-up_Mano_Grav'!$R$5</f>
        <v>0</v>
      </c>
      <c r="J8" s="72">
        <v>0</v>
      </c>
      <c r="K8" s="72">
        <f>+Blank!M8</f>
        <v>0</v>
      </c>
      <c r="L8" s="72">
        <v>0</v>
      </c>
      <c r="N8" s="34">
        <f t="shared" ref="N8:N22" si="1">AVERAGE(L8,L29,L50)</f>
        <v>0</v>
      </c>
      <c r="O8" s="72">
        <f t="shared" ref="O8:O22" si="2">+_xlfn.STDEV.S(L8,L29,L50)</f>
        <v>0</v>
      </c>
      <c r="P8" s="57"/>
      <c r="Q8" s="72">
        <f>+B8</f>
        <v>0</v>
      </c>
      <c r="R8" s="71"/>
      <c r="S8" s="71">
        <v>184.6046</v>
      </c>
    </row>
    <row r="9" spans="1:37">
      <c r="A9" s="30">
        <f>+Blank!A9</f>
        <v>43417.361111111109</v>
      </c>
      <c r="B9" s="32">
        <f>(IF(A9&lt;A8,"",A9-A8+B8))</f>
        <v>0.84027777777373558</v>
      </c>
      <c r="C9" s="86">
        <v>366</v>
      </c>
      <c r="D9" s="48">
        <v>12.17</v>
      </c>
      <c r="E9" s="48">
        <v>22.61</v>
      </c>
      <c r="F9" s="45">
        <f t="shared" si="0"/>
        <v>79.111199999999997</v>
      </c>
      <c r="G9" s="44">
        <v>1</v>
      </c>
      <c r="I9" s="70">
        <f>((((1013.25+$C9-'Set-up_Mano_Grav'!$S$5)/1013.25)*($D9/100)*(($F9+1.5)/1000)/(0.08206*(273.15+'Set-up_Mano_Grav'!$P$3)))-(((1013.25-'Set-up_Mano_Grav'!$S$5)/1013.25)*($D8/100)*($F9/1000)/(0.08206*(273.15+'Set-up_Mano_Grav'!$P$3))))*'Set-up_Mano_Grav'!$R$5</f>
        <v>11.808926389311097</v>
      </c>
      <c r="J9" s="72">
        <f>+J8+I9</f>
        <v>11.808926389311097</v>
      </c>
      <c r="K9" s="72">
        <f>+Blank!M9</f>
        <v>7.499793660141445</v>
      </c>
      <c r="L9" s="72">
        <f t="shared" ref="L9:L22" si="3">+(J9-(K9*$I$2))/$H$2</f>
        <v>0.48256081982058852</v>
      </c>
      <c r="N9" s="34">
        <f t="shared" si="1"/>
        <v>1.0406391884311841</v>
      </c>
      <c r="O9" s="72">
        <f t="shared" si="2"/>
        <v>0.52723438842337944</v>
      </c>
      <c r="P9" s="57"/>
      <c r="Q9" s="72">
        <f t="shared" ref="Q9:Q22" si="4">+B9</f>
        <v>0.84027777777373558</v>
      </c>
      <c r="R9" s="71">
        <v>184.60390000000001</v>
      </c>
      <c r="S9" s="71">
        <v>184.57050000000001</v>
      </c>
      <c r="T9" s="103">
        <f>+S8-R9</f>
        <v>6.9999999999481588E-4</v>
      </c>
      <c r="U9" s="99">
        <f>+R9-S9</f>
        <v>3.3400000000000318E-2</v>
      </c>
    </row>
    <row r="10" spans="1:37">
      <c r="A10" s="30">
        <f>+Blank!A10</f>
        <v>43418.364583333336</v>
      </c>
      <c r="B10" s="32">
        <f t="shared" ref="B10:B22" si="5">(IF(A10&lt;A9,"",A10-A9+B9))</f>
        <v>1.84375</v>
      </c>
      <c r="C10" s="67">
        <v>614</v>
      </c>
      <c r="D10" s="73">
        <v>29.38</v>
      </c>
      <c r="E10" s="73">
        <v>28.16</v>
      </c>
      <c r="F10" s="45">
        <f t="shared" si="0"/>
        <v>79.111199999999997</v>
      </c>
      <c r="G10" s="44">
        <v>1</v>
      </c>
      <c r="I10" s="70">
        <f>((((1013.25+$C10-'Set-up_Mano_Grav'!$S$5)/1013.25)*($D10/100)*(($F10+1.5)/1000)/(0.08206*(273.15+'Set-up_Mano_Grav'!$P$3)))-(((1013.25-'Set-up_Mano_Grav'!$S$5)/1013.25)*($D9/100)*($F10/1000)/(0.08206*(273.15+'Set-up_Mano_Grav'!$P$3))))*'Set-up_Mano_Grav'!$R$5</f>
        <v>25.386478219164676</v>
      </c>
      <c r="J10" s="72">
        <f t="shared" ref="J10:J22" si="6">+J9+I10</f>
        <v>37.195404608475769</v>
      </c>
      <c r="K10" s="72">
        <f>+Blank!M10</f>
        <v>15.095341000313356</v>
      </c>
      <c r="L10" s="72">
        <f t="shared" si="3"/>
        <v>17.155302404431247</v>
      </c>
      <c r="N10" s="34">
        <f t="shared" si="1"/>
        <v>17.705471059899281</v>
      </c>
      <c r="O10" s="72">
        <f t="shared" si="2"/>
        <v>1.1717953580818736</v>
      </c>
      <c r="P10" s="57"/>
      <c r="Q10" s="72">
        <f t="shared" si="4"/>
        <v>1.84375</v>
      </c>
      <c r="R10" s="71">
        <v>184.57130000000001</v>
      </c>
      <c r="S10" s="71">
        <v>184.5138</v>
      </c>
      <c r="T10" s="103">
        <f>+S9-R10</f>
        <v>-7.9999999999813554E-4</v>
      </c>
      <c r="U10" s="99">
        <f t="shared" ref="U10:U22" si="7">+R10-S10</f>
        <v>5.7500000000004547E-2</v>
      </c>
    </row>
    <row r="11" spans="1:37">
      <c r="A11" s="30">
        <f>+Blank!A11</f>
        <v>43419.371527777781</v>
      </c>
      <c r="B11" s="32">
        <f>(IF(A11&lt;A10,"",A11-A10+B10))</f>
        <v>2.8506944444452529</v>
      </c>
      <c r="C11" s="67">
        <v>1862</v>
      </c>
      <c r="D11" s="73">
        <v>45.54</v>
      </c>
      <c r="E11" s="73">
        <v>37.35</v>
      </c>
      <c r="F11" s="45">
        <f t="shared" si="0"/>
        <v>79.111199999999997</v>
      </c>
      <c r="G11" s="78">
        <v>1</v>
      </c>
      <c r="H11" s="79"/>
      <c r="I11" s="70">
        <f>((((1013.25+$C11-'Set-up_Mano_Grav'!$S$5)/1013.25)*($D11/100)*(($F11+1.5)/1000)/(0.08206*(273.15+'Set-up_Mano_Grav'!$P$3)))-(((1013.25-'Set-up_Mano_Grav'!$S$5)/1013.25)*($D10/100)*($F11/1000)/(0.08206*(273.15+'Set-up_Mano_Grav'!$P$3))))*'Set-up_Mano_Grav'!$R$5</f>
        <v>73.359933436063585</v>
      </c>
      <c r="J11" s="80">
        <f>+J10+I11</f>
        <v>110.55533804453935</v>
      </c>
      <c r="K11" s="80">
        <f>+Blank!M11</f>
        <v>21.415568499765985</v>
      </c>
      <c r="L11" s="72">
        <f t="shared" si="3"/>
        <v>93.991406792394258</v>
      </c>
      <c r="M11" s="79"/>
      <c r="N11" s="34">
        <f t="shared" si="1"/>
        <v>96.098039895550059</v>
      </c>
      <c r="O11" s="72">
        <f t="shared" si="2"/>
        <v>3.4989231195774484</v>
      </c>
      <c r="P11" s="57"/>
      <c r="Q11" s="72">
        <f t="shared" si="4"/>
        <v>2.8506944444452529</v>
      </c>
      <c r="R11" s="103">
        <v>184.5121</v>
      </c>
      <c r="S11" s="103">
        <v>184.3237</v>
      </c>
      <c r="T11" s="103">
        <f t="shared" ref="T11:T12" si="8">+S10-R11</f>
        <v>1.6999999999995907E-3</v>
      </c>
      <c r="U11" s="99">
        <f t="shared" si="7"/>
        <v>0.18840000000000146</v>
      </c>
    </row>
    <row r="12" spans="1:37">
      <c r="A12" s="30">
        <f>+Blank!A12</f>
        <v>43420.329861111109</v>
      </c>
      <c r="B12" s="32">
        <f t="shared" si="5"/>
        <v>3.8090277777737356</v>
      </c>
      <c r="C12" s="67">
        <v>2134</v>
      </c>
      <c r="D12" s="64">
        <v>47.39</v>
      </c>
      <c r="E12" s="64">
        <v>46.41</v>
      </c>
      <c r="F12" s="45">
        <f t="shared" si="0"/>
        <v>79.111199999999997</v>
      </c>
      <c r="G12" s="78">
        <v>1</v>
      </c>
      <c r="H12" s="79"/>
      <c r="I12" s="70">
        <f>((((1013.25+$C12-'Set-up_Mano_Grav'!$S$5)/1013.25)*($D12/100)*(($F12+1.5)/1000)/(0.08206*(273.15+'Set-up_Mano_Grav'!$P$3)))-(((1013.25-'Set-up_Mano_Grav'!$S$5)/1013.25)*($D11/100)*($F12/1000)/(0.08206*(273.15+'Set-up_Mano_Grav'!$P$3))))*'Set-up_Mano_Grav'!$R$5</f>
        <v>75.355088102883883</v>
      </c>
      <c r="J12" s="80">
        <f>+J11+I12</f>
        <v>185.91042614742324</v>
      </c>
      <c r="K12" s="80">
        <f>+Blank!M12</f>
        <v>26.980971434669375</v>
      </c>
      <c r="L12" s="72">
        <f t="shared" si="3"/>
        <v>174.61639927350163</v>
      </c>
      <c r="M12" s="79"/>
      <c r="N12" s="34">
        <f t="shared" si="1"/>
        <v>177.87325137246307</v>
      </c>
      <c r="O12" s="72">
        <f t="shared" si="2"/>
        <v>4.7324154682407755</v>
      </c>
      <c r="P12" s="57"/>
      <c r="Q12" s="72">
        <f t="shared" si="4"/>
        <v>3.8090277777737356</v>
      </c>
      <c r="R12" s="103">
        <v>184.32429999999999</v>
      </c>
      <c r="S12" s="103">
        <v>184.09399999999999</v>
      </c>
      <c r="T12" s="103">
        <f t="shared" si="8"/>
        <v>-5.9999999999149622E-4</v>
      </c>
      <c r="U12" s="99">
        <f t="shared" si="7"/>
        <v>0.23029999999999973</v>
      </c>
    </row>
    <row r="13" spans="1:37">
      <c r="A13" s="30">
        <f>+Blank!A13</f>
        <v>43421.381944444445</v>
      </c>
      <c r="B13" s="32">
        <f t="shared" si="5"/>
        <v>4.8611111111094942</v>
      </c>
      <c r="C13" s="68">
        <v>1538</v>
      </c>
      <c r="D13" s="64">
        <v>45.73</v>
      </c>
      <c r="E13" s="64">
        <v>50.79</v>
      </c>
      <c r="F13" s="45">
        <f t="shared" si="0"/>
        <v>79.111199999999997</v>
      </c>
      <c r="G13" s="78">
        <v>1</v>
      </c>
      <c r="H13" s="79"/>
      <c r="I13" s="70">
        <f>((((1013.25+$C13-'Set-up_Mano_Grav'!$S$5)/1013.25)*($D13/100)*(($F13+1.5)/1000)/(0.08206*(273.15+'Set-up_Mano_Grav'!$P$3)))-(((1013.25-'Set-up_Mano_Grav'!$S$5)/1013.25)*($D12/100)*($F13/1000)/(0.08206*(273.15+'Set-up_Mano_Grav'!$P$3))))*'Set-up_Mano_Grav'!$R$5</f>
        <v>50.537154405190222</v>
      </c>
      <c r="J13" s="80">
        <f t="shared" si="6"/>
        <v>236.44758055261346</v>
      </c>
      <c r="K13" s="80">
        <f>+Blank!M13</f>
        <v>31.601758649954835</v>
      </c>
      <c r="L13" s="72">
        <f t="shared" si="3"/>
        <v>227.05902092290381</v>
      </c>
      <c r="M13" s="79"/>
      <c r="N13" s="34">
        <f t="shared" si="1"/>
        <v>229.39518130494912</v>
      </c>
      <c r="O13" s="72">
        <f t="shared" si="2"/>
        <v>5.4633394817415688</v>
      </c>
      <c r="P13" s="57"/>
      <c r="Q13" s="72">
        <f t="shared" si="4"/>
        <v>4.8611111111094942</v>
      </c>
      <c r="R13" s="103">
        <v>184.09299999999999</v>
      </c>
      <c r="S13" s="103">
        <v>183.9256</v>
      </c>
      <c r="T13" s="103">
        <f>+S12-R13</f>
        <v>1.0000000000047748E-3</v>
      </c>
      <c r="U13" s="99">
        <f t="shared" si="7"/>
        <v>0.16739999999998645</v>
      </c>
    </row>
    <row r="14" spans="1:37">
      <c r="A14" s="30">
        <f>+Blank!A14</f>
        <v>43422.379861111112</v>
      </c>
      <c r="B14" s="32">
        <f t="shared" si="5"/>
        <v>5.859027777776646</v>
      </c>
      <c r="C14" s="68">
        <v>865</v>
      </c>
      <c r="D14" s="64">
        <v>44.66</v>
      </c>
      <c r="E14" s="64">
        <v>52.01</v>
      </c>
      <c r="F14" s="45">
        <f t="shared" si="0"/>
        <v>79.111199999999997</v>
      </c>
      <c r="G14" s="44">
        <v>1</v>
      </c>
      <c r="I14" s="70">
        <f>((((1013.25+$C14-'Set-up_Mano_Grav'!$S$5)/1013.25)*($D14/100)*(($F14+1.5)/1000)/(0.08206*(273.15+'Set-up_Mano_Grav'!$P$3)))-(((1013.25-'Set-up_Mano_Grav'!$S$5)/1013.25)*($D13/100)*($F14/1000)/(0.08206*(273.15+'Set-up_Mano_Grav'!$P$3))))*'Set-up_Mano_Grav'!$R$5</f>
        <v>27.904778599509928</v>
      </c>
      <c r="J14" s="72">
        <f t="shared" si="6"/>
        <v>264.35235915212337</v>
      </c>
      <c r="K14" s="72">
        <f>+Blank!M14</f>
        <v>35.740399764536022</v>
      </c>
      <c r="L14" s="72">
        <f t="shared" si="3"/>
        <v>253.10567302808218</v>
      </c>
      <c r="N14" s="34">
        <f t="shared" si="1"/>
        <v>254.78851741152573</v>
      </c>
      <c r="O14" s="72">
        <f t="shared" si="2"/>
        <v>6.0598375084276208</v>
      </c>
      <c r="P14" s="57"/>
      <c r="Q14" s="72">
        <f t="shared" si="4"/>
        <v>5.859027777776646</v>
      </c>
      <c r="R14" s="103">
        <v>183.9273</v>
      </c>
      <c r="S14" s="103">
        <v>183.83949999999999</v>
      </c>
      <c r="T14" s="103">
        <f t="shared" ref="T14:T22" si="9">+S13-R14</f>
        <v>-1.6999999999995907E-3</v>
      </c>
      <c r="U14" s="99">
        <f t="shared" si="7"/>
        <v>8.7800000000015643E-2</v>
      </c>
      <c r="AG14" s="82"/>
      <c r="AH14" s="82"/>
      <c r="AJ14" s="82"/>
      <c r="AK14" s="82"/>
    </row>
    <row r="15" spans="1:37">
      <c r="A15" s="30">
        <f>+Blank!A15</f>
        <v>43423.36041666667</v>
      </c>
      <c r="B15" s="32">
        <f t="shared" si="5"/>
        <v>6.8395833333343035</v>
      </c>
      <c r="C15" s="68">
        <v>578</v>
      </c>
      <c r="D15" s="64">
        <v>45.64</v>
      </c>
      <c r="E15" s="64">
        <v>50.25</v>
      </c>
      <c r="F15" s="45">
        <f t="shared" si="0"/>
        <v>79.111199999999997</v>
      </c>
      <c r="G15" s="44">
        <v>1</v>
      </c>
      <c r="I15" s="70">
        <f>((((1013.25+$C15-'Set-up_Mano_Grav'!$S$5)/1013.25)*($D15/100)*(($F15+1.5)/1000)/(0.08206*(273.15+'Set-up_Mano_Grav'!$P$3)))-(((1013.25-'Set-up_Mano_Grav'!$S$5)/1013.25)*($D14/100)*($F15/1000)/(0.08206*(273.15+'Set-up_Mano_Grav'!$P$3))))*'Set-up_Mano_Grav'!$R$5</f>
        <v>20.436600939754484</v>
      </c>
      <c r="J15" s="72">
        <f t="shared" si="6"/>
        <v>284.78896009187787</v>
      </c>
      <c r="K15" s="72">
        <f>+Blank!M15</f>
        <v>39.743257144749556</v>
      </c>
      <c r="L15" s="72">
        <f t="shared" si="3"/>
        <v>270.39949853512633</v>
      </c>
      <c r="N15" s="34">
        <f t="shared" si="1"/>
        <v>270.77200120892047</v>
      </c>
      <c r="O15" s="72">
        <f t="shared" si="2"/>
        <v>6.6756411512230303</v>
      </c>
      <c r="P15" s="57"/>
      <c r="Q15" s="72">
        <f t="shared" si="4"/>
        <v>6.8395833333343035</v>
      </c>
      <c r="R15" s="103">
        <v>183.8366</v>
      </c>
      <c r="S15" s="103">
        <v>183.78039999999999</v>
      </c>
      <c r="T15" s="103">
        <f t="shared" si="9"/>
        <v>2.8999999999825832E-3</v>
      </c>
      <c r="U15" s="99">
        <f t="shared" si="7"/>
        <v>5.6200000000018235E-2</v>
      </c>
      <c r="AG15" s="82"/>
      <c r="AH15" s="82"/>
      <c r="AJ15" s="82"/>
      <c r="AK15" s="82"/>
    </row>
    <row r="16" spans="1:37">
      <c r="A16" s="30">
        <f>+Blank!A16</f>
        <v>43425.4375</v>
      </c>
      <c r="B16" s="32">
        <f t="shared" si="5"/>
        <v>8.9166666666642413</v>
      </c>
      <c r="C16" s="68">
        <v>660</v>
      </c>
      <c r="D16" s="64">
        <v>52.51</v>
      </c>
      <c r="E16" s="64">
        <v>46.52</v>
      </c>
      <c r="F16" s="45">
        <f t="shared" si="0"/>
        <v>79.111199999999997</v>
      </c>
      <c r="G16" s="44">
        <v>1</v>
      </c>
      <c r="I16" s="70">
        <f>((((1013.25+$C16-'Set-up_Mano_Grav'!$S$5)/1013.25)*($D16/100)*(($F16+1.5)/1000)/(0.08206*(273.15+'Set-up_Mano_Grav'!$P$3)))-(((1013.25-'Set-up_Mano_Grav'!$S$5)/1013.25)*($D15/100)*($F16/1000)/(0.08206*(273.15+'Set-up_Mano_Grav'!$P$3))))*'Set-up_Mano_Grav'!$R$5</f>
        <v>30.610570395456847</v>
      </c>
      <c r="J16" s="72">
        <f t="shared" si="6"/>
        <v>315.39953048733469</v>
      </c>
      <c r="K16" s="72">
        <f>+Blank!M16</f>
        <v>47.149282401477649</v>
      </c>
      <c r="L16" s="72">
        <f t="shared" si="3"/>
        <v>293.71662001278901</v>
      </c>
      <c r="N16" s="34">
        <f t="shared" si="1"/>
        <v>294.73770953759725</v>
      </c>
      <c r="O16" s="72">
        <f t="shared" si="2"/>
        <v>7.801289693406086</v>
      </c>
      <c r="P16" s="57"/>
      <c r="Q16" s="72">
        <f t="shared" si="4"/>
        <v>8.9166666666642413</v>
      </c>
      <c r="R16" s="103">
        <v>183.78389999999999</v>
      </c>
      <c r="S16" s="103">
        <v>183.72149999999999</v>
      </c>
      <c r="T16" s="103">
        <f t="shared" si="9"/>
        <v>-3.5000000000025011E-3</v>
      </c>
      <c r="U16" s="99">
        <f t="shared" si="7"/>
        <v>6.239999999999668E-2</v>
      </c>
      <c r="AG16" s="82"/>
      <c r="AH16" s="82"/>
      <c r="AJ16" s="82"/>
      <c r="AK16" s="82"/>
    </row>
    <row r="17" spans="1:37">
      <c r="A17" s="30">
        <f>+Blank!A17</f>
        <v>43427.399305555555</v>
      </c>
      <c r="B17" s="32">
        <f t="shared" si="5"/>
        <v>10.878472222218988</v>
      </c>
      <c r="C17" s="68">
        <v>418</v>
      </c>
      <c r="D17" s="64">
        <v>53</v>
      </c>
      <c r="E17" s="64">
        <v>45.36</v>
      </c>
      <c r="F17" s="45">
        <f t="shared" si="0"/>
        <v>79.111199999999997</v>
      </c>
      <c r="G17" s="44">
        <v>1</v>
      </c>
      <c r="I17" s="70">
        <f>((((1013.25+$C17-'Set-up_Mano_Grav'!$S$5)/1013.25)*($D17/100)*(($F17+1.5)/1000)/(0.08206*(273.15+'Set-up_Mano_Grav'!$P$3)))-(((1013.25-'Set-up_Mano_Grav'!$S$5)/1013.25)*($D16/100)*($F17/1000)/(0.08206*(273.15+'Set-up_Mano_Grav'!$P$3))))*'Set-up_Mano_Grav'!$R$5</f>
        <v>17.124858355702635</v>
      </c>
      <c r="J17" s="72">
        <f t="shared" si="6"/>
        <v>332.52438884303734</v>
      </c>
      <c r="K17" s="72">
        <f>+Blank!M17</f>
        <v>52.748081713489995</v>
      </c>
      <c r="L17" s="72">
        <f t="shared" si="3"/>
        <v>304.092358629366</v>
      </c>
      <c r="N17" s="34">
        <f t="shared" si="1"/>
        <v>305.43858300313428</v>
      </c>
      <c r="O17" s="72">
        <f t="shared" si="2"/>
        <v>7.8531323930790684</v>
      </c>
      <c r="P17" s="57"/>
      <c r="Q17" s="72">
        <f t="shared" si="4"/>
        <v>10.878472222218988</v>
      </c>
      <c r="R17" s="103">
        <v>183.7236</v>
      </c>
      <c r="S17" s="103">
        <v>183.68530000000001</v>
      </c>
      <c r="T17" s="103">
        <f t="shared" si="9"/>
        <v>-2.1000000000128694E-3</v>
      </c>
      <c r="U17" s="99">
        <f t="shared" si="7"/>
        <v>3.8299999999992451E-2</v>
      </c>
      <c r="AG17" s="82"/>
      <c r="AH17" s="82"/>
      <c r="AJ17" s="82"/>
      <c r="AK17" s="82"/>
    </row>
    <row r="18" spans="1:37">
      <c r="A18" s="30">
        <f>+Blank!A18</f>
        <v>43429.645833333336</v>
      </c>
      <c r="B18" s="32">
        <f t="shared" si="5"/>
        <v>13.125</v>
      </c>
      <c r="C18" s="68">
        <v>333</v>
      </c>
      <c r="D18" s="64">
        <v>54.12</v>
      </c>
      <c r="E18" s="64">
        <v>45.02</v>
      </c>
      <c r="F18" s="45">
        <f t="shared" si="0"/>
        <v>79.111199999999997</v>
      </c>
      <c r="G18" s="44">
        <v>1</v>
      </c>
      <c r="I18" s="70">
        <f>((((1013.25+$C18-'Set-up_Mano_Grav'!$S$5)/1013.25)*($D18/100)*(($F18+1.5)/1000)/(0.08206*(273.15+'Set-up_Mano_Grav'!$P$3)))-(((1013.25-'Set-up_Mano_Grav'!$S$5)/1013.25)*($D17/100)*($F18/1000)/(0.08206*(273.15+'Set-up_Mano_Grav'!$P$3))))*'Set-up_Mano_Grav'!$R$5</f>
        <v>14.573851695158105</v>
      </c>
      <c r="J18" s="72">
        <f t="shared" si="6"/>
        <v>347.09824053819545</v>
      </c>
      <c r="K18" s="72">
        <f>+Blank!M18</f>
        <v>58.393129193530037</v>
      </c>
      <c r="L18" s="72">
        <f t="shared" si="3"/>
        <v>311.30843298328421</v>
      </c>
      <c r="N18" s="34">
        <f t="shared" si="1"/>
        <v>313.74125167631007</v>
      </c>
      <c r="O18" s="72">
        <f t="shared" si="2"/>
        <v>7.5855952085289307</v>
      </c>
      <c r="P18" s="57"/>
      <c r="Q18" s="72">
        <f t="shared" si="4"/>
        <v>13.125</v>
      </c>
      <c r="R18" s="103">
        <v>183.68389999999999</v>
      </c>
      <c r="S18" s="103">
        <v>183.65450000000001</v>
      </c>
      <c r="T18" s="103">
        <f t="shared" si="9"/>
        <v>1.4000000000180535E-3</v>
      </c>
      <c r="U18" s="99">
        <f t="shared" si="7"/>
        <v>2.9399999999981219E-2</v>
      </c>
      <c r="AG18" s="82"/>
      <c r="AH18" s="82"/>
      <c r="AJ18" s="82"/>
      <c r="AK18" s="82"/>
    </row>
    <row r="19" spans="1:37">
      <c r="A19" s="30">
        <f>+Blank!A19</f>
        <v>43432.375</v>
      </c>
      <c r="B19" s="32">
        <f t="shared" si="5"/>
        <v>15.854166666664241</v>
      </c>
      <c r="C19" s="68">
        <v>302</v>
      </c>
      <c r="D19" s="64">
        <f>52.26*1.0399</f>
        <v>54.345174</v>
      </c>
      <c r="E19" s="64">
        <f>42.56*1.0312</f>
        <v>43.887871999999994</v>
      </c>
      <c r="F19" s="45">
        <f t="shared" si="0"/>
        <v>79.111199999999997</v>
      </c>
      <c r="G19" s="44">
        <v>1</v>
      </c>
      <c r="I19" s="70">
        <f>((((1013.25+$C19-'Set-up_Mano_Grav'!$S$5)/1013.25)*($D19/100)*(($F19+1.5)/1000)/(0.08206*(273.15+'Set-up_Mano_Grav'!$P$3)))-(((1013.25-'Set-up_Mano_Grav'!$S$5)/1013.25)*($D18/100)*($F19/1000)/(0.08206*(273.15+'Set-up_Mano_Grav'!$P$3))))*'Set-up_Mano_Grav'!$R$5</f>
        <v>12.788937351215086</v>
      </c>
      <c r="J19" s="72">
        <f t="shared" si="6"/>
        <v>359.88717788941057</v>
      </c>
      <c r="K19" s="72">
        <f>+Blank!M19</f>
        <v>64.261148135934619</v>
      </c>
      <c r="L19" s="72">
        <f t="shared" si="3"/>
        <v>315.96422129693786</v>
      </c>
      <c r="N19" s="34">
        <f t="shared" si="1"/>
        <v>319.22806673970376</v>
      </c>
      <c r="O19" s="72">
        <f t="shared" si="2"/>
        <v>8.7966174918413245</v>
      </c>
      <c r="P19" s="57"/>
      <c r="Q19" s="72">
        <f t="shared" si="4"/>
        <v>15.854166666664241</v>
      </c>
      <c r="R19" s="103">
        <v>183.65270000000001</v>
      </c>
      <c r="S19" s="103">
        <v>183.62710000000001</v>
      </c>
      <c r="T19" s="103">
        <f t="shared" si="9"/>
        <v>1.8000000000029104E-3</v>
      </c>
      <c r="U19" s="99">
        <f t="shared" si="7"/>
        <v>2.5599999999997181E-2</v>
      </c>
      <c r="AG19" s="82"/>
      <c r="AH19" s="82"/>
      <c r="AJ19" s="82"/>
      <c r="AK19" s="82"/>
    </row>
    <row r="20" spans="1:37">
      <c r="A20" s="30">
        <f>+Blank!A20</f>
        <v>43435.430555555555</v>
      </c>
      <c r="B20" s="32">
        <f t="shared" si="5"/>
        <v>18.909722222218988</v>
      </c>
      <c r="C20" s="68">
        <v>276</v>
      </c>
      <c r="D20" s="64">
        <v>55.41</v>
      </c>
      <c r="E20" s="64">
        <v>42.84</v>
      </c>
      <c r="F20" s="45">
        <f t="shared" si="0"/>
        <v>79.111199999999997</v>
      </c>
      <c r="G20" s="44">
        <v>1</v>
      </c>
      <c r="I20" s="70">
        <f>((((1013.25+$C20-'Set-up_Mano_Grav'!$S$5)/1013.25)*($D20/100)*(($F20+1.5)/1000)/(0.08206*(273.15+'Set-up_Mano_Grav'!$P$3)))-(((1013.25-'Set-up_Mano_Grav'!$S$5)/1013.25)*($D19/100)*($F20/1000)/(0.08206*(273.15+'Set-up_Mano_Grav'!$P$3))))*'Set-up_Mano_Grav'!$R$5</f>
        <v>12.570583779126025</v>
      </c>
      <c r="J20" s="72">
        <f t="shared" si="6"/>
        <v>372.45776166853659</v>
      </c>
      <c r="K20" s="72">
        <f>+Blank!M20</f>
        <v>70.2793536364196</v>
      </c>
      <c r="L20" s="72">
        <f t="shared" si="3"/>
        <v>320.08143927249472</v>
      </c>
      <c r="N20" s="34">
        <f t="shared" si="1"/>
        <v>322.96465088581795</v>
      </c>
      <c r="O20" s="72">
        <f t="shared" si="2"/>
        <v>9.5632986704981917</v>
      </c>
      <c r="P20" s="57"/>
      <c r="Q20" s="72">
        <f t="shared" si="4"/>
        <v>18.909722222218988</v>
      </c>
      <c r="R20" s="103">
        <v>183.62520000000001</v>
      </c>
      <c r="S20" s="103">
        <v>183.60400000000001</v>
      </c>
      <c r="T20" s="103">
        <f t="shared" si="9"/>
        <v>1.90000000000623E-3</v>
      </c>
      <c r="U20" s="99">
        <f t="shared" si="7"/>
        <v>2.1199999999993224E-2</v>
      </c>
      <c r="AG20" s="82"/>
      <c r="AH20" s="82"/>
    </row>
    <row r="21" spans="1:37">
      <c r="A21" s="30">
        <f>+Blank!A21</f>
        <v>43439.381944444445</v>
      </c>
      <c r="B21" s="32">
        <f t="shared" si="5"/>
        <v>22.861111111109494</v>
      </c>
      <c r="C21" s="68">
        <v>282</v>
      </c>
      <c r="D21" s="64">
        <v>56.67</v>
      </c>
      <c r="E21" s="64">
        <v>40.93</v>
      </c>
      <c r="F21" s="45">
        <f t="shared" si="0"/>
        <v>79.111199999999997</v>
      </c>
      <c r="G21" s="44">
        <v>1</v>
      </c>
      <c r="I21" s="70">
        <f>((((1013.25+$C21-'Set-up_Mano_Grav'!$S$5)/1013.25)*($D21/100)*(($F21+1.5)/1000)/(0.08206*(273.15+'Set-up_Mano_Grav'!$P$3)))-(((1013.25-'Set-up_Mano_Grav'!$S$5)/1013.25)*($D20/100)*($F21/1000)/(0.08206*(273.15+'Set-up_Mano_Grav'!$P$3))))*'Set-up_Mano_Grav'!$R$5</f>
        <v>13.221602002693878</v>
      </c>
      <c r="J21" s="72">
        <f t="shared" si="6"/>
        <v>385.67936367123048</v>
      </c>
      <c r="K21" s="72">
        <f>+Blank!M21</f>
        <v>76.613455569938893</v>
      </c>
      <c r="L21" s="72">
        <f t="shared" si="3"/>
        <v>324.40414726691813</v>
      </c>
      <c r="N21" s="34">
        <f t="shared" si="1"/>
        <v>327.27065388267744</v>
      </c>
      <c r="O21" s="72">
        <f t="shared" si="2"/>
        <v>10.5049416524921</v>
      </c>
      <c r="P21" s="57"/>
      <c r="Q21" s="72">
        <f t="shared" si="4"/>
        <v>22.861111111109494</v>
      </c>
      <c r="R21" s="103">
        <v>183.59909999999999</v>
      </c>
      <c r="S21" s="103">
        <v>183.57579999999999</v>
      </c>
      <c r="T21" s="103">
        <f t="shared" si="9"/>
        <v>4.9000000000205546E-3</v>
      </c>
      <c r="U21" s="99">
        <f t="shared" si="7"/>
        <v>2.3300000000006094E-2</v>
      </c>
      <c r="AG21" s="82"/>
      <c r="AH21" s="82"/>
    </row>
    <row r="22" spans="1:37">
      <c r="A22" s="30">
        <f>+Blank!A22</f>
        <v>43443.666666666664</v>
      </c>
      <c r="B22" s="32">
        <f t="shared" si="5"/>
        <v>27.145833333328483</v>
      </c>
      <c r="C22" s="44">
        <v>312</v>
      </c>
      <c r="D22" s="48">
        <v>58.43</v>
      </c>
      <c r="E22" s="48">
        <v>40.24</v>
      </c>
      <c r="F22" s="45">
        <f t="shared" si="0"/>
        <v>79.111199999999997</v>
      </c>
      <c r="G22" s="44">
        <v>1</v>
      </c>
      <c r="I22" s="70">
        <f>((((1013.25+$C22-'Set-up_Mano_Grav'!$S$5)/1013.25)*($D22/100)*(($F22+1.5)/1000)/(0.08206*(273.15+'Set-up_Mano_Grav'!$P$3)))-(((1013.25-'Set-up_Mano_Grav'!$S$5)/1013.25)*($D21/100)*($F22/1000)/(0.08206*(273.15+'Set-up_Mano_Grav'!$P$3))))*'Set-up_Mano_Grav'!$R$5</f>
        <v>15.224059807378046</v>
      </c>
      <c r="J22" s="72">
        <f t="shared" si="6"/>
        <v>400.90342347860854</v>
      </c>
      <c r="K22" s="72">
        <f>+Blank!M22</f>
        <v>83.365296075465409</v>
      </c>
      <c r="L22" s="72">
        <f t="shared" si="3"/>
        <v>330.37457354821265</v>
      </c>
      <c r="M22" s="83"/>
      <c r="N22" s="34">
        <f t="shared" si="1"/>
        <v>332.80312494611508</v>
      </c>
      <c r="O22" s="72">
        <f t="shared" si="2"/>
        <v>11.215939259171527</v>
      </c>
      <c r="P22" s="57"/>
      <c r="Q22" s="72">
        <f t="shared" si="4"/>
        <v>27.145833333328483</v>
      </c>
      <c r="R22" s="103">
        <v>183.57470000000001</v>
      </c>
      <c r="S22" s="71">
        <v>183.54900000000001</v>
      </c>
      <c r="T22" s="103">
        <f t="shared" si="9"/>
        <v>1.0999999999796728E-3</v>
      </c>
      <c r="U22" s="99">
        <f t="shared" si="7"/>
        <v>2.57000000000005E-2</v>
      </c>
      <c r="AG22" s="82"/>
      <c r="AH22" s="82"/>
    </row>
    <row r="23" spans="1:37">
      <c r="A23" s="30"/>
      <c r="B23" s="32"/>
      <c r="C23" s="44"/>
      <c r="D23" s="17"/>
      <c r="E23" s="17"/>
      <c r="F23" s="45"/>
      <c r="G23" s="44"/>
      <c r="I23" s="70"/>
      <c r="J23" s="72"/>
      <c r="K23" s="72"/>
      <c r="L23" s="72"/>
      <c r="M23" s="83"/>
      <c r="N23" s="34"/>
      <c r="O23" s="72"/>
      <c r="P23" s="57"/>
      <c r="Q23" s="72"/>
      <c r="R23" s="71"/>
      <c r="S23" s="71"/>
      <c r="T23" s="103"/>
      <c r="U23" s="99"/>
      <c r="AG23" s="82"/>
      <c r="AH23" s="82"/>
    </row>
    <row r="24" spans="1:37">
      <c r="A24" s="30"/>
      <c r="B24" s="32"/>
      <c r="C24" s="44"/>
      <c r="D24" s="17"/>
      <c r="E24" s="17"/>
      <c r="F24" s="45"/>
      <c r="G24" s="44"/>
      <c r="I24" s="70"/>
      <c r="J24" s="72"/>
      <c r="K24" s="72"/>
      <c r="L24" s="72"/>
      <c r="M24" s="83"/>
      <c r="N24" s="34"/>
      <c r="O24" s="72"/>
      <c r="P24" s="57"/>
      <c r="Q24" s="72"/>
      <c r="R24" s="71"/>
      <c r="S24" s="71"/>
      <c r="T24" s="103"/>
      <c r="U24" s="99"/>
      <c r="AG24" s="82"/>
      <c r="AH24" s="82"/>
    </row>
    <row r="25" spans="1:37">
      <c r="A25" s="30"/>
      <c r="B25" s="32"/>
      <c r="C25" s="44"/>
      <c r="D25" s="17"/>
      <c r="E25" s="17"/>
      <c r="F25" s="45"/>
      <c r="G25" s="44"/>
      <c r="I25" s="70"/>
      <c r="J25" s="72"/>
      <c r="K25" s="72"/>
      <c r="L25" s="72"/>
      <c r="M25" s="83"/>
      <c r="N25" s="34"/>
      <c r="O25" s="72"/>
      <c r="P25" s="57"/>
      <c r="Q25" s="72"/>
      <c r="R25" s="71"/>
      <c r="S25" s="71"/>
      <c r="T25" s="103"/>
      <c r="U25" s="99"/>
      <c r="AG25" s="82"/>
      <c r="AH25" s="82"/>
    </row>
    <row r="26" spans="1:37">
      <c r="A26" s="112"/>
      <c r="B26" s="46"/>
      <c r="C26" s="44"/>
      <c r="D26" s="17"/>
      <c r="E26" s="17"/>
      <c r="F26" s="45"/>
      <c r="G26" s="44"/>
      <c r="I26" s="70"/>
      <c r="J26" s="72"/>
      <c r="K26" s="72"/>
      <c r="L26" s="72"/>
      <c r="M26" s="83"/>
      <c r="N26" s="34"/>
      <c r="O26" s="72"/>
      <c r="P26" s="57"/>
      <c r="Q26" s="72"/>
      <c r="R26" s="71"/>
      <c r="S26" s="71"/>
      <c r="T26" s="103"/>
      <c r="U26" s="99"/>
      <c r="AG26" s="82"/>
      <c r="AH26" s="82"/>
    </row>
    <row r="27" spans="1:37">
      <c r="M27" s="83"/>
      <c r="P27" s="57"/>
      <c r="T27" s="98"/>
      <c r="AG27" s="82"/>
      <c r="AH27" s="82"/>
    </row>
    <row r="28" spans="1:37">
      <c r="A28" s="23" t="s">
        <v>29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83"/>
      <c r="P28" s="57"/>
      <c r="T28" s="98"/>
    </row>
    <row r="29" spans="1:37">
      <c r="A29" s="30">
        <f t="shared" ref="A29:B43" si="10">+A8</f>
        <v>43416.520833333336</v>
      </c>
      <c r="B29" s="25">
        <f t="shared" si="10"/>
        <v>0</v>
      </c>
      <c r="C29" s="71">
        <v>0</v>
      </c>
      <c r="D29" s="71">
        <v>0</v>
      </c>
      <c r="E29" s="71">
        <v>0</v>
      </c>
      <c r="F29" s="45">
        <f t="shared" ref="F29:F43" si="11">+$F$3</f>
        <v>79.134</v>
      </c>
      <c r="G29" s="1">
        <v>1</v>
      </c>
      <c r="I29" s="70">
        <f>((((1013.25+$C29-'Set-up_Mano_Grav'!$S$5)/1013.25)*($D29/100)*(($F29+1.5)/1000)/(0.08206*(273.15+'Set-up_Mano_Grav'!$P$3)))-(((1013.25-'Set-up_Mano_Grav'!$S$5)/1013.25)*($D28/100)*($F29/1000)/(0.08206*(273.15+'Set-up_Mano_Grav'!$P$3))))*'Set-up_Mano_Grav'!$R$5</f>
        <v>0</v>
      </c>
      <c r="J29" s="72">
        <v>0</v>
      </c>
      <c r="K29" s="72">
        <f>+Blank!M8</f>
        <v>0</v>
      </c>
      <c r="L29" s="72">
        <v>0</v>
      </c>
      <c r="M29" s="83"/>
      <c r="P29" s="57"/>
      <c r="Q29" s="72">
        <f>+B29</f>
        <v>0</v>
      </c>
      <c r="S29" s="69">
        <v>183.88815</v>
      </c>
      <c r="T29" s="98"/>
    </row>
    <row r="30" spans="1:37">
      <c r="A30" s="30">
        <f t="shared" si="10"/>
        <v>43417.361111111109</v>
      </c>
      <c r="B30" s="32">
        <f t="shared" si="10"/>
        <v>0.84027777777373558</v>
      </c>
      <c r="C30" s="86">
        <v>390</v>
      </c>
      <c r="D30" s="48">
        <v>12.83</v>
      </c>
      <c r="E30" s="48">
        <v>22.45</v>
      </c>
      <c r="F30" s="45">
        <f t="shared" si="11"/>
        <v>79.134</v>
      </c>
      <c r="G30" s="44">
        <v>1</v>
      </c>
      <c r="I30" s="70">
        <f>((((1013.25+$C30-'Set-up_Mano_Grav'!$S$5)/1013.25)*($D30/100)*(($F30+1.5)/1000)/(0.08206*(273.15+'Set-up_Mano_Grav'!$P$3)))-(((1013.25-'Set-up_Mano_Grav'!$S$5)/1013.25)*($D29/100)*($F30/1000)/(0.08206*(273.15+'Set-up_Mano_Grav'!$P$3))))*'Set-up_Mano_Grav'!$R$5</f>
        <v>12.676583294106328</v>
      </c>
      <c r="J30" s="72">
        <f>+J29+I30</f>
        <v>12.676583294106328</v>
      </c>
      <c r="K30" s="72">
        <f>+Blank!M9</f>
        <v>7.499793660141445</v>
      </c>
      <c r="L30" s="72">
        <f t="shared" ref="L30:L43" si="12">+(J30-(K30*$I$3))/$H$3</f>
        <v>1.5303617873729394</v>
      </c>
      <c r="M30" s="83"/>
      <c r="P30" s="57"/>
      <c r="Q30" s="72">
        <f>+B30</f>
        <v>0.84027777777373558</v>
      </c>
      <c r="R30" s="71">
        <v>183.88829999999999</v>
      </c>
      <c r="S30" s="71">
        <v>183.85210000000001</v>
      </c>
      <c r="T30" s="103">
        <f>+S29-R30</f>
        <v>-1.4999999999076863E-4</v>
      </c>
      <c r="U30" s="99">
        <f>+R30-S30</f>
        <v>3.6199999999979582E-2</v>
      </c>
    </row>
    <row r="31" spans="1:37">
      <c r="A31" s="30">
        <f t="shared" si="10"/>
        <v>43418.364583333336</v>
      </c>
      <c r="B31" s="32">
        <f t="shared" si="10"/>
        <v>1.84375</v>
      </c>
      <c r="C31" s="67">
        <v>618</v>
      </c>
      <c r="D31" s="73">
        <v>30.32</v>
      </c>
      <c r="E31" s="73">
        <v>28.09</v>
      </c>
      <c r="F31" s="45">
        <f t="shared" si="11"/>
        <v>79.134</v>
      </c>
      <c r="G31" s="44">
        <v>1</v>
      </c>
      <c r="I31" s="70">
        <f>((((1013.25+$C31-'Set-up_Mano_Grav'!$S$5)/1013.25)*($D31/100)*(($F31+1.5)/1000)/(0.08206*(273.15+'Set-up_Mano_Grav'!$P$3)))-(((1013.25-'Set-up_Mano_Grav'!$S$5)/1013.25)*($D30/100)*($F31/1000)/(0.08206*(273.15+'Set-up_Mano_Grav'!$P$3))))*'Set-up_Mano_Grav'!$R$5</f>
        <v>26.107025920049605</v>
      </c>
      <c r="J31" s="72">
        <f>+J30+I31</f>
        <v>38.783609214155931</v>
      </c>
      <c r="K31" s="72">
        <f>+Blank!M10</f>
        <v>15.095341000313356</v>
      </c>
      <c r="L31" s="72">
        <f t="shared" si="12"/>
        <v>19.051111410981726</v>
      </c>
      <c r="M31" s="83"/>
      <c r="P31" s="57"/>
      <c r="Q31" s="72">
        <f t="shared" ref="Q31:Q43" si="13">+B31</f>
        <v>1.84375</v>
      </c>
      <c r="R31" s="71">
        <v>183.85120000000001</v>
      </c>
      <c r="S31" s="71">
        <v>183.79650000000001</v>
      </c>
      <c r="T31" s="103">
        <f t="shared" ref="T31:T33" si="14">+S30-R31</f>
        <v>9.0000000000145519E-4</v>
      </c>
      <c r="U31" s="99">
        <f t="shared" ref="U31:U43" si="15">+R31-S31</f>
        <v>5.4699999999996862E-2</v>
      </c>
    </row>
    <row r="32" spans="1:37">
      <c r="A32" s="30">
        <f t="shared" si="10"/>
        <v>43419.371527777781</v>
      </c>
      <c r="B32" s="32">
        <f t="shared" si="10"/>
        <v>2.8506944444452529</v>
      </c>
      <c r="C32" s="67">
        <v>1928</v>
      </c>
      <c r="D32" s="73">
        <v>46.52</v>
      </c>
      <c r="E32" s="73">
        <v>37.86</v>
      </c>
      <c r="F32" s="45">
        <f t="shared" si="11"/>
        <v>79.134</v>
      </c>
      <c r="G32" s="44">
        <v>1</v>
      </c>
      <c r="I32" s="70">
        <f>((((1013.25+$C32-'Set-up_Mano_Grav'!$S$5)/1013.25)*($D32/100)*(($F32+1.5)/1000)/(0.08206*(273.15+'Set-up_Mano_Grav'!$P$3)))-(((1013.25-'Set-up_Mano_Grav'!$S$5)/1013.25)*($D31/100)*($F32/1000)/(0.08206*(273.15+'Set-up_Mano_Grav'!$P$3))))*'Set-up_Mano_Grav'!$R$5</f>
        <v>76.977573995366939</v>
      </c>
      <c r="J32" s="72">
        <f t="shared" ref="J32:J43" si="16">+J31+I32</f>
        <v>115.76118320952287</v>
      </c>
      <c r="K32" s="72">
        <f>+Blank!M11</f>
        <v>21.415568499765985</v>
      </c>
      <c r="L32" s="72">
        <f t="shared" si="12"/>
        <v>100.13699469099303</v>
      </c>
      <c r="M32" s="83"/>
      <c r="P32" s="57"/>
      <c r="Q32" s="72">
        <f t="shared" si="13"/>
        <v>2.8506944444452529</v>
      </c>
      <c r="R32" s="103">
        <v>183.79390000000001</v>
      </c>
      <c r="S32" s="103">
        <v>183.6018</v>
      </c>
      <c r="T32" s="103">
        <f t="shared" si="14"/>
        <v>2.6000000000010459E-3</v>
      </c>
      <c r="U32" s="99">
        <f t="shared" si="15"/>
        <v>0.1921000000000106</v>
      </c>
    </row>
    <row r="33" spans="1:21">
      <c r="A33" s="30">
        <f t="shared" si="10"/>
        <v>43420.329861111109</v>
      </c>
      <c r="B33" s="32">
        <f t="shared" si="10"/>
        <v>3.8090277777737356</v>
      </c>
      <c r="C33" s="67">
        <v>2215</v>
      </c>
      <c r="D33" s="64">
        <v>47.42</v>
      </c>
      <c r="E33" s="64">
        <v>46.14</v>
      </c>
      <c r="F33" s="45">
        <f t="shared" si="11"/>
        <v>79.134</v>
      </c>
      <c r="G33" s="44">
        <v>1</v>
      </c>
      <c r="I33" s="70">
        <f>((((1013.25+$C33-'Set-up_Mano_Grav'!$S$5)/1013.25)*($D33/100)*(($F33+1.5)/1000)/(0.08206*(273.15+'Set-up_Mano_Grav'!$P$3)))-(((1013.25-'Set-up_Mano_Grav'!$S$5)/1013.25)*($D32/100)*($F33/1000)/(0.08206*(273.15+'Set-up_Mano_Grav'!$P$3))))*'Set-up_Mano_Grav'!$R$5</f>
        <v>77.556806594141008</v>
      </c>
      <c r="J33" s="72">
        <f>+J32+I33</f>
        <v>193.31798980366386</v>
      </c>
      <c r="K33" s="72">
        <f>+Blank!M12</f>
        <v>26.980971434669375</v>
      </c>
      <c r="L33" s="72">
        <f t="shared" si="12"/>
        <v>183.30173557520439</v>
      </c>
      <c r="M33" s="83"/>
      <c r="P33" s="57"/>
      <c r="Q33" s="72">
        <f t="shared" si="13"/>
        <v>3.8090277777737356</v>
      </c>
      <c r="R33" s="103">
        <v>183.6019</v>
      </c>
      <c r="S33" s="103">
        <v>183.3672</v>
      </c>
      <c r="T33" s="103">
        <f t="shared" si="14"/>
        <v>-1.0000000000331966E-4</v>
      </c>
      <c r="U33" s="99">
        <f t="shared" si="15"/>
        <v>0.23470000000000368</v>
      </c>
    </row>
    <row r="34" spans="1:21">
      <c r="A34" s="30">
        <f t="shared" si="10"/>
        <v>43421.381944444445</v>
      </c>
      <c r="B34" s="32">
        <f t="shared" si="10"/>
        <v>4.8611111111094942</v>
      </c>
      <c r="C34" s="68">
        <v>1550</v>
      </c>
      <c r="D34" s="64">
        <v>45.5</v>
      </c>
      <c r="E34" s="64">
        <v>50.96</v>
      </c>
      <c r="F34" s="45">
        <f t="shared" si="11"/>
        <v>79.134</v>
      </c>
      <c r="G34" s="44">
        <v>1</v>
      </c>
      <c r="I34" s="70">
        <f>((((1013.25+$C34-'Set-up_Mano_Grav'!$S$5)/1013.25)*($D34/100)*(($F34+1.5)/1000)/(0.08206*(273.15+'Set-up_Mano_Grav'!$P$3)))-(((1013.25-'Set-up_Mano_Grav'!$S$5)/1013.25)*($D33/100)*($F34/1000)/(0.08206*(273.15+'Set-up_Mano_Grav'!$P$3))))*'Set-up_Mano_Grav'!$R$5</f>
        <v>50.508131710017807</v>
      </c>
      <c r="J34" s="72">
        <f t="shared" si="16"/>
        <v>243.82612151368167</v>
      </c>
      <c r="K34" s="72">
        <f>+Blank!M13</f>
        <v>31.601758649954835</v>
      </c>
      <c r="L34" s="72">
        <f t="shared" si="12"/>
        <v>235.63818457861819</v>
      </c>
      <c r="M34" s="83"/>
      <c r="P34" s="57"/>
      <c r="Q34" s="72">
        <f t="shared" si="13"/>
        <v>4.8611111111094942</v>
      </c>
      <c r="R34" s="103">
        <v>183.36420000000001</v>
      </c>
      <c r="S34" s="103">
        <v>183.19829999999999</v>
      </c>
      <c r="T34" s="103">
        <f>+S33-R34</f>
        <v>2.9999999999859028E-3</v>
      </c>
      <c r="U34" s="99">
        <f t="shared" si="15"/>
        <v>0.16590000000002192</v>
      </c>
    </row>
    <row r="35" spans="1:21">
      <c r="A35" s="30">
        <f t="shared" si="10"/>
        <v>43422.379861111112</v>
      </c>
      <c r="B35" s="32">
        <f t="shared" si="10"/>
        <v>5.859027777776646</v>
      </c>
      <c r="C35" s="68">
        <v>860</v>
      </c>
      <c r="D35" s="64">
        <v>44.57</v>
      </c>
      <c r="E35" s="64">
        <v>52.42</v>
      </c>
      <c r="F35" s="45">
        <f t="shared" si="11"/>
        <v>79.134</v>
      </c>
      <c r="G35" s="44">
        <v>1</v>
      </c>
      <c r="I35" s="70">
        <f>((((1013.25+$C35-'Set-up_Mano_Grav'!$S$5)/1013.25)*($D35/100)*(($F35+1.5)/1000)/(0.08206*(273.15+'Set-up_Mano_Grav'!$P$3)))-(((1013.25-'Set-up_Mano_Grav'!$S$5)/1013.25)*($D34/100)*($F35/1000)/(0.08206*(273.15+'Set-up_Mano_Grav'!$P$3))))*'Set-up_Mano_Grav'!$R$5</f>
        <v>27.78967141967291</v>
      </c>
      <c r="J35" s="72">
        <f t="shared" si="16"/>
        <v>271.61579293335456</v>
      </c>
      <c r="K35" s="72">
        <f>+Blank!M14</f>
        <v>35.740399764536022</v>
      </c>
      <c r="L35" s="72">
        <f t="shared" si="12"/>
        <v>261.51191688256273</v>
      </c>
      <c r="M35" s="83"/>
      <c r="P35" s="57"/>
      <c r="Q35" s="72">
        <f t="shared" si="13"/>
        <v>5.859027777776646</v>
      </c>
      <c r="R35" s="103">
        <v>183.19890000000001</v>
      </c>
      <c r="S35" s="103">
        <v>183.11269999999999</v>
      </c>
      <c r="T35" s="103">
        <f t="shared" ref="T35:T43" si="17">+S34-R35</f>
        <v>-6.0000000001991793E-4</v>
      </c>
      <c r="U35" s="99">
        <f t="shared" si="15"/>
        <v>8.6200000000019372E-2</v>
      </c>
    </row>
    <row r="36" spans="1:21">
      <c r="A36" s="30">
        <f t="shared" si="10"/>
        <v>43423.36041666667</v>
      </c>
      <c r="B36" s="32">
        <f t="shared" si="10"/>
        <v>6.8395833333343035</v>
      </c>
      <c r="C36" s="68">
        <v>558</v>
      </c>
      <c r="D36" s="64">
        <v>45.31</v>
      </c>
      <c r="E36" s="64">
        <v>50.13</v>
      </c>
      <c r="F36" s="45">
        <f t="shared" si="11"/>
        <v>79.134</v>
      </c>
      <c r="G36" s="44">
        <v>1</v>
      </c>
      <c r="I36" s="70">
        <f>((((1013.25+$C36-'Set-up_Mano_Grav'!$S$5)/1013.25)*($D36/100)*(($F36+1.5)/1000)/(0.08206*(273.15+'Set-up_Mano_Grav'!$P$3)))-(((1013.25-'Set-up_Mano_Grav'!$S$5)/1013.25)*($D35/100)*($F36/1000)/(0.08206*(273.15+'Set-up_Mano_Grav'!$P$3))))*'Set-up_Mano_Grav'!$R$5</f>
        <v>19.474935127859091</v>
      </c>
      <c r="J36" s="72">
        <f t="shared" si="16"/>
        <v>291.09072806121367</v>
      </c>
      <c r="K36" s="72">
        <f>+Blank!M15</f>
        <v>39.743257144749556</v>
      </c>
      <c r="L36" s="72">
        <f t="shared" si="12"/>
        <v>277.62609448293739</v>
      </c>
      <c r="M36" s="83"/>
      <c r="P36" s="57"/>
      <c r="Q36" s="72">
        <f t="shared" si="13"/>
        <v>6.8395833333343035</v>
      </c>
      <c r="R36" s="103">
        <v>183.1087</v>
      </c>
      <c r="S36" s="103">
        <v>183.05430000000001</v>
      </c>
      <c r="T36" s="103">
        <f t="shared" si="17"/>
        <v>3.9999999999906777E-3</v>
      </c>
      <c r="U36" s="99">
        <f t="shared" si="15"/>
        <v>5.4399999999986903E-2</v>
      </c>
    </row>
    <row r="37" spans="1:21">
      <c r="A37" s="30">
        <f t="shared" si="10"/>
        <v>43425.4375</v>
      </c>
      <c r="B37" s="32">
        <f t="shared" si="10"/>
        <v>8.9166666666642413</v>
      </c>
      <c r="C37" s="68">
        <v>676</v>
      </c>
      <c r="D37" s="64">
        <v>53.25</v>
      </c>
      <c r="E37" s="64">
        <v>46.25</v>
      </c>
      <c r="F37" s="45">
        <f t="shared" si="11"/>
        <v>79.134</v>
      </c>
      <c r="G37" s="44">
        <v>1</v>
      </c>
      <c r="I37" s="70">
        <f>((((1013.25+$C37-'Set-up_Mano_Grav'!$S$5)/1013.25)*($D37/100)*(($F37+1.5)/1000)/(0.08206*(273.15+'Set-up_Mano_Grav'!$P$3)))-(((1013.25-'Set-up_Mano_Grav'!$S$5)/1013.25)*($D36/100)*($F37/1000)/(0.08206*(273.15+'Set-up_Mano_Grav'!$P$3))))*'Set-up_Mano_Grav'!$R$5</f>
        <v>32.3426109991481</v>
      </c>
      <c r="J37" s="72">
        <f t="shared" si="16"/>
        <v>323.43333906036179</v>
      </c>
      <c r="K37" s="72">
        <f>+Blank!M16</f>
        <v>47.149282401477649</v>
      </c>
      <c r="L37" s="72">
        <f t="shared" si="12"/>
        <v>302.99926410629041</v>
      </c>
      <c r="M37" s="83"/>
      <c r="P37" s="57"/>
      <c r="Q37" s="72">
        <f t="shared" si="13"/>
        <v>8.9166666666642413</v>
      </c>
      <c r="R37" s="103">
        <v>183.05719999999999</v>
      </c>
      <c r="S37" s="103">
        <v>182.99520000000001</v>
      </c>
      <c r="T37" s="103">
        <f t="shared" si="17"/>
        <v>-2.8999999999825832E-3</v>
      </c>
      <c r="U37" s="99">
        <f t="shared" si="15"/>
        <v>6.1999999999983402E-2</v>
      </c>
    </row>
    <row r="38" spans="1:21">
      <c r="A38" s="30">
        <f t="shared" si="10"/>
        <v>43427.399305555555</v>
      </c>
      <c r="B38" s="32">
        <f t="shared" si="10"/>
        <v>10.878472222218988</v>
      </c>
      <c r="C38" s="68">
        <v>442</v>
      </c>
      <c r="D38" s="64">
        <v>53.01</v>
      </c>
      <c r="E38" s="64">
        <v>44.37</v>
      </c>
      <c r="F38" s="45">
        <f t="shared" si="11"/>
        <v>79.134</v>
      </c>
      <c r="G38" s="44">
        <v>1</v>
      </c>
      <c r="I38" s="70">
        <f>((((1013.25+$C38-'Set-up_Mano_Grav'!$S$5)/1013.25)*($D38/100)*(($F38+1.5)/1000)/(0.08206*(273.15+'Set-up_Mano_Grav'!$P$3)))-(((1013.25-'Set-up_Mano_Grav'!$S$5)/1013.25)*($D37/100)*($F38/1000)/(0.08206*(273.15+'Set-up_Mano_Grav'!$P$3))))*'Set-up_Mano_Grav'!$R$5</f>
        <v>17.552159177944187</v>
      </c>
      <c r="J38" s="72">
        <f t="shared" si="16"/>
        <v>340.98549823830598</v>
      </c>
      <c r="K38" s="72">
        <f>+Blank!M17</f>
        <v>52.748081713489995</v>
      </c>
      <c r="L38" s="72">
        <f t="shared" si="12"/>
        <v>313.877804147201</v>
      </c>
      <c r="M38" s="83"/>
      <c r="P38" s="57"/>
      <c r="Q38" s="72">
        <f t="shared" si="13"/>
        <v>10.878472222218988</v>
      </c>
      <c r="R38" s="103">
        <v>182.9973</v>
      </c>
      <c r="S38" s="103">
        <v>182.95580000000001</v>
      </c>
      <c r="T38" s="103">
        <f t="shared" si="17"/>
        <v>-2.0999999999844476E-3</v>
      </c>
      <c r="U38" s="99">
        <f t="shared" si="15"/>
        <v>4.1499999999984993E-2</v>
      </c>
    </row>
    <row r="39" spans="1:21">
      <c r="A39" s="30">
        <f t="shared" si="10"/>
        <v>43429.645833333336</v>
      </c>
      <c r="B39" s="32">
        <f t="shared" si="10"/>
        <v>13.125</v>
      </c>
      <c r="C39" s="68">
        <v>360</v>
      </c>
      <c r="D39" s="64">
        <v>54.02</v>
      </c>
      <c r="E39" s="64">
        <v>44.14</v>
      </c>
      <c r="F39" s="45">
        <f t="shared" si="11"/>
        <v>79.134</v>
      </c>
      <c r="G39" s="44">
        <v>1</v>
      </c>
      <c r="I39" s="70">
        <f>((((1013.25+$C39-'Set-up_Mano_Grav'!$S$5)/1013.25)*($D39/100)*(($F39+1.5)/1000)/(0.08206*(273.15+'Set-up_Mano_Grav'!$P$3)))-(((1013.25-'Set-up_Mano_Grav'!$S$5)/1013.25)*($D38/100)*($F39/1000)/(0.08206*(273.15+'Set-up_Mano_Grav'!$P$3))))*'Set-up_Mano_Grav'!$R$5</f>
        <v>15.535891773852038</v>
      </c>
      <c r="J39" s="72">
        <f t="shared" si="16"/>
        <v>356.52139001215801</v>
      </c>
      <c r="K39" s="72">
        <f>+Blank!M18</f>
        <v>58.393129193530037</v>
      </c>
      <c r="L39" s="72">
        <f t="shared" si="12"/>
        <v>322.24479348853305</v>
      </c>
      <c r="M39" s="83"/>
      <c r="P39" s="57"/>
      <c r="Q39" s="72">
        <f t="shared" si="13"/>
        <v>13.125</v>
      </c>
      <c r="R39" s="103">
        <v>182.95500000000001</v>
      </c>
      <c r="S39" s="103">
        <v>182.9246</v>
      </c>
      <c r="T39" s="103">
        <f>+S38-R39</f>
        <v>7.9999999999813554E-4</v>
      </c>
      <c r="U39" s="99">
        <f t="shared" si="15"/>
        <v>3.0400000000014415E-2</v>
      </c>
    </row>
    <row r="40" spans="1:21">
      <c r="A40" s="30">
        <f t="shared" si="10"/>
        <v>43432.375</v>
      </c>
      <c r="B40" s="32">
        <f t="shared" si="10"/>
        <v>15.854166666664241</v>
      </c>
      <c r="C40" s="68">
        <v>330</v>
      </c>
      <c r="D40" s="64">
        <f>53*1.0399</f>
        <v>55.114699999999999</v>
      </c>
      <c r="E40" s="64">
        <f>42.14*1.0312</f>
        <v>43.454767999999994</v>
      </c>
      <c r="F40" s="45">
        <f t="shared" si="11"/>
        <v>79.134</v>
      </c>
      <c r="G40" s="44">
        <v>1</v>
      </c>
      <c r="I40" s="70">
        <f>((((1013.25+$C40-'Set-up_Mano_Grav'!$S$5)/1013.25)*($D40/100)*(($F40+1.5)/1000)/(0.08206*(273.15+'Set-up_Mano_Grav'!$P$3)))-(((1013.25-'Set-up_Mano_Grav'!$S$5)/1013.25)*($D39/100)*($F40/1000)/(0.08206*(273.15+'Set-up_Mano_Grav'!$P$3))))*'Set-up_Mano_Grav'!$R$5</f>
        <v>14.693846897620231</v>
      </c>
      <c r="J40" s="72">
        <f t="shared" si="16"/>
        <v>371.21523690977824</v>
      </c>
      <c r="K40" s="72">
        <f>+Blank!M19</f>
        <v>64.261148135934619</v>
      </c>
      <c r="L40" s="72">
        <f t="shared" si="12"/>
        <v>329.19011334924534</v>
      </c>
      <c r="M40" s="83"/>
      <c r="P40" s="57"/>
      <c r="Q40" s="72">
        <f t="shared" si="13"/>
        <v>15.854166666664241</v>
      </c>
      <c r="R40" s="103">
        <v>182.9238</v>
      </c>
      <c r="S40" s="103">
        <v>182.89429999999999</v>
      </c>
      <c r="T40" s="103">
        <f t="shared" si="17"/>
        <v>7.9999999999813554E-4</v>
      </c>
      <c r="U40" s="99">
        <f t="shared" si="15"/>
        <v>2.950000000001296E-2</v>
      </c>
    </row>
    <row r="41" spans="1:21">
      <c r="A41" s="30">
        <f t="shared" si="10"/>
        <v>43435.430555555555</v>
      </c>
      <c r="B41" s="32">
        <f t="shared" si="10"/>
        <v>18.909722222218988</v>
      </c>
      <c r="C41" s="68">
        <v>282</v>
      </c>
      <c r="D41" s="64">
        <v>56.03</v>
      </c>
      <c r="E41" s="64">
        <v>42.41</v>
      </c>
      <c r="F41" s="45">
        <f t="shared" si="11"/>
        <v>79.134</v>
      </c>
      <c r="G41" s="44">
        <v>1</v>
      </c>
      <c r="I41" s="70">
        <f>((((1013.25+$C41-'Set-up_Mano_Grav'!$S$5)/1013.25)*($D41/100)*(($F41+1.5)/1000)/(0.08206*(273.15+'Set-up_Mano_Grav'!$P$3)))-(((1013.25-'Set-up_Mano_Grav'!$S$5)/1013.25)*($D40/100)*($F41/1000)/(0.08206*(273.15+'Set-up_Mano_Grav'!$P$3))))*'Set-up_Mano_Grav'!$R$5</f>
        <v>12.847231677335076</v>
      </c>
      <c r="J41" s="72">
        <f t="shared" si="16"/>
        <v>384.0624685871133</v>
      </c>
      <c r="K41" s="72">
        <f>+Blank!M20</f>
        <v>70.2793536364196</v>
      </c>
      <c r="L41" s="72">
        <f t="shared" si="12"/>
        <v>333.63783291519212</v>
      </c>
      <c r="M41" s="83"/>
      <c r="P41" s="57"/>
      <c r="Q41" s="72">
        <f t="shared" si="13"/>
        <v>18.909722222218988</v>
      </c>
      <c r="R41" s="103">
        <v>182.89250000000001</v>
      </c>
      <c r="S41" s="103">
        <v>182.86949999999999</v>
      </c>
      <c r="T41" s="103">
        <f t="shared" si="17"/>
        <v>1.7999999999744887E-3</v>
      </c>
      <c r="U41" s="99">
        <f t="shared" si="15"/>
        <v>2.3000000000024556E-2</v>
      </c>
    </row>
    <row r="42" spans="1:21">
      <c r="A42" s="30">
        <f t="shared" si="10"/>
        <v>43439.381944444445</v>
      </c>
      <c r="B42" s="32">
        <f t="shared" si="10"/>
        <v>22.861111111109494</v>
      </c>
      <c r="C42" s="68">
        <v>290</v>
      </c>
      <c r="D42" s="64">
        <v>57.64</v>
      </c>
      <c r="E42" s="64">
        <v>41.33</v>
      </c>
      <c r="F42" s="45">
        <f t="shared" si="11"/>
        <v>79.134</v>
      </c>
      <c r="G42" s="44">
        <v>1</v>
      </c>
      <c r="I42" s="70">
        <f>((((1013.25+$C42-'Set-up_Mano_Grav'!$S$5)/1013.25)*($D42/100)*(($F42+1.5)/1000)/(0.08206*(273.15+'Set-up_Mano_Grav'!$P$3)))-(((1013.25-'Set-up_Mano_Grav'!$S$5)/1013.25)*($D41/100)*($F42/1000)/(0.08206*(273.15+'Set-up_Mano_Grav'!$P$3))))*'Set-up_Mano_Grav'!$R$5</f>
        <v>14.013668050903037</v>
      </c>
      <c r="J42" s="72">
        <f t="shared" si="16"/>
        <v>398.07613663801635</v>
      </c>
      <c r="K42" s="72">
        <f>+Blank!M21</f>
        <v>76.613455569938893</v>
      </c>
      <c r="L42" s="72">
        <f t="shared" si="12"/>
        <v>338.91131401053929</v>
      </c>
      <c r="M42" s="83"/>
      <c r="P42" s="57"/>
      <c r="Q42" s="72">
        <f t="shared" si="13"/>
        <v>22.861111111109494</v>
      </c>
      <c r="R42" s="71">
        <v>182.8639</v>
      </c>
      <c r="S42" s="71">
        <v>182.84049999999999</v>
      </c>
      <c r="T42" s="103">
        <f t="shared" si="17"/>
        <v>5.5999999999869488E-3</v>
      </c>
      <c r="U42" s="99">
        <f t="shared" si="15"/>
        <v>2.3400000000009413E-2</v>
      </c>
    </row>
    <row r="43" spans="1:21">
      <c r="A43" s="30">
        <f t="shared" si="10"/>
        <v>43443.666666666664</v>
      </c>
      <c r="B43" s="32">
        <f t="shared" si="10"/>
        <v>27.145833333328483</v>
      </c>
      <c r="C43" s="86">
        <v>313</v>
      </c>
      <c r="D43" s="48">
        <v>59.24</v>
      </c>
      <c r="E43" s="48">
        <v>40.11</v>
      </c>
      <c r="F43" s="45">
        <f t="shared" si="11"/>
        <v>79.134</v>
      </c>
      <c r="G43" s="44">
        <v>1</v>
      </c>
      <c r="I43" s="70">
        <f>((((1013.25+$C43-'Set-up_Mano_Grav'!$S$5)/1013.25)*($D43/100)*(($F43+1.5)/1000)/(0.08206*(273.15+'Set-up_Mano_Grav'!$P$3)))-(((1013.25-'Set-up_Mano_Grav'!$S$5)/1013.25)*($D42/100)*($F43/1000)/(0.08206*(273.15+'Set-up_Mano_Grav'!$P$3))))*'Set-up_Mano_Grav'!$R$5</f>
        <v>15.354773613659006</v>
      </c>
      <c r="J43" s="72">
        <f t="shared" si="16"/>
        <v>413.43091025167536</v>
      </c>
      <c r="K43" s="72">
        <f>+Blank!M22</f>
        <v>83.365296075465409</v>
      </c>
      <c r="L43" s="72">
        <f t="shared" si="12"/>
        <v>345.0343828564632</v>
      </c>
      <c r="M43" s="83"/>
      <c r="P43" s="57"/>
      <c r="Q43" s="72">
        <f t="shared" si="13"/>
        <v>27.145833333328483</v>
      </c>
      <c r="R43" s="71">
        <v>182.83789999999999</v>
      </c>
      <c r="S43" s="71">
        <v>182.81229999999999</v>
      </c>
      <c r="T43" s="103">
        <f t="shared" si="17"/>
        <v>2.6000000000010459E-3</v>
      </c>
      <c r="U43" s="99">
        <f t="shared" si="15"/>
        <v>2.5599999999997181E-2</v>
      </c>
    </row>
    <row r="44" spans="1:21">
      <c r="A44" s="30"/>
      <c r="B44" s="32"/>
      <c r="C44" s="86"/>
      <c r="D44" s="48"/>
      <c r="E44" s="48"/>
      <c r="F44" s="45"/>
      <c r="G44" s="44"/>
      <c r="I44" s="70"/>
      <c r="J44" s="72"/>
      <c r="K44" s="72"/>
      <c r="L44" s="72"/>
      <c r="M44" s="83"/>
      <c r="P44" s="57"/>
      <c r="Q44" s="72"/>
      <c r="R44" s="103"/>
      <c r="S44" s="103"/>
      <c r="T44" s="103"/>
      <c r="U44" s="99"/>
    </row>
    <row r="45" spans="1:21">
      <c r="A45" s="30"/>
      <c r="B45" s="32"/>
      <c r="C45" s="86"/>
      <c r="D45" s="48"/>
      <c r="E45" s="48"/>
      <c r="F45" s="45"/>
      <c r="G45" s="44"/>
      <c r="I45" s="70"/>
      <c r="J45" s="72"/>
      <c r="K45" s="72"/>
      <c r="L45" s="72"/>
      <c r="M45" s="83"/>
      <c r="P45" s="57"/>
      <c r="Q45" s="72"/>
      <c r="R45" s="103"/>
      <c r="S45" s="103"/>
      <c r="T45" s="103"/>
      <c r="U45" s="99"/>
    </row>
    <row r="46" spans="1:21">
      <c r="A46" s="30"/>
      <c r="B46" s="32"/>
      <c r="C46" s="48"/>
      <c r="D46" s="48"/>
      <c r="E46" s="48"/>
      <c r="F46" s="45"/>
      <c r="G46" s="44"/>
      <c r="I46" s="70"/>
      <c r="J46" s="72"/>
      <c r="K46" s="72"/>
      <c r="L46" s="72"/>
      <c r="M46" s="83"/>
      <c r="P46" s="57"/>
      <c r="Q46" s="72"/>
      <c r="R46" s="103"/>
      <c r="S46" s="103"/>
      <c r="T46" s="103"/>
      <c r="U46" s="99"/>
    </row>
    <row r="47" spans="1:21">
      <c r="A47" s="112"/>
      <c r="B47" s="46"/>
      <c r="C47" s="48"/>
      <c r="D47" s="48"/>
      <c r="E47" s="48"/>
      <c r="F47" s="45"/>
      <c r="G47" s="44"/>
      <c r="I47" s="70"/>
      <c r="J47" s="72"/>
      <c r="K47" s="72"/>
      <c r="L47" s="72"/>
      <c r="M47" s="83"/>
      <c r="P47" s="57"/>
      <c r="Q47" s="72"/>
      <c r="R47" s="103"/>
      <c r="S47" s="103"/>
      <c r="T47" s="103"/>
      <c r="U47" s="99"/>
    </row>
    <row r="48" spans="1:21">
      <c r="M48" s="83"/>
      <c r="P48" s="57"/>
      <c r="T48" s="98"/>
    </row>
    <row r="49" spans="1:21">
      <c r="A49" s="23" t="s">
        <v>30</v>
      </c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83"/>
      <c r="P49" s="101"/>
      <c r="Q49" s="38"/>
      <c r="R49" s="38"/>
      <c r="S49" s="38"/>
      <c r="T49" s="104"/>
      <c r="U49" s="38"/>
    </row>
    <row r="50" spans="1:21">
      <c r="A50" s="30">
        <f t="shared" ref="A50:B64" si="18">+A8</f>
        <v>43416.520833333336</v>
      </c>
      <c r="B50" s="51">
        <f t="shared" si="18"/>
        <v>0</v>
      </c>
      <c r="C50" s="71">
        <v>0</v>
      </c>
      <c r="D50" s="71">
        <v>0</v>
      </c>
      <c r="E50" s="71">
        <v>0</v>
      </c>
      <c r="F50" s="45">
        <f t="shared" ref="F50:F64" si="19">+$F$4</f>
        <v>79.122299999999996</v>
      </c>
      <c r="G50" s="1">
        <v>1</v>
      </c>
      <c r="I50" s="70">
        <f>((((1013.25+$C50-'Set-up_Mano_Grav'!$S$5)/1013.25)*($D50/100)*(($F50+1.5)/1000)/(0.08206*(273.15+'Set-up_Mano_Grav'!$P$3)))-(((1013.25-'Set-up_Mano_Grav'!$S$5)/1013.25)*($D49/100)*($F50/1000)/(0.08206*(273.15+'Set-up_Mano_Grav'!$P$3))))*'Set-up_Mano_Grav'!$R$5</f>
        <v>0</v>
      </c>
      <c r="J50" s="72">
        <v>0</v>
      </c>
      <c r="K50" s="72">
        <f>+Blank!M8</f>
        <v>0</v>
      </c>
      <c r="L50" s="72">
        <v>0</v>
      </c>
      <c r="M50" s="83"/>
      <c r="P50" s="102"/>
      <c r="Q50" s="72">
        <f>+B50</f>
        <v>0</v>
      </c>
      <c r="R50" s="38"/>
      <c r="S50" s="38">
        <v>185.57470000000001</v>
      </c>
      <c r="T50" s="104"/>
      <c r="U50" s="38"/>
    </row>
    <row r="51" spans="1:21">
      <c r="A51" s="30">
        <f t="shared" si="18"/>
        <v>43417.361111111109</v>
      </c>
      <c r="B51" s="32">
        <f t="shared" si="18"/>
        <v>0.84027777777373558</v>
      </c>
      <c r="C51" s="86">
        <v>378</v>
      </c>
      <c r="D51" s="48">
        <v>12.59</v>
      </c>
      <c r="E51" s="48">
        <v>22.76</v>
      </c>
      <c r="F51" s="45">
        <f t="shared" si="19"/>
        <v>79.122299999999996</v>
      </c>
      <c r="G51" s="44">
        <v>1</v>
      </c>
      <c r="I51" s="70">
        <f>((((1013.25+$C51-'Set-up_Mano_Grav'!$S$5)/1013.25)*($D51/100)*(($F51+1.5)/1000)/(0.08206*(273.15+'Set-up_Mano_Grav'!$P$3)))-(((1013.25-'Set-up_Mano_Grav'!$S$5)/1013.25)*($D50/100)*($F51/1000)/(0.08206*(273.15+'Set-up_Mano_Grav'!$P$3))))*'Set-up_Mano_Grav'!$R$5</f>
        <v>12.327897846295485</v>
      </c>
      <c r="J51" s="72">
        <f>+J50+I51</f>
        <v>12.327897846295485</v>
      </c>
      <c r="K51" s="72">
        <f>+Blank!M9</f>
        <v>7.499793660141445</v>
      </c>
      <c r="L51" s="72">
        <f t="shared" ref="L51:L64" si="20">+(J51-(K51*$I$4))/$H$4</f>
        <v>1.1089949581000242</v>
      </c>
      <c r="M51" s="83"/>
      <c r="P51" s="102"/>
      <c r="Q51" s="72">
        <f t="shared" ref="Q51:Q52" si="21">+B51</f>
        <v>0.84027777777373558</v>
      </c>
      <c r="R51" s="104">
        <v>185.57400000000001</v>
      </c>
      <c r="S51" s="104">
        <v>185.53829999999999</v>
      </c>
      <c r="T51" s="103">
        <f>+S50-R51</f>
        <v>6.9999999999481588E-4</v>
      </c>
      <c r="U51" s="99">
        <f>+R51-S51</f>
        <v>3.5700000000019827E-2</v>
      </c>
    </row>
    <row r="52" spans="1:21">
      <c r="A52" s="30">
        <f t="shared" si="18"/>
        <v>43418.364583333336</v>
      </c>
      <c r="B52" s="32">
        <f t="shared" si="18"/>
        <v>1.84375</v>
      </c>
      <c r="C52" s="67">
        <v>592</v>
      </c>
      <c r="D52" s="73">
        <v>29.42</v>
      </c>
      <c r="E52" s="73">
        <v>28.01</v>
      </c>
      <c r="F52" s="45">
        <f t="shared" si="19"/>
        <v>79.122299999999996</v>
      </c>
      <c r="G52" s="44">
        <v>1</v>
      </c>
      <c r="I52" s="70">
        <f>((((1013.25+$C52-'Set-up_Mano_Grav'!$S$5)/1013.25)*($D52/100)*(($F52+1.5)/1000)/(0.08206*(273.15+'Set-up_Mano_Grav'!$P$3)))-(((1013.25-'Set-up_Mano_Grav'!$S$5)/1013.25)*($D51/100)*($F52/1000)/(0.08206*(273.15+'Set-up_Mano_Grav'!$P$3))))*'Set-up_Mano_Grav'!$R$5</f>
        <v>24.67537559769972</v>
      </c>
      <c r="J52" s="72">
        <f t="shared" ref="J52:J64" si="22">+J51+I52</f>
        <v>37.003273443995205</v>
      </c>
      <c r="K52" s="72">
        <f>+Blank!M10</f>
        <v>15.095341000313356</v>
      </c>
      <c r="L52" s="72">
        <f t="shared" si="20"/>
        <v>16.909999364284872</v>
      </c>
      <c r="M52" s="83"/>
      <c r="P52" s="102"/>
      <c r="Q52" s="72">
        <f t="shared" si="21"/>
        <v>1.84375</v>
      </c>
      <c r="R52" s="104">
        <v>185.5385</v>
      </c>
      <c r="S52" s="104">
        <v>185.4828</v>
      </c>
      <c r="T52" s="103">
        <f t="shared" ref="T52:T53" si="23">+S51-R52</f>
        <v>-2.0000000000663931E-4</v>
      </c>
      <c r="U52" s="99">
        <f t="shared" ref="U52:U64" si="24">+R52-S52</f>
        <v>5.5700000000001637E-2</v>
      </c>
    </row>
    <row r="53" spans="1:21">
      <c r="A53" s="30">
        <f t="shared" si="18"/>
        <v>43419.371527777781</v>
      </c>
      <c r="B53" s="32">
        <f t="shared" si="18"/>
        <v>2.8506944444452529</v>
      </c>
      <c r="C53" s="67">
        <v>1862</v>
      </c>
      <c r="D53" s="73">
        <v>45.75</v>
      </c>
      <c r="E53" s="73">
        <v>37.85</v>
      </c>
      <c r="F53" s="45">
        <f t="shared" si="19"/>
        <v>79.122299999999996</v>
      </c>
      <c r="G53" s="44">
        <v>1</v>
      </c>
      <c r="I53" s="70">
        <f>((((1013.25+$C53-'Set-up_Mano_Grav'!$S$5)/1013.25)*($D53/100)*(($F53+1.5)/1000)/(0.08206*(273.15+'Set-up_Mano_Grav'!$P$3)))-(((1013.25-'Set-up_Mano_Grav'!$S$5)/1013.25)*($D52/100)*($F53/1000)/(0.08206*(273.15+'Set-up_Mano_Grav'!$P$3))))*'Set-up_Mano_Grav'!$R$5</f>
        <v>73.774338196066864</v>
      </c>
      <c r="J53" s="72">
        <f t="shared" si="22"/>
        <v>110.77761164006208</v>
      </c>
      <c r="K53" s="72">
        <f>+Blank!M11</f>
        <v>21.415568499765985</v>
      </c>
      <c r="L53" s="72">
        <f t="shared" si="20"/>
        <v>94.165718203262898</v>
      </c>
      <c r="M53" s="83"/>
      <c r="P53" s="102"/>
      <c r="Q53" s="72">
        <f>+B53</f>
        <v>2.8506944444452529</v>
      </c>
      <c r="R53" s="104">
        <v>185.48060000000001</v>
      </c>
      <c r="S53" s="104">
        <v>185.2893</v>
      </c>
      <c r="T53" s="103">
        <f t="shared" si="23"/>
        <v>2.1999999999877673E-3</v>
      </c>
      <c r="U53" s="99">
        <f t="shared" si="24"/>
        <v>0.19130000000001246</v>
      </c>
    </row>
    <row r="54" spans="1:21">
      <c r="A54" s="30">
        <f t="shared" si="18"/>
        <v>43420.329861111109</v>
      </c>
      <c r="B54" s="32">
        <f t="shared" si="18"/>
        <v>3.8090277777737356</v>
      </c>
      <c r="C54" s="67">
        <v>2154</v>
      </c>
      <c r="D54" s="64">
        <v>47.51</v>
      </c>
      <c r="E54" s="64">
        <v>46.39</v>
      </c>
      <c r="F54" s="45">
        <f t="shared" si="19"/>
        <v>79.122299999999996</v>
      </c>
      <c r="G54" s="44">
        <v>1</v>
      </c>
      <c r="I54" s="70">
        <f>((((1013.25+$C54-'Set-up_Mano_Grav'!$S$5)/1013.25)*($D54/100)*(($F54+1.5)/1000)/(0.08206*(273.15+'Set-up_Mano_Grav'!$P$3)))-(((1013.25-'Set-up_Mano_Grav'!$S$5)/1013.25)*($D53/100)*($F54/1000)/(0.08206*(273.15+'Set-up_Mano_Grav'!$P$3))))*'Set-up_Mano_Grav'!$R$5</f>
        <v>76.181010283918553</v>
      </c>
      <c r="J54" s="72">
        <f t="shared" si="22"/>
        <v>186.95862192398062</v>
      </c>
      <c r="K54" s="72">
        <f>+Blank!M12</f>
        <v>26.980971434669375</v>
      </c>
      <c r="L54" s="72">
        <f t="shared" si="20"/>
        <v>175.70161926868317</v>
      </c>
      <c r="M54" s="83"/>
      <c r="P54" s="102"/>
      <c r="Q54" s="72">
        <f t="shared" ref="Q54:Q64" si="25">+B54</f>
        <v>3.8090277777737356</v>
      </c>
      <c r="R54" s="104">
        <v>185.2895</v>
      </c>
      <c r="S54" s="104">
        <v>185.05439999999999</v>
      </c>
      <c r="T54" s="103">
        <f>+S53-R54</f>
        <v>-2.0000000000663931E-4</v>
      </c>
      <c r="U54" s="99">
        <f t="shared" si="24"/>
        <v>0.23510000000001696</v>
      </c>
    </row>
    <row r="55" spans="1:21">
      <c r="A55" s="30">
        <f t="shared" si="18"/>
        <v>43421.381944444445</v>
      </c>
      <c r="B55" s="32">
        <f t="shared" si="18"/>
        <v>4.8611111111094942</v>
      </c>
      <c r="C55" s="68">
        <v>1499</v>
      </c>
      <c r="D55" s="64">
        <v>45.29</v>
      </c>
      <c r="E55" s="64">
        <v>50.26</v>
      </c>
      <c r="F55" s="45">
        <f t="shared" si="19"/>
        <v>79.122299999999996</v>
      </c>
      <c r="G55" s="44">
        <v>1</v>
      </c>
      <c r="I55" s="70">
        <f>((((1013.25+$C55-'Set-up_Mano_Grav'!$S$5)/1013.25)*($D55/100)*(($F55+1.5)/1000)/(0.08206*(273.15+'Set-up_Mano_Grav'!$P$3)))-(((1013.25-'Set-up_Mano_Grav'!$S$5)/1013.25)*($D54/100)*($F55/1000)/(0.08206*(273.15+'Set-up_Mano_Grav'!$P$3))))*'Set-up_Mano_Grav'!$R$5</f>
        <v>48.376320641513168</v>
      </c>
      <c r="J55" s="72">
        <f t="shared" si="22"/>
        <v>235.33494256549378</v>
      </c>
      <c r="K55" s="72">
        <f>+Blank!M13</f>
        <v>31.601758649954835</v>
      </c>
      <c r="L55" s="72">
        <f t="shared" si="20"/>
        <v>225.48833841332529</v>
      </c>
      <c r="M55" s="83"/>
      <c r="P55" s="102"/>
      <c r="Q55" s="72">
        <f t="shared" si="25"/>
        <v>4.8611111111094942</v>
      </c>
      <c r="R55" s="104">
        <v>185.05330000000001</v>
      </c>
      <c r="S55" s="104">
        <v>184.8886</v>
      </c>
      <c r="T55" s="103">
        <f>+S54-R55</f>
        <v>1.0999999999796728E-3</v>
      </c>
      <c r="U55" s="99">
        <f t="shared" si="24"/>
        <v>0.1647000000000105</v>
      </c>
    </row>
    <row r="56" spans="1:21">
      <c r="A56" s="30">
        <f t="shared" si="18"/>
        <v>43422.379861111112</v>
      </c>
      <c r="B56" s="32">
        <f t="shared" si="18"/>
        <v>5.859027777776646</v>
      </c>
      <c r="C56" s="68">
        <v>831</v>
      </c>
      <c r="D56" s="64">
        <v>44.15</v>
      </c>
      <c r="E56" s="64">
        <v>52.4</v>
      </c>
      <c r="F56" s="45">
        <f t="shared" si="19"/>
        <v>79.122299999999996</v>
      </c>
      <c r="G56" s="44">
        <v>1</v>
      </c>
      <c r="I56" s="70">
        <f>((((1013.25+$C56-'Set-up_Mano_Grav'!$S$5)/1013.25)*($D56/100)*(($F56+1.5)/1000)/(0.08206*(273.15+'Set-up_Mano_Grav'!$P$3)))-(((1013.25-'Set-up_Mano_Grav'!$S$5)/1013.25)*($D55/100)*($F56/1000)/(0.08206*(273.15+'Set-up_Mano_Grav'!$P$3))))*'Set-up_Mano_Grav'!$R$5</f>
        <v>26.442524286069816</v>
      </c>
      <c r="J56" s="72">
        <f t="shared" si="22"/>
        <v>261.77746685156359</v>
      </c>
      <c r="K56" s="72">
        <f>+Blank!M14</f>
        <v>35.740399764536022</v>
      </c>
      <c r="L56" s="72">
        <f t="shared" si="20"/>
        <v>249.74796232393226</v>
      </c>
      <c r="M56" s="83"/>
      <c r="P56" s="102"/>
      <c r="Q56" s="72">
        <f t="shared" si="25"/>
        <v>5.859027777776646</v>
      </c>
      <c r="R56" s="104">
        <v>184.88939999999999</v>
      </c>
      <c r="S56" s="104">
        <v>184.80250000000001</v>
      </c>
      <c r="T56" s="103">
        <f t="shared" ref="T56:T64" si="26">+S55-R56</f>
        <v>-7.9999999999813554E-4</v>
      </c>
      <c r="U56" s="99">
        <f t="shared" si="24"/>
        <v>8.6899999999985766E-2</v>
      </c>
    </row>
    <row r="57" spans="1:21">
      <c r="A57" s="30">
        <f t="shared" si="18"/>
        <v>43423.36041666667</v>
      </c>
      <c r="B57" s="32">
        <f t="shared" si="18"/>
        <v>6.8395833333343035</v>
      </c>
      <c r="C57" s="68">
        <v>528</v>
      </c>
      <c r="D57" s="64">
        <v>44.75</v>
      </c>
      <c r="E57" s="64">
        <v>50.41</v>
      </c>
      <c r="F57" s="45">
        <f t="shared" si="19"/>
        <v>79.122299999999996</v>
      </c>
      <c r="G57" s="44">
        <v>1</v>
      </c>
      <c r="I57" s="70">
        <f>((((1013.25+$C57-'Set-up_Mano_Grav'!$S$5)/1013.25)*($D57/100)*(($F57+1.5)/1000)/(0.08206*(273.15+'Set-up_Mano_Grav'!$P$3)))-(((1013.25-'Set-up_Mano_Grav'!$S$5)/1013.25)*($D56/100)*($F57/1000)/(0.08206*(273.15+'Set-up_Mano_Grav'!$P$3))))*'Set-up_Mano_Grav'!$R$5</f>
        <v>18.165804884180847</v>
      </c>
      <c r="J57" s="72">
        <f t="shared" si="22"/>
        <v>279.94327173574442</v>
      </c>
      <c r="K57" s="72">
        <f>+Blank!M15</f>
        <v>39.743257144749556</v>
      </c>
      <c r="L57" s="72">
        <f t="shared" si="20"/>
        <v>264.29041060869764</v>
      </c>
      <c r="M57" s="83"/>
      <c r="P57" s="102"/>
      <c r="Q57" s="72">
        <f t="shared" si="25"/>
        <v>6.8395833333343035</v>
      </c>
      <c r="R57" s="104">
        <v>184.79810000000001</v>
      </c>
      <c r="S57" s="104">
        <v>184.7441</v>
      </c>
      <c r="T57" s="103">
        <f t="shared" si="26"/>
        <v>4.4000000000039563E-3</v>
      </c>
      <c r="U57" s="99">
        <f t="shared" si="24"/>
        <v>5.4000000000002046E-2</v>
      </c>
    </row>
    <row r="58" spans="1:21">
      <c r="A58" s="30">
        <f t="shared" si="18"/>
        <v>43425.4375</v>
      </c>
      <c r="B58" s="32">
        <f t="shared" si="18"/>
        <v>8.9166666666642413</v>
      </c>
      <c r="C58" s="68">
        <v>644</v>
      </c>
      <c r="D58" s="64">
        <v>52.44</v>
      </c>
      <c r="E58" s="64">
        <v>46.46</v>
      </c>
      <c r="F58" s="45">
        <f t="shared" si="19"/>
        <v>79.122299999999996</v>
      </c>
      <c r="G58" s="44">
        <v>1</v>
      </c>
      <c r="I58" s="70">
        <f>((((1013.25+$C58-'Set-up_Mano_Grav'!$S$5)/1013.25)*($D58/100)*(($F58+1.5)/1000)/(0.08206*(273.15+'Set-up_Mano_Grav'!$P$3)))-(((1013.25-'Set-up_Mano_Grav'!$S$5)/1013.25)*($D57/100)*($F58/1000)/(0.08206*(273.15+'Set-up_Mano_Grav'!$P$3))))*'Set-up_Mano_Grav'!$R$5</f>
        <v>30.537725756981999</v>
      </c>
      <c r="J58" s="72">
        <f t="shared" si="22"/>
        <v>310.48099749272643</v>
      </c>
      <c r="K58" s="72">
        <f>+Blank!M16</f>
        <v>47.149282401477649</v>
      </c>
      <c r="L58" s="72">
        <f t="shared" si="20"/>
        <v>287.49724449371229</v>
      </c>
      <c r="M58" s="83"/>
      <c r="P58" s="102"/>
      <c r="Q58" s="72">
        <f t="shared" si="25"/>
        <v>8.9166666666642413</v>
      </c>
      <c r="R58" s="104">
        <v>184.7473</v>
      </c>
      <c r="S58" s="104">
        <v>184.6833</v>
      </c>
      <c r="T58" s="103">
        <f t="shared" si="26"/>
        <v>-3.1999999999925421E-3</v>
      </c>
      <c r="U58" s="105">
        <f t="shared" si="24"/>
        <v>6.3999999999992951E-2</v>
      </c>
    </row>
    <row r="59" spans="1:21">
      <c r="A59" s="30">
        <f t="shared" si="18"/>
        <v>43427.399305555555</v>
      </c>
      <c r="B59" s="32">
        <f t="shared" si="18"/>
        <v>10.878472222218988</v>
      </c>
      <c r="C59" s="68">
        <v>442</v>
      </c>
      <c r="D59" s="64">
        <v>52.44</v>
      </c>
      <c r="E59" s="64">
        <v>44.72</v>
      </c>
      <c r="F59" s="45">
        <f t="shared" si="19"/>
        <v>79.122299999999996</v>
      </c>
      <c r="G59" s="44">
        <v>1</v>
      </c>
      <c r="I59" s="70">
        <f>((((1013.25+$C59-'Set-up_Mano_Grav'!$S$5)/1013.25)*($D59/100)*(($F59+1.5)/1000)/(0.08206*(273.15+'Set-up_Mano_Grav'!$P$3)))-(((1013.25-'Set-up_Mano_Grav'!$S$5)/1013.25)*($D58/100)*($F59/1000)/(0.08206*(273.15+'Set-up_Mano_Grav'!$P$3))))*'Set-up_Mano_Grav'!$R$5</f>
        <v>17.525177531114409</v>
      </c>
      <c r="J59" s="72">
        <f t="shared" si="22"/>
        <v>328.00617502384085</v>
      </c>
      <c r="K59" s="72">
        <f>+Blank!M17</f>
        <v>52.748081713489995</v>
      </c>
      <c r="L59" s="72">
        <f t="shared" si="20"/>
        <v>298.34558623283579</v>
      </c>
      <c r="M59" s="83"/>
      <c r="P59" s="102"/>
      <c r="Q59" s="72">
        <f t="shared" si="25"/>
        <v>10.878472222218988</v>
      </c>
      <c r="R59" s="104">
        <v>184.68559999999999</v>
      </c>
      <c r="S59" s="104">
        <v>184.6446</v>
      </c>
      <c r="T59" s="103">
        <f t="shared" si="26"/>
        <v>-2.299999999991087E-3</v>
      </c>
      <c r="U59" s="105">
        <f t="shared" si="24"/>
        <v>4.0999999999996817E-2</v>
      </c>
    </row>
    <row r="60" spans="1:21">
      <c r="A60" s="30">
        <f t="shared" si="18"/>
        <v>43429.645833333336</v>
      </c>
      <c r="B60" s="32">
        <f t="shared" si="18"/>
        <v>13.125</v>
      </c>
      <c r="C60" s="68">
        <v>371</v>
      </c>
      <c r="D60" s="64">
        <v>53.99</v>
      </c>
      <c r="E60" s="64">
        <v>44.94</v>
      </c>
      <c r="F60" s="45">
        <f t="shared" si="19"/>
        <v>79.122299999999996</v>
      </c>
      <c r="G60" s="44">
        <v>1</v>
      </c>
      <c r="I60" s="70">
        <f>((((1013.25+$C60-'Set-up_Mano_Grav'!$S$5)/1013.25)*($D60/100)*(($F60+1.5)/1000)/(0.08206*(273.15+'Set-up_Mano_Grav'!$P$3)))-(((1013.25-'Set-up_Mano_Grav'!$S$5)/1013.25)*($D59/100)*($F60/1000)/(0.08206*(273.15+'Set-up_Mano_Grav'!$P$3))))*'Set-up_Mano_Grav'!$R$5</f>
        <v>16.330322689481818</v>
      </c>
      <c r="J60" s="72">
        <f t="shared" si="22"/>
        <v>344.33649771332267</v>
      </c>
      <c r="K60" s="72">
        <f>+Blank!M18</f>
        <v>58.393129193530037</v>
      </c>
      <c r="L60" s="72">
        <f t="shared" si="20"/>
        <v>307.67052855711302</v>
      </c>
      <c r="M60" s="83"/>
      <c r="P60" s="102"/>
      <c r="Q60" s="72">
        <f t="shared" si="25"/>
        <v>13.125</v>
      </c>
      <c r="R60" s="104">
        <v>184.64420000000001</v>
      </c>
      <c r="S60" s="104">
        <v>184.60659999999999</v>
      </c>
      <c r="T60" s="103">
        <f t="shared" si="26"/>
        <v>3.9999999998485691E-4</v>
      </c>
      <c r="U60" s="105">
        <f t="shared" si="24"/>
        <v>3.7600000000026057E-2</v>
      </c>
    </row>
    <row r="61" spans="1:21">
      <c r="A61" s="30">
        <f t="shared" si="18"/>
        <v>43432.375</v>
      </c>
      <c r="B61" s="32">
        <f t="shared" si="18"/>
        <v>15.854166666664241</v>
      </c>
      <c r="C61" s="68">
        <v>296</v>
      </c>
      <c r="D61" s="116">
        <f>+(D60+D62)/2</f>
        <v>54.69</v>
      </c>
      <c r="E61" s="116">
        <f>+(E60+E62)/2</f>
        <v>44.14</v>
      </c>
      <c r="F61" s="45">
        <f t="shared" si="19"/>
        <v>79.122299999999996</v>
      </c>
      <c r="G61" s="44">
        <v>1</v>
      </c>
      <c r="I61" s="70">
        <f>((((1013.25+$C61-'Set-up_Mano_Grav'!$S$5)/1013.25)*($D61/100)*(($F61+1.5)/1000)/(0.08206*(273.15+'Set-up_Mano_Grav'!$P$3)))-(((1013.25-'Set-up_Mano_Grav'!$S$5)/1013.25)*($D60/100)*($F61/1000)/(0.08206*(273.15+'Set-up_Mano_Grav'!$P$3))))*'Set-up_Mano_Grav'!$R$5</f>
        <v>12.960729129597398</v>
      </c>
      <c r="J61" s="72">
        <f t="shared" si="22"/>
        <v>357.29722684292005</v>
      </c>
      <c r="K61" s="72">
        <f>+Blank!M19</f>
        <v>64.261148135934619</v>
      </c>
      <c r="L61" s="72">
        <f t="shared" si="20"/>
        <v>312.52986557292809</v>
      </c>
      <c r="M61" s="83"/>
      <c r="P61" s="102"/>
      <c r="Q61" s="72">
        <f t="shared" si="25"/>
        <v>15.854166666664241</v>
      </c>
      <c r="R61" s="104">
        <v>184.6044</v>
      </c>
      <c r="S61" s="104">
        <v>184.578</v>
      </c>
      <c r="T61" s="103">
        <f t="shared" si="26"/>
        <v>2.1999999999877673E-3</v>
      </c>
      <c r="U61" s="105">
        <f t="shared" si="24"/>
        <v>2.6399999999995316E-2</v>
      </c>
    </row>
    <row r="62" spans="1:21">
      <c r="A62" s="30">
        <f t="shared" si="18"/>
        <v>43435.430555555555</v>
      </c>
      <c r="B62" s="32">
        <f t="shared" si="18"/>
        <v>18.909722222218988</v>
      </c>
      <c r="C62" s="68">
        <v>252</v>
      </c>
      <c r="D62" s="64">
        <v>55.39</v>
      </c>
      <c r="E62" s="64">
        <v>43.34</v>
      </c>
      <c r="F62" s="45">
        <f t="shared" si="19"/>
        <v>79.122299999999996</v>
      </c>
      <c r="G62" s="44">
        <v>1</v>
      </c>
      <c r="I62" s="70">
        <f>((((1013.25+$C62-'Set-up_Mano_Grav'!$S$5)/1013.25)*($D62/100)*(($F62+1.5)/1000)/(0.08206*(273.15+'Set-up_Mano_Grav'!$P$3)))-(((1013.25-'Set-up_Mano_Grav'!$S$5)/1013.25)*($D61/100)*($F62/1000)/(0.08206*(273.15+'Set-up_Mano_Grav'!$P$3))))*'Set-up_Mano_Grav'!$R$5</f>
        <v>11.349976807548563</v>
      </c>
      <c r="J62" s="72">
        <f t="shared" si="22"/>
        <v>368.64720365046861</v>
      </c>
      <c r="K62" s="72">
        <f>+Blank!M20</f>
        <v>70.2793536364196</v>
      </c>
      <c r="L62" s="72">
        <f t="shared" si="20"/>
        <v>315.17468046976711</v>
      </c>
      <c r="M62" s="83"/>
      <c r="P62" s="102"/>
      <c r="Q62" s="72">
        <f t="shared" si="25"/>
        <v>18.909722222218988</v>
      </c>
      <c r="R62" s="104">
        <v>184.57660000000001</v>
      </c>
      <c r="S62" s="104">
        <v>184.5556</v>
      </c>
      <c r="T62" s="103">
        <f t="shared" si="26"/>
        <v>1.3999999999896318E-3</v>
      </c>
      <c r="U62" s="105">
        <f t="shared" si="24"/>
        <v>2.1000000000015007E-2</v>
      </c>
    </row>
    <row r="63" spans="1:21">
      <c r="A63" s="30">
        <f t="shared" si="18"/>
        <v>43439.381944444445</v>
      </c>
      <c r="B63" s="32">
        <f t="shared" si="18"/>
        <v>22.861111111109494</v>
      </c>
      <c r="C63" s="68">
        <v>252</v>
      </c>
      <c r="D63" s="64">
        <v>57.11</v>
      </c>
      <c r="E63" s="64">
        <v>42.28</v>
      </c>
      <c r="F63" s="45">
        <f t="shared" si="19"/>
        <v>79.122299999999996</v>
      </c>
      <c r="G63" s="44">
        <v>1</v>
      </c>
      <c r="I63" s="70">
        <f>((((1013.25+$C63-'Set-up_Mano_Grav'!$S$5)/1013.25)*($D63/100)*(($F63+1.5)/1000)/(0.08206*(273.15+'Set-up_Mano_Grav'!$P$3)))-(((1013.25-'Set-up_Mano_Grav'!$S$5)/1013.25)*($D62/100)*($F63/1000)/(0.08206*(273.15+'Set-up_Mano_Grav'!$P$3))))*'Set-up_Mano_Grav'!$R$5</f>
        <v>12.392700370601446</v>
      </c>
      <c r="J63" s="72">
        <f t="shared" si="22"/>
        <v>381.03990402107007</v>
      </c>
      <c r="K63" s="72">
        <f>+Blank!M21</f>
        <v>76.613455569938893</v>
      </c>
      <c r="L63" s="72">
        <f t="shared" si="20"/>
        <v>318.49650037057484</v>
      </c>
      <c r="M63" s="83"/>
      <c r="P63" s="102"/>
      <c r="Q63" s="72">
        <f t="shared" si="25"/>
        <v>22.861111111109494</v>
      </c>
      <c r="R63" s="104">
        <v>184.55009999999999</v>
      </c>
      <c r="S63" s="104">
        <v>184.529</v>
      </c>
      <c r="T63" s="103">
        <f t="shared" si="26"/>
        <v>5.5000000000120508E-3</v>
      </c>
      <c r="U63" s="105">
        <f t="shared" si="24"/>
        <v>2.1099999999989905E-2</v>
      </c>
    </row>
    <row r="64" spans="1:21">
      <c r="A64" s="30">
        <f t="shared" si="18"/>
        <v>43443.666666666664</v>
      </c>
      <c r="B64" s="32">
        <f t="shared" si="18"/>
        <v>27.145833333328483</v>
      </c>
      <c r="C64" s="68">
        <v>286</v>
      </c>
      <c r="D64" s="85">
        <v>58.64</v>
      </c>
      <c r="E64" s="85">
        <v>40.69</v>
      </c>
      <c r="F64" s="45">
        <f t="shared" si="19"/>
        <v>79.122299999999996</v>
      </c>
      <c r="G64" s="44">
        <v>1</v>
      </c>
      <c r="I64" s="70">
        <f>((((1013.25+$C64-'Set-up_Mano_Grav'!$S$5)/1013.25)*($D64/100)*(($F64+1.5)/1000)/(0.08206*(273.15+'Set-up_Mano_Grav'!$P$3)))-(((1013.25-'Set-up_Mano_Grav'!$S$5)/1013.25)*($D63/100)*($F64/1000)/(0.08206*(273.15+'Set-up_Mano_Grav'!$P$3))))*'Set-up_Mano_Grav'!$R$5</f>
        <v>14.009805727363949</v>
      </c>
      <c r="J64" s="72">
        <f t="shared" si="22"/>
        <v>395.049709748434</v>
      </c>
      <c r="K64" s="72">
        <f>+Blank!M22</f>
        <v>83.365296075465409</v>
      </c>
      <c r="L64" s="72">
        <f t="shared" si="20"/>
        <v>323.00041843366949</v>
      </c>
      <c r="P64" s="102"/>
      <c r="Q64" s="72">
        <f t="shared" si="25"/>
        <v>27.145833333328483</v>
      </c>
      <c r="R64" s="104">
        <v>184.52670000000001</v>
      </c>
      <c r="S64" s="104">
        <v>184.4957</v>
      </c>
      <c r="T64" s="103">
        <f t="shared" si="26"/>
        <v>2.299999999991087E-3</v>
      </c>
      <c r="U64" s="105">
        <f t="shared" si="24"/>
        <v>3.1000000000005912E-2</v>
      </c>
    </row>
    <row r="65" spans="1:21">
      <c r="A65" s="30"/>
      <c r="B65" s="32"/>
      <c r="C65" s="68"/>
      <c r="D65" s="85"/>
      <c r="E65" s="85"/>
      <c r="F65" s="45"/>
      <c r="G65" s="44"/>
      <c r="I65" s="70"/>
      <c r="J65" s="72"/>
      <c r="K65" s="72"/>
      <c r="L65" s="72"/>
      <c r="P65" s="102"/>
      <c r="Q65" s="72"/>
      <c r="R65" s="104"/>
      <c r="S65" s="104"/>
      <c r="T65" s="103"/>
      <c r="U65" s="105"/>
    </row>
    <row r="66" spans="1:21">
      <c r="A66" s="30"/>
      <c r="B66" s="32"/>
      <c r="C66" s="68"/>
      <c r="D66" s="85"/>
      <c r="E66" s="85"/>
      <c r="F66" s="45"/>
      <c r="G66" s="44"/>
      <c r="I66" s="70"/>
      <c r="J66" s="72"/>
      <c r="K66" s="72"/>
      <c r="L66" s="72"/>
      <c r="P66" s="102"/>
      <c r="Q66" s="72"/>
      <c r="R66" s="104"/>
      <c r="S66" s="104"/>
      <c r="T66" s="103"/>
      <c r="U66" s="105"/>
    </row>
    <row r="67" spans="1:21">
      <c r="A67" s="30"/>
      <c r="B67" s="32"/>
      <c r="C67" s="68"/>
      <c r="D67" s="85"/>
      <c r="E67" s="85"/>
      <c r="F67" s="45"/>
      <c r="G67" s="44"/>
      <c r="I67" s="70"/>
      <c r="J67" s="72"/>
      <c r="K67" s="72"/>
      <c r="L67" s="72"/>
      <c r="P67" s="102"/>
      <c r="Q67" s="72"/>
      <c r="R67" s="104"/>
      <c r="S67" s="104"/>
      <c r="T67" s="103"/>
      <c r="U67" s="105"/>
    </row>
    <row r="68" spans="1:21">
      <c r="R68" s="104"/>
      <c r="S68" s="104"/>
    </row>
    <row r="69" spans="1:21">
      <c r="R69" s="104"/>
      <c r="S69" s="104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79998168889431442"/>
  </sheetPr>
  <dimension ref="A1:AK67"/>
  <sheetViews>
    <sheetView topLeftCell="A7" zoomScale="55" zoomScaleNormal="55" workbookViewId="0">
      <selection activeCell="A65" sqref="A65:V69"/>
    </sheetView>
  </sheetViews>
  <sheetFormatPr defaultColWidth="9.140625" defaultRowHeight="15"/>
  <cols>
    <col min="1" max="1" width="19.140625" style="69" customWidth="1"/>
    <col min="2" max="2" width="16.85546875" style="69" bestFit="1" customWidth="1"/>
    <col min="3" max="3" width="14.28515625" style="69" customWidth="1"/>
    <col min="4" max="4" width="15.85546875" style="69" bestFit="1" customWidth="1"/>
    <col min="5" max="5" width="15.85546875" style="69" customWidth="1"/>
    <col min="6" max="6" width="15.140625" style="69" bestFit="1" customWidth="1"/>
    <col min="7" max="7" width="16.42578125" style="69" customWidth="1"/>
    <col min="8" max="8" width="15.85546875" style="69" customWidth="1"/>
    <col min="9" max="9" width="21.85546875" style="69" bestFit="1" customWidth="1"/>
    <col min="10" max="10" width="18.28515625" style="69" bestFit="1" customWidth="1"/>
    <col min="11" max="11" width="17.85546875" style="69" customWidth="1"/>
    <col min="12" max="12" width="20.7109375" style="69" customWidth="1"/>
    <col min="13" max="13" width="8.140625" style="69" bestFit="1" customWidth="1"/>
    <col min="14" max="14" width="12.140625" style="69" customWidth="1"/>
    <col min="15" max="15" width="9.140625" style="69"/>
    <col min="16" max="16" width="4.42578125" style="69" customWidth="1"/>
    <col min="17" max="17" width="12.5703125" style="69" customWidth="1"/>
    <col min="18" max="19" width="11.140625" style="69" bestFit="1" customWidth="1"/>
    <col min="20" max="20" width="12.85546875" style="69" customWidth="1"/>
    <col min="21" max="21" width="16.7109375" style="69" customWidth="1"/>
    <col min="22" max="16384" width="9.140625" style="69"/>
  </cols>
  <sheetData>
    <row r="1" spans="1:37">
      <c r="A1" s="3"/>
      <c r="B1" s="3" t="s">
        <v>15</v>
      </c>
      <c r="C1" s="3" t="s">
        <v>41</v>
      </c>
      <c r="D1" s="3" t="s">
        <v>40</v>
      </c>
      <c r="E1" s="3" t="s">
        <v>16</v>
      </c>
      <c r="F1" s="3" t="s">
        <v>17</v>
      </c>
      <c r="G1" s="3"/>
      <c r="H1" s="3" t="s">
        <v>18</v>
      </c>
      <c r="I1" s="3" t="s">
        <v>19</v>
      </c>
      <c r="K1" s="35"/>
      <c r="L1" s="35"/>
    </row>
    <row r="2" spans="1:37">
      <c r="A2" s="59" t="str">
        <f>+'Set-up_Mano_Grav'!B29</f>
        <v>C</v>
      </c>
      <c r="B2" s="97">
        <f>+'Set-up_Mano_Grav'!C29</f>
        <v>80.024000000000001</v>
      </c>
      <c r="C2" s="97">
        <f>+'Set-up_Mano_Grav'!D29</f>
        <v>0</v>
      </c>
      <c r="D2" s="97">
        <f>+'Set-up_Mano_Grav'!E29</f>
        <v>0.97040000000000004</v>
      </c>
      <c r="E2" s="97">
        <f>+'Set-up_Mano_Grav'!F29</f>
        <v>80.994399999999999</v>
      </c>
      <c r="F2" s="97">
        <f>+'Set-up_Mano_Grav'!G29</f>
        <v>79.005600000000001</v>
      </c>
      <c r="G2" s="97"/>
      <c r="H2" s="97">
        <f>+'Set-up_Mano_Grav'!I29</f>
        <v>0.78894051804324872</v>
      </c>
      <c r="I2" s="97">
        <f>+'Set-up_Mano_Grav'!J29</f>
        <v>1.5209385686546697</v>
      </c>
      <c r="K2" s="39"/>
      <c r="L2" s="74"/>
    </row>
    <row r="3" spans="1:37">
      <c r="A3" s="59" t="str">
        <f>+'Set-up_Mano_Grav'!B30</f>
        <v>C</v>
      </c>
      <c r="B3" s="97">
        <f>+'Set-up_Mano_Grav'!C30</f>
        <v>80.001999999999995</v>
      </c>
      <c r="C3" s="97">
        <f>+'Set-up_Mano_Grav'!D30</f>
        <v>0</v>
      </c>
      <c r="D3" s="97">
        <f>+'Set-up_Mano_Grav'!E30</f>
        <v>0.9718</v>
      </c>
      <c r="E3" s="97">
        <f>+'Set-up_Mano_Grav'!F30</f>
        <v>80.973799999999997</v>
      </c>
      <c r="F3" s="97">
        <f>+'Set-up_Mano_Grav'!G30</f>
        <v>79.026200000000003</v>
      </c>
      <c r="G3" s="97"/>
      <c r="H3" s="97">
        <f>+'Set-up_Mano_Grav'!I30</f>
        <v>0.79007872571561122</v>
      </c>
      <c r="I3" s="97">
        <f>+'Set-up_Mano_Grav'!J30</f>
        <v>1.5205204359880897</v>
      </c>
      <c r="K3" s="39"/>
    </row>
    <row r="4" spans="1:37">
      <c r="A4" s="59" t="str">
        <f>+'Set-up_Mano_Grav'!B31</f>
        <v>C</v>
      </c>
      <c r="B4" s="97">
        <f>+'Set-up_Mano_Grav'!C31</f>
        <v>80.021000000000001</v>
      </c>
      <c r="C4" s="97">
        <f>+'Set-up_Mano_Grav'!D31</f>
        <v>0</v>
      </c>
      <c r="D4" s="97">
        <f>+'Set-up_Mano_Grav'!E31</f>
        <v>0.97130000000000005</v>
      </c>
      <c r="E4" s="97">
        <f>+'Set-up_Mano_Grav'!F31</f>
        <v>80.9923</v>
      </c>
      <c r="F4" s="97">
        <f>+'Set-up_Mano_Grav'!G31</f>
        <v>79.0077</v>
      </c>
      <c r="G4" s="97"/>
      <c r="H4" s="97">
        <f>+'Set-up_Mano_Grav'!I31</f>
        <v>0.78967222297548179</v>
      </c>
      <c r="I4" s="97">
        <f>+'Set-up_Mano_Grav'!J31</f>
        <v>1.5208815505637727</v>
      </c>
      <c r="K4" s="39"/>
    </row>
    <row r="6" spans="1:37" ht="84.75" customHeight="1">
      <c r="A6" s="28" t="s">
        <v>0</v>
      </c>
      <c r="B6" s="36" t="s">
        <v>22</v>
      </c>
      <c r="C6" s="27" t="s">
        <v>31</v>
      </c>
      <c r="D6" s="28" t="s">
        <v>23</v>
      </c>
      <c r="E6" s="28" t="s">
        <v>48</v>
      </c>
      <c r="F6" s="36" t="s">
        <v>24</v>
      </c>
      <c r="G6" s="27" t="s">
        <v>25</v>
      </c>
      <c r="H6" s="29"/>
      <c r="I6" s="36" t="s">
        <v>36</v>
      </c>
      <c r="J6" s="36" t="s">
        <v>33</v>
      </c>
      <c r="K6" s="75" t="s">
        <v>32</v>
      </c>
      <c r="L6" s="36" t="s">
        <v>34</v>
      </c>
      <c r="N6" s="36" t="s">
        <v>37</v>
      </c>
      <c r="O6" s="36" t="s">
        <v>27</v>
      </c>
      <c r="P6" s="57"/>
      <c r="Q6" s="36" t="s">
        <v>45</v>
      </c>
      <c r="R6" s="36" t="s">
        <v>43</v>
      </c>
      <c r="S6" s="36" t="s">
        <v>44</v>
      </c>
      <c r="T6" s="36" t="s">
        <v>46</v>
      </c>
      <c r="U6" s="36" t="s">
        <v>47</v>
      </c>
    </row>
    <row r="7" spans="1:37">
      <c r="A7" s="23" t="s">
        <v>28</v>
      </c>
      <c r="B7" s="31"/>
      <c r="C7" s="22"/>
      <c r="D7" s="22"/>
      <c r="E7" s="22"/>
      <c r="F7" s="22"/>
      <c r="G7" s="22"/>
      <c r="H7" s="22"/>
      <c r="I7" s="22"/>
      <c r="J7" s="22"/>
      <c r="K7" s="22"/>
      <c r="L7" s="22"/>
      <c r="P7" s="57"/>
    </row>
    <row r="8" spans="1:37">
      <c r="A8" s="30">
        <f>+Blank!A8</f>
        <v>43416.520833333336</v>
      </c>
      <c r="B8" s="32">
        <v>0</v>
      </c>
      <c r="C8" s="71">
        <v>0</v>
      </c>
      <c r="D8" s="71">
        <v>0</v>
      </c>
      <c r="E8" s="71">
        <v>0</v>
      </c>
      <c r="F8" s="45">
        <f t="shared" ref="F8:F22" si="0">+$F$2</f>
        <v>79.005600000000001</v>
      </c>
      <c r="G8" s="1">
        <v>1</v>
      </c>
      <c r="I8" s="70">
        <f>((((1013.25+$C8-'Set-up_Mano_Grav'!$S$5)/1013.25)*($D8/100)*(($F8+1.5)/1000)/(0.08206*(273.15+'Set-up_Mano_Grav'!$P$3)))-(((1013.25-'Set-up_Mano_Grav'!$S$5)/1013.25)*($D7/100)*($F8/1000)/(0.08206*(273.15+'Set-up_Mano_Grav'!$P$3))))*'Set-up_Mano_Grav'!$R$5</f>
        <v>0</v>
      </c>
      <c r="J8" s="72">
        <v>0</v>
      </c>
      <c r="K8" s="72">
        <f>+Blank!M8</f>
        <v>0</v>
      </c>
      <c r="L8" s="72">
        <v>0</v>
      </c>
      <c r="N8" s="34">
        <f t="shared" ref="N8:N22" si="1">AVERAGE(L8,L29,L50)</f>
        <v>0</v>
      </c>
      <c r="O8" s="72">
        <f t="shared" ref="O8:O22" si="2">+_xlfn.STDEV.S(L8,L29,L50)</f>
        <v>0</v>
      </c>
      <c r="P8" s="57"/>
      <c r="Q8" s="72">
        <f>+B8</f>
        <v>0</v>
      </c>
      <c r="R8" s="71"/>
      <c r="S8" s="71">
        <v>188.20500000000001</v>
      </c>
    </row>
    <row r="9" spans="1:37">
      <c r="A9" s="30">
        <f>+Blank!A9</f>
        <v>43417.361111111109</v>
      </c>
      <c r="B9" s="32">
        <f>(IF(A9&lt;A8,"",A9-A8+B8))</f>
        <v>0.84027777777373558</v>
      </c>
      <c r="C9" s="86">
        <v>1626</v>
      </c>
      <c r="D9" s="48">
        <v>33.57</v>
      </c>
      <c r="E9" s="48">
        <v>31.2</v>
      </c>
      <c r="F9" s="45">
        <f t="shared" si="0"/>
        <v>79.005600000000001</v>
      </c>
      <c r="G9" s="44">
        <v>1</v>
      </c>
      <c r="I9" s="70">
        <f>((((1013.25+$C9-'Set-up_Mano_Grav'!$S$5)/1013.25)*($D9/100)*(($F9+1.5)/1000)/(0.08206*(273.15+'Set-up_Mano_Grav'!$P$3)))-(((1013.25-'Set-up_Mano_Grav'!$S$5)/1013.25)*($D8/100)*($F9/1000)/(0.08206*(273.15+'Set-up_Mano_Grav'!$P$3))))*'Set-up_Mano_Grav'!$R$5</f>
        <v>63.213896048390332</v>
      </c>
      <c r="J9" s="72">
        <f>+J8+I9</f>
        <v>63.213896048390332</v>
      </c>
      <c r="K9" s="72">
        <f>+Blank!M9</f>
        <v>7.499793660141445</v>
      </c>
      <c r="L9" s="72">
        <f t="shared" ref="L9:L22" si="3">+(J9-(K9*$I$2))/$H$2</f>
        <v>65.66676375327124</v>
      </c>
      <c r="N9" s="34">
        <f t="shared" si="1"/>
        <v>66.576530712667079</v>
      </c>
      <c r="O9" s="72">
        <f t="shared" si="2"/>
        <v>1.9676275693088032</v>
      </c>
      <c r="P9" s="57"/>
      <c r="Q9" s="72">
        <f t="shared" ref="Q9:Q22" si="4">+B9</f>
        <v>0.84027777777373558</v>
      </c>
      <c r="R9" s="103">
        <v>188.20400000000001</v>
      </c>
      <c r="S9" s="103">
        <v>188.04689999999999</v>
      </c>
      <c r="T9" s="103">
        <f>+S8-R9</f>
        <v>1.0000000000047748E-3</v>
      </c>
      <c r="U9" s="99">
        <f>+R9-S9</f>
        <v>0.15710000000001401</v>
      </c>
    </row>
    <row r="10" spans="1:37">
      <c r="A10" s="30">
        <f>+Blank!A10</f>
        <v>43418.364583333336</v>
      </c>
      <c r="B10" s="32">
        <f t="shared" ref="B10:B22" si="5">(IF(A10&lt;A9,"",A10-A9+B9))</f>
        <v>1.84375</v>
      </c>
      <c r="C10" s="67">
        <v>2146</v>
      </c>
      <c r="D10" s="73">
        <v>51.06</v>
      </c>
      <c r="E10" s="73">
        <v>36.340000000000003</v>
      </c>
      <c r="F10" s="45">
        <f t="shared" si="0"/>
        <v>79.005600000000001</v>
      </c>
      <c r="G10" s="44">
        <v>1</v>
      </c>
      <c r="I10" s="70">
        <f>((((1013.25+$C10-'Set-up_Mano_Grav'!$S$5)/1013.25)*($D10/100)*(($F10+1.5)/1000)/(0.08206*(273.15+'Set-up_Mano_Grav'!$P$3)))-(((1013.25-'Set-up_Mano_Grav'!$S$5)/1013.25)*($D9/100)*($F10/1000)/(0.08206*(273.15+'Set-up_Mano_Grav'!$P$3))))*'Set-up_Mano_Grav'!$R$5</f>
        <v>92.229575311556133</v>
      </c>
      <c r="J10" s="72">
        <f t="shared" ref="J10:J22" si="6">+J9+I10</f>
        <v>155.44347135994647</v>
      </c>
      <c r="K10" s="72">
        <f>+Blank!M10</f>
        <v>15.095341000313356</v>
      </c>
      <c r="L10" s="72">
        <f t="shared" si="3"/>
        <v>167.9269628009055</v>
      </c>
      <c r="N10" s="34">
        <f t="shared" si="1"/>
        <v>168.55644635647786</v>
      </c>
      <c r="O10" s="72">
        <f t="shared" si="2"/>
        <v>6.2204130238951514</v>
      </c>
      <c r="P10" s="57"/>
      <c r="Q10" s="72">
        <f t="shared" si="4"/>
        <v>1.84375</v>
      </c>
      <c r="R10" s="103">
        <v>188.04759999999999</v>
      </c>
      <c r="S10" s="103">
        <v>187.84479999999999</v>
      </c>
      <c r="T10" s="103">
        <f t="shared" ref="T10:T12" si="7">+S9-R10</f>
        <v>-6.9999999999481588E-4</v>
      </c>
      <c r="U10" s="99">
        <f t="shared" ref="U10:U22" si="8">+R10-S10</f>
        <v>0.20279999999999632</v>
      </c>
    </row>
    <row r="11" spans="1:37">
      <c r="A11" s="30">
        <f>+Blank!A11</f>
        <v>43419.371527777781</v>
      </c>
      <c r="B11" s="32">
        <f>(IF(A11&lt;A10,"",A11-A10+B10))</f>
        <v>2.8506944444452529</v>
      </c>
      <c r="C11" s="67">
        <v>2103</v>
      </c>
      <c r="D11" s="73">
        <v>63.13</v>
      </c>
      <c r="E11" s="73">
        <v>32.28</v>
      </c>
      <c r="F11" s="45">
        <f t="shared" si="0"/>
        <v>79.005600000000001</v>
      </c>
      <c r="G11" s="78">
        <v>1</v>
      </c>
      <c r="H11" s="79"/>
      <c r="I11" s="70">
        <f>((((1013.25+$C11-'Set-up_Mano_Grav'!$S$5)/1013.25)*($D11/100)*(($F11+1.5)/1000)/(0.08206*(273.15+'Set-up_Mano_Grav'!$P$3)))-(((1013.25-'Set-up_Mano_Grav'!$S$5)/1013.25)*($D10/100)*($F11/1000)/(0.08206*(273.15+'Set-up_Mano_Grav'!$P$3))))*'Set-up_Mano_Grav'!$R$5</f>
        <v>105.46551714297321</v>
      </c>
      <c r="J11" s="80">
        <f>+J10+I11</f>
        <v>260.90898850291967</v>
      </c>
      <c r="K11" s="80">
        <f>+Blank!M11</f>
        <v>21.415568499765985</v>
      </c>
      <c r="L11" s="72">
        <f t="shared" si="3"/>
        <v>289.42261067828997</v>
      </c>
      <c r="M11" s="79"/>
      <c r="N11" s="34">
        <f t="shared" si="1"/>
        <v>287.78505842567091</v>
      </c>
      <c r="O11" s="72">
        <f t="shared" si="2"/>
        <v>10.285482757810538</v>
      </c>
      <c r="P11" s="57"/>
      <c r="Q11" s="72">
        <f t="shared" si="4"/>
        <v>2.8506944444452529</v>
      </c>
      <c r="R11" s="103">
        <v>187.8416</v>
      </c>
      <c r="S11" s="103">
        <v>187.6653</v>
      </c>
      <c r="T11" s="103">
        <f t="shared" si="7"/>
        <v>3.1999999999925421E-3</v>
      </c>
      <c r="U11" s="99">
        <f t="shared" si="8"/>
        <v>0.17629999999999768</v>
      </c>
    </row>
    <row r="12" spans="1:37">
      <c r="A12" s="30">
        <f>+Blank!A12</f>
        <v>43420.329861111109</v>
      </c>
      <c r="B12" s="32">
        <f t="shared" si="5"/>
        <v>3.8090277777737356</v>
      </c>
      <c r="C12" s="67">
        <v>1279</v>
      </c>
      <c r="D12" s="64">
        <v>62.13</v>
      </c>
      <c r="E12" s="64">
        <v>32.57</v>
      </c>
      <c r="F12" s="45">
        <f t="shared" si="0"/>
        <v>79.005600000000001</v>
      </c>
      <c r="G12" s="78">
        <v>1</v>
      </c>
      <c r="H12" s="79"/>
      <c r="I12" s="70">
        <f>((((1013.25+$C12-'Set-up_Mano_Grav'!$S$5)/1013.25)*($D12/100)*(($F12+1.5)/1000)/(0.08206*(273.15+'Set-up_Mano_Grav'!$P$3)))-(((1013.25-'Set-up_Mano_Grav'!$S$5)/1013.25)*($D11/100)*($F12/1000)/(0.08206*(273.15+'Set-up_Mano_Grav'!$P$3))))*'Set-up_Mano_Grav'!$R$5</f>
        <v>57.766348880809517</v>
      </c>
      <c r="J12" s="80">
        <f>+J11+I12</f>
        <v>318.67533738372919</v>
      </c>
      <c r="K12" s="80">
        <f>+Blank!M12</f>
        <v>26.980971434669375</v>
      </c>
      <c r="L12" s="72">
        <f t="shared" si="3"/>
        <v>351.91364996385039</v>
      </c>
      <c r="M12" s="79"/>
      <c r="N12" s="34">
        <f t="shared" si="1"/>
        <v>353.31871374993801</v>
      </c>
      <c r="O12" s="72">
        <f t="shared" si="2"/>
        <v>18.109363499072323</v>
      </c>
      <c r="P12" s="57"/>
      <c r="Q12" s="72">
        <f t="shared" si="4"/>
        <v>3.8090277777737356</v>
      </c>
      <c r="R12" s="103">
        <v>187.6653</v>
      </c>
      <c r="S12" s="103">
        <v>187.56129999999999</v>
      </c>
      <c r="T12" s="103">
        <f t="shared" si="7"/>
        <v>0</v>
      </c>
      <c r="U12" s="99">
        <f t="shared" si="8"/>
        <v>0.10400000000001342</v>
      </c>
    </row>
    <row r="13" spans="1:37">
      <c r="A13" s="30">
        <f>+Blank!A13</f>
        <v>43421.381944444445</v>
      </c>
      <c r="B13" s="32">
        <f t="shared" si="5"/>
        <v>4.8611111111094942</v>
      </c>
      <c r="C13" s="68">
        <v>802</v>
      </c>
      <c r="D13" s="64">
        <v>61.76</v>
      </c>
      <c r="E13" s="64">
        <v>34.619999999999997</v>
      </c>
      <c r="F13" s="45">
        <f t="shared" si="0"/>
        <v>79.005600000000001</v>
      </c>
      <c r="G13" s="78">
        <v>1</v>
      </c>
      <c r="H13" s="79"/>
      <c r="I13" s="70">
        <f>((((1013.25+$C13-'Set-up_Mano_Grav'!$S$5)/1013.25)*($D13/100)*(($F13+1.5)/1000)/(0.08206*(273.15+'Set-up_Mano_Grav'!$P$3)))-(((1013.25-'Set-up_Mano_Grav'!$S$5)/1013.25)*($D12/100)*($F13/1000)/(0.08206*(273.15+'Set-up_Mano_Grav'!$P$3))))*'Set-up_Mano_Grav'!$R$5</f>
        <v>36.483662246695239</v>
      </c>
      <c r="J13" s="80">
        <f t="shared" si="6"/>
        <v>355.15899963042443</v>
      </c>
      <c r="K13" s="80">
        <f>+Blank!M13</f>
        <v>31.601758649954835</v>
      </c>
      <c r="L13" s="72">
        <f t="shared" si="3"/>
        <v>389.24945422255178</v>
      </c>
      <c r="M13" s="79"/>
      <c r="N13" s="34">
        <f t="shared" si="1"/>
        <v>391.4485676034692</v>
      </c>
      <c r="O13" s="72">
        <f t="shared" si="2"/>
        <v>17.209950556177883</v>
      </c>
      <c r="P13" s="57"/>
      <c r="Q13" s="72">
        <f t="shared" si="4"/>
        <v>4.8611111111094942</v>
      </c>
      <c r="R13" s="103">
        <v>187.56020000000001</v>
      </c>
      <c r="S13" s="103">
        <v>187.49529999999999</v>
      </c>
      <c r="T13" s="103">
        <f>+S12-R13</f>
        <v>1.0999999999796728E-3</v>
      </c>
      <c r="U13" s="99">
        <f t="shared" si="8"/>
        <v>6.4900000000022828E-2</v>
      </c>
    </row>
    <row r="14" spans="1:37">
      <c r="A14" s="30">
        <f>+Blank!A14</f>
        <v>43422.379861111112</v>
      </c>
      <c r="B14" s="32">
        <f t="shared" si="5"/>
        <v>5.859027777776646</v>
      </c>
      <c r="C14" s="68">
        <v>536</v>
      </c>
      <c r="D14" s="64">
        <v>60.89</v>
      </c>
      <c r="E14" s="64">
        <v>36.020000000000003</v>
      </c>
      <c r="F14" s="45">
        <f t="shared" si="0"/>
        <v>79.005600000000001</v>
      </c>
      <c r="G14" s="44">
        <v>1</v>
      </c>
      <c r="I14" s="70">
        <f>((((1013.25+$C14-'Set-up_Mano_Grav'!$S$5)/1013.25)*($D14/100)*(($F14+1.5)/1000)/(0.08206*(273.15+'Set-up_Mano_Grav'!$P$3)))-(((1013.25-'Set-up_Mano_Grav'!$S$5)/1013.25)*($D13/100)*($F14/1000)/(0.08206*(273.15+'Set-up_Mano_Grav'!$P$3))))*'Set-up_Mano_Grav'!$R$5</f>
        <v>23.871992942945475</v>
      </c>
      <c r="J14" s="72">
        <f t="shared" si="6"/>
        <v>379.03099257336993</v>
      </c>
      <c r="K14" s="72">
        <f>+Blank!M14</f>
        <v>35.740399764536022</v>
      </c>
      <c r="L14" s="72">
        <f t="shared" si="3"/>
        <v>411.52917449037994</v>
      </c>
      <c r="N14" s="34">
        <f t="shared" si="1"/>
        <v>415.08329223123263</v>
      </c>
      <c r="O14" s="72">
        <f t="shared" si="2"/>
        <v>18.243948357623033</v>
      </c>
      <c r="P14" s="57"/>
      <c r="Q14" s="72">
        <f t="shared" si="4"/>
        <v>5.859027777776646</v>
      </c>
      <c r="R14" s="103">
        <v>187.4966</v>
      </c>
      <c r="S14" s="103">
        <v>187.45240000000001</v>
      </c>
      <c r="T14" s="103">
        <f t="shared" ref="T14:T22" si="9">+S13-R14</f>
        <v>-1.3000000000147338E-3</v>
      </c>
      <c r="U14" s="99">
        <f t="shared" si="8"/>
        <v>4.4199999999989359E-2</v>
      </c>
      <c r="AG14" s="82"/>
      <c r="AH14" s="82"/>
      <c r="AJ14" s="82"/>
      <c r="AK14" s="82"/>
    </row>
    <row r="15" spans="1:37">
      <c r="A15" s="30">
        <f>+Blank!A15</f>
        <v>43423.36041666667</v>
      </c>
      <c r="B15" s="32">
        <f t="shared" si="5"/>
        <v>6.8395833333343035</v>
      </c>
      <c r="C15" s="68">
        <v>406</v>
      </c>
      <c r="D15" s="64">
        <v>59.03</v>
      </c>
      <c r="E15" s="64">
        <v>36.090000000000003</v>
      </c>
      <c r="F15" s="45">
        <f t="shared" si="0"/>
        <v>79.005600000000001</v>
      </c>
      <c r="G15" s="44">
        <v>1</v>
      </c>
      <c r="I15" s="70">
        <f>((((1013.25+$C15-'Set-up_Mano_Grav'!$S$5)/1013.25)*($D15/100)*(($F15+1.5)/1000)/(0.08206*(273.15+'Set-up_Mano_Grav'!$P$3)))-(((1013.25-'Set-up_Mano_Grav'!$S$5)/1013.25)*($D14/100)*($F15/1000)/(0.08206*(273.15+'Set-up_Mano_Grav'!$P$3))))*'Set-up_Mano_Grav'!$R$5</f>
        <v>16.874327167630348</v>
      </c>
      <c r="J15" s="72">
        <f t="shared" si="6"/>
        <v>395.90531974100026</v>
      </c>
      <c r="K15" s="72">
        <f>+Blank!M15</f>
        <v>39.743257144749556</v>
      </c>
      <c r="L15" s="72">
        <f t="shared" si="3"/>
        <v>425.20096183879986</v>
      </c>
      <c r="N15" s="34">
        <f t="shared" si="1"/>
        <v>429.98012319395502</v>
      </c>
      <c r="O15" s="72">
        <f t="shared" si="2"/>
        <v>19.3051075423969</v>
      </c>
      <c r="P15" s="57"/>
      <c r="Q15" s="72">
        <f t="shared" si="4"/>
        <v>6.8395833333343035</v>
      </c>
      <c r="R15" s="103">
        <v>187.4486</v>
      </c>
      <c r="S15" s="103">
        <v>187.4152</v>
      </c>
      <c r="T15" s="103">
        <f t="shared" si="9"/>
        <v>3.8000000000124601E-3</v>
      </c>
      <c r="U15" s="99">
        <f t="shared" si="8"/>
        <v>3.3400000000000318E-2</v>
      </c>
      <c r="AG15" s="82"/>
      <c r="AH15" s="82"/>
      <c r="AJ15" s="82"/>
      <c r="AK15" s="82"/>
    </row>
    <row r="16" spans="1:37">
      <c r="A16" s="30">
        <f>+Blank!A16</f>
        <v>43425.4375</v>
      </c>
      <c r="B16" s="32">
        <f t="shared" si="5"/>
        <v>8.9166666666642413</v>
      </c>
      <c r="C16" s="68">
        <v>533</v>
      </c>
      <c r="D16" s="64">
        <v>63.27</v>
      </c>
      <c r="E16" s="64">
        <v>36.14</v>
      </c>
      <c r="F16" s="45">
        <f t="shared" si="0"/>
        <v>79.005600000000001</v>
      </c>
      <c r="G16" s="44">
        <v>1</v>
      </c>
      <c r="I16" s="70">
        <f>((((1013.25+$C16-'Set-up_Mano_Grav'!$S$5)/1013.25)*($D16/100)*(($F16+1.5)/1000)/(0.08206*(273.15+'Set-up_Mano_Grav'!$P$3)))-(((1013.25-'Set-up_Mano_Grav'!$S$5)/1013.25)*($D15/100)*($F16/1000)/(0.08206*(273.15+'Set-up_Mano_Grav'!$P$3))))*'Set-up_Mano_Grav'!$R$5</f>
        <v>28.219114148523492</v>
      </c>
      <c r="J16" s="72">
        <f t="shared" si="6"/>
        <v>424.12443388952374</v>
      </c>
      <c r="K16" s="72">
        <f>+Blank!M16</f>
        <v>47.149282401477649</v>
      </c>
      <c r="L16" s="72">
        <f t="shared" si="3"/>
        <v>446.69181483388672</v>
      </c>
      <c r="N16" s="34">
        <f t="shared" si="1"/>
        <v>451.83995976728255</v>
      </c>
      <c r="O16" s="72">
        <f t="shared" si="2"/>
        <v>19.74138008802219</v>
      </c>
      <c r="P16" s="57"/>
      <c r="Q16" s="72">
        <f t="shared" si="4"/>
        <v>8.9166666666642413</v>
      </c>
      <c r="R16" s="103">
        <v>187.41839999999999</v>
      </c>
      <c r="S16" s="103">
        <v>187.37639999999999</v>
      </c>
      <c r="T16" s="103">
        <f t="shared" si="9"/>
        <v>-3.1999999999925421E-3</v>
      </c>
      <c r="U16" s="99">
        <f t="shared" si="8"/>
        <v>4.2000000000001592E-2</v>
      </c>
      <c r="AG16" s="82"/>
      <c r="AH16" s="82"/>
      <c r="AJ16" s="82"/>
      <c r="AK16" s="82"/>
    </row>
    <row r="17" spans="1:37">
      <c r="A17" s="30">
        <f>+Blank!A17</f>
        <v>43427.399305555555</v>
      </c>
      <c r="B17" s="32">
        <f t="shared" si="5"/>
        <v>10.878472222218988</v>
      </c>
      <c r="C17" s="68">
        <v>428</v>
      </c>
      <c r="D17" s="64">
        <v>62.06</v>
      </c>
      <c r="E17" s="64">
        <v>36.53</v>
      </c>
      <c r="F17" s="45">
        <f t="shared" si="0"/>
        <v>79.005600000000001</v>
      </c>
      <c r="G17" s="44">
        <v>1</v>
      </c>
      <c r="I17" s="70">
        <f>((((1013.25+$C17-'Set-up_Mano_Grav'!$S$5)/1013.25)*($D17/100)*(($F17+1.5)/1000)/(0.08206*(273.15+'Set-up_Mano_Grav'!$P$3)))-(((1013.25-'Set-up_Mano_Grav'!$S$5)/1013.25)*($D16/100)*($F17/1000)/(0.08206*(273.15+'Set-up_Mano_Grav'!$P$3))))*'Set-up_Mano_Grav'!$R$5</f>
        <v>19.24558774635593</v>
      </c>
      <c r="J17" s="72">
        <f t="shared" si="6"/>
        <v>443.37002163587965</v>
      </c>
      <c r="K17" s="72">
        <f>+Blank!M17</f>
        <v>52.748081713489995</v>
      </c>
      <c r="L17" s="72">
        <f t="shared" si="3"/>
        <v>460.29253337876804</v>
      </c>
      <c r="N17" s="34">
        <f t="shared" si="1"/>
        <v>464.46189045498613</v>
      </c>
      <c r="O17" s="72">
        <f t="shared" si="2"/>
        <v>21.107251966590947</v>
      </c>
      <c r="P17" s="57"/>
      <c r="Q17" s="72">
        <f t="shared" si="4"/>
        <v>10.878472222218988</v>
      </c>
      <c r="R17" s="103">
        <v>187.37880000000001</v>
      </c>
      <c r="S17" s="103">
        <v>187.3443</v>
      </c>
      <c r="T17" s="103">
        <f t="shared" si="9"/>
        <v>-2.4000000000228283E-3</v>
      </c>
      <c r="U17" s="99">
        <f t="shared" si="8"/>
        <v>3.4500000000008413E-2</v>
      </c>
      <c r="AG17" s="82"/>
      <c r="AH17" s="82"/>
      <c r="AJ17" s="82"/>
      <c r="AK17" s="82"/>
    </row>
    <row r="18" spans="1:37">
      <c r="A18" s="30">
        <f>+Blank!A18</f>
        <v>43429.645833333336</v>
      </c>
      <c r="B18" s="32">
        <f t="shared" si="5"/>
        <v>13.125</v>
      </c>
      <c r="C18" s="68">
        <v>372</v>
      </c>
      <c r="D18" s="64">
        <v>61.62</v>
      </c>
      <c r="E18" s="64">
        <v>37.14</v>
      </c>
      <c r="F18" s="45">
        <f t="shared" si="0"/>
        <v>79.005600000000001</v>
      </c>
      <c r="G18" s="44">
        <v>1</v>
      </c>
      <c r="I18" s="70">
        <f>((((1013.25+$C18-'Set-up_Mano_Grav'!$S$5)/1013.25)*($D18/100)*(($F18+1.5)/1000)/(0.08206*(273.15+'Set-up_Mano_Grav'!$P$3)))-(((1013.25-'Set-up_Mano_Grav'!$S$5)/1013.25)*($D17/100)*($F18/1000)/(0.08206*(273.15+'Set-up_Mano_Grav'!$P$3))))*'Set-up_Mano_Grav'!$R$5</f>
        <v>17.131761197152702</v>
      </c>
      <c r="J18" s="72">
        <f t="shared" si="6"/>
        <v>460.50178283303234</v>
      </c>
      <c r="K18" s="72">
        <f>+Blank!M18</f>
        <v>58.393129193530037</v>
      </c>
      <c r="L18" s="72">
        <f t="shared" si="3"/>
        <v>471.12477049604649</v>
      </c>
      <c r="N18" s="34">
        <f t="shared" si="1"/>
        <v>474.60115587963543</v>
      </c>
      <c r="O18" s="72">
        <f t="shared" si="2"/>
        <v>22.449522092616473</v>
      </c>
      <c r="P18" s="57"/>
      <c r="Q18" s="72">
        <f t="shared" si="4"/>
        <v>13.125</v>
      </c>
      <c r="R18" s="103">
        <v>187.34309999999999</v>
      </c>
      <c r="S18" s="103">
        <v>187.31299999999999</v>
      </c>
      <c r="T18" s="103">
        <f t="shared" si="9"/>
        <v>1.2000000000114142E-3</v>
      </c>
      <c r="U18" s="99">
        <f t="shared" si="8"/>
        <v>3.0100000000004457E-2</v>
      </c>
      <c r="AG18" s="82"/>
      <c r="AH18" s="82"/>
      <c r="AJ18" s="82"/>
      <c r="AK18" s="82"/>
    </row>
    <row r="19" spans="1:37">
      <c r="A19" s="30">
        <f>+Blank!A19</f>
        <v>43432.375</v>
      </c>
      <c r="B19" s="32">
        <f t="shared" si="5"/>
        <v>15.854166666664241</v>
      </c>
      <c r="C19" s="68">
        <v>329</v>
      </c>
      <c r="D19" s="64">
        <f>57.86*1.0399</f>
        <v>60.168614000000005</v>
      </c>
      <c r="E19" s="64">
        <f>35.23*1.0312</f>
        <v>36.32917599999999</v>
      </c>
      <c r="F19" s="45">
        <f t="shared" si="0"/>
        <v>79.005600000000001</v>
      </c>
      <c r="G19" s="44">
        <v>1</v>
      </c>
      <c r="I19" s="70">
        <f>((((1013.25+$C19-'Set-up_Mano_Grav'!$S$5)/1013.25)*($D19/100)*(($F19+1.5)/1000)/(0.08206*(273.15+'Set-up_Mano_Grav'!$P$3)))-(((1013.25-'Set-up_Mano_Grav'!$S$5)/1013.25)*($D18/100)*($F19/1000)/(0.08206*(273.15+'Set-up_Mano_Grav'!$P$3))))*'Set-up_Mano_Grav'!$R$5</f>
        <v>14.146008956752777</v>
      </c>
      <c r="J19" s="72">
        <f t="shared" si="6"/>
        <v>474.64779178978512</v>
      </c>
      <c r="K19" s="72">
        <f>+Blank!M19</f>
        <v>64.261148135934619</v>
      </c>
      <c r="L19" s="72">
        <f t="shared" si="3"/>
        <v>477.74264916528125</v>
      </c>
      <c r="N19" s="34">
        <f t="shared" si="1"/>
        <v>481.65315710449482</v>
      </c>
      <c r="O19" s="72">
        <f t="shared" si="2"/>
        <v>23.033880078130338</v>
      </c>
      <c r="P19" s="57"/>
      <c r="Q19" s="72">
        <f t="shared" si="4"/>
        <v>15.854166666664241</v>
      </c>
      <c r="R19" s="103">
        <v>187.3124</v>
      </c>
      <c r="S19" s="103">
        <v>187.28579999999999</v>
      </c>
      <c r="T19" s="103">
        <f t="shared" si="9"/>
        <v>5.9999999999149622E-4</v>
      </c>
      <c r="U19" s="99">
        <f t="shared" si="8"/>
        <v>2.6600000000001955E-2</v>
      </c>
      <c r="AG19" s="82"/>
      <c r="AH19" s="82"/>
      <c r="AJ19" s="82"/>
      <c r="AK19" s="82"/>
    </row>
    <row r="20" spans="1:37">
      <c r="A20" s="30">
        <f>+Blank!A20</f>
        <v>43435.430555555555</v>
      </c>
      <c r="B20" s="32">
        <f t="shared" si="5"/>
        <v>18.909722222218988</v>
      </c>
      <c r="C20" s="68">
        <v>290</v>
      </c>
      <c r="D20" s="64">
        <v>61.46</v>
      </c>
      <c r="E20" s="64">
        <v>37</v>
      </c>
      <c r="F20" s="45">
        <f t="shared" si="0"/>
        <v>79.005600000000001</v>
      </c>
      <c r="G20" s="44">
        <v>1</v>
      </c>
      <c r="I20" s="70">
        <f>((((1013.25+$C20-'Set-up_Mano_Grav'!$S$5)/1013.25)*($D20/100)*(($F20+1.5)/1000)/(0.08206*(273.15+'Set-up_Mano_Grav'!$P$3)))-(((1013.25-'Set-up_Mano_Grav'!$S$5)/1013.25)*($D19/100)*($F20/1000)/(0.08206*(273.15+'Set-up_Mano_Grav'!$P$3))))*'Set-up_Mano_Grav'!$R$5</f>
        <v>14.626192861289013</v>
      </c>
      <c r="J20" s="72">
        <f t="shared" si="6"/>
        <v>489.2739846510741</v>
      </c>
      <c r="K20" s="72">
        <f>+Blank!M20</f>
        <v>70.2793536364196</v>
      </c>
      <c r="L20" s="72">
        <f t="shared" si="3"/>
        <v>484.67963855338576</v>
      </c>
      <c r="N20" s="34">
        <f t="shared" si="1"/>
        <v>488.11900972249117</v>
      </c>
      <c r="O20" s="72">
        <f t="shared" si="2"/>
        <v>23.405163966732985</v>
      </c>
      <c r="P20" s="57"/>
      <c r="Q20" s="72">
        <f t="shared" si="4"/>
        <v>18.909722222218988</v>
      </c>
      <c r="R20" s="103">
        <v>187.285</v>
      </c>
      <c r="S20" s="103">
        <v>187.2637</v>
      </c>
      <c r="T20" s="103">
        <f t="shared" si="9"/>
        <v>7.9999999999813554E-4</v>
      </c>
      <c r="U20" s="99">
        <f t="shared" si="8"/>
        <v>2.1299999999996544E-2</v>
      </c>
      <c r="AG20" s="82"/>
      <c r="AH20" s="82"/>
    </row>
    <row r="21" spans="1:37">
      <c r="A21" s="30">
        <f>+Blank!A21</f>
        <v>43439.381944444445</v>
      </c>
      <c r="B21" s="32">
        <f t="shared" si="5"/>
        <v>22.861111111109494</v>
      </c>
      <c r="C21" s="68">
        <v>302</v>
      </c>
      <c r="D21" s="64">
        <v>61.62</v>
      </c>
      <c r="E21" s="64">
        <v>36.270000000000003</v>
      </c>
      <c r="F21" s="45">
        <f t="shared" si="0"/>
        <v>79.005600000000001</v>
      </c>
      <c r="G21" s="44">
        <v>1</v>
      </c>
      <c r="I21" s="70">
        <f>((((1013.25+$C21-'Set-up_Mano_Grav'!$S$5)/1013.25)*($D21/100)*(($F21+1.5)/1000)/(0.08206*(273.15+'Set-up_Mano_Grav'!$P$3)))-(((1013.25-'Set-up_Mano_Grav'!$S$5)/1013.25)*($D20/100)*($F21/1000)/(0.08206*(273.15+'Set-up_Mano_Grav'!$P$3))))*'Set-up_Mano_Grav'!$R$5</f>
        <v>14.417152665267247</v>
      </c>
      <c r="J21" s="72">
        <f t="shared" si="6"/>
        <v>503.69113731634133</v>
      </c>
      <c r="K21" s="72">
        <f>+Blank!M21</f>
        <v>76.613455569938893</v>
      </c>
      <c r="L21" s="72">
        <f t="shared" si="3"/>
        <v>490.74267198542634</v>
      </c>
      <c r="N21" s="34">
        <f t="shared" si="1"/>
        <v>494.77908047551506</v>
      </c>
      <c r="O21" s="72">
        <f t="shared" si="2"/>
        <v>24.345082637005337</v>
      </c>
      <c r="P21" s="57"/>
      <c r="Q21" s="72">
        <f t="shared" si="4"/>
        <v>22.861111111109494</v>
      </c>
      <c r="R21" s="103">
        <v>187.2585</v>
      </c>
      <c r="S21" s="103">
        <v>187.23599999999999</v>
      </c>
      <c r="T21" s="103">
        <f t="shared" si="9"/>
        <v>5.2000000000020918E-3</v>
      </c>
      <c r="U21" s="99">
        <f t="shared" si="8"/>
        <v>2.2500000000007958E-2</v>
      </c>
      <c r="AG21" s="82"/>
      <c r="AH21" s="82"/>
    </row>
    <row r="22" spans="1:37">
      <c r="A22" s="30">
        <f>+Blank!A22</f>
        <v>43443.666666666664</v>
      </c>
      <c r="B22" s="32">
        <f t="shared" si="5"/>
        <v>27.145833333328483</v>
      </c>
      <c r="C22" s="44">
        <v>289</v>
      </c>
      <c r="D22" s="73">
        <v>62.76</v>
      </c>
      <c r="E22" s="73">
        <v>36.409999999999997</v>
      </c>
      <c r="F22" s="45">
        <f t="shared" si="0"/>
        <v>79.005600000000001</v>
      </c>
      <c r="G22" s="44">
        <v>1</v>
      </c>
      <c r="I22" s="70">
        <f>((((1013.25+$C22-'Set-up_Mano_Grav'!$S$5)/1013.25)*($D22/100)*(($F22+1.5)/1000)/(0.08206*(273.15+'Set-up_Mano_Grav'!$P$3)))-(((1013.25-'Set-up_Mano_Grav'!$S$5)/1013.25)*($D21/100)*($F22/1000)/(0.08206*(273.15+'Set-up_Mano_Grav'!$P$3))))*'Set-up_Mano_Grav'!$R$5</f>
        <v>14.766654383128003</v>
      </c>
      <c r="J22" s="72">
        <f t="shared" si="6"/>
        <v>518.45779169946934</v>
      </c>
      <c r="K22" s="72">
        <f>+Blank!M22</f>
        <v>83.365296075465409</v>
      </c>
      <c r="L22" s="72">
        <f t="shared" si="3"/>
        <v>496.44338027205708</v>
      </c>
      <c r="M22" s="83"/>
      <c r="N22" s="34">
        <f t="shared" si="1"/>
        <v>500.53268017111651</v>
      </c>
      <c r="O22" s="72">
        <f t="shared" si="2"/>
        <v>25.047424687408679</v>
      </c>
      <c r="P22" s="57"/>
      <c r="Q22" s="72">
        <f t="shared" si="4"/>
        <v>27.145833333328483</v>
      </c>
      <c r="R22" s="103">
        <v>187.2336</v>
      </c>
      <c r="S22" s="103">
        <v>187.21119999999999</v>
      </c>
      <c r="T22" s="103">
        <f t="shared" si="9"/>
        <v>2.3999999999944066E-3</v>
      </c>
      <c r="U22" s="99">
        <f t="shared" si="8"/>
        <v>2.2400000000004638E-2</v>
      </c>
      <c r="AG22" s="82"/>
      <c r="AH22" s="82"/>
    </row>
    <row r="23" spans="1:37">
      <c r="A23" s="30"/>
      <c r="B23" s="32"/>
      <c r="C23" s="44"/>
      <c r="D23" s="17"/>
      <c r="E23" s="17"/>
      <c r="F23" s="45"/>
      <c r="G23" s="44"/>
      <c r="I23" s="70"/>
      <c r="J23" s="72"/>
      <c r="K23" s="72"/>
      <c r="L23" s="72"/>
      <c r="M23" s="83"/>
      <c r="N23" s="34"/>
      <c r="O23" s="72"/>
      <c r="P23" s="57"/>
      <c r="Q23" s="72"/>
      <c r="R23" s="103"/>
      <c r="S23" s="103"/>
      <c r="T23" s="103"/>
      <c r="U23" s="99"/>
      <c r="AG23" s="82"/>
      <c r="AH23" s="82"/>
    </row>
    <row r="24" spans="1:37">
      <c r="A24" s="30"/>
      <c r="B24" s="32"/>
      <c r="C24" s="44"/>
      <c r="D24" s="17"/>
      <c r="E24" s="17"/>
      <c r="F24" s="45"/>
      <c r="G24" s="44"/>
      <c r="I24" s="70"/>
      <c r="J24" s="72"/>
      <c r="K24" s="72"/>
      <c r="L24" s="72"/>
      <c r="M24" s="83"/>
      <c r="N24" s="34"/>
      <c r="O24" s="72"/>
      <c r="P24" s="57"/>
      <c r="Q24" s="72"/>
      <c r="R24" s="103"/>
      <c r="S24" s="103"/>
      <c r="T24" s="103"/>
      <c r="U24" s="99"/>
      <c r="AG24" s="82"/>
      <c r="AH24" s="82"/>
    </row>
    <row r="25" spans="1:37">
      <c r="A25" s="30"/>
      <c r="B25" s="32"/>
      <c r="C25" s="44"/>
      <c r="D25" s="17"/>
      <c r="E25" s="17"/>
      <c r="F25" s="45"/>
      <c r="G25" s="44"/>
      <c r="I25" s="70"/>
      <c r="J25" s="72"/>
      <c r="K25" s="72"/>
      <c r="L25" s="72"/>
      <c r="M25" s="83"/>
      <c r="N25" s="34"/>
      <c r="O25" s="72"/>
      <c r="P25" s="57"/>
      <c r="Q25" s="72"/>
      <c r="R25" s="103"/>
      <c r="S25" s="103"/>
      <c r="T25" s="103"/>
      <c r="U25" s="99"/>
      <c r="AG25" s="82"/>
      <c r="AH25" s="82"/>
    </row>
    <row r="26" spans="1:37">
      <c r="A26" s="112"/>
      <c r="B26" s="46"/>
      <c r="C26" s="44"/>
      <c r="D26" s="17"/>
      <c r="E26" s="17"/>
      <c r="F26" s="45"/>
      <c r="G26" s="44"/>
      <c r="I26" s="70"/>
      <c r="J26" s="72"/>
      <c r="K26" s="72"/>
      <c r="L26" s="72"/>
      <c r="M26" s="83"/>
      <c r="N26" s="34"/>
      <c r="O26" s="72"/>
      <c r="P26" s="57"/>
      <c r="Q26" s="72"/>
      <c r="R26" s="103"/>
      <c r="S26" s="103"/>
      <c r="T26" s="103"/>
      <c r="U26" s="99"/>
      <c r="AG26" s="82"/>
      <c r="AH26" s="82"/>
    </row>
    <row r="27" spans="1:37">
      <c r="M27" s="83"/>
      <c r="P27" s="57"/>
      <c r="T27" s="98"/>
      <c r="AG27" s="82"/>
      <c r="AH27" s="82"/>
    </row>
    <row r="28" spans="1:37">
      <c r="A28" s="23" t="s">
        <v>29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83"/>
      <c r="P28" s="57"/>
      <c r="T28" s="98"/>
    </row>
    <row r="29" spans="1:37">
      <c r="A29" s="30">
        <f t="shared" ref="A29:B43" si="10">+A8</f>
        <v>43416.520833333336</v>
      </c>
      <c r="B29" s="25">
        <f t="shared" si="10"/>
        <v>0</v>
      </c>
      <c r="C29" s="71">
        <v>0</v>
      </c>
      <c r="D29" s="71">
        <v>0</v>
      </c>
      <c r="E29" s="71">
        <v>0</v>
      </c>
      <c r="F29" s="45">
        <f t="shared" ref="F29:F43" si="11">+$F$3</f>
        <v>79.026200000000003</v>
      </c>
      <c r="G29" s="1">
        <v>1</v>
      </c>
      <c r="I29" s="70">
        <f>((((1013.25+$C29-'Set-up_Mano_Grav'!$S$5)/1013.25)*($D29/100)*(($F29+1.5)/1000)/(0.08206*(273.15+'Set-up_Mano_Grav'!$P$3)))-(((1013.25-'Set-up_Mano_Grav'!$S$5)/1013.25)*($D28/100)*($F29/1000)/(0.08206*(273.15+'Set-up_Mano_Grav'!$P$3))))*'Set-up_Mano_Grav'!$R$5</f>
        <v>0</v>
      </c>
      <c r="J29" s="72">
        <v>0</v>
      </c>
      <c r="K29" s="72">
        <f>+Blank!M8</f>
        <v>0</v>
      </c>
      <c r="L29" s="72">
        <v>0</v>
      </c>
      <c r="M29" s="83"/>
      <c r="P29" s="57"/>
      <c r="Q29" s="72">
        <f>+B29</f>
        <v>0</v>
      </c>
      <c r="S29" s="69">
        <v>184.63194999999999</v>
      </c>
      <c r="T29" s="98"/>
    </row>
    <row r="30" spans="1:37">
      <c r="A30" s="30">
        <f t="shared" si="10"/>
        <v>43417.361111111109</v>
      </c>
      <c r="B30" s="32">
        <f t="shared" si="10"/>
        <v>0.84027777777373558</v>
      </c>
      <c r="C30" s="86">
        <v>1672</v>
      </c>
      <c r="D30" s="48">
        <v>34.32</v>
      </c>
      <c r="E30" s="48">
        <v>32.159999999999997</v>
      </c>
      <c r="F30" s="45">
        <f t="shared" si="11"/>
        <v>79.026200000000003</v>
      </c>
      <c r="G30" s="44">
        <v>1</v>
      </c>
      <c r="I30" s="70">
        <f>((((1013.25+$C30-'Set-up_Mano_Grav'!$S$5)/1013.25)*($D30/100)*(($F30+1.5)/1000)/(0.08206*(273.15+'Set-up_Mano_Grav'!$P$3)))-(((1013.25-'Set-up_Mano_Grav'!$S$5)/1013.25)*($D29/100)*($F30/1000)/(0.08206*(273.15+'Set-up_Mano_Grav'!$P$3))))*'Set-up_Mano_Grav'!$R$5</f>
        <v>65.788194091796953</v>
      </c>
      <c r="J30" s="72">
        <f>+J29+I30</f>
        <v>65.788194091796953</v>
      </c>
      <c r="K30" s="72">
        <f>+Blank!M9</f>
        <v>7.499793660141445</v>
      </c>
      <c r="L30" s="72">
        <f t="shared" ref="L30:L43" si="12">+(J30-(K30*$I$3))/$H$3</f>
        <v>68.834412060139059</v>
      </c>
      <c r="M30" s="83"/>
      <c r="P30" s="57"/>
      <c r="Q30" s="72">
        <f>+B30</f>
        <v>0.84027777777373558</v>
      </c>
      <c r="R30" s="103">
        <v>184.63159999999999</v>
      </c>
      <c r="S30" s="103">
        <v>184.47649999999999</v>
      </c>
      <c r="T30" s="103">
        <f>+S29-R30</f>
        <v>3.4999999999740794E-4</v>
      </c>
      <c r="U30" s="99">
        <f>+R30-S30</f>
        <v>0.15510000000000446</v>
      </c>
    </row>
    <row r="31" spans="1:37">
      <c r="A31" s="30">
        <f t="shared" si="10"/>
        <v>43418.364583333336</v>
      </c>
      <c r="B31" s="32">
        <f t="shared" si="10"/>
        <v>1.84375</v>
      </c>
      <c r="C31" s="67">
        <v>2211</v>
      </c>
      <c r="D31" s="73">
        <v>51.64</v>
      </c>
      <c r="E31" s="73">
        <v>36.94</v>
      </c>
      <c r="F31" s="45">
        <f t="shared" si="11"/>
        <v>79.026200000000003</v>
      </c>
      <c r="G31" s="44">
        <v>1</v>
      </c>
      <c r="I31" s="70">
        <f>((((1013.25+$C31-'Set-up_Mano_Grav'!$S$5)/1013.25)*($D31/100)*(($F31+1.5)/1000)/(0.08206*(273.15+'Set-up_Mano_Grav'!$P$3)))-(((1013.25-'Set-up_Mano_Grav'!$S$5)/1013.25)*($D30/100)*($F31/1000)/(0.08206*(273.15+'Set-up_Mano_Grav'!$P$3))))*'Set-up_Mano_Grav'!$R$5</f>
        <v>95.481819689015211</v>
      </c>
      <c r="J31" s="72">
        <f>+J30+I31</f>
        <v>161.27001378081218</v>
      </c>
      <c r="K31" s="72">
        <f>+Blank!M10</f>
        <v>15.095341000313356</v>
      </c>
      <c r="L31" s="72">
        <f t="shared" si="12"/>
        <v>175.06766705602212</v>
      </c>
      <c r="M31" s="83"/>
      <c r="P31" s="57"/>
      <c r="Q31" s="72">
        <f t="shared" ref="Q31:Q43" si="13">+B31</f>
        <v>1.84375</v>
      </c>
      <c r="R31" s="103">
        <v>184.47669999999999</v>
      </c>
      <c r="S31" s="103">
        <v>184.27520000000001</v>
      </c>
      <c r="T31" s="103">
        <f t="shared" ref="T31:T33" si="14">+S30-R31</f>
        <v>-2.0000000000663931E-4</v>
      </c>
      <c r="U31" s="99">
        <f t="shared" ref="U31:U43" si="15">+R31-S31</f>
        <v>0.20149999999998158</v>
      </c>
    </row>
    <row r="32" spans="1:37">
      <c r="A32" s="30">
        <f t="shared" si="10"/>
        <v>43419.371527777781</v>
      </c>
      <c r="B32" s="32">
        <f t="shared" si="10"/>
        <v>2.8506944444452529</v>
      </c>
      <c r="C32" s="67">
        <v>2150</v>
      </c>
      <c r="D32" s="73">
        <v>62.61</v>
      </c>
      <c r="E32" s="73">
        <v>32.25</v>
      </c>
      <c r="F32" s="45">
        <f t="shared" si="11"/>
        <v>79.026200000000003</v>
      </c>
      <c r="G32" s="44">
        <v>1</v>
      </c>
      <c r="I32" s="70">
        <f>((((1013.25+$C32-'Set-up_Mano_Grav'!$S$5)/1013.25)*($D32/100)*(($F32+1.5)/1000)/(0.08206*(273.15+'Set-up_Mano_Grav'!$P$3)))-(((1013.25-'Set-up_Mano_Grav'!$S$5)/1013.25)*($D31/100)*($F32/1000)/(0.08206*(273.15+'Set-up_Mano_Grav'!$P$3))))*'Set-up_Mano_Grav'!$R$5</f>
        <v>106.06747642094363</v>
      </c>
      <c r="J32" s="72">
        <f t="shared" ref="J32:J43" si="16">+J31+I32</f>
        <v>267.33749020175583</v>
      </c>
      <c r="K32" s="72">
        <f>+Blank!M11</f>
        <v>21.415568499765985</v>
      </c>
      <c r="L32" s="72">
        <f t="shared" si="12"/>
        <v>297.15352788029122</v>
      </c>
      <c r="M32" s="83"/>
      <c r="P32" s="57"/>
      <c r="Q32" s="72">
        <f t="shared" si="13"/>
        <v>2.8506944444452529</v>
      </c>
      <c r="R32" s="103">
        <v>184.2722</v>
      </c>
      <c r="S32" s="103">
        <v>184.0976</v>
      </c>
      <c r="T32" s="103">
        <f t="shared" si="14"/>
        <v>3.0000000000143245E-3</v>
      </c>
      <c r="U32" s="99">
        <f t="shared" si="15"/>
        <v>0.17459999999999809</v>
      </c>
    </row>
    <row r="33" spans="1:21">
      <c r="A33" s="30">
        <f t="shared" si="10"/>
        <v>43420.329861111109</v>
      </c>
      <c r="B33" s="32">
        <f t="shared" si="10"/>
        <v>3.8090277777737356</v>
      </c>
      <c r="C33" s="67">
        <v>1404</v>
      </c>
      <c r="D33" s="64">
        <v>64.39</v>
      </c>
      <c r="E33" s="64">
        <v>32.54</v>
      </c>
      <c r="F33" s="45">
        <f t="shared" si="11"/>
        <v>79.026200000000003</v>
      </c>
      <c r="G33" s="44">
        <v>1</v>
      </c>
      <c r="I33" s="70">
        <f>((((1013.25+$C33-'Set-up_Mano_Grav'!$S$5)/1013.25)*($D33/100)*(($F33+1.5)/1000)/(0.08206*(273.15+'Set-up_Mano_Grav'!$P$3)))-(((1013.25-'Set-up_Mano_Grav'!$S$5)/1013.25)*($D32/100)*($F33/1000)/(0.08206*(273.15+'Set-up_Mano_Grav'!$P$3))))*'Set-up_Mano_Grav'!$R$5</f>
        <v>67.667770070828581</v>
      </c>
      <c r="J33" s="72">
        <f>+J32+I33</f>
        <v>335.00526027258439</v>
      </c>
      <c r="K33" s="72">
        <f>+Blank!M12</f>
        <v>26.980971434669375</v>
      </c>
      <c r="L33" s="72">
        <f t="shared" si="12"/>
        <v>372.08968202135452</v>
      </c>
      <c r="M33" s="83"/>
      <c r="P33" s="57"/>
      <c r="Q33" s="72">
        <f t="shared" si="13"/>
        <v>3.8090277777737356</v>
      </c>
      <c r="R33" s="103">
        <v>184.0976</v>
      </c>
      <c r="S33" s="103">
        <v>183.98910000000001</v>
      </c>
      <c r="T33" s="103">
        <f t="shared" si="14"/>
        <v>0</v>
      </c>
      <c r="U33" s="99">
        <f t="shared" si="15"/>
        <v>0.10849999999999227</v>
      </c>
    </row>
    <row r="34" spans="1:21">
      <c r="A34" s="30">
        <f t="shared" si="10"/>
        <v>43421.381944444445</v>
      </c>
      <c r="B34" s="32">
        <f t="shared" si="10"/>
        <v>4.8611111111094942</v>
      </c>
      <c r="C34" s="68">
        <v>862</v>
      </c>
      <c r="D34" s="64">
        <v>61.07</v>
      </c>
      <c r="E34" s="64">
        <v>33.6</v>
      </c>
      <c r="F34" s="45">
        <f t="shared" si="11"/>
        <v>79.026200000000003</v>
      </c>
      <c r="G34" s="44">
        <v>1</v>
      </c>
      <c r="I34" s="70">
        <f>((((1013.25+$C34-'Set-up_Mano_Grav'!$S$5)/1013.25)*($D34/100)*(($F34+1.5)/1000)/(0.08206*(273.15+'Set-up_Mano_Grav'!$P$3)))-(((1013.25-'Set-up_Mano_Grav'!$S$5)/1013.25)*($D33/100)*($F34/1000)/(0.08206*(273.15+'Set-up_Mano_Grav'!$P$3))))*'Set-up_Mano_Grav'!$R$5</f>
        <v>36.703484404820578</v>
      </c>
      <c r="J34" s="72">
        <f t="shared" si="16"/>
        <v>371.70874467740498</v>
      </c>
      <c r="K34" s="72">
        <f>+Blank!M13</f>
        <v>31.601758649954835</v>
      </c>
      <c r="L34" s="72">
        <f t="shared" si="12"/>
        <v>409.65237298831642</v>
      </c>
      <c r="M34" s="83"/>
      <c r="P34" s="57"/>
      <c r="Q34" s="72">
        <f t="shared" si="13"/>
        <v>4.8611111111094942</v>
      </c>
      <c r="R34" s="103">
        <v>183.9881</v>
      </c>
      <c r="S34" s="103">
        <v>183.92169999999999</v>
      </c>
      <c r="T34" s="103">
        <f>+S33-R34</f>
        <v>1.0000000000047748E-3</v>
      </c>
      <c r="U34" s="99">
        <f t="shared" si="15"/>
        <v>6.640000000001578E-2</v>
      </c>
    </row>
    <row r="35" spans="1:21">
      <c r="A35" s="30">
        <f t="shared" si="10"/>
        <v>43422.379861111112</v>
      </c>
      <c r="B35" s="32">
        <f t="shared" si="10"/>
        <v>5.859027777776646</v>
      </c>
      <c r="C35" s="68">
        <v>582</v>
      </c>
      <c r="D35" s="64">
        <v>60.72</v>
      </c>
      <c r="E35" s="64">
        <v>35.520000000000003</v>
      </c>
      <c r="F35" s="45">
        <f t="shared" si="11"/>
        <v>79.026200000000003</v>
      </c>
      <c r="G35" s="44">
        <v>1</v>
      </c>
      <c r="I35" s="70">
        <f>((((1013.25+$C35-'Set-up_Mano_Grav'!$S$5)/1013.25)*($D35/100)*(($F35+1.5)/1000)/(0.08206*(273.15+'Set-up_Mano_Grav'!$P$3)))-(((1013.25-'Set-up_Mano_Grav'!$S$5)/1013.25)*($D34/100)*($F35/1000)/(0.08206*(273.15+'Set-up_Mano_Grav'!$P$3))))*'Set-up_Mano_Grav'!$R$5</f>
        <v>26.195294995089903</v>
      </c>
      <c r="J35" s="72">
        <f t="shared" si="16"/>
        <v>397.90403967249489</v>
      </c>
      <c r="K35" s="72">
        <f>+Blank!M14</f>
        <v>35.740399764536022</v>
      </c>
      <c r="L35" s="72">
        <f t="shared" si="12"/>
        <v>434.84278244418692</v>
      </c>
      <c r="M35" s="83"/>
      <c r="P35" s="57"/>
      <c r="Q35" s="72">
        <f t="shared" si="13"/>
        <v>5.859027777776646</v>
      </c>
      <c r="R35" s="103">
        <v>183.92320000000001</v>
      </c>
      <c r="S35" s="103">
        <v>183.8775</v>
      </c>
      <c r="T35" s="103">
        <f t="shared" ref="T35:T43" si="17">+S34-R35</f>
        <v>-1.5000000000213731E-3</v>
      </c>
      <c r="U35" s="99">
        <f t="shared" si="15"/>
        <v>4.5700000000010732E-2</v>
      </c>
    </row>
    <row r="36" spans="1:21">
      <c r="A36" s="30">
        <f t="shared" si="10"/>
        <v>43423.36041666667</v>
      </c>
      <c r="B36" s="32">
        <f t="shared" si="10"/>
        <v>6.8395833333343035</v>
      </c>
      <c r="C36" s="68">
        <v>434</v>
      </c>
      <c r="D36" s="64">
        <v>59.85</v>
      </c>
      <c r="E36" s="64">
        <v>36.21</v>
      </c>
      <c r="F36" s="45">
        <f t="shared" si="11"/>
        <v>79.026200000000003</v>
      </c>
      <c r="G36" s="44">
        <v>1</v>
      </c>
      <c r="I36" s="70">
        <f>((((1013.25+$C36-'Set-up_Mano_Grav'!$S$5)/1013.25)*($D36/100)*(($F36+1.5)/1000)/(0.08206*(273.15+'Set-up_Mano_Grav'!$P$3)))-(((1013.25-'Set-up_Mano_Grav'!$S$5)/1013.25)*($D35/100)*($F36/1000)/(0.08206*(273.15+'Set-up_Mano_Grav'!$P$3))))*'Set-up_Mano_Grav'!$R$5</f>
        <v>19.030394957143947</v>
      </c>
      <c r="J36" s="72">
        <f t="shared" si="16"/>
        <v>416.93443462963882</v>
      </c>
      <c r="K36" s="72">
        <f>+Blank!M15</f>
        <v>39.743257144749556</v>
      </c>
      <c r="L36" s="72">
        <f t="shared" si="12"/>
        <v>451.22592008209705</v>
      </c>
      <c r="M36" s="83"/>
      <c r="P36" s="57"/>
      <c r="Q36" s="72">
        <f t="shared" si="13"/>
        <v>6.8395833333343035</v>
      </c>
      <c r="R36" s="103">
        <v>183.8732</v>
      </c>
      <c r="S36" s="103">
        <v>183.84030000000001</v>
      </c>
      <c r="T36" s="103">
        <f t="shared" si="17"/>
        <v>4.3000000000006366E-3</v>
      </c>
      <c r="U36" s="99">
        <f t="shared" si="15"/>
        <v>3.289999999998372E-2</v>
      </c>
    </row>
    <row r="37" spans="1:21">
      <c r="A37" s="30">
        <f t="shared" si="10"/>
        <v>43425.4375</v>
      </c>
      <c r="B37" s="32">
        <f t="shared" si="10"/>
        <v>8.9166666666642413</v>
      </c>
      <c r="C37" s="68">
        <v>566</v>
      </c>
      <c r="D37" s="64">
        <v>63.09</v>
      </c>
      <c r="E37" s="64">
        <v>35.56</v>
      </c>
      <c r="F37" s="45">
        <f t="shared" si="11"/>
        <v>79.026200000000003</v>
      </c>
      <c r="G37" s="44">
        <v>1</v>
      </c>
      <c r="I37" s="70">
        <f>((((1013.25+$C37-'Set-up_Mano_Grav'!$S$5)/1013.25)*($D37/100)*(($F37+1.5)/1000)/(0.08206*(273.15+'Set-up_Mano_Grav'!$P$3)))-(((1013.25-'Set-up_Mano_Grav'!$S$5)/1013.25)*($D36/100)*($F37/1000)/(0.08206*(273.15+'Set-up_Mano_Grav'!$P$3))))*'Set-up_Mano_Grav'!$R$5</f>
        <v>28.974147042994616</v>
      </c>
      <c r="J37" s="72">
        <f t="shared" si="16"/>
        <v>445.90858167263343</v>
      </c>
      <c r="K37" s="72">
        <f>+Blank!M16</f>
        <v>47.149282401477649</v>
      </c>
      <c r="L37" s="72">
        <f t="shared" si="12"/>
        <v>473.64537489611195</v>
      </c>
      <c r="M37" s="83"/>
      <c r="P37" s="57"/>
      <c r="Q37" s="72">
        <f t="shared" si="13"/>
        <v>8.9166666666642413</v>
      </c>
      <c r="R37" s="103">
        <v>183.8433</v>
      </c>
      <c r="S37" s="103">
        <v>183.8006</v>
      </c>
      <c r="T37" s="103">
        <f t="shared" si="17"/>
        <v>-2.9999999999859028E-3</v>
      </c>
      <c r="U37" s="99">
        <f t="shared" si="15"/>
        <v>4.2699999999996407E-2</v>
      </c>
    </row>
    <row r="38" spans="1:21">
      <c r="A38" s="30">
        <f t="shared" si="10"/>
        <v>43427.399305555555</v>
      </c>
      <c r="B38" s="32">
        <f t="shared" si="10"/>
        <v>10.878472222218988</v>
      </c>
      <c r="C38" s="68">
        <v>410</v>
      </c>
      <c r="D38" s="64">
        <v>62.83</v>
      </c>
      <c r="E38" s="64">
        <v>36.29</v>
      </c>
      <c r="F38" s="45">
        <f t="shared" si="11"/>
        <v>79.026200000000003</v>
      </c>
      <c r="G38" s="44">
        <v>1</v>
      </c>
      <c r="I38" s="70">
        <f>((((1013.25+$C38-'Set-up_Mano_Grav'!$S$5)/1013.25)*($D38/100)*(($F38+1.5)/1000)/(0.08206*(273.15+'Set-up_Mano_Grav'!$P$3)))-(((1013.25-'Set-up_Mano_Grav'!$S$5)/1013.25)*($D37/100)*($F38/1000)/(0.08206*(273.15+'Set-up_Mano_Grav'!$P$3))))*'Set-up_Mano_Grav'!$R$5</f>
        <v>19.335041908509215</v>
      </c>
      <c r="J38" s="72">
        <f t="shared" si="16"/>
        <v>465.24362358114263</v>
      </c>
      <c r="K38" s="72">
        <f>+Blank!M17</f>
        <v>52.748081713489995</v>
      </c>
      <c r="L38" s="72">
        <f t="shared" si="12"/>
        <v>487.3426847784865</v>
      </c>
      <c r="M38" s="83"/>
      <c r="P38" s="57"/>
      <c r="Q38" s="72">
        <f t="shared" si="13"/>
        <v>10.878472222218988</v>
      </c>
      <c r="R38" s="103">
        <v>183.8031</v>
      </c>
      <c r="S38" s="103">
        <v>183.77180000000001</v>
      </c>
      <c r="T38" s="103">
        <f t="shared" si="17"/>
        <v>-2.4999999999977263E-3</v>
      </c>
      <c r="U38" s="99">
        <f t="shared" si="15"/>
        <v>3.1299999999987449E-2</v>
      </c>
    </row>
    <row r="39" spans="1:21">
      <c r="A39" s="30">
        <f t="shared" si="10"/>
        <v>43429.645833333336</v>
      </c>
      <c r="B39" s="32">
        <f t="shared" si="10"/>
        <v>13.125</v>
      </c>
      <c r="C39" s="68">
        <v>376</v>
      </c>
      <c r="D39" s="64">
        <v>62.32</v>
      </c>
      <c r="E39" s="64">
        <v>36.549999999999997</v>
      </c>
      <c r="F39" s="45">
        <f t="shared" si="11"/>
        <v>79.026200000000003</v>
      </c>
      <c r="G39" s="44">
        <v>1</v>
      </c>
      <c r="I39" s="70">
        <f>((((1013.25+$C39-'Set-up_Mano_Grav'!$S$5)/1013.25)*($D39/100)*(($F39+1.5)/1000)/(0.08206*(273.15+'Set-up_Mano_Grav'!$P$3)))-(((1013.25-'Set-up_Mano_Grav'!$S$5)/1013.25)*($D38/100)*($F39/1000)/(0.08206*(273.15+'Set-up_Mano_Grav'!$P$3))))*'Set-up_Mano_Grav'!$R$5</f>
        <v>17.466578160543847</v>
      </c>
      <c r="J39" s="72">
        <f t="shared" si="16"/>
        <v>482.71020174168649</v>
      </c>
      <c r="K39" s="72">
        <f>+Blank!M18</f>
        <v>58.393129193530037</v>
      </c>
      <c r="L39" s="72">
        <f t="shared" si="12"/>
        <v>498.58608093115981</v>
      </c>
      <c r="M39" s="83"/>
      <c r="P39" s="57"/>
      <c r="Q39" s="72">
        <f t="shared" si="13"/>
        <v>13.125</v>
      </c>
      <c r="R39" s="103">
        <v>183.7704</v>
      </c>
      <c r="S39" s="103">
        <v>183.73949999999999</v>
      </c>
      <c r="T39" s="103">
        <f>+S38-R39</f>
        <v>1.4000000000180535E-3</v>
      </c>
      <c r="U39" s="99">
        <f t="shared" si="15"/>
        <v>3.0900000000002592E-2</v>
      </c>
    </row>
    <row r="40" spans="1:21">
      <c r="A40" s="30">
        <f t="shared" si="10"/>
        <v>43432.375</v>
      </c>
      <c r="B40" s="32">
        <f t="shared" si="10"/>
        <v>15.854166666664241</v>
      </c>
      <c r="C40" s="68">
        <v>326</v>
      </c>
      <c r="D40" s="64">
        <f>59.45*1.0399</f>
        <v>61.822055000000006</v>
      </c>
      <c r="E40" s="64">
        <f>35.4*1.0312</f>
        <v>36.504479999999994</v>
      </c>
      <c r="F40" s="45">
        <f t="shared" si="11"/>
        <v>79.026200000000003</v>
      </c>
      <c r="G40" s="44">
        <v>1</v>
      </c>
      <c r="I40" s="70">
        <f>((((1013.25+$C40-'Set-up_Mano_Grav'!$S$5)/1013.25)*($D40/100)*(($F40+1.5)/1000)/(0.08206*(273.15+'Set-up_Mano_Grav'!$P$3)))-(((1013.25-'Set-up_Mano_Grav'!$S$5)/1013.25)*($D39/100)*($F40/1000)/(0.08206*(273.15+'Set-up_Mano_Grav'!$P$3))))*'Set-up_Mano_Grav'!$R$5</f>
        <v>15.089709953744647</v>
      </c>
      <c r="J40" s="72">
        <f t="shared" si="16"/>
        <v>497.79991169543115</v>
      </c>
      <c r="K40" s="72">
        <f>+Blank!M19</f>
        <v>64.261148135934619</v>
      </c>
      <c r="L40" s="72">
        <f t="shared" si="12"/>
        <v>506.39197043599023</v>
      </c>
      <c r="M40" s="83"/>
      <c r="P40" s="57"/>
      <c r="Q40" s="72">
        <f t="shared" si="13"/>
        <v>15.854166666664241</v>
      </c>
      <c r="R40" s="103">
        <v>183.73929999999999</v>
      </c>
      <c r="S40" s="103">
        <v>183.7124</v>
      </c>
      <c r="T40" s="103">
        <f t="shared" si="17"/>
        <v>2.0000000000663931E-4</v>
      </c>
      <c r="U40" s="99">
        <f t="shared" si="15"/>
        <v>2.6899999999983493E-2</v>
      </c>
    </row>
    <row r="41" spans="1:21">
      <c r="A41" s="30">
        <f t="shared" si="10"/>
        <v>43435.430555555555</v>
      </c>
      <c r="B41" s="32">
        <f t="shared" si="10"/>
        <v>18.909722222218988</v>
      </c>
      <c r="C41" s="68">
        <v>316</v>
      </c>
      <c r="D41" s="64">
        <v>61.21</v>
      </c>
      <c r="E41" s="64">
        <v>36.08</v>
      </c>
      <c r="F41" s="45">
        <f t="shared" si="11"/>
        <v>79.026200000000003</v>
      </c>
      <c r="G41" s="44">
        <v>1</v>
      </c>
      <c r="I41" s="70">
        <f>((((1013.25+$C41-'Set-up_Mano_Grav'!$S$5)/1013.25)*($D41/100)*(($F41+1.5)/1000)/(0.08206*(273.15+'Set-up_Mano_Grav'!$P$3)))-(((1013.25-'Set-up_Mano_Grav'!$S$5)/1013.25)*($D40/100)*($F41/1000)/(0.08206*(273.15+'Set-up_Mano_Grav'!$P$3))))*'Set-up_Mano_Grav'!$R$5</f>
        <v>14.413981277299662</v>
      </c>
      <c r="J41" s="72">
        <f t="shared" si="16"/>
        <v>512.21389297273083</v>
      </c>
      <c r="K41" s="72">
        <f>+Blank!M20</f>
        <v>70.2793536364196</v>
      </c>
      <c r="L41" s="72">
        <f t="shared" si="12"/>
        <v>513.05355573696033</v>
      </c>
      <c r="M41" s="83"/>
      <c r="P41" s="57"/>
      <c r="Q41" s="72">
        <f t="shared" si="13"/>
        <v>18.909722222218988</v>
      </c>
      <c r="R41" s="103">
        <v>183.7116</v>
      </c>
      <c r="S41" s="103">
        <v>183.68879999999999</v>
      </c>
      <c r="T41" s="103">
        <f t="shared" si="17"/>
        <v>7.9999999999813554E-4</v>
      </c>
      <c r="U41" s="99">
        <f t="shared" si="15"/>
        <v>2.2800000000017917E-2</v>
      </c>
    </row>
    <row r="42" spans="1:21">
      <c r="A42" s="30">
        <f t="shared" si="10"/>
        <v>43439.381944444445</v>
      </c>
      <c r="B42" s="32">
        <f t="shared" si="10"/>
        <v>22.861111111109494</v>
      </c>
      <c r="C42" s="68">
        <v>318</v>
      </c>
      <c r="D42" s="64">
        <v>62.17</v>
      </c>
      <c r="E42" s="64">
        <v>35.96</v>
      </c>
      <c r="F42" s="45">
        <f t="shared" si="11"/>
        <v>79.026200000000003</v>
      </c>
      <c r="G42" s="44">
        <v>1</v>
      </c>
      <c r="I42" s="70">
        <f>((((1013.25+$C42-'Set-up_Mano_Grav'!$S$5)/1013.25)*($D42/100)*(($F42+1.5)/1000)/(0.08206*(273.15+'Set-up_Mano_Grav'!$P$3)))-(((1013.25-'Set-up_Mano_Grav'!$S$5)/1013.25)*($D41/100)*($F42/1000)/(0.08206*(273.15+'Set-up_Mano_Grav'!$P$3))))*'Set-up_Mano_Grav'!$R$5</f>
        <v>15.822615967784282</v>
      </c>
      <c r="J42" s="72">
        <f t="shared" si="16"/>
        <v>528.03650894051509</v>
      </c>
      <c r="K42" s="72">
        <f>+Blank!M21</f>
        <v>76.613455569938893</v>
      </c>
      <c r="L42" s="72">
        <f t="shared" si="12"/>
        <v>520.89009699888163</v>
      </c>
      <c r="M42" s="83"/>
      <c r="P42" s="57"/>
      <c r="Q42" s="72">
        <f t="shared" si="13"/>
        <v>22.861111111109494</v>
      </c>
      <c r="R42" s="103">
        <v>183.6825</v>
      </c>
      <c r="S42" s="103">
        <v>183.66079999999999</v>
      </c>
      <c r="T42" s="103">
        <f t="shared" si="17"/>
        <v>6.2999999999817646E-3</v>
      </c>
      <c r="U42" s="99">
        <f t="shared" si="15"/>
        <v>2.1700000000009823E-2</v>
      </c>
    </row>
    <row r="43" spans="1:21">
      <c r="A43" s="30">
        <f t="shared" si="10"/>
        <v>43443.666666666664</v>
      </c>
      <c r="B43" s="32">
        <f t="shared" si="10"/>
        <v>27.145833333328483</v>
      </c>
      <c r="C43" s="86">
        <v>302</v>
      </c>
      <c r="D43" s="48">
        <v>63.2</v>
      </c>
      <c r="E43" s="48">
        <v>36.25</v>
      </c>
      <c r="F43" s="45">
        <f t="shared" si="11"/>
        <v>79.026200000000003</v>
      </c>
      <c r="G43" s="44">
        <v>1</v>
      </c>
      <c r="I43" s="70">
        <f>((((1013.25+$C43-'Set-up_Mano_Grav'!$S$5)/1013.25)*($D43/100)*(($F43+1.5)/1000)/(0.08206*(273.15+'Set-up_Mano_Grav'!$P$3)))-(((1013.25-'Set-up_Mano_Grav'!$S$5)/1013.25)*($D42/100)*($F43/1000)/(0.08206*(273.15+'Set-up_Mano_Grav'!$P$3))))*'Set-up_Mano_Grav'!$R$5</f>
        <v>15.388418105748963</v>
      </c>
      <c r="J43" s="72">
        <f t="shared" si="16"/>
        <v>543.42492704626409</v>
      </c>
      <c r="K43" s="72">
        <f>+Blank!M22</f>
        <v>83.365296075465409</v>
      </c>
      <c r="L43" s="72">
        <f t="shared" si="12"/>
        <v>527.37313023322724</v>
      </c>
      <c r="M43" s="83"/>
      <c r="P43" s="57"/>
      <c r="Q43" s="72">
        <f t="shared" si="13"/>
        <v>27.145833333328483</v>
      </c>
      <c r="R43" s="103">
        <v>183.65870000000001</v>
      </c>
      <c r="S43" s="103">
        <v>183.63650000000001</v>
      </c>
      <c r="T43" s="103">
        <f t="shared" si="17"/>
        <v>2.0999999999844476E-3</v>
      </c>
      <c r="U43" s="99">
        <f t="shared" si="15"/>
        <v>2.2199999999997999E-2</v>
      </c>
    </row>
    <row r="44" spans="1:21">
      <c r="A44" s="30"/>
      <c r="B44" s="32"/>
      <c r="C44" s="86"/>
      <c r="D44" s="48"/>
      <c r="E44" s="48"/>
      <c r="F44" s="45"/>
      <c r="G44" s="44"/>
      <c r="I44" s="70"/>
      <c r="J44" s="72"/>
      <c r="K44" s="72"/>
      <c r="L44" s="72"/>
      <c r="M44" s="83"/>
      <c r="P44" s="57"/>
      <c r="Q44" s="72"/>
      <c r="R44" s="103"/>
      <c r="S44" s="103"/>
      <c r="T44" s="103"/>
      <c r="U44" s="99"/>
    </row>
    <row r="45" spans="1:21">
      <c r="A45" s="30"/>
      <c r="B45" s="32"/>
      <c r="C45" s="86"/>
      <c r="D45" s="48"/>
      <c r="E45" s="48"/>
      <c r="F45" s="45"/>
      <c r="G45" s="44"/>
      <c r="I45" s="70"/>
      <c r="J45" s="72"/>
      <c r="K45" s="72"/>
      <c r="L45" s="72"/>
      <c r="M45" s="83"/>
      <c r="P45" s="57"/>
      <c r="Q45" s="72"/>
      <c r="R45" s="103"/>
      <c r="S45" s="103"/>
      <c r="T45" s="103"/>
      <c r="U45" s="99"/>
    </row>
    <row r="46" spans="1:21">
      <c r="A46" s="30"/>
      <c r="B46" s="32"/>
      <c r="C46" s="48"/>
      <c r="D46" s="48"/>
      <c r="E46" s="48"/>
      <c r="F46" s="45"/>
      <c r="G46" s="44"/>
      <c r="I46" s="70"/>
      <c r="J46" s="72"/>
      <c r="K46" s="72"/>
      <c r="L46" s="72"/>
      <c r="M46" s="83"/>
      <c r="P46" s="57"/>
      <c r="Q46" s="72"/>
      <c r="R46" s="103"/>
      <c r="S46" s="103"/>
      <c r="T46" s="103"/>
      <c r="U46" s="99"/>
    </row>
    <row r="47" spans="1:21">
      <c r="A47" s="112"/>
      <c r="B47" s="46"/>
      <c r="C47" s="48"/>
      <c r="D47" s="48"/>
      <c r="E47" s="48"/>
      <c r="F47" s="45"/>
      <c r="G47" s="44"/>
      <c r="I47" s="70"/>
      <c r="J47" s="72"/>
      <c r="K47" s="72"/>
      <c r="L47" s="72"/>
      <c r="M47" s="83"/>
      <c r="P47" s="57"/>
      <c r="Q47" s="72"/>
      <c r="R47" s="103"/>
      <c r="S47" s="103"/>
      <c r="T47" s="103"/>
      <c r="U47" s="99"/>
    </row>
    <row r="48" spans="1:21">
      <c r="M48" s="83"/>
      <c r="P48" s="57"/>
      <c r="T48" s="98"/>
    </row>
    <row r="49" spans="1:21">
      <c r="A49" s="23" t="s">
        <v>30</v>
      </c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83"/>
      <c r="P49" s="101"/>
      <c r="Q49" s="38"/>
      <c r="R49" s="38"/>
      <c r="S49" s="38"/>
      <c r="T49" s="104"/>
      <c r="U49" s="38"/>
    </row>
    <row r="50" spans="1:21">
      <c r="A50" s="30">
        <f t="shared" ref="A50:B64" si="18">+A8</f>
        <v>43416.520833333336</v>
      </c>
      <c r="B50" s="51">
        <f t="shared" si="18"/>
        <v>0</v>
      </c>
      <c r="C50" s="71">
        <v>0</v>
      </c>
      <c r="D50" s="71">
        <v>0</v>
      </c>
      <c r="E50" s="71">
        <v>0</v>
      </c>
      <c r="F50" s="45">
        <f t="shared" ref="F50:F64" si="19">+$F$4</f>
        <v>79.0077</v>
      </c>
      <c r="G50" s="1">
        <v>1</v>
      </c>
      <c r="I50" s="70">
        <f>((((1013.25+$C50-'Set-up_Mano_Grav'!$S$5)/1013.25)*($D50/100)*(($F50+1.5)/1000)/(0.08206*(273.15+'Set-up_Mano_Grav'!$P$3)))-(((1013.25-'Set-up_Mano_Grav'!$S$5)/1013.25)*($D49/100)*($F50/1000)/(0.08206*(273.15+'Set-up_Mano_Grav'!$P$3))))*'Set-up_Mano_Grav'!$R$5</f>
        <v>0</v>
      </c>
      <c r="J50" s="72">
        <v>0</v>
      </c>
      <c r="K50" s="72">
        <f>+Blank!M8</f>
        <v>0</v>
      </c>
      <c r="L50" s="72">
        <v>0</v>
      </c>
      <c r="M50" s="83"/>
      <c r="P50" s="102"/>
      <c r="Q50" s="72">
        <f>+B50</f>
        <v>0</v>
      </c>
      <c r="R50" s="38"/>
      <c r="S50" s="38">
        <v>184.99025</v>
      </c>
      <c r="T50" s="104"/>
      <c r="U50" s="38"/>
    </row>
    <row r="51" spans="1:21">
      <c r="A51" s="30">
        <f t="shared" si="18"/>
        <v>43417.361111111109</v>
      </c>
      <c r="B51" s="32">
        <f t="shared" si="18"/>
        <v>0.84027777777373558</v>
      </c>
      <c r="C51" s="86">
        <v>1606</v>
      </c>
      <c r="D51" s="48">
        <v>33.67</v>
      </c>
      <c r="E51" s="48">
        <v>31.4</v>
      </c>
      <c r="F51" s="45">
        <f t="shared" si="19"/>
        <v>79.0077</v>
      </c>
      <c r="G51" s="44">
        <v>1</v>
      </c>
      <c r="I51" s="70">
        <f>((((1013.25+$C51-'Set-up_Mano_Grav'!$S$5)/1013.25)*($D51/100)*(($F51+1.5)/1000)/(0.08206*(273.15+'Set-up_Mano_Grav'!$P$3)))-(((1013.25-'Set-up_Mano_Grav'!$S$5)/1013.25)*($D50/100)*($F51/1000)/(0.08206*(273.15+'Set-up_Mano_Grav'!$P$3))))*'Set-up_Mano_Grav'!$R$5</f>
        <v>62.915366330954214</v>
      </c>
      <c r="J51" s="72">
        <f>+J50+I51</f>
        <v>62.915366330954214</v>
      </c>
      <c r="K51" s="72">
        <f>+Blank!M9</f>
        <v>7.499793660141445</v>
      </c>
      <c r="L51" s="72">
        <f t="shared" ref="L51:L64" si="20">+(J51-(K51*$I$4))/$H$4</f>
        <v>65.228416324590938</v>
      </c>
      <c r="M51" s="83"/>
      <c r="P51" s="102"/>
      <c r="Q51" s="72">
        <f t="shared" ref="Q51:Q52" si="21">+B51</f>
        <v>0.84027777777373558</v>
      </c>
      <c r="R51" s="103">
        <v>184.9889</v>
      </c>
      <c r="S51" s="103">
        <v>184.8295</v>
      </c>
      <c r="T51" s="103">
        <f>+S50-R51</f>
        <v>1.3500000000021828E-3</v>
      </c>
      <c r="U51" s="99">
        <f>+R51-S51</f>
        <v>0.15940000000000509</v>
      </c>
    </row>
    <row r="52" spans="1:21">
      <c r="A52" s="30">
        <f t="shared" si="18"/>
        <v>43418.364583333336</v>
      </c>
      <c r="B52" s="32">
        <f t="shared" si="18"/>
        <v>1.84375</v>
      </c>
      <c r="C52" s="67">
        <v>2068</v>
      </c>
      <c r="D52" s="73">
        <v>50.71</v>
      </c>
      <c r="E52" s="73">
        <v>35.83</v>
      </c>
      <c r="F52" s="45">
        <f t="shared" si="19"/>
        <v>79.0077</v>
      </c>
      <c r="G52" s="44">
        <v>1</v>
      </c>
      <c r="I52" s="70">
        <f>((((1013.25+$C52-'Set-up_Mano_Grav'!$S$5)/1013.25)*($D52/100)*(($F52+1.5)/1000)/(0.08206*(273.15+'Set-up_Mano_Grav'!$P$3)))-(((1013.25-'Set-up_Mano_Grav'!$S$5)/1013.25)*($D51/100)*($F52/1000)/(0.08206*(273.15+'Set-up_Mano_Grav'!$P$3))))*'Set-up_Mano_Grav'!$R$5</f>
        <v>88.5025585416209</v>
      </c>
      <c r="J52" s="72">
        <f t="shared" ref="J52:J64" si="22">+J51+I52</f>
        <v>151.4179248725751</v>
      </c>
      <c r="K52" s="72">
        <f>+Blank!M10</f>
        <v>15.095341000313356</v>
      </c>
      <c r="L52" s="72">
        <f t="shared" si="20"/>
        <v>162.67470921250592</v>
      </c>
      <c r="M52" s="83"/>
      <c r="P52" s="102"/>
      <c r="Q52" s="72">
        <f t="shared" si="21"/>
        <v>1.84375</v>
      </c>
      <c r="R52" s="103">
        <v>184.83</v>
      </c>
      <c r="S52" s="103">
        <v>184.62950000000001</v>
      </c>
      <c r="T52" s="103">
        <f t="shared" ref="T52:T54" si="23">+S51-R52</f>
        <v>-5.0000000001659828E-4</v>
      </c>
      <c r="U52" s="99">
        <f t="shared" ref="U52:U57" si="24">+R52-S52</f>
        <v>0.20050000000000523</v>
      </c>
    </row>
    <row r="53" spans="1:21">
      <c r="A53" s="30">
        <f t="shared" si="18"/>
        <v>43419.371527777781</v>
      </c>
      <c r="B53" s="32">
        <f t="shared" si="18"/>
        <v>2.8506944444452529</v>
      </c>
      <c r="C53" s="67">
        <v>1998</v>
      </c>
      <c r="D53" s="73">
        <v>62.58</v>
      </c>
      <c r="E53" s="73">
        <v>32.49</v>
      </c>
      <c r="F53" s="45">
        <f t="shared" si="19"/>
        <v>79.0077</v>
      </c>
      <c r="G53" s="44">
        <v>1</v>
      </c>
      <c r="I53" s="70">
        <f>((((1013.25+$C53-'Set-up_Mano_Grav'!$S$5)/1013.25)*($D53/100)*(($F53+1.5)/1000)/(0.08206*(273.15+'Set-up_Mano_Grav'!$P$3)))-(((1013.25-'Set-up_Mano_Grav'!$S$5)/1013.25)*($D52/100)*($F53/1000)/(0.08206*(273.15+'Set-up_Mano_Grav'!$P$3))))*'Set-up_Mano_Grav'!$R$5</f>
        <v>99.717335352010025</v>
      </c>
      <c r="J53" s="72">
        <f t="shared" si="22"/>
        <v>251.13526022458512</v>
      </c>
      <c r="K53" s="72">
        <f>+Blank!M11</f>
        <v>21.415568499765985</v>
      </c>
      <c r="L53" s="72">
        <f t="shared" si="20"/>
        <v>276.77903671843154</v>
      </c>
      <c r="M53" s="83"/>
      <c r="P53" s="102"/>
      <c r="Q53" s="72">
        <f>+B53</f>
        <v>2.8506944444452529</v>
      </c>
      <c r="R53" s="103">
        <v>184.62620000000001</v>
      </c>
      <c r="S53" s="103">
        <v>184.45169999999999</v>
      </c>
      <c r="T53" s="103">
        <f t="shared" si="23"/>
        <v>3.2999999999958618E-3</v>
      </c>
      <c r="U53" s="99">
        <f t="shared" si="24"/>
        <v>0.17450000000002319</v>
      </c>
    </row>
    <row r="54" spans="1:21">
      <c r="A54" s="30">
        <f t="shared" si="18"/>
        <v>43420.329861111109</v>
      </c>
      <c r="B54" s="32">
        <f t="shared" si="18"/>
        <v>3.8090277777737356</v>
      </c>
      <c r="C54" s="67">
        <v>1234</v>
      </c>
      <c r="D54" s="64">
        <v>61.55</v>
      </c>
      <c r="E54" s="64">
        <v>33.53</v>
      </c>
      <c r="F54" s="45">
        <f t="shared" si="19"/>
        <v>79.0077</v>
      </c>
      <c r="G54" s="44">
        <v>1</v>
      </c>
      <c r="I54" s="70">
        <f>((((1013.25+$C54-'Set-up_Mano_Grav'!$S$5)/1013.25)*($D54/100)*(($F54+1.5)/1000)/(0.08206*(273.15+'Set-up_Mano_Grav'!$P$3)))-(((1013.25-'Set-up_Mano_Grav'!$S$5)/1013.25)*($D53/100)*($F54/1000)/(0.08206*(273.15+'Set-up_Mano_Grav'!$P$3))))*'Set-up_Mano_Grav'!$R$5</f>
        <v>55.192203153533626</v>
      </c>
      <c r="J54" s="72">
        <f t="shared" si="22"/>
        <v>306.32746337811875</v>
      </c>
      <c r="K54" s="72">
        <f>+Blank!M12</f>
        <v>26.980971434669375</v>
      </c>
      <c r="L54" s="72">
        <f t="shared" si="20"/>
        <v>335.95280926460913</v>
      </c>
      <c r="M54" s="83"/>
      <c r="P54" s="102"/>
      <c r="Q54" s="72">
        <f t="shared" ref="Q54:Q64" si="25">+B54</f>
        <v>3.8090277777737356</v>
      </c>
      <c r="R54" s="103">
        <v>184.452</v>
      </c>
      <c r="S54" s="103">
        <v>184.3475</v>
      </c>
      <c r="T54" s="103">
        <f t="shared" si="23"/>
        <v>-3.0000000000995897E-4</v>
      </c>
      <c r="U54" s="99">
        <f t="shared" si="24"/>
        <v>0.10450000000000159</v>
      </c>
    </row>
    <row r="55" spans="1:21">
      <c r="A55" s="30">
        <f t="shared" si="18"/>
        <v>43421.381944444445</v>
      </c>
      <c r="B55" s="32">
        <f t="shared" si="18"/>
        <v>4.8611111111094942</v>
      </c>
      <c r="C55" s="68">
        <v>864</v>
      </c>
      <c r="D55" s="64">
        <v>60.67</v>
      </c>
      <c r="E55" s="64">
        <v>35.58</v>
      </c>
      <c r="F55" s="45">
        <f t="shared" si="19"/>
        <v>79.0077</v>
      </c>
      <c r="G55" s="44">
        <v>1</v>
      </c>
      <c r="I55" s="70">
        <f>((((1013.25+$C55-'Set-up_Mano_Grav'!$S$5)/1013.25)*($D55/100)*(($F55+1.5)/1000)/(0.08206*(273.15+'Set-up_Mano_Grav'!$P$3)))-(((1013.25-'Set-up_Mano_Grav'!$S$5)/1013.25)*($D54/100)*($F55/1000)/(0.08206*(273.15+'Set-up_Mano_Grav'!$P$3))))*'Set-up_Mano_Grav'!$R$5</f>
        <v>38.212668165185299</v>
      </c>
      <c r="J55" s="72">
        <f t="shared" si="22"/>
        <v>344.54013154330403</v>
      </c>
      <c r="K55" s="72">
        <f>+Blank!M13</f>
        <v>31.601758649954835</v>
      </c>
      <c r="L55" s="72">
        <f t="shared" si="20"/>
        <v>375.44387559953947</v>
      </c>
      <c r="M55" s="83"/>
      <c r="P55" s="102"/>
      <c r="Q55" s="72">
        <f t="shared" si="25"/>
        <v>4.8611111111094942</v>
      </c>
      <c r="R55" s="103">
        <v>184.34559999999999</v>
      </c>
      <c r="S55" s="103">
        <v>184.273</v>
      </c>
      <c r="T55" s="103">
        <f>+S54-R55</f>
        <v>1.90000000000623E-3</v>
      </c>
      <c r="U55" s="99">
        <f t="shared" si="24"/>
        <v>7.2599999999994225E-2</v>
      </c>
    </row>
    <row r="56" spans="1:21">
      <c r="A56" s="30">
        <f t="shared" si="18"/>
        <v>43422.379861111112</v>
      </c>
      <c r="B56" s="32">
        <f t="shared" si="18"/>
        <v>5.859027777776646</v>
      </c>
      <c r="C56" s="68">
        <v>576</v>
      </c>
      <c r="D56" s="64">
        <v>59.47</v>
      </c>
      <c r="E56" s="64">
        <v>36.96</v>
      </c>
      <c r="F56" s="45">
        <f t="shared" si="19"/>
        <v>79.0077</v>
      </c>
      <c r="G56" s="44">
        <v>1</v>
      </c>
      <c r="I56" s="70">
        <f>((((1013.25+$C56-'Set-up_Mano_Grav'!$S$5)/1013.25)*($D56/100)*(($F56+1.5)/1000)/(0.08206*(273.15+'Set-up_Mano_Grav'!$P$3)))-(((1013.25-'Set-up_Mano_Grav'!$S$5)/1013.25)*($D55/100)*($F56/1000)/(0.08206*(273.15+'Set-up_Mano_Grav'!$P$3))))*'Set-up_Mano_Grav'!$R$5</f>
        <v>24.799596660381404</v>
      </c>
      <c r="J56" s="72">
        <f t="shared" si="22"/>
        <v>369.33972820368541</v>
      </c>
      <c r="K56" s="72">
        <f>+Blank!M14</f>
        <v>35.740399764536022</v>
      </c>
      <c r="L56" s="72">
        <f t="shared" si="20"/>
        <v>398.87791975913092</v>
      </c>
      <c r="M56" s="83"/>
      <c r="P56" s="102"/>
      <c r="Q56" s="72">
        <f t="shared" si="25"/>
        <v>5.859027777776646</v>
      </c>
      <c r="R56" s="103">
        <v>184.2748</v>
      </c>
      <c r="S56" s="103">
        <v>184.22579999999999</v>
      </c>
      <c r="T56" s="103">
        <f t="shared" ref="T56:T57" si="26">+S55-R56</f>
        <v>-1.8000000000029104E-3</v>
      </c>
      <c r="U56" s="99">
        <f t="shared" si="24"/>
        <v>4.9000000000006594E-2</v>
      </c>
    </row>
    <row r="57" spans="1:21">
      <c r="A57" s="30">
        <f t="shared" si="18"/>
        <v>43423.36041666667</v>
      </c>
      <c r="B57" s="32">
        <f t="shared" si="18"/>
        <v>6.8395833333343035</v>
      </c>
      <c r="C57" s="68">
        <v>424</v>
      </c>
      <c r="D57" s="64">
        <v>58.06</v>
      </c>
      <c r="E57" s="64">
        <v>37.22</v>
      </c>
      <c r="F57" s="45">
        <f t="shared" si="19"/>
        <v>79.0077</v>
      </c>
      <c r="G57" s="44">
        <v>1</v>
      </c>
      <c r="I57" s="70">
        <f>((((1013.25+$C57-'Set-up_Mano_Grav'!$S$5)/1013.25)*($D57/100)*(($F57+1.5)/1000)/(0.08206*(273.15+'Set-up_Mano_Grav'!$P$3)))-(((1013.25-'Set-up_Mano_Grav'!$S$5)/1013.25)*($D56/100)*($F57/1000)/(0.08206*(273.15+'Set-up_Mano_Grav'!$P$3))))*'Set-up_Mano_Grav'!$R$5</f>
        <v>17.645173378657194</v>
      </c>
      <c r="J57" s="72">
        <f t="shared" si="22"/>
        <v>386.98490158234262</v>
      </c>
      <c r="K57" s="72">
        <f>+Blank!M15</f>
        <v>39.743257144749556</v>
      </c>
      <c r="L57" s="72">
        <f t="shared" si="20"/>
        <v>413.51348766096817</v>
      </c>
      <c r="M57" s="83"/>
      <c r="P57" s="102"/>
      <c r="Q57" s="72">
        <f t="shared" si="25"/>
        <v>6.8395833333343035</v>
      </c>
      <c r="R57" s="103">
        <v>184.22219999999999</v>
      </c>
      <c r="S57" s="103">
        <v>184.18680000000001</v>
      </c>
      <c r="T57" s="103">
        <f t="shared" si="26"/>
        <v>3.6000000000058208E-3</v>
      </c>
      <c r="U57" s="99">
        <f t="shared" si="24"/>
        <v>3.5399999999981446E-2</v>
      </c>
    </row>
    <row r="58" spans="1:21">
      <c r="A58" s="30">
        <f t="shared" si="18"/>
        <v>43425.4375</v>
      </c>
      <c r="B58" s="32">
        <f t="shared" si="18"/>
        <v>8.9166666666642413</v>
      </c>
      <c r="C58" s="68">
        <v>538</v>
      </c>
      <c r="D58" s="64">
        <v>62.59</v>
      </c>
      <c r="E58" s="64">
        <v>37.32</v>
      </c>
      <c r="F58" s="45">
        <f t="shared" si="19"/>
        <v>79.0077</v>
      </c>
      <c r="G58" s="44">
        <v>1</v>
      </c>
      <c r="I58" s="70">
        <f>((((1013.25+$C58-'Set-up_Mano_Grav'!$S$5)/1013.25)*($D58/100)*(($F58+1.5)/1000)/(0.08206*(273.15+'Set-up_Mano_Grav'!$P$3)))-(((1013.25-'Set-up_Mano_Grav'!$S$5)/1013.25)*($D57/100)*($F58/1000)/(0.08206*(273.15+'Set-up_Mano_Grav'!$P$3))))*'Set-up_Mano_Grav'!$R$5</f>
        <v>28.375254019036728</v>
      </c>
      <c r="J58" s="72">
        <f t="shared" si="22"/>
        <v>415.36015560137935</v>
      </c>
      <c r="K58" s="72">
        <f>+Blank!M16</f>
        <v>47.149282401477649</v>
      </c>
      <c r="L58" s="72">
        <f t="shared" si="20"/>
        <v>435.18268957184875</v>
      </c>
      <c r="M58" s="83"/>
      <c r="P58" s="102"/>
      <c r="Q58" s="72">
        <f t="shared" si="25"/>
        <v>8.9166666666642413</v>
      </c>
      <c r="R58" s="103">
        <v>184.18989999999999</v>
      </c>
      <c r="S58" s="103">
        <v>184.1456</v>
      </c>
      <c r="T58" s="103">
        <f t="shared" ref="T58:T64" si="27">+S57-R58</f>
        <v>-3.0999999999892225E-3</v>
      </c>
      <c r="U58" s="105">
        <f t="shared" ref="U58:U64" si="28">+R58-S58</f>
        <v>4.4299999999992679E-2</v>
      </c>
    </row>
    <row r="59" spans="1:21">
      <c r="A59" s="30">
        <f t="shared" si="18"/>
        <v>43427.399305555555</v>
      </c>
      <c r="B59" s="32">
        <f t="shared" si="18"/>
        <v>10.878472222218988</v>
      </c>
      <c r="C59" s="68">
        <v>382</v>
      </c>
      <c r="D59" s="64">
        <v>61.26</v>
      </c>
      <c r="E59" s="64">
        <v>37.049999999999997</v>
      </c>
      <c r="F59" s="45">
        <f t="shared" si="19"/>
        <v>79.0077</v>
      </c>
      <c r="G59" s="44">
        <v>1</v>
      </c>
      <c r="I59" s="70">
        <f>((((1013.25+$C59-'Set-up_Mano_Grav'!$S$5)/1013.25)*($D59/100)*(($F59+1.5)/1000)/(0.08206*(273.15+'Set-up_Mano_Grav'!$P$3)))-(((1013.25-'Set-up_Mano_Grav'!$S$5)/1013.25)*($D58/100)*($F59/1000)/(0.08206*(273.15+'Set-up_Mano_Grav'!$P$3))))*'Set-up_Mano_Grav'!$R$5</f>
        <v>16.860179981153959</v>
      </c>
      <c r="J59" s="72">
        <f t="shared" si="22"/>
        <v>432.22033558253332</v>
      </c>
      <c r="K59" s="72">
        <f>+Blank!M17</f>
        <v>52.748081713489995</v>
      </c>
      <c r="L59" s="72">
        <f t="shared" si="20"/>
        <v>445.75045320770397</v>
      </c>
      <c r="M59" s="83"/>
      <c r="P59" s="102"/>
      <c r="Q59" s="72">
        <f t="shared" si="25"/>
        <v>10.878472222218988</v>
      </c>
      <c r="R59" s="103">
        <v>184.14879999999999</v>
      </c>
      <c r="S59" s="103">
        <v>184.1163</v>
      </c>
      <c r="T59" s="103">
        <f t="shared" si="27"/>
        <v>-3.1999999999925421E-3</v>
      </c>
      <c r="U59" s="105">
        <f t="shared" si="28"/>
        <v>3.2499999999998863E-2</v>
      </c>
    </row>
    <row r="60" spans="1:21">
      <c r="A60" s="30">
        <f t="shared" si="18"/>
        <v>43429.645833333336</v>
      </c>
      <c r="B60" s="32">
        <f t="shared" si="18"/>
        <v>13.125</v>
      </c>
      <c r="C60" s="68">
        <v>342</v>
      </c>
      <c r="D60" s="64">
        <v>60.39</v>
      </c>
      <c r="E60" s="64">
        <v>37.049999999999997</v>
      </c>
      <c r="F60" s="45">
        <f t="shared" si="19"/>
        <v>79.0077</v>
      </c>
      <c r="G60" s="44">
        <v>1</v>
      </c>
      <c r="I60" s="70">
        <f>((((1013.25+$C60-'Set-up_Mano_Grav'!$S$5)/1013.25)*($D60/100)*(($F60+1.5)/1000)/(0.08206*(273.15+'Set-up_Mano_Grav'!$P$3)))-(((1013.25-'Set-up_Mano_Grav'!$S$5)/1013.25)*($D59/100)*($F60/1000)/(0.08206*(273.15+'Set-up_Mano_Grav'!$P$3))))*'Set-up_Mano_Grav'!$R$5</f>
        <v>15.173022968238877</v>
      </c>
      <c r="J60" s="72">
        <f t="shared" si="22"/>
        <v>447.39335855077218</v>
      </c>
      <c r="K60" s="72">
        <f>+Blank!M18</f>
        <v>58.393129193530037</v>
      </c>
      <c r="L60" s="72">
        <f t="shared" si="20"/>
        <v>454.09261621170009</v>
      </c>
      <c r="M60" s="83"/>
      <c r="P60" s="102"/>
      <c r="Q60" s="72">
        <f t="shared" si="25"/>
        <v>13.125</v>
      </c>
      <c r="R60" s="103">
        <v>184.11420000000001</v>
      </c>
      <c r="S60" s="103">
        <v>184.0855</v>
      </c>
      <c r="T60" s="103">
        <f t="shared" si="27"/>
        <v>2.0999999999844476E-3</v>
      </c>
      <c r="U60" s="105">
        <f t="shared" si="28"/>
        <v>2.8700000000014825E-2</v>
      </c>
    </row>
    <row r="61" spans="1:21">
      <c r="A61" s="30">
        <f t="shared" si="18"/>
        <v>43432.375</v>
      </c>
      <c r="B61" s="32">
        <f t="shared" si="18"/>
        <v>15.854166666664241</v>
      </c>
      <c r="C61" s="68">
        <v>304</v>
      </c>
      <c r="D61" s="64">
        <f>58.21*1.0399</f>
        <v>60.532579000000005</v>
      </c>
      <c r="E61" s="64">
        <f>35.96*1.0312</f>
        <v>37.081951999999994</v>
      </c>
      <c r="F61" s="45">
        <f t="shared" si="19"/>
        <v>79.0077</v>
      </c>
      <c r="G61" s="44">
        <v>1</v>
      </c>
      <c r="I61" s="70">
        <f>((((1013.25+$C61-'Set-up_Mano_Grav'!$S$5)/1013.25)*($D61/100)*(($F61+1.5)/1000)/(0.08206*(273.15+'Set-up_Mano_Grav'!$P$3)))-(((1013.25-'Set-up_Mano_Grav'!$S$5)/1013.25)*($D60/100)*($F61/1000)/(0.08206*(273.15+'Set-up_Mano_Grav'!$P$3))))*'Set-up_Mano_Grav'!$R$5</f>
        <v>14.240821121146396</v>
      </c>
      <c r="J61" s="72">
        <f t="shared" si="22"/>
        <v>461.63417967191856</v>
      </c>
      <c r="K61" s="72">
        <f>+Blank!M19</f>
        <v>64.261148135934619</v>
      </c>
      <c r="L61" s="72">
        <f t="shared" si="20"/>
        <v>460.8248517122131</v>
      </c>
      <c r="M61" s="83"/>
      <c r="P61" s="102"/>
      <c r="Q61" s="72">
        <f t="shared" si="25"/>
        <v>15.854166666664241</v>
      </c>
      <c r="R61" s="103">
        <v>184.08369999999999</v>
      </c>
      <c r="S61" s="103">
        <v>184.0583</v>
      </c>
      <c r="T61" s="103">
        <f t="shared" si="27"/>
        <v>1.8000000000029104E-3</v>
      </c>
      <c r="U61" s="105">
        <f t="shared" si="28"/>
        <v>2.5399999999990541E-2</v>
      </c>
    </row>
    <row r="62" spans="1:21">
      <c r="A62" s="30">
        <f t="shared" si="18"/>
        <v>43435.430555555555</v>
      </c>
      <c r="B62" s="32">
        <f t="shared" si="18"/>
        <v>18.909722222218988</v>
      </c>
      <c r="C62" s="68">
        <v>286</v>
      </c>
      <c r="D62" s="64">
        <v>60.95</v>
      </c>
      <c r="E62" s="64">
        <v>37.020000000000003</v>
      </c>
      <c r="F62" s="45">
        <f t="shared" si="19"/>
        <v>79.0077</v>
      </c>
      <c r="G62" s="44">
        <v>1</v>
      </c>
      <c r="I62" s="70">
        <f>((((1013.25+$C62-'Set-up_Mano_Grav'!$S$5)/1013.25)*($D62/100)*(($F62+1.5)/1000)/(0.08206*(273.15+'Set-up_Mano_Grav'!$P$3)))-(((1013.25-'Set-up_Mano_Grav'!$S$5)/1013.25)*($D61/100)*($F62/1000)/(0.08206*(273.15+'Set-up_Mano_Grav'!$P$3))))*'Set-up_Mano_Grav'!$R$5</f>
        <v>13.732273640024317</v>
      </c>
      <c r="J62" s="72">
        <f t="shared" si="22"/>
        <v>475.36645331194291</v>
      </c>
      <c r="K62" s="72">
        <f>+Blank!M20</f>
        <v>70.2793536364196</v>
      </c>
      <c r="L62" s="72">
        <f t="shared" si="20"/>
        <v>466.62383487712742</v>
      </c>
      <c r="M62" s="83"/>
      <c r="P62" s="102"/>
      <c r="Q62" s="72">
        <f t="shared" si="25"/>
        <v>18.909722222218988</v>
      </c>
      <c r="R62" s="103">
        <v>184.0583</v>
      </c>
      <c r="S62" s="103">
        <v>184.03479999999999</v>
      </c>
      <c r="T62" s="103">
        <f t="shared" si="27"/>
        <v>0</v>
      </c>
      <c r="U62" s="105">
        <f t="shared" si="28"/>
        <v>2.3500000000012733E-2</v>
      </c>
    </row>
    <row r="63" spans="1:21">
      <c r="A63" s="30">
        <f t="shared" si="18"/>
        <v>43439.381944444445</v>
      </c>
      <c r="B63" s="32">
        <f t="shared" si="18"/>
        <v>22.861111111109494</v>
      </c>
      <c r="C63" s="68">
        <v>289</v>
      </c>
      <c r="D63" s="64">
        <v>61.89</v>
      </c>
      <c r="E63" s="64">
        <v>36.65</v>
      </c>
      <c r="F63" s="45">
        <f t="shared" si="19"/>
        <v>79.0077</v>
      </c>
      <c r="G63" s="44">
        <v>1</v>
      </c>
      <c r="I63" s="70">
        <f>((((1013.25+$C63-'Set-up_Mano_Grav'!$S$5)/1013.25)*($D63/100)*(($F63+1.5)/1000)/(0.08206*(273.15+'Set-up_Mano_Grav'!$P$3)))-(((1013.25-'Set-up_Mano_Grav'!$S$5)/1013.25)*($D62/100)*($F63/1000)/(0.08206*(273.15+'Set-up_Mano_Grav'!$P$3))))*'Set-up_Mano_Grav'!$R$5</f>
        <v>14.435129353228303</v>
      </c>
      <c r="J63" s="72">
        <f t="shared" si="22"/>
        <v>489.80158266517122</v>
      </c>
      <c r="K63" s="72">
        <f>+Blank!M21</f>
        <v>76.613455569938893</v>
      </c>
      <c r="L63" s="72">
        <f t="shared" si="20"/>
        <v>472.7044724422372</v>
      </c>
      <c r="M63" s="83"/>
      <c r="P63" s="102"/>
      <c r="Q63" s="72">
        <f t="shared" si="25"/>
        <v>22.861111111109494</v>
      </c>
      <c r="R63" s="103">
        <v>184.0299</v>
      </c>
      <c r="S63" s="103">
        <v>184.00640000000001</v>
      </c>
      <c r="T63" s="103">
        <f t="shared" si="27"/>
        <v>4.8999999999921329E-3</v>
      </c>
      <c r="U63" s="105">
        <f t="shared" si="28"/>
        <v>2.3499999999984311E-2</v>
      </c>
    </row>
    <row r="64" spans="1:21">
      <c r="A64" s="30">
        <f t="shared" si="18"/>
        <v>43443.666666666664</v>
      </c>
      <c r="B64" s="32">
        <f t="shared" si="18"/>
        <v>27.145833333328483</v>
      </c>
      <c r="C64" s="68">
        <v>276</v>
      </c>
      <c r="D64" s="85">
        <v>63.08</v>
      </c>
      <c r="E64" s="85">
        <v>36.92</v>
      </c>
      <c r="F64" s="45">
        <f t="shared" si="19"/>
        <v>79.0077</v>
      </c>
      <c r="G64" s="44">
        <v>1</v>
      </c>
      <c r="I64" s="70">
        <f>((((1013.25+$C64-'Set-up_Mano_Grav'!$S$5)/1013.25)*($D64/100)*(($F64+1.5)/1000)/(0.08206*(273.15+'Set-up_Mano_Grav'!$P$3)))-(((1013.25-'Set-up_Mano_Grav'!$S$5)/1013.25)*($D63/100)*($F64/1000)/(0.08206*(273.15+'Set-up_Mano_Grav'!$P$3))))*'Set-up_Mano_Grav'!$R$5</f>
        <v>14.277960991386243</v>
      </c>
      <c r="J64" s="72">
        <f t="shared" si="22"/>
        <v>504.07954365655746</v>
      </c>
      <c r="K64" s="72">
        <f>+Blank!M22</f>
        <v>83.365296075465409</v>
      </c>
      <c r="L64" s="72">
        <f t="shared" si="20"/>
        <v>477.78153000806515</v>
      </c>
      <c r="P64" s="102"/>
      <c r="Q64" s="72">
        <f t="shared" si="25"/>
        <v>27.145833333328483</v>
      </c>
      <c r="R64" s="103">
        <v>184.0044</v>
      </c>
      <c r="S64" s="103">
        <v>183.9829</v>
      </c>
      <c r="T64" s="103">
        <f t="shared" si="27"/>
        <v>2.0000000000095497E-3</v>
      </c>
      <c r="U64" s="105">
        <f t="shared" si="28"/>
        <v>2.1500000000003183E-2</v>
      </c>
    </row>
    <row r="65" spans="1:21">
      <c r="A65" s="30"/>
      <c r="B65" s="32"/>
      <c r="C65" s="68"/>
      <c r="D65" s="85"/>
      <c r="E65" s="85"/>
      <c r="F65" s="45"/>
      <c r="G65" s="44"/>
      <c r="I65" s="70"/>
      <c r="J65" s="72"/>
      <c r="K65" s="72"/>
      <c r="L65" s="72"/>
      <c r="P65" s="102"/>
      <c r="Q65" s="72"/>
      <c r="R65" s="103"/>
      <c r="S65" s="103"/>
      <c r="T65" s="103"/>
      <c r="U65" s="105"/>
    </row>
    <row r="66" spans="1:21">
      <c r="A66" s="30"/>
      <c r="B66" s="32"/>
      <c r="C66" s="68"/>
      <c r="D66" s="85"/>
      <c r="E66" s="85"/>
      <c r="F66" s="45"/>
      <c r="G66" s="44"/>
      <c r="I66" s="70"/>
      <c r="J66" s="72"/>
      <c r="K66" s="72"/>
      <c r="L66" s="72"/>
      <c r="P66" s="102"/>
      <c r="Q66" s="72"/>
      <c r="R66" s="103"/>
      <c r="S66" s="103"/>
      <c r="T66" s="103"/>
      <c r="U66" s="105"/>
    </row>
    <row r="67" spans="1:21">
      <c r="A67" s="30"/>
      <c r="B67" s="32"/>
      <c r="C67" s="68"/>
      <c r="D67" s="85"/>
      <c r="E67" s="85"/>
      <c r="F67" s="45"/>
      <c r="G67" s="44"/>
      <c r="I67" s="70"/>
      <c r="J67" s="72"/>
      <c r="K67" s="72"/>
      <c r="L67" s="72"/>
      <c r="P67" s="102"/>
      <c r="Q67" s="72"/>
      <c r="R67" s="103"/>
      <c r="S67" s="103"/>
      <c r="T67" s="103"/>
      <c r="U67" s="105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/>
  </sheetPr>
  <dimension ref="A1:BI32"/>
  <sheetViews>
    <sheetView zoomScale="70" zoomScaleNormal="70" workbookViewId="0">
      <selection activeCell="E29" sqref="E29"/>
    </sheetView>
  </sheetViews>
  <sheetFormatPr defaultColWidth="9.140625" defaultRowHeight="15"/>
  <cols>
    <col min="1" max="1" width="9.140625" style="69"/>
    <col min="2" max="2" width="17.28515625" style="69" customWidth="1"/>
    <col min="3" max="3" width="16.7109375" style="69" bestFit="1" customWidth="1"/>
    <col min="4" max="4" width="23.85546875" style="69" customWidth="1"/>
    <col min="5" max="5" width="22" style="69" customWidth="1"/>
    <col min="6" max="6" width="23" style="69" bestFit="1" customWidth="1"/>
    <col min="7" max="7" width="16.7109375" style="69" customWidth="1"/>
    <col min="8" max="8" width="18.140625" style="69" customWidth="1"/>
    <col min="9" max="9" width="15" style="69" customWidth="1"/>
    <col min="10" max="10" width="22.5703125" style="69" bestFit="1" customWidth="1"/>
    <col min="11" max="11" width="23.85546875" style="69" bestFit="1" customWidth="1"/>
    <col min="12" max="12" width="11.42578125" style="69" bestFit="1" customWidth="1"/>
    <col min="13" max="13" width="13" style="69" customWidth="1"/>
    <col min="14" max="14" width="4.7109375" style="57" customWidth="1"/>
    <col min="15" max="15" width="18.85546875" style="69" bestFit="1" customWidth="1"/>
    <col min="16" max="16" width="14.42578125" style="69" bestFit="1" customWidth="1"/>
    <col min="17" max="17" width="15.7109375" style="69" bestFit="1" customWidth="1"/>
    <col min="18" max="18" width="27.28515625" style="69" bestFit="1" customWidth="1"/>
    <col min="19" max="19" width="17.85546875" style="69" customWidth="1"/>
    <col min="20" max="20" width="11.7109375" style="69" customWidth="1"/>
    <col min="21" max="22" width="9.140625" style="69"/>
    <col min="23" max="24" width="11.140625" style="69" bestFit="1" customWidth="1"/>
    <col min="25" max="16384" width="9.140625" style="69"/>
  </cols>
  <sheetData>
    <row r="1" spans="2:61">
      <c r="B1" s="6"/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/>
      <c r="J1" s="6" t="s">
        <v>6</v>
      </c>
      <c r="K1" s="6" t="s">
        <v>7</v>
      </c>
      <c r="L1" s="6" t="s">
        <v>8</v>
      </c>
      <c r="M1" s="8"/>
      <c r="N1" s="54"/>
      <c r="O1" s="121" t="s">
        <v>9</v>
      </c>
      <c r="P1" s="121"/>
      <c r="Q1" s="121"/>
      <c r="R1" s="21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</row>
    <row r="2" spans="2:61">
      <c r="B2" s="7"/>
      <c r="C2" s="18"/>
      <c r="D2" s="38" t="s">
        <v>39</v>
      </c>
      <c r="E2" s="87">
        <v>27.445900000000002</v>
      </c>
      <c r="F2" s="87">
        <v>51.498199999999997</v>
      </c>
      <c r="G2" s="87">
        <v>28.093</v>
      </c>
      <c r="H2" s="87">
        <v>27.633099999999999</v>
      </c>
      <c r="I2" s="88"/>
      <c r="J2" s="12">
        <f t="shared" ref="J2:J5" si="0">(G2-E2)/(F2-E2)*1000</f>
        <v>26.903871978979073</v>
      </c>
      <c r="K2" s="12">
        <f>(G2-H2)/(F2-E2)*1000</f>
        <v>19.120832519135433</v>
      </c>
      <c r="L2" s="12">
        <f>+K2/J2</f>
        <v>0.71070931849791741</v>
      </c>
      <c r="M2" s="19"/>
      <c r="N2" s="55"/>
      <c r="O2" s="69" t="s">
        <v>10</v>
      </c>
      <c r="P2" s="69">
        <v>8.2059999999999994E-2</v>
      </c>
      <c r="Q2" s="69" t="s">
        <v>11</v>
      </c>
      <c r="R2" s="40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</row>
    <row r="3" spans="2:61">
      <c r="B3" s="7"/>
      <c r="C3" s="18"/>
      <c r="D3" s="38" t="s">
        <v>39</v>
      </c>
      <c r="E3" s="87">
        <v>21.644200000000001</v>
      </c>
      <c r="F3" s="87">
        <v>48.459099999999999</v>
      </c>
      <c r="G3" s="87">
        <v>22.359100000000002</v>
      </c>
      <c r="H3" s="87">
        <v>21.852399999999999</v>
      </c>
      <c r="I3" s="88"/>
      <c r="J3" s="12">
        <f t="shared" si="0"/>
        <v>26.660550663996517</v>
      </c>
      <c r="K3" s="12">
        <f t="shared" ref="K3:K5" si="1">(G3-H3)/(F3-E3)*1000</f>
        <v>18.896210688833527</v>
      </c>
      <c r="L3" s="12">
        <f t="shared" ref="L3:L5" si="2">+K3/J3</f>
        <v>0.70877045740663314</v>
      </c>
      <c r="M3" s="19"/>
      <c r="N3" s="55"/>
      <c r="O3" s="69" t="s">
        <v>12</v>
      </c>
      <c r="P3" s="69">
        <v>30</v>
      </c>
      <c r="Q3" s="69" t="s">
        <v>13</v>
      </c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</row>
    <row r="4" spans="2:61">
      <c r="B4" s="7"/>
      <c r="C4" s="18"/>
      <c r="D4" s="38" t="s">
        <v>39</v>
      </c>
      <c r="E4" s="87">
        <v>21.916</v>
      </c>
      <c r="F4" s="87">
        <v>43.850499999999997</v>
      </c>
      <c r="G4" s="87">
        <v>22.5017</v>
      </c>
      <c r="H4" s="87">
        <v>22.087</v>
      </c>
      <c r="I4" s="88"/>
      <c r="J4" s="12">
        <f t="shared" si="0"/>
        <v>26.702227085185406</v>
      </c>
      <c r="K4" s="12">
        <f t="shared" si="1"/>
        <v>18.906289179147002</v>
      </c>
      <c r="L4" s="12">
        <f t="shared" si="2"/>
        <v>0.70804165955267273</v>
      </c>
      <c r="M4" s="19"/>
      <c r="N4" s="55"/>
      <c r="O4" s="40" t="s">
        <v>14</v>
      </c>
      <c r="P4" s="52">
        <f>+(P2*(273.15+P3))/(P2*273.15)</f>
        <v>1.1098297638660077</v>
      </c>
      <c r="Q4" s="40"/>
      <c r="R4" s="76" t="s">
        <v>35</v>
      </c>
      <c r="S4" s="62" t="s">
        <v>42</v>
      </c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</row>
    <row r="5" spans="2:61">
      <c r="B5" s="7"/>
      <c r="C5" s="18"/>
      <c r="D5" s="38" t="s">
        <v>39</v>
      </c>
      <c r="E5" s="87">
        <v>25.755800000000001</v>
      </c>
      <c r="F5" s="87">
        <v>51.262599999999999</v>
      </c>
      <c r="G5" s="87">
        <v>26.436299999999999</v>
      </c>
      <c r="H5" s="87">
        <v>25.949100000000001</v>
      </c>
      <c r="I5" s="88"/>
      <c r="J5" s="12">
        <f t="shared" si="0"/>
        <v>26.679160067119302</v>
      </c>
      <c r="K5" s="12">
        <f t="shared" si="1"/>
        <v>19.100788809258624</v>
      </c>
      <c r="L5" s="12">
        <f t="shared" si="2"/>
        <v>0.71594415870683159</v>
      </c>
      <c r="M5" s="19"/>
      <c r="N5" s="55"/>
      <c r="O5" s="40"/>
      <c r="P5" s="52"/>
      <c r="Q5" s="40"/>
      <c r="R5" s="77">
        <f>(1*0.08206*273.15)/(1/1.01325)*1000</f>
        <v>22711.683629249997</v>
      </c>
      <c r="S5" s="61">
        <f>0.61121*(EXP((18.678-(P3/234.5))*(P3/(254.14+P3))))*10</f>
        <v>43.328871056985747</v>
      </c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</row>
    <row r="6" spans="2:61">
      <c r="C6" s="18"/>
      <c r="D6" s="38"/>
      <c r="E6" s="87"/>
      <c r="F6" s="87"/>
      <c r="G6" s="87"/>
      <c r="H6" s="87"/>
      <c r="I6" s="88"/>
      <c r="J6" s="89">
        <f>AVERAGE(J2:J5)</f>
        <v>26.736452448820071</v>
      </c>
      <c r="K6" s="90">
        <f>AVERAGE(K2:K5)</f>
        <v>19.006030299093645</v>
      </c>
      <c r="L6" s="89">
        <f>AVERAGE(L2:L5)</f>
        <v>0.71086639854101374</v>
      </c>
      <c r="M6" s="19"/>
      <c r="N6" s="55"/>
      <c r="O6" s="20"/>
      <c r="P6" s="20"/>
      <c r="Q6" s="20"/>
      <c r="R6" s="20"/>
      <c r="S6" s="44"/>
      <c r="T6" s="10"/>
      <c r="U6" s="11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</row>
    <row r="7" spans="2:61">
      <c r="C7" s="18"/>
      <c r="D7" s="38"/>
      <c r="E7" s="87"/>
      <c r="F7" s="87"/>
      <c r="G7" s="87"/>
      <c r="H7" s="87"/>
      <c r="I7" s="88"/>
      <c r="J7" s="89"/>
      <c r="K7" s="90"/>
      <c r="L7" s="89"/>
      <c r="M7" s="19"/>
      <c r="N7" s="55"/>
      <c r="O7" s="20"/>
      <c r="P7" s="20"/>
      <c r="Q7" s="20"/>
      <c r="R7" s="20"/>
      <c r="S7" s="44"/>
      <c r="T7" s="10"/>
      <c r="U7" s="11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</row>
    <row r="8" spans="2:61">
      <c r="C8" s="18"/>
      <c r="D8" s="38" t="s">
        <v>53</v>
      </c>
      <c r="E8" s="87">
        <v>21.393899999999999</v>
      </c>
      <c r="F8" s="87">
        <v>23.237400000000001</v>
      </c>
      <c r="G8" s="87">
        <v>23.189800000000002</v>
      </c>
      <c r="H8" s="87">
        <v>21.394500000000001</v>
      </c>
      <c r="I8" s="88"/>
      <c r="J8" s="12">
        <f t="shared" ref="J8:J11" si="3">(G8-E8)/(F8-E8)*1000</f>
        <v>974.17954976946078</v>
      </c>
      <c r="K8" s="12">
        <f>(G8-H8)/(F8-E8)*1000</f>
        <v>973.85408190941075</v>
      </c>
      <c r="L8" s="12">
        <f>+K8/J8</f>
        <v>0.99966590567403402</v>
      </c>
      <c r="M8" s="19"/>
      <c r="N8" s="55"/>
      <c r="O8" s="20"/>
      <c r="P8" s="20"/>
      <c r="Q8" s="20"/>
      <c r="R8" s="20"/>
      <c r="S8" s="44"/>
      <c r="T8" s="10"/>
      <c r="U8" s="11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</row>
    <row r="9" spans="2:61">
      <c r="C9" s="18"/>
      <c r="D9" s="38" t="s">
        <v>53</v>
      </c>
      <c r="E9" s="91">
        <v>25.941299999999998</v>
      </c>
      <c r="F9" s="87">
        <v>28.518799999999999</v>
      </c>
      <c r="G9" s="87">
        <v>28.450900000000001</v>
      </c>
      <c r="H9" s="87">
        <v>25.941700000000001</v>
      </c>
      <c r="I9" s="87"/>
      <c r="J9" s="12">
        <f t="shared" si="3"/>
        <v>973.65664403491837</v>
      </c>
      <c r="K9" s="12">
        <f t="shared" ref="K9:K11" si="4">(G9-H9)/(F9-E9)*1000</f>
        <v>973.50145489815691</v>
      </c>
      <c r="L9" s="12">
        <f t="shared" ref="L9:L11" si="5">+K9/J9</f>
        <v>0.99984061204972796</v>
      </c>
      <c r="M9" s="19"/>
      <c r="N9" s="55"/>
      <c r="O9" s="20"/>
      <c r="P9" s="20"/>
      <c r="Q9" s="20"/>
      <c r="R9" s="20"/>
      <c r="S9" s="44"/>
      <c r="T9" s="10"/>
      <c r="U9" s="11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</row>
    <row r="10" spans="2:61">
      <c r="C10" s="18"/>
      <c r="D10" s="38" t="s">
        <v>53</v>
      </c>
      <c r="E10" s="91">
        <v>21.5791</v>
      </c>
      <c r="F10" s="91">
        <v>23.476800000000001</v>
      </c>
      <c r="G10" s="91">
        <v>23.4285</v>
      </c>
      <c r="H10" s="91">
        <v>21.579699999999999</v>
      </c>
      <c r="I10" s="88"/>
      <c r="J10" s="12">
        <f t="shared" si="3"/>
        <v>974.54813721873791</v>
      </c>
      <c r="K10" s="12">
        <f t="shared" si="4"/>
        <v>974.23196501027576</v>
      </c>
      <c r="L10" s="12">
        <f t="shared" si="5"/>
        <v>0.99967557045528355</v>
      </c>
      <c r="M10" s="19"/>
      <c r="N10" s="55"/>
      <c r="O10" s="20"/>
      <c r="P10" s="20"/>
      <c r="Q10" s="20"/>
      <c r="R10" s="20"/>
      <c r="S10" s="44"/>
      <c r="T10" s="10"/>
      <c r="U10" s="11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</row>
    <row r="11" spans="2:61">
      <c r="C11" s="18"/>
      <c r="D11" s="38" t="s">
        <v>53</v>
      </c>
      <c r="E11" s="87">
        <v>26.095800000000001</v>
      </c>
      <c r="F11" s="91">
        <v>28.221399999999999</v>
      </c>
      <c r="G11" s="91">
        <v>28.167200000000001</v>
      </c>
      <c r="H11" s="91">
        <v>26.0962</v>
      </c>
      <c r="I11" s="88"/>
      <c r="J11" s="12">
        <f t="shared" si="3"/>
        <v>974.50131727512326</v>
      </c>
      <c r="K11" s="12">
        <f t="shared" si="4"/>
        <v>974.31313511479243</v>
      </c>
      <c r="L11" s="12">
        <f t="shared" si="5"/>
        <v>0.99980689388819199</v>
      </c>
      <c r="M11" s="19"/>
      <c r="N11" s="55"/>
      <c r="O11" s="20"/>
      <c r="P11" s="20"/>
      <c r="Q11" s="20"/>
      <c r="R11" s="20"/>
      <c r="S11" s="44"/>
      <c r="T11" s="10"/>
      <c r="U11" s="11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</row>
    <row r="12" spans="2:61">
      <c r="C12" s="18"/>
      <c r="D12" s="38"/>
      <c r="E12" s="87"/>
      <c r="F12" s="87"/>
      <c r="G12" s="87"/>
      <c r="H12" s="87"/>
      <c r="I12" s="88"/>
      <c r="J12" s="89"/>
      <c r="K12" s="90">
        <f>AVERAGE(K8:K11)</f>
        <v>973.97515923315905</v>
      </c>
      <c r="L12" s="89"/>
      <c r="M12" s="19"/>
      <c r="N12" s="55"/>
      <c r="O12" s="20"/>
      <c r="P12" s="20"/>
      <c r="Q12" s="20"/>
      <c r="R12" s="20"/>
      <c r="S12" s="44"/>
      <c r="T12" s="10"/>
      <c r="U12" s="11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</row>
    <row r="13" spans="2:61">
      <c r="C13" s="18"/>
      <c r="D13" s="38"/>
      <c r="E13" s="87"/>
      <c r="F13" s="87"/>
      <c r="G13" s="87"/>
      <c r="H13" s="87"/>
      <c r="I13" s="88"/>
      <c r="J13" s="89"/>
      <c r="K13" s="90"/>
      <c r="L13" s="89"/>
      <c r="M13" s="19"/>
      <c r="N13" s="55"/>
      <c r="O13" s="20"/>
      <c r="P13" s="20"/>
      <c r="Q13" s="20"/>
      <c r="R13" s="20"/>
      <c r="S13" s="44"/>
      <c r="T13" s="10"/>
      <c r="U13" s="11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</row>
    <row r="14" spans="2:61">
      <c r="C14" s="18"/>
      <c r="D14" s="38" t="s">
        <v>52</v>
      </c>
      <c r="E14" s="87">
        <v>21.643799999999999</v>
      </c>
      <c r="F14" s="87">
        <v>30.834</v>
      </c>
      <c r="G14" s="87">
        <v>30.195</v>
      </c>
      <c r="H14" s="87">
        <v>22.6873</v>
      </c>
      <c r="I14" s="88"/>
      <c r="J14" s="12">
        <f t="shared" ref="J14:J17" si="6">(G14-E14)/(F14-E14)*1000</f>
        <v>930.46941307044472</v>
      </c>
      <c r="K14" s="12">
        <f>(G14-H14)/(F14-E14)*1000</f>
        <v>816.92455006419868</v>
      </c>
      <c r="L14" s="12">
        <f>+K14/J14</f>
        <v>0.877970343343624</v>
      </c>
      <c r="M14" s="19"/>
      <c r="N14" s="55"/>
      <c r="O14" s="20"/>
      <c r="P14" s="20"/>
      <c r="Q14" s="20"/>
      <c r="R14" s="20"/>
      <c r="S14" s="44"/>
      <c r="T14" s="10"/>
      <c r="U14" s="11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</row>
    <row r="15" spans="2:61">
      <c r="C15" s="18"/>
      <c r="D15" s="38" t="s">
        <v>52</v>
      </c>
      <c r="E15" s="91">
        <v>21.573499999999999</v>
      </c>
      <c r="F15" s="87">
        <v>31.680199999999999</v>
      </c>
      <c r="G15" s="87">
        <v>30.983599999999999</v>
      </c>
      <c r="H15" s="87">
        <v>22.782699999999998</v>
      </c>
      <c r="I15" s="87"/>
      <c r="J15" s="12">
        <f t="shared" si="6"/>
        <v>931.07542521297751</v>
      </c>
      <c r="K15" s="12">
        <f t="shared" ref="K15:K17" si="7">(G15-H15)/(F15-E15)*1000</f>
        <v>811.43202034294097</v>
      </c>
      <c r="L15" s="12">
        <f t="shared" ref="L15:L17" si="8">+K15/J15</f>
        <v>0.87149977152208813</v>
      </c>
      <c r="M15" s="19"/>
      <c r="N15" s="55"/>
      <c r="O15" s="20"/>
      <c r="P15" s="20"/>
      <c r="Q15" s="20"/>
      <c r="R15" s="20"/>
      <c r="S15" s="44"/>
      <c r="T15" s="10"/>
      <c r="U15" s="11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</row>
    <row r="16" spans="2:61">
      <c r="C16" s="18"/>
      <c r="D16" s="38" t="s">
        <v>52</v>
      </c>
      <c r="E16" s="91">
        <v>25.939699999999998</v>
      </c>
      <c r="F16" s="91">
        <v>36.945099999999996</v>
      </c>
      <c r="G16" s="91">
        <v>36.184699999999999</v>
      </c>
      <c r="H16" s="91">
        <v>27.276399999999999</v>
      </c>
      <c r="I16" s="88"/>
      <c r="J16" s="12">
        <f t="shared" si="6"/>
        <v>930.9066458284118</v>
      </c>
      <c r="K16" s="12">
        <f t="shared" si="7"/>
        <v>809.44808911988673</v>
      </c>
      <c r="L16" s="12">
        <f t="shared" si="8"/>
        <v>0.86952659834065382</v>
      </c>
      <c r="M16" s="19"/>
      <c r="N16" s="55"/>
      <c r="O16" s="20"/>
      <c r="P16" s="20"/>
      <c r="Q16" s="20"/>
      <c r="R16" s="20"/>
      <c r="S16" s="44"/>
      <c r="T16" s="10"/>
      <c r="U16" s="11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</row>
    <row r="17" spans="1:43">
      <c r="C17" s="18"/>
      <c r="D17" s="38" t="s">
        <v>52</v>
      </c>
      <c r="E17" s="87">
        <v>25.756</v>
      </c>
      <c r="F17" s="91">
        <v>36.2742</v>
      </c>
      <c r="G17" s="91">
        <v>35.549700000000001</v>
      </c>
      <c r="H17" s="91">
        <v>26.985600000000002</v>
      </c>
      <c r="I17" s="88"/>
      <c r="J17" s="12">
        <f t="shared" si="6"/>
        <v>931.11939305204316</v>
      </c>
      <c r="K17" s="12">
        <f t="shared" si="7"/>
        <v>814.21726150862321</v>
      </c>
      <c r="L17" s="12">
        <f t="shared" si="8"/>
        <v>0.87444990146726975</v>
      </c>
      <c r="M17" s="19"/>
      <c r="N17" s="55"/>
      <c r="O17" s="20"/>
      <c r="P17" s="20"/>
      <c r="Q17" s="20"/>
      <c r="R17" s="20"/>
      <c r="S17" s="44"/>
      <c r="T17" s="10"/>
      <c r="U17" s="11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</row>
    <row r="18" spans="1:43">
      <c r="C18" s="18"/>
      <c r="D18" s="38"/>
      <c r="E18" s="87"/>
      <c r="F18" s="87"/>
      <c r="G18" s="87"/>
      <c r="H18" s="87"/>
      <c r="I18" s="88"/>
      <c r="J18" s="89"/>
      <c r="K18" s="90">
        <f>AVERAGE(K14:K17)</f>
        <v>813.00548025891248</v>
      </c>
      <c r="L18" s="89"/>
      <c r="M18" s="19"/>
      <c r="N18" s="55"/>
      <c r="O18" s="20"/>
      <c r="P18" s="20"/>
      <c r="Q18" s="20"/>
      <c r="R18" s="20"/>
      <c r="S18" s="44"/>
      <c r="T18" s="10"/>
      <c r="U18" s="11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</row>
    <row r="19" spans="1:43" ht="15.75" thickBot="1">
      <c r="C19" s="18"/>
      <c r="D19" s="38"/>
      <c r="E19" s="43"/>
      <c r="F19" s="43"/>
      <c r="G19" s="43"/>
      <c r="H19" s="38"/>
      <c r="I19" s="38"/>
      <c r="J19" s="39"/>
      <c r="K19" s="39"/>
      <c r="L19" s="39"/>
      <c r="M19" s="19"/>
      <c r="N19" s="55"/>
      <c r="O19" s="40"/>
      <c r="P19" s="40"/>
      <c r="Q19" s="40"/>
      <c r="R19" s="40"/>
      <c r="S19" s="38"/>
      <c r="T19" s="38"/>
      <c r="U19" s="38"/>
      <c r="V19" s="38"/>
      <c r="W19" s="38"/>
      <c r="X19" s="38"/>
      <c r="Y19" s="38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</row>
    <row r="20" spans="1:43" ht="15.75" thickBot="1">
      <c r="B20" s="14"/>
      <c r="C20" s="50" t="s">
        <v>15</v>
      </c>
      <c r="D20" s="50" t="s">
        <v>41</v>
      </c>
      <c r="E20" s="50" t="s">
        <v>54</v>
      </c>
      <c r="F20" s="15" t="s">
        <v>16</v>
      </c>
      <c r="G20" s="15" t="s">
        <v>17</v>
      </c>
      <c r="H20" s="15"/>
      <c r="I20" s="15" t="s">
        <v>18</v>
      </c>
      <c r="J20" s="15" t="s">
        <v>19</v>
      </c>
      <c r="K20" s="16" t="s">
        <v>20</v>
      </c>
      <c r="L20" s="15" t="s">
        <v>21</v>
      </c>
      <c r="M20" s="15"/>
      <c r="N20" s="56"/>
      <c r="O20" s="63"/>
      <c r="P20" s="63"/>
      <c r="Q20" s="35"/>
      <c r="R20" s="35"/>
      <c r="S20" s="35"/>
      <c r="T20" s="35"/>
      <c r="U20" s="35"/>
      <c r="V20" s="38"/>
      <c r="W20" s="35"/>
      <c r="X20" s="35"/>
      <c r="Y20" s="38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</row>
    <row r="21" spans="1:43">
      <c r="A21" s="69">
        <v>1</v>
      </c>
      <c r="B21" s="9" t="s">
        <v>51</v>
      </c>
      <c r="C21" s="13">
        <v>80.004000000000005</v>
      </c>
      <c r="D21" s="81">
        <v>0</v>
      </c>
      <c r="E21" s="81">
        <v>0</v>
      </c>
      <c r="F21" s="13">
        <f>SUM(C21:E21)</f>
        <v>80.004000000000005</v>
      </c>
      <c r="G21" s="13">
        <f>160-F21</f>
        <v>79.995999999999995</v>
      </c>
      <c r="H21" s="12"/>
      <c r="I21" s="12">
        <f>E21*$K$18/1000</f>
        <v>0</v>
      </c>
      <c r="J21" s="39">
        <f>C21*$K$6/1000</f>
        <v>1.520558448048688</v>
      </c>
      <c r="K21" s="92"/>
      <c r="L21" s="35"/>
      <c r="M21" s="35"/>
      <c r="N21" s="56"/>
      <c r="O21" s="63"/>
      <c r="P21" s="63"/>
      <c r="Q21" s="35"/>
      <c r="R21" s="35"/>
      <c r="S21" s="35"/>
      <c r="T21" s="35"/>
      <c r="U21" s="35"/>
      <c r="V21" s="38"/>
      <c r="W21" s="35"/>
      <c r="X21" s="35"/>
      <c r="Y21" s="38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</row>
    <row r="22" spans="1:43">
      <c r="A22" s="69">
        <v>2</v>
      </c>
      <c r="B22" s="9" t="s">
        <v>51</v>
      </c>
      <c r="C22" s="13">
        <v>80.031999999999996</v>
      </c>
      <c r="D22" s="81">
        <v>0</v>
      </c>
      <c r="E22" s="81">
        <v>0</v>
      </c>
      <c r="F22" s="13">
        <f>SUM(C22:E22)</f>
        <v>80.031999999999996</v>
      </c>
      <c r="G22" s="13">
        <f>160-F22</f>
        <v>79.968000000000004</v>
      </c>
      <c r="H22" s="12"/>
      <c r="I22" s="12">
        <f>E22*$K$18/1000</f>
        <v>0</v>
      </c>
      <c r="J22" s="39">
        <f t="shared" ref="J22:J23" si="9">C22*$K$6/1000</f>
        <v>1.5210906168970626</v>
      </c>
      <c r="K22" s="5"/>
      <c r="M22" s="72"/>
      <c r="N22" s="58"/>
      <c r="O22" s="40"/>
      <c r="P22" s="53"/>
      <c r="Q22" s="40"/>
      <c r="R22" s="40"/>
      <c r="S22" s="38"/>
      <c r="T22" s="38"/>
      <c r="U22" s="38"/>
      <c r="V22" s="38"/>
      <c r="W22" s="38"/>
      <c r="X22" s="38"/>
      <c r="Y22" s="38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</row>
    <row r="23" spans="1:43">
      <c r="A23" s="69">
        <v>3</v>
      </c>
      <c r="B23" s="9" t="s">
        <v>51</v>
      </c>
      <c r="C23" s="13">
        <v>80.010999999999996</v>
      </c>
      <c r="D23" s="81">
        <v>0</v>
      </c>
      <c r="E23" s="81">
        <v>0</v>
      </c>
      <c r="F23" s="13">
        <f t="shared" ref="F23:F26" si="10">SUM(C23:E23)</f>
        <v>80.010999999999996</v>
      </c>
      <c r="G23" s="13">
        <f t="shared" ref="G23" si="11">160-F23</f>
        <v>79.989000000000004</v>
      </c>
      <c r="H23" s="12"/>
      <c r="I23" s="12">
        <f>E23*$K$18/1000</f>
        <v>0</v>
      </c>
      <c r="J23" s="39">
        <f t="shared" si="9"/>
        <v>1.5206914902607815</v>
      </c>
      <c r="K23" s="5"/>
      <c r="M23" s="72"/>
      <c r="N23" s="58"/>
      <c r="O23" s="40"/>
      <c r="P23" s="40"/>
      <c r="Q23" s="40"/>
      <c r="R23" s="40"/>
      <c r="S23" s="38"/>
      <c r="T23" s="39"/>
      <c r="U23" s="39"/>
      <c r="V23" s="38"/>
      <c r="W23" s="38"/>
      <c r="X23" s="38"/>
      <c r="Y23" s="38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</row>
    <row r="24" spans="1:43">
      <c r="A24" s="38"/>
      <c r="B24" s="9"/>
      <c r="C24" s="13"/>
      <c r="D24" s="81"/>
      <c r="E24" s="81"/>
      <c r="F24" s="13"/>
      <c r="G24" s="13"/>
      <c r="H24" s="12"/>
      <c r="I24" s="12"/>
      <c r="J24" s="39"/>
      <c r="K24" s="5"/>
      <c r="M24" s="72"/>
      <c r="N24" s="58"/>
      <c r="O24" s="40"/>
      <c r="P24" s="40"/>
      <c r="Q24" s="40"/>
      <c r="R24" s="40"/>
      <c r="S24" s="38"/>
      <c r="T24" s="38"/>
      <c r="U24" s="38"/>
      <c r="V24" s="38"/>
      <c r="W24" s="38"/>
      <c r="X24" s="38"/>
      <c r="Y24" s="38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</row>
    <row r="25" spans="1:43">
      <c r="A25" s="69">
        <v>7</v>
      </c>
      <c r="B25" s="9" t="s">
        <v>53</v>
      </c>
      <c r="C25" s="13">
        <v>80.03</v>
      </c>
      <c r="D25" s="81">
        <v>0</v>
      </c>
      <c r="E25" s="81">
        <v>0.85150000000000003</v>
      </c>
      <c r="F25" s="13">
        <f t="shared" si="10"/>
        <v>80.881500000000003</v>
      </c>
      <c r="G25" s="13">
        <f>160-F25</f>
        <v>79.118499999999997</v>
      </c>
      <c r="H25" s="12"/>
      <c r="I25" s="12">
        <f>E25*$K$12/1000</f>
        <v>0.82933984808703498</v>
      </c>
      <c r="J25" s="39">
        <f>C25*$K$6/1000</f>
        <v>1.5210526048364645</v>
      </c>
      <c r="K25" s="39">
        <f>+J25/(I25)</f>
        <v>1.8340522384700824</v>
      </c>
      <c r="L25" s="70"/>
    </row>
    <row r="26" spans="1:43">
      <c r="A26" s="69">
        <v>8</v>
      </c>
      <c r="B26" s="9" t="s">
        <v>53</v>
      </c>
      <c r="C26" s="13">
        <v>80.012</v>
      </c>
      <c r="D26" s="81">
        <v>0</v>
      </c>
      <c r="E26" s="81">
        <v>0.85109999999999997</v>
      </c>
      <c r="F26" s="13">
        <f t="shared" si="10"/>
        <v>80.863100000000003</v>
      </c>
      <c r="G26" s="13">
        <f t="shared" ref="G26:G27" si="12">160-F26</f>
        <v>79.136899999999997</v>
      </c>
      <c r="H26" s="12"/>
      <c r="I26" s="12">
        <f t="shared" ref="I26:I27" si="13">E26*$K$12/1000</f>
        <v>0.82895025802334166</v>
      </c>
      <c r="J26" s="39">
        <f t="shared" ref="J26:J27" si="14">C26*$K$6/1000</f>
        <v>1.5207104962910807</v>
      </c>
      <c r="K26" s="39">
        <f t="shared" ref="K26:K27" si="15">+J26/(I26)</f>
        <v>1.8345015054549394</v>
      </c>
      <c r="L26" s="70"/>
    </row>
    <row r="27" spans="1:43">
      <c r="A27" s="69">
        <v>9</v>
      </c>
      <c r="B27" s="9" t="s">
        <v>53</v>
      </c>
      <c r="C27" s="13">
        <v>80.007999999999996</v>
      </c>
      <c r="D27" s="81">
        <v>0</v>
      </c>
      <c r="E27" s="81">
        <v>0.85199999999999998</v>
      </c>
      <c r="F27" s="13">
        <f>SUM(C27:E27)</f>
        <v>80.86</v>
      </c>
      <c r="G27" s="13">
        <f t="shared" si="12"/>
        <v>79.14</v>
      </c>
      <c r="H27" s="12"/>
      <c r="I27" s="12">
        <f t="shared" si="13"/>
        <v>0.8298268356666515</v>
      </c>
      <c r="J27" s="39">
        <f t="shared" si="14"/>
        <v>1.5206344721698843</v>
      </c>
      <c r="K27" s="39">
        <f t="shared" si="15"/>
        <v>1.8324720373115726</v>
      </c>
      <c r="L27" s="70">
        <f>AVERAGE(K25:K27)</f>
        <v>1.833675260412198</v>
      </c>
      <c r="M27" s="72"/>
    </row>
    <row r="28" spans="1:43">
      <c r="A28" s="38"/>
      <c r="B28" s="9"/>
      <c r="C28" s="13"/>
      <c r="D28" s="81"/>
      <c r="F28" s="13"/>
      <c r="G28" s="13"/>
      <c r="H28" s="12"/>
      <c r="I28" s="12"/>
      <c r="J28" s="39"/>
      <c r="K28" s="5"/>
    </row>
    <row r="29" spans="1:43">
      <c r="A29" s="38">
        <v>10</v>
      </c>
      <c r="B29" s="9" t="s">
        <v>52</v>
      </c>
      <c r="C29" s="13">
        <v>80.006</v>
      </c>
      <c r="D29" s="81">
        <v>0</v>
      </c>
      <c r="E29" s="81">
        <v>0.97040000000000004</v>
      </c>
      <c r="F29" s="13">
        <f t="shared" ref="F29:F30" si="16">SUM(C29:E29)</f>
        <v>80.976399999999998</v>
      </c>
      <c r="G29" s="13">
        <f>160-F29</f>
        <v>79.023600000000002</v>
      </c>
      <c r="H29" s="12"/>
      <c r="I29" s="12">
        <f>E29*$K$18/1000</f>
        <v>0.78894051804324872</v>
      </c>
      <c r="J29" s="39">
        <f>C29*$K$6/1000</f>
        <v>1.5205964601092863</v>
      </c>
      <c r="K29" s="39">
        <f>+J29/(I29)</f>
        <v>1.9273905007195093</v>
      </c>
      <c r="L29" s="70"/>
    </row>
    <row r="30" spans="1:43">
      <c r="A30" s="38">
        <v>11</v>
      </c>
      <c r="B30" s="9" t="s">
        <v>52</v>
      </c>
      <c r="C30" s="13">
        <v>80.048000000000002</v>
      </c>
      <c r="D30" s="81">
        <v>0</v>
      </c>
      <c r="E30" s="81">
        <v>0.9698</v>
      </c>
      <c r="F30" s="13">
        <f t="shared" si="16"/>
        <v>81.017800000000008</v>
      </c>
      <c r="G30" s="13">
        <f t="shared" ref="G30:G31" si="17">160-F30</f>
        <v>78.982199999999992</v>
      </c>
      <c r="H30" s="12"/>
      <c r="I30" s="12">
        <f>E30*$K$18/1000</f>
        <v>0.78845271475509338</v>
      </c>
      <c r="J30" s="39">
        <f t="shared" ref="J30:J31" si="18">C30*$K$6/1000</f>
        <v>1.5213947133818482</v>
      </c>
      <c r="K30" s="39">
        <f t="shared" ref="K30:K31" si="19">+J30/(I30)</f>
        <v>1.9295953770092844</v>
      </c>
      <c r="L30" s="70"/>
    </row>
    <row r="31" spans="1:43">
      <c r="A31" s="69">
        <v>12</v>
      </c>
      <c r="B31" s="9" t="s">
        <v>52</v>
      </c>
      <c r="C31" s="13">
        <v>80.019000000000005</v>
      </c>
      <c r="D31" s="81">
        <v>0</v>
      </c>
      <c r="E31" s="81">
        <v>0.96940000000000004</v>
      </c>
      <c r="F31" s="13">
        <f>SUM(C31:E31)</f>
        <v>80.988399999999999</v>
      </c>
      <c r="G31" s="13">
        <f t="shared" si="17"/>
        <v>79.011600000000001</v>
      </c>
      <c r="H31" s="12"/>
      <c r="I31" s="12">
        <f>E31*$K$18/1000</f>
        <v>0.78812751256298974</v>
      </c>
      <c r="J31" s="39">
        <f t="shared" si="18"/>
        <v>1.5208435385031744</v>
      </c>
      <c r="K31" s="39">
        <f t="shared" si="19"/>
        <v>1.9296922316001799</v>
      </c>
      <c r="L31" s="70">
        <f>AVERAGE(K29:K31)</f>
        <v>1.9288927031096579</v>
      </c>
    </row>
    <row r="32" spans="1:43">
      <c r="C32" s="13"/>
      <c r="D32" s="81"/>
      <c r="F32" s="13"/>
      <c r="J32" s="39"/>
    </row>
  </sheetData>
  <mergeCells count="1">
    <mergeCell ref="O1:Q1"/>
  </mergeCells>
  <pageMargins left="0.7" right="0.7" top="0.75" bottom="0.75" header="0.3" footer="0.3"/>
  <pageSetup paperSize="9" orientation="portrait" verticalDpi="0" r:id="rId1"/>
  <ignoredErrors>
    <ignoredError sqref="F21:G31" unlockedFormula="1"/>
  </ignoredError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 tint="0.79998168889431442"/>
  </sheetPr>
  <dimension ref="A5:X24"/>
  <sheetViews>
    <sheetView workbookViewId="0">
      <selection activeCell="S5" sqref="S5"/>
    </sheetView>
  </sheetViews>
  <sheetFormatPr defaultRowHeight="15"/>
  <cols>
    <col min="3" max="3" width="9.140625" style="69"/>
    <col min="4" max="5" width="9.5703125" bestFit="1" customWidth="1"/>
  </cols>
  <sheetData>
    <row r="5" spans="1:23" ht="75">
      <c r="B5" s="36" t="s">
        <v>45</v>
      </c>
      <c r="C5" s="36" t="s">
        <v>55</v>
      </c>
      <c r="D5" s="36" t="s">
        <v>43</v>
      </c>
      <c r="E5" s="36" t="s">
        <v>44</v>
      </c>
      <c r="F5" s="36" t="s">
        <v>46</v>
      </c>
      <c r="G5" s="36" t="s">
        <v>47</v>
      </c>
      <c r="J5" s="36" t="s">
        <v>45</v>
      </c>
      <c r="K5" s="36" t="s">
        <v>55</v>
      </c>
      <c r="L5" s="36" t="s">
        <v>43</v>
      </c>
      <c r="M5" s="36" t="s">
        <v>44</v>
      </c>
      <c r="N5" s="36" t="s">
        <v>46</v>
      </c>
      <c r="O5" s="36" t="s">
        <v>47</v>
      </c>
      <c r="R5" s="36" t="s">
        <v>45</v>
      </c>
      <c r="S5" s="36" t="s">
        <v>55</v>
      </c>
      <c r="T5" s="36" t="s">
        <v>43</v>
      </c>
      <c r="U5" s="36" t="s">
        <v>44</v>
      </c>
      <c r="V5" s="36" t="s">
        <v>46</v>
      </c>
      <c r="W5" s="36" t="s">
        <v>47</v>
      </c>
    </row>
    <row r="6" spans="1:23">
      <c r="B6" s="69"/>
      <c r="C6"/>
      <c r="D6" s="69"/>
      <c r="E6" s="69"/>
      <c r="F6" s="69"/>
      <c r="G6" s="69"/>
      <c r="J6" s="69"/>
      <c r="K6" s="69"/>
      <c r="L6" s="69"/>
      <c r="M6" s="69"/>
      <c r="N6" s="69"/>
      <c r="O6" s="69"/>
      <c r="R6" s="69"/>
      <c r="S6" s="69"/>
      <c r="T6" s="69"/>
      <c r="U6" s="69"/>
      <c r="V6" s="69"/>
      <c r="W6" s="69"/>
    </row>
    <row r="7" spans="1:23">
      <c r="B7" s="72">
        <f>+Blank!B8</f>
        <v>0</v>
      </c>
      <c r="C7"/>
      <c r="D7" s="71"/>
      <c r="E7" s="71">
        <v>183.26605000000001</v>
      </c>
      <c r="F7" s="69"/>
      <c r="G7" s="69"/>
      <c r="J7" s="72">
        <f>+B7</f>
        <v>0</v>
      </c>
      <c r="K7" s="69"/>
      <c r="L7" s="71"/>
      <c r="M7" s="71">
        <v>183.88749999999999</v>
      </c>
      <c r="N7" s="69"/>
      <c r="O7" s="69"/>
      <c r="R7" s="72">
        <f>+J7</f>
        <v>0</v>
      </c>
      <c r="S7" s="69"/>
      <c r="T7" s="71"/>
      <c r="U7" s="71">
        <v>183.7484</v>
      </c>
      <c r="V7" s="69"/>
      <c r="W7" s="69"/>
    </row>
    <row r="8" spans="1:23">
      <c r="A8" s="119">
        <v>1</v>
      </c>
      <c r="B8" s="72">
        <f>+Blank!B9</f>
        <v>0.84027777777373558</v>
      </c>
      <c r="C8" s="71">
        <v>27</v>
      </c>
      <c r="D8" s="103">
        <v>183.26509999999999</v>
      </c>
      <c r="E8" s="103">
        <v>183.23079999999999</v>
      </c>
      <c r="F8" s="103">
        <f>+E7-D8</f>
        <v>9.5000000001732587E-4</v>
      </c>
      <c r="G8" s="99">
        <f>+D8-E8</f>
        <v>3.4300000000001774E-2</v>
      </c>
      <c r="J8" s="72">
        <f t="shared" ref="J8:J21" si="0">+B8</f>
        <v>0.84027777777373558</v>
      </c>
      <c r="K8" s="71">
        <v>28</v>
      </c>
      <c r="L8" s="103">
        <v>183.88720000000001</v>
      </c>
      <c r="M8" s="103">
        <v>183.851</v>
      </c>
      <c r="N8" s="103">
        <f>+M7-L8</f>
        <v>2.9999999998153726E-4</v>
      </c>
      <c r="O8" s="99">
        <f>+L8-M8</f>
        <v>3.6200000000008004E-2</v>
      </c>
      <c r="R8" s="72">
        <f t="shared" ref="R8:R21" si="1">+J8</f>
        <v>0.84027777777373558</v>
      </c>
      <c r="S8" s="71">
        <v>28</v>
      </c>
      <c r="T8" s="103">
        <v>183.74780000000001</v>
      </c>
      <c r="U8" s="103">
        <v>183.7115</v>
      </c>
      <c r="V8" s="103">
        <f>+U7-T8</f>
        <v>5.9999999999149622E-4</v>
      </c>
      <c r="W8" s="99">
        <f>+T8-U8</f>
        <v>3.6300000000011323E-2</v>
      </c>
    </row>
    <row r="9" spans="1:23">
      <c r="A9" s="119">
        <v>2</v>
      </c>
      <c r="B9" s="72">
        <f>+Blank!B10</f>
        <v>1.84375</v>
      </c>
      <c r="C9" s="71">
        <v>17.5</v>
      </c>
      <c r="D9" s="103">
        <v>183.23249999999999</v>
      </c>
      <c r="E9" s="103">
        <v>183.21039999999999</v>
      </c>
      <c r="F9" s="103">
        <f t="shared" ref="F9:F11" si="2">+E8-D9</f>
        <v>-1.6999999999995907E-3</v>
      </c>
      <c r="G9" s="99">
        <f t="shared" ref="G9:G21" si="3">+D9-E9</f>
        <v>2.2099999999994679E-2</v>
      </c>
      <c r="J9" s="72">
        <f t="shared" si="0"/>
        <v>1.84375</v>
      </c>
      <c r="K9" s="71">
        <v>18.25</v>
      </c>
      <c r="L9" s="103">
        <v>183.85230000000001</v>
      </c>
      <c r="M9" s="103">
        <v>183.82910000000001</v>
      </c>
      <c r="N9" s="103">
        <f t="shared" ref="N9:N11" si="4">+M8-L9</f>
        <v>-1.3000000000147338E-3</v>
      </c>
      <c r="O9" s="99">
        <f t="shared" ref="O9:O21" si="5">+L9-M9</f>
        <v>2.3200000000002774E-2</v>
      </c>
      <c r="R9" s="72">
        <f t="shared" si="1"/>
        <v>1.84375</v>
      </c>
      <c r="S9" s="71">
        <v>18.25</v>
      </c>
      <c r="T9" s="103">
        <v>183.71250000000001</v>
      </c>
      <c r="U9" s="103">
        <v>183.69030000000001</v>
      </c>
      <c r="V9" s="103">
        <f t="shared" ref="V9:V11" si="6">+U8-T9</f>
        <v>-1.0000000000047748E-3</v>
      </c>
      <c r="W9" s="99">
        <f t="shared" ref="W9:W19" si="7">+T9-U9</f>
        <v>2.2199999999997999E-2</v>
      </c>
    </row>
    <row r="10" spans="1:23">
      <c r="A10" s="119">
        <v>3</v>
      </c>
      <c r="B10" s="72">
        <f>+Blank!B11</f>
        <v>2.8506944444452529</v>
      </c>
      <c r="C10" s="71">
        <v>14</v>
      </c>
      <c r="D10" s="103">
        <v>183.20679999999999</v>
      </c>
      <c r="E10" s="103">
        <v>183.19</v>
      </c>
      <c r="F10" s="103">
        <f t="shared" si="2"/>
        <v>3.6000000000058208E-3</v>
      </c>
      <c r="G10" s="99">
        <f t="shared" si="3"/>
        <v>1.6799999999989268E-2</v>
      </c>
      <c r="J10" s="72">
        <f t="shared" si="0"/>
        <v>2.8506944444452529</v>
      </c>
      <c r="K10" s="71">
        <v>14.25</v>
      </c>
      <c r="L10" s="103">
        <v>183.8263</v>
      </c>
      <c r="M10" s="103">
        <v>183.80850000000001</v>
      </c>
      <c r="N10" s="103">
        <f t="shared" si="4"/>
        <v>2.8000000000076852E-3</v>
      </c>
      <c r="O10" s="99">
        <f t="shared" si="5"/>
        <v>1.7799999999994043E-2</v>
      </c>
      <c r="R10" s="72">
        <f t="shared" si="1"/>
        <v>2.8506944444452529</v>
      </c>
      <c r="S10" s="71">
        <v>15</v>
      </c>
      <c r="T10" s="103">
        <v>183.68729999999999</v>
      </c>
      <c r="U10" s="103">
        <v>183.66839999999999</v>
      </c>
      <c r="V10" s="103">
        <f t="shared" si="6"/>
        <v>3.0000000000143245E-3</v>
      </c>
      <c r="W10" s="99">
        <f t="shared" si="7"/>
        <v>1.8900000000002137E-2</v>
      </c>
    </row>
    <row r="11" spans="1:23">
      <c r="A11" s="119">
        <v>4</v>
      </c>
      <c r="B11" s="72">
        <f>+Blank!B12</f>
        <v>3.8090277777737356</v>
      </c>
      <c r="C11" s="71">
        <v>11</v>
      </c>
      <c r="D11" s="103">
        <v>183.19130000000001</v>
      </c>
      <c r="E11" s="103">
        <v>183.17789999999999</v>
      </c>
      <c r="F11" s="103">
        <f t="shared" si="2"/>
        <v>-1.3000000000147338E-3</v>
      </c>
      <c r="G11" s="99">
        <f t="shared" si="3"/>
        <v>1.3400000000018508E-2</v>
      </c>
      <c r="J11" s="72">
        <f t="shared" si="0"/>
        <v>3.8090277777737356</v>
      </c>
      <c r="K11" s="71">
        <v>13</v>
      </c>
      <c r="L11" s="103">
        <v>183.81059999999999</v>
      </c>
      <c r="M11" s="103">
        <v>183.79470000000001</v>
      </c>
      <c r="N11" s="103">
        <f t="shared" si="4"/>
        <v>-2.0999999999844476E-3</v>
      </c>
      <c r="O11" s="99">
        <f t="shared" si="5"/>
        <v>1.5899999999987813E-2</v>
      </c>
      <c r="R11" s="72">
        <f t="shared" si="1"/>
        <v>3.8090277777737356</v>
      </c>
      <c r="S11" s="71">
        <v>11.5</v>
      </c>
      <c r="T11" s="103">
        <v>183.6695</v>
      </c>
      <c r="U11" s="103">
        <v>183.65479999999999</v>
      </c>
      <c r="V11" s="103">
        <f t="shared" si="6"/>
        <v>-1.1000000000080945E-3</v>
      </c>
      <c r="W11" s="99">
        <f t="shared" si="7"/>
        <v>1.470000000000482E-2</v>
      </c>
    </row>
    <row r="12" spans="1:23">
      <c r="A12" s="119">
        <v>5</v>
      </c>
      <c r="B12" s="72">
        <f>+Blank!B13</f>
        <v>4.8611111111094942</v>
      </c>
      <c r="C12" s="71">
        <v>8.5</v>
      </c>
      <c r="D12" s="103">
        <v>183.17750000000001</v>
      </c>
      <c r="E12" s="103">
        <v>183.16659999999999</v>
      </c>
      <c r="F12" s="103">
        <f>+E11-D12</f>
        <v>3.9999999998485691E-4</v>
      </c>
      <c r="G12" s="99">
        <f t="shared" si="3"/>
        <v>1.0900000000020782E-2</v>
      </c>
      <c r="J12" s="72">
        <f t="shared" si="0"/>
        <v>4.8611111111094942</v>
      </c>
      <c r="K12" s="71">
        <v>9.9</v>
      </c>
      <c r="L12" s="103">
        <v>183.7938</v>
      </c>
      <c r="M12" s="103">
        <v>183.78229999999999</v>
      </c>
      <c r="N12" s="103">
        <f>+M11-L12</f>
        <v>9.0000000000145519E-4</v>
      </c>
      <c r="O12" s="99">
        <f t="shared" si="5"/>
        <v>1.1500000000012278E-2</v>
      </c>
      <c r="R12" s="72">
        <f t="shared" si="1"/>
        <v>4.8611111111094942</v>
      </c>
      <c r="S12" s="71">
        <v>10.8</v>
      </c>
      <c r="T12" s="103">
        <v>183.65289999999999</v>
      </c>
      <c r="U12" s="103">
        <v>183.6405</v>
      </c>
      <c r="V12" s="103">
        <f>+U11-T12</f>
        <v>1.90000000000623E-3</v>
      </c>
      <c r="W12" s="99">
        <f t="shared" si="7"/>
        <v>1.2399999999985312E-2</v>
      </c>
    </row>
    <row r="13" spans="1:23">
      <c r="A13" s="119">
        <v>6</v>
      </c>
      <c r="B13" s="72">
        <f>+Blank!B14</f>
        <v>5.859027777776646</v>
      </c>
      <c r="C13" s="71">
        <v>7.8</v>
      </c>
      <c r="D13" s="103">
        <v>183.16909999999999</v>
      </c>
      <c r="E13" s="103">
        <v>183.16</v>
      </c>
      <c r="F13" s="103">
        <f t="shared" ref="F13:F21" si="8">+E12-D13</f>
        <v>-2.4999999999977263E-3</v>
      </c>
      <c r="G13" s="99">
        <f t="shared" si="3"/>
        <v>9.0999999999894499E-3</v>
      </c>
      <c r="J13" s="72">
        <f t="shared" si="0"/>
        <v>5.859027777776646</v>
      </c>
      <c r="K13" s="71">
        <v>9.1999999999999993</v>
      </c>
      <c r="L13" s="103">
        <v>183.78399999999999</v>
      </c>
      <c r="M13" s="103">
        <v>183.7731</v>
      </c>
      <c r="N13" s="103">
        <f t="shared" ref="N13:N21" si="9">+M12-L13</f>
        <v>-1.6999999999995907E-3</v>
      </c>
      <c r="O13" s="99">
        <f t="shared" si="5"/>
        <v>1.089999999999236E-2</v>
      </c>
      <c r="R13" s="72">
        <f t="shared" si="1"/>
        <v>5.859027777776646</v>
      </c>
      <c r="S13" s="71">
        <v>8.1999999999999993</v>
      </c>
      <c r="T13" s="103">
        <v>183.64330000000001</v>
      </c>
      <c r="U13" s="103">
        <v>183.63380000000001</v>
      </c>
      <c r="V13" s="103">
        <f t="shared" ref="V13:V19" si="10">+U12-T13</f>
        <v>-2.8000000000076852E-3</v>
      </c>
      <c r="W13" s="99">
        <f t="shared" si="7"/>
        <v>9.5000000000027285E-3</v>
      </c>
    </row>
    <row r="14" spans="1:23">
      <c r="A14" s="119">
        <v>7</v>
      </c>
      <c r="B14" s="72">
        <f>+Blank!B15</f>
        <v>6.8395833333343035</v>
      </c>
      <c r="C14" s="71">
        <v>7.5</v>
      </c>
      <c r="D14" s="103">
        <v>183.15600000000001</v>
      </c>
      <c r="E14" s="103">
        <v>183.1473</v>
      </c>
      <c r="F14" s="103">
        <f t="shared" si="8"/>
        <v>3.9999999999906777E-3</v>
      </c>
      <c r="G14" s="99">
        <f t="shared" si="3"/>
        <v>8.7000000000045929E-3</v>
      </c>
      <c r="J14" s="72">
        <f t="shared" si="0"/>
        <v>6.8395833333343035</v>
      </c>
      <c r="K14" s="71">
        <v>8.1</v>
      </c>
      <c r="L14" s="103">
        <v>183.77019999999999</v>
      </c>
      <c r="M14" s="103">
        <v>183.7604</v>
      </c>
      <c r="N14" s="103">
        <f t="shared" si="9"/>
        <v>2.9000000000110049E-3</v>
      </c>
      <c r="O14" s="99">
        <f t="shared" si="5"/>
        <v>9.7999999999842657E-3</v>
      </c>
      <c r="R14" s="72">
        <f t="shared" si="1"/>
        <v>6.8395833333343035</v>
      </c>
      <c r="S14" s="71">
        <v>7.2</v>
      </c>
      <c r="T14" s="103">
        <v>183.63130000000001</v>
      </c>
      <c r="U14" s="103">
        <v>183.62280000000001</v>
      </c>
      <c r="V14" s="103">
        <f t="shared" si="10"/>
        <v>2.4999999999977263E-3</v>
      </c>
      <c r="W14" s="99">
        <f t="shared" si="7"/>
        <v>8.4999999999979536E-3</v>
      </c>
    </row>
    <row r="15" spans="1:23">
      <c r="A15" s="119">
        <v>8</v>
      </c>
      <c r="B15" s="72">
        <f>+Blank!B16</f>
        <v>8.9166666666642413</v>
      </c>
      <c r="C15" s="71">
        <v>12.8</v>
      </c>
      <c r="D15" s="103">
        <v>183.1523</v>
      </c>
      <c r="E15" s="103">
        <v>183.13749999999999</v>
      </c>
      <c r="F15" s="103">
        <f t="shared" si="8"/>
        <v>-4.9999999999954525E-3</v>
      </c>
      <c r="G15" s="99">
        <f t="shared" si="3"/>
        <v>1.480000000000814E-2</v>
      </c>
      <c r="J15" s="72">
        <f t="shared" si="0"/>
        <v>8.9166666666642413</v>
      </c>
      <c r="K15" s="71">
        <v>15</v>
      </c>
      <c r="L15" s="103">
        <v>183.76429999999999</v>
      </c>
      <c r="M15" s="103">
        <v>183.74770000000001</v>
      </c>
      <c r="N15" s="103">
        <f t="shared" si="9"/>
        <v>-3.899999999987358E-3</v>
      </c>
      <c r="O15" s="99">
        <f t="shared" si="5"/>
        <v>1.6599999999982629E-2</v>
      </c>
      <c r="R15" s="72">
        <f t="shared" si="1"/>
        <v>8.9166666666642413</v>
      </c>
      <c r="S15" s="71">
        <v>13.1</v>
      </c>
      <c r="T15" s="103">
        <v>183.62649999999999</v>
      </c>
      <c r="U15" s="103">
        <v>183.61080000000001</v>
      </c>
      <c r="V15" s="103">
        <f t="shared" si="10"/>
        <v>-3.6999999999807187E-3</v>
      </c>
      <c r="W15" s="99">
        <f t="shared" si="7"/>
        <v>1.5699999999981173E-2</v>
      </c>
    </row>
    <row r="16" spans="1:23">
      <c r="A16" s="119">
        <v>9</v>
      </c>
      <c r="B16" s="72">
        <f>+Blank!B17</f>
        <v>10.878472222218988</v>
      </c>
      <c r="C16" s="71">
        <v>11</v>
      </c>
      <c r="D16" s="103">
        <v>183.1396</v>
      </c>
      <c r="E16" s="103">
        <v>183.1276</v>
      </c>
      <c r="F16" s="103">
        <f t="shared" si="8"/>
        <v>-2.1000000000128694E-3</v>
      </c>
      <c r="G16" s="99">
        <f t="shared" si="3"/>
        <v>1.2000000000000455E-2</v>
      </c>
      <c r="J16" s="72">
        <f t="shared" si="0"/>
        <v>10.878472222218988</v>
      </c>
      <c r="K16" s="71">
        <v>10.75</v>
      </c>
      <c r="L16" s="103">
        <v>183.75149999999999</v>
      </c>
      <c r="M16" s="103">
        <v>183.73779999999999</v>
      </c>
      <c r="N16" s="103">
        <f t="shared" si="9"/>
        <v>-3.7999999999840384E-3</v>
      </c>
      <c r="O16" s="99">
        <f t="shared" si="5"/>
        <v>1.3700000000000045E-2</v>
      </c>
      <c r="R16" s="72">
        <f t="shared" si="1"/>
        <v>10.878472222218988</v>
      </c>
      <c r="S16" s="71">
        <v>11</v>
      </c>
      <c r="T16" s="103">
        <v>183.61439999999999</v>
      </c>
      <c r="U16" s="103">
        <v>183.6018</v>
      </c>
      <c r="V16" s="103">
        <f t="shared" si="10"/>
        <v>-3.5999999999773991E-3</v>
      </c>
      <c r="W16" s="99">
        <f t="shared" si="7"/>
        <v>1.2599999999991951E-2</v>
      </c>
    </row>
    <row r="17" spans="1:24">
      <c r="A17" s="119">
        <v>10</v>
      </c>
      <c r="B17" s="72">
        <f>+Blank!B18</f>
        <v>13.125</v>
      </c>
      <c r="C17" s="71">
        <v>12.66</v>
      </c>
      <c r="D17" s="103">
        <v>183.12700000000001</v>
      </c>
      <c r="E17" s="103">
        <v>183.11240000000001</v>
      </c>
      <c r="F17" s="103">
        <f t="shared" si="8"/>
        <v>5.9999999999149622E-4</v>
      </c>
      <c r="G17" s="99">
        <f t="shared" si="3"/>
        <v>1.4600000000001501E-2</v>
      </c>
      <c r="J17" s="72">
        <f t="shared" si="0"/>
        <v>13.125</v>
      </c>
      <c r="K17" s="71">
        <v>13.33</v>
      </c>
      <c r="L17" s="118">
        <v>183.73650000000001</v>
      </c>
      <c r="M17" s="103">
        <v>183.7217</v>
      </c>
      <c r="N17" s="103">
        <f t="shared" si="9"/>
        <v>1.2999999999863121E-3</v>
      </c>
      <c r="O17" s="99">
        <f t="shared" si="5"/>
        <v>1.480000000000814E-2</v>
      </c>
      <c r="R17" s="72">
        <f t="shared" si="1"/>
        <v>13.125</v>
      </c>
      <c r="S17" s="71">
        <v>12.33</v>
      </c>
      <c r="T17" s="103">
        <v>183.6009</v>
      </c>
      <c r="U17" s="103">
        <v>183.58670000000001</v>
      </c>
      <c r="V17" s="103">
        <f t="shared" si="10"/>
        <v>9.0000000000145519E-4</v>
      </c>
      <c r="W17" s="99">
        <f t="shared" si="7"/>
        <v>1.4199999999988222E-2</v>
      </c>
    </row>
    <row r="18" spans="1:24">
      <c r="A18" s="119">
        <v>11</v>
      </c>
      <c r="B18" s="72">
        <f>+Blank!B19</f>
        <v>15.854166666664241</v>
      </c>
      <c r="C18" s="71">
        <v>12</v>
      </c>
      <c r="D18" s="103">
        <v>183.11019999999999</v>
      </c>
      <c r="E18" s="103">
        <v>183.09610000000001</v>
      </c>
      <c r="F18" s="103">
        <f t="shared" si="8"/>
        <v>2.200000000016189E-3</v>
      </c>
      <c r="G18" s="99">
        <f t="shared" si="3"/>
        <v>1.4099999999984902E-2</v>
      </c>
      <c r="J18" s="72">
        <f t="shared" si="0"/>
        <v>15.854166666664241</v>
      </c>
      <c r="K18" s="71">
        <v>13</v>
      </c>
      <c r="L18" s="103">
        <v>183.721</v>
      </c>
      <c r="M18" s="103">
        <v>183.70490000000001</v>
      </c>
      <c r="N18" s="103">
        <f t="shared" si="9"/>
        <v>6.9999999999481588E-4</v>
      </c>
      <c r="O18" s="99">
        <f t="shared" si="5"/>
        <v>1.6099999999994452E-2</v>
      </c>
      <c r="R18" s="72">
        <f t="shared" si="1"/>
        <v>15.854166666664241</v>
      </c>
      <c r="S18" s="71">
        <v>12.33</v>
      </c>
      <c r="T18" s="103">
        <v>183.5848</v>
      </c>
      <c r="U18" s="103">
        <v>183.57140000000001</v>
      </c>
      <c r="V18" s="103">
        <f t="shared" si="10"/>
        <v>1.90000000000623E-3</v>
      </c>
      <c r="W18" s="99">
        <f t="shared" si="7"/>
        <v>1.3399999999990087E-2</v>
      </c>
    </row>
    <row r="19" spans="1:24">
      <c r="A19" s="119">
        <v>12</v>
      </c>
      <c r="B19" s="72">
        <f>+Blank!B20</f>
        <v>18.909722222218988</v>
      </c>
      <c r="C19" s="71">
        <v>11</v>
      </c>
      <c r="D19" s="103">
        <v>183.09690000000001</v>
      </c>
      <c r="E19" s="103">
        <v>183.08510000000001</v>
      </c>
      <c r="F19" s="103">
        <f t="shared" si="8"/>
        <v>-7.9999999999813554E-4</v>
      </c>
      <c r="G19" s="99">
        <f t="shared" si="3"/>
        <v>1.1799999999993815E-2</v>
      </c>
      <c r="J19" s="72">
        <f t="shared" si="0"/>
        <v>18.909722222218988</v>
      </c>
      <c r="K19" s="71">
        <v>11</v>
      </c>
      <c r="L19" s="103">
        <v>183.70509999999999</v>
      </c>
      <c r="M19" s="103">
        <v>183.69239999999999</v>
      </c>
      <c r="N19" s="103">
        <f t="shared" si="9"/>
        <v>-1.999999999782176E-4</v>
      </c>
      <c r="O19" s="99">
        <f t="shared" si="5"/>
        <v>1.2699999999995271E-2</v>
      </c>
      <c r="R19" s="72">
        <f t="shared" si="1"/>
        <v>18.909722222218988</v>
      </c>
      <c r="S19" s="71">
        <v>11</v>
      </c>
      <c r="T19" s="103">
        <v>183.5727</v>
      </c>
      <c r="U19" s="103">
        <v>183.5592</v>
      </c>
      <c r="V19" s="103">
        <f t="shared" si="10"/>
        <v>-1.2999999999863121E-3</v>
      </c>
      <c r="W19" s="99">
        <f t="shared" si="7"/>
        <v>1.3499999999993406E-2</v>
      </c>
    </row>
    <row r="20" spans="1:24">
      <c r="A20" s="119">
        <v>13</v>
      </c>
      <c r="B20" s="72">
        <f>+Blank!B21</f>
        <v>22.861111111109494</v>
      </c>
      <c r="C20" s="71">
        <v>11.1</v>
      </c>
      <c r="D20" s="103">
        <v>183.0789</v>
      </c>
      <c r="E20" s="103">
        <v>183.06549999999999</v>
      </c>
      <c r="F20" s="103">
        <f t="shared" si="8"/>
        <v>6.2000000000068667E-3</v>
      </c>
      <c r="G20" s="99">
        <f t="shared" si="3"/>
        <v>1.3400000000018508E-2</v>
      </c>
      <c r="J20" s="72">
        <f t="shared" si="0"/>
        <v>22.861111111109494</v>
      </c>
      <c r="K20" s="71">
        <v>12</v>
      </c>
      <c r="L20" s="103">
        <v>183.6875</v>
      </c>
      <c r="M20" s="103">
        <v>183.67359999999999</v>
      </c>
      <c r="N20" s="103">
        <f t="shared" si="9"/>
        <v>4.8999999999921329E-3</v>
      </c>
      <c r="O20" s="99">
        <f t="shared" si="5"/>
        <v>1.3900000000006685E-2</v>
      </c>
      <c r="R20" s="72">
        <f>+J20</f>
        <v>22.861111111109494</v>
      </c>
      <c r="S20" s="71">
        <v>11.8</v>
      </c>
      <c r="T20" s="103">
        <v>183.55459999999999</v>
      </c>
      <c r="U20" s="103">
        <v>183.53960000000001</v>
      </c>
      <c r="V20" s="103">
        <f t="shared" ref="V20:V21" si="11">+U19-T20</f>
        <v>4.6000000000105956E-3</v>
      </c>
      <c r="W20" s="99">
        <f t="shared" ref="W20:W21" si="12">+T20-U20</f>
        <v>1.4999999999986358E-2</v>
      </c>
    </row>
    <row r="21" spans="1:24">
      <c r="A21" s="119">
        <v>14</v>
      </c>
      <c r="B21" s="72">
        <f>+Blank!B22</f>
        <v>27.145833333328483</v>
      </c>
      <c r="C21" s="71">
        <v>13</v>
      </c>
      <c r="D21" s="103">
        <v>183.06450000000001</v>
      </c>
      <c r="E21" s="103">
        <v>183.04900000000001</v>
      </c>
      <c r="F21" s="103">
        <f t="shared" si="8"/>
        <v>9.9999999997635314E-4</v>
      </c>
      <c r="G21" s="99">
        <f t="shared" si="3"/>
        <v>1.5500000000002956E-2</v>
      </c>
      <c r="J21" s="72">
        <f t="shared" si="0"/>
        <v>27.145833333328483</v>
      </c>
      <c r="K21" s="71">
        <v>12</v>
      </c>
      <c r="L21" s="103">
        <v>183.67250000000001</v>
      </c>
      <c r="M21" s="103">
        <v>183.65950000000001</v>
      </c>
      <c r="N21" s="103">
        <f t="shared" si="9"/>
        <v>1.0999999999796728E-3</v>
      </c>
      <c r="O21" s="99">
        <f t="shared" si="5"/>
        <v>1.300000000000523E-2</v>
      </c>
      <c r="R21" s="72">
        <f t="shared" si="1"/>
        <v>27.145833333328483</v>
      </c>
      <c r="S21" s="71">
        <v>11.6</v>
      </c>
      <c r="T21" s="103">
        <v>183.53899999999999</v>
      </c>
      <c r="U21" s="103">
        <v>183.52619999999999</v>
      </c>
      <c r="V21" s="103">
        <f t="shared" si="11"/>
        <v>6.0000000001991793E-4</v>
      </c>
      <c r="W21" s="99">
        <f t="shared" si="12"/>
        <v>1.279999999999859E-2</v>
      </c>
    </row>
    <row r="23" spans="1:24">
      <c r="C23" s="71"/>
      <c r="D23" s="71"/>
      <c r="E23" s="71"/>
      <c r="F23" s="71"/>
      <c r="G23" s="71"/>
      <c r="K23" s="71"/>
      <c r="L23" s="71"/>
      <c r="M23" s="71"/>
      <c r="N23" s="71"/>
      <c r="O23" s="71"/>
      <c r="P23" s="69"/>
      <c r="S23" s="71"/>
      <c r="T23" s="71"/>
      <c r="U23" s="71"/>
      <c r="V23" s="71"/>
      <c r="W23" s="71"/>
      <c r="X23" s="69"/>
    </row>
    <row r="24" spans="1:24">
      <c r="G24" s="70"/>
      <c r="N24" s="69"/>
      <c r="O24" s="70"/>
      <c r="V24" s="69"/>
      <c r="W24" s="7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6" tint="0.79998168889431442"/>
  </sheetPr>
  <dimension ref="A5:W24"/>
  <sheetViews>
    <sheetView workbookViewId="0">
      <selection activeCell="S5" sqref="S5"/>
    </sheetView>
  </sheetViews>
  <sheetFormatPr defaultRowHeight="15"/>
  <cols>
    <col min="1" max="3" width="9.140625" style="69"/>
    <col min="4" max="5" width="9.5703125" style="69" bestFit="1" customWidth="1"/>
    <col min="6" max="16384" width="9.140625" style="69"/>
  </cols>
  <sheetData>
    <row r="5" spans="1:23" ht="75">
      <c r="B5" s="36" t="s">
        <v>45</v>
      </c>
      <c r="C5" s="36" t="s">
        <v>55</v>
      </c>
      <c r="D5" s="36" t="s">
        <v>43</v>
      </c>
      <c r="E5" s="36" t="s">
        <v>44</v>
      </c>
      <c r="F5" s="36" t="s">
        <v>46</v>
      </c>
      <c r="G5" s="36" t="s">
        <v>47</v>
      </c>
      <c r="J5" s="36" t="s">
        <v>45</v>
      </c>
      <c r="K5" s="36" t="s">
        <v>55</v>
      </c>
      <c r="L5" s="36" t="s">
        <v>43</v>
      </c>
      <c r="M5" s="36" t="s">
        <v>44</v>
      </c>
      <c r="N5" s="36" t="s">
        <v>46</v>
      </c>
      <c r="O5" s="36" t="s">
        <v>47</v>
      </c>
      <c r="R5" s="36" t="s">
        <v>45</v>
      </c>
      <c r="S5" s="36" t="s">
        <v>55</v>
      </c>
      <c r="T5" s="36" t="s">
        <v>43</v>
      </c>
      <c r="U5" s="36" t="s">
        <v>44</v>
      </c>
      <c r="V5" s="36" t="s">
        <v>46</v>
      </c>
      <c r="W5" s="36" t="s">
        <v>47</v>
      </c>
    </row>
    <row r="7" spans="1:23">
      <c r="B7" s="72">
        <f>+Blank!B8</f>
        <v>0</v>
      </c>
      <c r="D7" s="71"/>
      <c r="E7" s="71">
        <v>185.28739999999999</v>
      </c>
      <c r="J7" s="72">
        <f>+B7</f>
        <v>0</v>
      </c>
      <c r="L7" s="71"/>
      <c r="M7" s="71">
        <v>188.50425000000001</v>
      </c>
      <c r="R7" s="72">
        <f>+J7</f>
        <v>0</v>
      </c>
      <c r="T7" s="71"/>
      <c r="U7" s="71">
        <v>184.17580000000001</v>
      </c>
    </row>
    <row r="8" spans="1:23">
      <c r="A8" s="119">
        <v>1</v>
      </c>
      <c r="B8" s="72">
        <f>+Blank!B9</f>
        <v>0.84027777777373558</v>
      </c>
      <c r="C8" s="71">
        <v>30</v>
      </c>
      <c r="D8" s="103">
        <v>185.28700000000001</v>
      </c>
      <c r="E8" s="103">
        <v>185.24809999999999</v>
      </c>
      <c r="F8" s="103">
        <f>+E7-D8</f>
        <v>3.9999999998485691E-4</v>
      </c>
      <c r="G8" s="99">
        <f>+D8-E8</f>
        <v>3.8900000000012369E-2</v>
      </c>
      <c r="J8" s="72">
        <f t="shared" ref="J8:J21" si="0">+B8</f>
        <v>0.84027777777373558</v>
      </c>
      <c r="K8" s="71">
        <v>31</v>
      </c>
      <c r="L8" s="103">
        <v>188.5035</v>
      </c>
      <c r="M8" s="103">
        <v>188.4641</v>
      </c>
      <c r="N8" s="103">
        <f>+M7-L8</f>
        <v>7.5000000001068656E-4</v>
      </c>
      <c r="O8" s="99">
        <f>+L8-M8</f>
        <v>3.9400000000000546E-2</v>
      </c>
      <c r="R8" s="72">
        <f t="shared" ref="R8:R21" si="1">+J8</f>
        <v>0.84027777777373558</v>
      </c>
      <c r="S8" s="71">
        <v>28.5</v>
      </c>
      <c r="T8" s="103">
        <v>184.1746</v>
      </c>
      <c r="U8" s="103">
        <v>184.13939999999999</v>
      </c>
      <c r="V8" s="103">
        <f>+U7-T8</f>
        <v>1.2000000000114142E-3</v>
      </c>
      <c r="W8" s="99">
        <f>+T8-U8</f>
        <v>3.5200000000003229E-2</v>
      </c>
    </row>
    <row r="9" spans="1:23">
      <c r="A9" s="119">
        <v>2</v>
      </c>
      <c r="B9" s="72">
        <f>+Blank!B10</f>
        <v>1.84375</v>
      </c>
      <c r="C9" s="71">
        <v>48.5</v>
      </c>
      <c r="D9" s="103">
        <v>185.2492</v>
      </c>
      <c r="E9" s="103">
        <v>185.19730000000001</v>
      </c>
      <c r="F9" s="103">
        <f t="shared" ref="F9:F11" si="2">+E8-D9</f>
        <v>-1.1000000000080945E-3</v>
      </c>
      <c r="G9" s="99">
        <f t="shared" ref="G9:G21" si="3">+D9-E9</f>
        <v>5.1899999999989177E-2</v>
      </c>
      <c r="J9" s="72">
        <f t="shared" si="0"/>
        <v>1.84375</v>
      </c>
      <c r="K9" s="71">
        <v>48</v>
      </c>
      <c r="L9" s="103">
        <v>188.46549999999999</v>
      </c>
      <c r="M9" s="103">
        <v>188.4084</v>
      </c>
      <c r="N9" s="103">
        <f t="shared" ref="N9:N11" si="4">+M8-L9</f>
        <v>-1.3999999999896318E-3</v>
      </c>
      <c r="O9" s="99">
        <f t="shared" ref="O9:O21" si="5">+L9-M9</f>
        <v>5.7099999999991269E-2</v>
      </c>
      <c r="R9" s="72">
        <f t="shared" si="1"/>
        <v>1.84375</v>
      </c>
      <c r="S9" s="71">
        <v>48</v>
      </c>
      <c r="T9" s="103">
        <v>184.1405</v>
      </c>
      <c r="U9" s="103">
        <v>184.08320000000001</v>
      </c>
      <c r="V9" s="103">
        <f t="shared" ref="V9:V11" si="6">+U8-T9</f>
        <v>-1.1000000000080945E-3</v>
      </c>
      <c r="W9" s="99">
        <f t="shared" ref="W9:W21" si="7">+T9-U9</f>
        <v>5.7299999999997908E-2</v>
      </c>
    </row>
    <row r="10" spans="1:23">
      <c r="A10" s="119">
        <v>3</v>
      </c>
      <c r="B10" s="72">
        <f>+Blank!B11</f>
        <v>2.8506944444452529</v>
      </c>
      <c r="C10" s="71">
        <f>24+51+24+57</f>
        <v>156</v>
      </c>
      <c r="D10" s="103">
        <v>185.19399999999999</v>
      </c>
      <c r="E10" s="103">
        <v>185.0059</v>
      </c>
      <c r="F10" s="103">
        <f t="shared" si="2"/>
        <v>3.3000000000242835E-3</v>
      </c>
      <c r="G10" s="99">
        <f t="shared" si="3"/>
        <v>0.1880999999999915</v>
      </c>
      <c r="J10" s="72">
        <f t="shared" si="0"/>
        <v>2.8506944444452529</v>
      </c>
      <c r="K10" s="71">
        <f>57+29.6+44.5+36.6</f>
        <v>167.7</v>
      </c>
      <c r="L10" s="103">
        <v>188.4049</v>
      </c>
      <c r="M10" s="103">
        <v>188.2022</v>
      </c>
      <c r="N10" s="103">
        <f t="shared" si="4"/>
        <v>3.5000000000025011E-3</v>
      </c>
      <c r="O10" s="99">
        <f t="shared" si="5"/>
        <v>0.202699999999993</v>
      </c>
      <c r="R10" s="72">
        <f t="shared" si="1"/>
        <v>2.8506944444452529</v>
      </c>
      <c r="S10" s="71">
        <f>35+51.6+37+40</f>
        <v>163.6</v>
      </c>
      <c r="T10" s="103">
        <v>184.0796</v>
      </c>
      <c r="U10" s="103">
        <v>183.88130000000001</v>
      </c>
      <c r="V10" s="103">
        <f t="shared" si="6"/>
        <v>3.6000000000058208E-3</v>
      </c>
      <c r="W10" s="99">
        <f t="shared" si="7"/>
        <v>0.19829999999998904</v>
      </c>
    </row>
    <row r="11" spans="1:23">
      <c r="A11" s="119">
        <v>4</v>
      </c>
      <c r="B11" s="72">
        <f>+Blank!B12</f>
        <v>3.8090277777737356</v>
      </c>
      <c r="C11" s="71">
        <f>43+49+44+50</f>
        <v>186</v>
      </c>
      <c r="D11" s="103">
        <v>185.00630000000001</v>
      </c>
      <c r="E11" s="103">
        <v>184.7724</v>
      </c>
      <c r="F11" s="103">
        <f t="shared" si="2"/>
        <v>-4.0000000001327862E-4</v>
      </c>
      <c r="G11" s="99">
        <f t="shared" si="3"/>
        <v>0.23390000000000555</v>
      </c>
      <c r="J11" s="72">
        <f t="shared" si="0"/>
        <v>3.8090277777737356</v>
      </c>
      <c r="K11" s="71">
        <f>38+52+42+50</f>
        <v>182</v>
      </c>
      <c r="L11" s="103">
        <v>188.20359999999999</v>
      </c>
      <c r="M11" s="103">
        <v>187.97470000000001</v>
      </c>
      <c r="N11" s="103">
        <f t="shared" si="4"/>
        <v>-1.3999999999896318E-3</v>
      </c>
      <c r="O11" s="99">
        <f t="shared" si="5"/>
        <v>0.22889999999998167</v>
      </c>
      <c r="R11" s="72">
        <f t="shared" si="1"/>
        <v>3.8090277777737356</v>
      </c>
      <c r="S11" s="71">
        <f>41+47.5+50+40.25</f>
        <v>178.75</v>
      </c>
      <c r="T11" s="103">
        <v>183.88200000000001</v>
      </c>
      <c r="U11" s="103">
        <v>183.6568</v>
      </c>
      <c r="V11" s="103">
        <f t="shared" si="6"/>
        <v>-6.9999999999481588E-4</v>
      </c>
      <c r="W11" s="99">
        <f t="shared" si="7"/>
        <v>0.22520000000000095</v>
      </c>
    </row>
    <row r="12" spans="1:23">
      <c r="A12" s="119">
        <v>5</v>
      </c>
      <c r="B12" s="72">
        <f>+Blank!B13</f>
        <v>4.8611111111094942</v>
      </c>
      <c r="C12" s="71">
        <f>45.5+58+25</f>
        <v>128.5</v>
      </c>
      <c r="D12" s="103">
        <v>184.77180000000001</v>
      </c>
      <c r="E12" s="103">
        <v>184.60230000000001</v>
      </c>
      <c r="F12" s="103">
        <f>+E11-D12</f>
        <v>5.9999999999149622E-4</v>
      </c>
      <c r="G12" s="99">
        <f t="shared" si="3"/>
        <v>0.16949999999999932</v>
      </c>
      <c r="J12" s="72">
        <f t="shared" si="0"/>
        <v>4.8611111111094942</v>
      </c>
      <c r="K12" s="71">
        <f>48+23+53</f>
        <v>124</v>
      </c>
      <c r="L12" s="103">
        <v>187.9725</v>
      </c>
      <c r="M12" s="103">
        <v>187.81190000000001</v>
      </c>
      <c r="N12" s="103">
        <f>+M11-L12</f>
        <v>2.200000000016189E-3</v>
      </c>
      <c r="O12" s="99">
        <f t="shared" si="5"/>
        <v>0.16059999999998809</v>
      </c>
      <c r="R12" s="72">
        <f t="shared" si="1"/>
        <v>4.8611111111094942</v>
      </c>
      <c r="S12" s="71">
        <f>47+35.5+42.66</f>
        <v>125.16</v>
      </c>
      <c r="T12" s="103">
        <v>183.6551</v>
      </c>
      <c r="U12" s="103">
        <v>183.49359999999999</v>
      </c>
      <c r="V12" s="103">
        <f>+U11-T12</f>
        <v>1.6999999999995907E-3</v>
      </c>
      <c r="W12" s="99">
        <f t="shared" si="7"/>
        <v>0.16150000000001796</v>
      </c>
    </row>
    <row r="13" spans="1:23">
      <c r="A13" s="119">
        <v>6</v>
      </c>
      <c r="B13" s="72">
        <f>+Blank!B14</f>
        <v>5.859027777776646</v>
      </c>
      <c r="C13" s="71">
        <f>42+25</f>
        <v>67</v>
      </c>
      <c r="D13" s="103">
        <v>184.60489999999999</v>
      </c>
      <c r="E13" s="103">
        <v>184.51650000000001</v>
      </c>
      <c r="F13" s="103">
        <f t="shared" ref="F13:F21" si="8">+E12-D13</f>
        <v>-2.5999999999726242E-3</v>
      </c>
      <c r="G13" s="99">
        <f t="shared" si="3"/>
        <v>8.8399999999978718E-2</v>
      </c>
      <c r="J13" s="72">
        <f t="shared" si="0"/>
        <v>5.859027777776646</v>
      </c>
      <c r="K13" s="71">
        <f>29.5+34</f>
        <v>63.5</v>
      </c>
      <c r="L13" s="103">
        <v>187.8126</v>
      </c>
      <c r="M13" s="103">
        <v>187.7285</v>
      </c>
      <c r="N13" s="103">
        <f t="shared" ref="N13:N21" si="9">+M12-L13</f>
        <v>-6.9999999999481588E-4</v>
      </c>
      <c r="O13" s="99">
        <f t="shared" si="5"/>
        <v>8.4100000000006503E-2</v>
      </c>
      <c r="R13" s="72">
        <f t="shared" si="1"/>
        <v>5.859027777776646</v>
      </c>
      <c r="S13" s="71">
        <f>30+35</f>
        <v>65</v>
      </c>
      <c r="T13" s="103">
        <v>183.49600000000001</v>
      </c>
      <c r="U13" s="103">
        <v>183.4102</v>
      </c>
      <c r="V13" s="103">
        <f t="shared" ref="V13:V21" si="10">+U12-T13</f>
        <v>-2.4000000000228283E-3</v>
      </c>
      <c r="W13" s="99">
        <f t="shared" si="7"/>
        <v>8.5800000000006094E-2</v>
      </c>
    </row>
    <row r="14" spans="1:23">
      <c r="A14" s="119">
        <v>7</v>
      </c>
      <c r="B14" s="72">
        <f>+Blank!B15</f>
        <v>6.8395833333343035</v>
      </c>
      <c r="C14" s="71">
        <v>44.5</v>
      </c>
      <c r="D14" s="103">
        <v>184.51320000000001</v>
      </c>
      <c r="E14" s="103">
        <v>184.45490000000001</v>
      </c>
      <c r="F14" s="103">
        <f t="shared" si="8"/>
        <v>3.2999999999958618E-3</v>
      </c>
      <c r="G14" s="99">
        <f t="shared" si="3"/>
        <v>5.8300000000002683E-2</v>
      </c>
      <c r="J14" s="72">
        <f t="shared" si="0"/>
        <v>6.8395833333343035</v>
      </c>
      <c r="K14" s="71">
        <v>41.8</v>
      </c>
      <c r="L14" s="103">
        <v>187.72499999999999</v>
      </c>
      <c r="M14" s="103">
        <v>187.6705</v>
      </c>
      <c r="N14" s="103">
        <f t="shared" si="9"/>
        <v>3.5000000000025011E-3</v>
      </c>
      <c r="O14" s="99">
        <f t="shared" si="5"/>
        <v>5.4499999999990223E-2</v>
      </c>
      <c r="R14" s="72">
        <f t="shared" si="1"/>
        <v>6.8395833333343035</v>
      </c>
      <c r="S14" s="71">
        <v>44</v>
      </c>
      <c r="T14" s="103">
        <v>183.40639999999999</v>
      </c>
      <c r="U14" s="103">
        <v>183.34950000000001</v>
      </c>
      <c r="V14" s="103">
        <f t="shared" si="10"/>
        <v>3.8000000000124601E-3</v>
      </c>
      <c r="W14" s="99">
        <f t="shared" si="7"/>
        <v>5.689999999998463E-2</v>
      </c>
    </row>
    <row r="15" spans="1:23">
      <c r="A15" s="119">
        <v>8</v>
      </c>
      <c r="B15" s="72">
        <f>+Blank!B16</f>
        <v>8.9166666666642413</v>
      </c>
      <c r="C15" s="71">
        <v>52</v>
      </c>
      <c r="D15" s="103">
        <v>184.45949999999999</v>
      </c>
      <c r="E15" s="103">
        <v>184.39500000000001</v>
      </c>
      <c r="F15" s="103">
        <f t="shared" si="8"/>
        <v>-4.5999999999821739E-3</v>
      </c>
      <c r="G15" s="99">
        <f t="shared" si="3"/>
        <v>6.4499999999981128E-2</v>
      </c>
      <c r="J15" s="72">
        <f t="shared" si="0"/>
        <v>8.9166666666642413</v>
      </c>
      <c r="K15" s="71">
        <v>54.1</v>
      </c>
      <c r="L15" s="103">
        <v>187.6746</v>
      </c>
      <c r="M15" s="103">
        <v>187.60820000000001</v>
      </c>
      <c r="N15" s="103">
        <f t="shared" si="9"/>
        <v>-4.0999999999939973E-3</v>
      </c>
      <c r="O15" s="99">
        <f t="shared" si="5"/>
        <v>6.6399999999987358E-2</v>
      </c>
      <c r="R15" s="72">
        <f t="shared" si="1"/>
        <v>8.9166666666642413</v>
      </c>
      <c r="S15" s="71">
        <v>52</v>
      </c>
      <c r="T15" s="103">
        <v>183.3526</v>
      </c>
      <c r="U15" s="103">
        <v>183.28970000000001</v>
      </c>
      <c r="V15" s="103">
        <f t="shared" si="10"/>
        <v>-3.0999999999892225E-3</v>
      </c>
      <c r="W15" s="99">
        <f t="shared" si="7"/>
        <v>6.2899999999984857E-2</v>
      </c>
    </row>
    <row r="16" spans="1:23">
      <c r="A16" s="119">
        <v>9</v>
      </c>
      <c r="B16" s="72">
        <f>+Blank!B17</f>
        <v>10.878472222218988</v>
      </c>
      <c r="C16" s="71">
        <v>33.1</v>
      </c>
      <c r="D16" s="103">
        <v>184.39879999999999</v>
      </c>
      <c r="E16" s="103">
        <v>184.35890000000001</v>
      </c>
      <c r="F16" s="103">
        <f t="shared" si="8"/>
        <v>-3.7999999999840384E-3</v>
      </c>
      <c r="G16" s="99">
        <f t="shared" si="3"/>
        <v>3.9899999999988722E-2</v>
      </c>
      <c r="J16" s="72">
        <f t="shared" si="0"/>
        <v>10.878472222218988</v>
      </c>
      <c r="K16" s="71">
        <v>36.5</v>
      </c>
      <c r="L16" s="103">
        <v>187.61199999999999</v>
      </c>
      <c r="M16" s="103">
        <v>187.56800000000001</v>
      </c>
      <c r="N16" s="103">
        <f t="shared" si="9"/>
        <v>-3.7999999999840384E-3</v>
      </c>
      <c r="O16" s="99">
        <f t="shared" si="5"/>
        <v>4.399999999998272E-2</v>
      </c>
      <c r="R16" s="72">
        <f t="shared" si="1"/>
        <v>10.878472222218988</v>
      </c>
      <c r="S16" s="71">
        <v>33.1</v>
      </c>
      <c r="T16" s="103">
        <v>183.29329999999999</v>
      </c>
      <c r="U16" s="103">
        <v>183.25309999999999</v>
      </c>
      <c r="V16" s="103">
        <f t="shared" si="10"/>
        <v>-3.5999999999773991E-3</v>
      </c>
      <c r="W16" s="99">
        <f t="shared" si="7"/>
        <v>4.0199999999998681E-2</v>
      </c>
    </row>
    <row r="17" spans="1:23">
      <c r="A17" s="119">
        <v>10</v>
      </c>
      <c r="B17" s="72">
        <f>+Blank!B18</f>
        <v>13.125</v>
      </c>
      <c r="C17" s="71">
        <v>25</v>
      </c>
      <c r="D17" s="103">
        <v>184.3579</v>
      </c>
      <c r="E17" s="103">
        <v>184.32740000000001</v>
      </c>
      <c r="F17" s="103">
        <f t="shared" si="8"/>
        <v>1.0000000000047748E-3</v>
      </c>
      <c r="G17" s="99">
        <f t="shared" si="3"/>
        <v>3.0499999999989313E-2</v>
      </c>
      <c r="J17" s="72">
        <f t="shared" si="0"/>
        <v>13.125</v>
      </c>
      <c r="K17" s="71">
        <v>24</v>
      </c>
      <c r="L17" s="120">
        <v>187.5669</v>
      </c>
      <c r="M17" s="103">
        <v>187.53749999999999</v>
      </c>
      <c r="N17" s="103">
        <f t="shared" si="9"/>
        <v>1.1000000000080945E-3</v>
      </c>
      <c r="O17" s="99">
        <f t="shared" si="5"/>
        <v>2.9400000000009641E-2</v>
      </c>
      <c r="R17" s="72">
        <f t="shared" si="1"/>
        <v>13.125</v>
      </c>
      <c r="S17" s="71">
        <v>25</v>
      </c>
      <c r="T17" s="103">
        <v>183.2527</v>
      </c>
      <c r="U17" s="103">
        <v>183.22219999999999</v>
      </c>
      <c r="V17" s="103">
        <f t="shared" si="10"/>
        <v>3.9999999998485691E-4</v>
      </c>
      <c r="W17" s="99">
        <f t="shared" si="7"/>
        <v>3.0500000000017735E-2</v>
      </c>
    </row>
    <row r="18" spans="1:23">
      <c r="A18" s="119">
        <v>11</v>
      </c>
      <c r="B18" s="72">
        <f>+Blank!B19</f>
        <v>15.854166666664241</v>
      </c>
      <c r="C18" s="71">
        <v>22.66</v>
      </c>
      <c r="D18" s="103">
        <v>184.32679999999999</v>
      </c>
      <c r="E18" s="103">
        <v>184.2988</v>
      </c>
      <c r="F18" s="103">
        <f t="shared" si="8"/>
        <v>6.0000000001991793E-4</v>
      </c>
      <c r="G18" s="99">
        <f t="shared" si="3"/>
        <v>2.7999999999991587E-2</v>
      </c>
      <c r="J18" s="72">
        <f t="shared" si="0"/>
        <v>15.854166666664241</v>
      </c>
      <c r="K18" s="71">
        <v>21.1</v>
      </c>
      <c r="L18" s="103">
        <v>187.53630000000001</v>
      </c>
      <c r="M18" s="103">
        <v>187.5093</v>
      </c>
      <c r="N18" s="103">
        <f t="shared" si="9"/>
        <v>1.1999999999829924E-3</v>
      </c>
      <c r="O18" s="99">
        <f t="shared" si="5"/>
        <v>2.7000000000015234E-2</v>
      </c>
      <c r="R18" s="72">
        <f t="shared" si="1"/>
        <v>15.854166666664241</v>
      </c>
      <c r="S18" s="71">
        <v>24.2</v>
      </c>
      <c r="T18" s="103">
        <v>183.22040000000001</v>
      </c>
      <c r="U18" s="103">
        <v>183.19300000000001</v>
      </c>
      <c r="V18" s="103">
        <f t="shared" si="10"/>
        <v>1.7999999999744887E-3</v>
      </c>
      <c r="W18" s="99">
        <f t="shared" si="7"/>
        <v>2.7400000000000091E-2</v>
      </c>
    </row>
    <row r="19" spans="1:23">
      <c r="A19" s="119">
        <v>12</v>
      </c>
      <c r="B19" s="72">
        <f>+Blank!B20</f>
        <v>18.909722222218988</v>
      </c>
      <c r="C19" s="71">
        <v>20.100000000000001</v>
      </c>
      <c r="D19" s="103">
        <v>184.29990000000001</v>
      </c>
      <c r="E19" s="103">
        <v>184.2747</v>
      </c>
      <c r="F19" s="103">
        <f t="shared" si="8"/>
        <v>-1.1000000000080945E-3</v>
      </c>
      <c r="G19" s="99">
        <f t="shared" si="3"/>
        <v>2.5200000000012324E-2</v>
      </c>
      <c r="J19" s="72">
        <f t="shared" si="0"/>
        <v>18.909722222218988</v>
      </c>
      <c r="K19" s="71">
        <v>17.100000000000001</v>
      </c>
      <c r="L19" s="103">
        <v>187.51130000000001</v>
      </c>
      <c r="M19" s="103">
        <v>187.49029999999999</v>
      </c>
      <c r="N19" s="103">
        <f t="shared" si="9"/>
        <v>-2.0000000000095497E-3</v>
      </c>
      <c r="O19" s="99">
        <f t="shared" si="5"/>
        <v>2.1000000000015007E-2</v>
      </c>
      <c r="R19" s="72">
        <f t="shared" si="1"/>
        <v>18.909722222218988</v>
      </c>
      <c r="S19" s="71">
        <v>20.100000000000001</v>
      </c>
      <c r="T19" s="103">
        <v>183.19380000000001</v>
      </c>
      <c r="U19" s="103">
        <v>183.16909999999999</v>
      </c>
      <c r="V19" s="103">
        <f t="shared" si="10"/>
        <v>-7.9999999999813554E-4</v>
      </c>
      <c r="W19" s="99">
        <f t="shared" si="7"/>
        <v>2.4700000000024147E-2</v>
      </c>
    </row>
    <row r="20" spans="1:23">
      <c r="A20" s="119">
        <v>13</v>
      </c>
      <c r="B20" s="72">
        <f>+Blank!B21</f>
        <v>22.861111111109494</v>
      </c>
      <c r="C20" s="71">
        <v>21.6</v>
      </c>
      <c r="D20" s="103">
        <v>184.26939999999999</v>
      </c>
      <c r="E20" s="103">
        <v>184.2433</v>
      </c>
      <c r="F20" s="103">
        <f t="shared" si="8"/>
        <v>5.3000000000054115E-3</v>
      </c>
      <c r="G20" s="99">
        <f t="shared" si="3"/>
        <v>2.6099999999985357E-2</v>
      </c>
      <c r="J20" s="72">
        <f t="shared" si="0"/>
        <v>22.861111111109494</v>
      </c>
      <c r="K20" s="71">
        <v>18.5</v>
      </c>
      <c r="L20" s="103">
        <v>187.4854</v>
      </c>
      <c r="M20" s="103">
        <v>187.46270000000001</v>
      </c>
      <c r="N20" s="103">
        <f t="shared" si="9"/>
        <v>4.8999999999921329E-3</v>
      </c>
      <c r="O20" s="99">
        <f t="shared" si="5"/>
        <v>2.2699999999986176E-2</v>
      </c>
      <c r="R20" s="72">
        <f>+J20</f>
        <v>22.861111111109494</v>
      </c>
      <c r="S20" s="71">
        <v>21</v>
      </c>
      <c r="T20" s="103">
        <v>183.16380000000001</v>
      </c>
      <c r="U20" s="103">
        <v>183.1387</v>
      </c>
      <c r="V20" s="103">
        <f t="shared" si="10"/>
        <v>5.2999999999769898E-3</v>
      </c>
      <c r="W20" s="99">
        <f t="shared" si="7"/>
        <v>2.5100000000009004E-2</v>
      </c>
    </row>
    <row r="21" spans="1:23">
      <c r="A21" s="119">
        <v>14</v>
      </c>
      <c r="B21" s="72">
        <f>+Blank!B22</f>
        <v>27.145833333328483</v>
      </c>
      <c r="C21" s="71">
        <v>21.1</v>
      </c>
      <c r="D21" s="103">
        <v>184.24299999999999</v>
      </c>
      <c r="E21" s="103">
        <v>184.21700000000001</v>
      </c>
      <c r="F21" s="103">
        <f t="shared" si="8"/>
        <v>3.0000000000995897E-4</v>
      </c>
      <c r="G21" s="99">
        <f t="shared" si="3"/>
        <v>2.5999999999982037E-2</v>
      </c>
      <c r="J21" s="72">
        <f t="shared" si="0"/>
        <v>27.145833333328483</v>
      </c>
      <c r="K21" s="71">
        <v>20.5</v>
      </c>
      <c r="L21" s="103">
        <v>187.46119999999999</v>
      </c>
      <c r="M21" s="103">
        <v>187.43680000000001</v>
      </c>
      <c r="N21" s="103">
        <f t="shared" si="9"/>
        <v>1.5000000000213731E-3</v>
      </c>
      <c r="O21" s="99">
        <f t="shared" si="5"/>
        <v>2.4399999999985766E-2</v>
      </c>
      <c r="R21" s="72">
        <f t="shared" si="1"/>
        <v>27.145833333328483</v>
      </c>
      <c r="S21" s="71">
        <v>21</v>
      </c>
      <c r="T21" s="103">
        <v>183.13749999999999</v>
      </c>
      <c r="U21" s="103">
        <v>183.11179999999999</v>
      </c>
      <c r="V21" s="103">
        <f t="shared" si="10"/>
        <v>1.2000000000114142E-3</v>
      </c>
      <c r="W21" s="99">
        <f t="shared" si="7"/>
        <v>2.57000000000005E-2</v>
      </c>
    </row>
    <row r="23" spans="1:23">
      <c r="C23" s="71"/>
      <c r="D23" s="71"/>
      <c r="E23" s="71"/>
      <c r="F23" s="71"/>
      <c r="G23" s="71"/>
      <c r="K23" s="71"/>
      <c r="L23" s="71"/>
      <c r="M23" s="71"/>
      <c r="N23" s="71"/>
      <c r="O23" s="71"/>
      <c r="S23" s="71"/>
      <c r="T23" s="71"/>
      <c r="U23" s="71"/>
      <c r="V23" s="71"/>
      <c r="W23" s="71"/>
    </row>
    <row r="24" spans="1:23">
      <c r="G24" s="70"/>
      <c r="O24" s="70"/>
      <c r="W24" s="7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6" tint="0.79998168889431442"/>
  </sheetPr>
  <dimension ref="A5:W24"/>
  <sheetViews>
    <sheetView topLeftCell="A5" workbookViewId="0">
      <selection activeCell="S5" sqref="S5"/>
    </sheetView>
  </sheetViews>
  <sheetFormatPr defaultRowHeight="15"/>
  <cols>
    <col min="1" max="3" width="9.140625" style="69"/>
    <col min="4" max="5" width="9.5703125" style="69" bestFit="1" customWidth="1"/>
    <col min="6" max="16384" width="9.140625" style="69"/>
  </cols>
  <sheetData>
    <row r="5" spans="1:23" ht="75">
      <c r="B5" s="36" t="s">
        <v>45</v>
      </c>
      <c r="C5" s="36" t="s">
        <v>55</v>
      </c>
      <c r="D5" s="36" t="s">
        <v>43</v>
      </c>
      <c r="E5" s="36" t="s">
        <v>44</v>
      </c>
      <c r="F5" s="36" t="s">
        <v>46</v>
      </c>
      <c r="G5" s="36" t="s">
        <v>47</v>
      </c>
      <c r="J5" s="36" t="s">
        <v>45</v>
      </c>
      <c r="K5" s="36" t="s">
        <v>55</v>
      </c>
      <c r="L5" s="36" t="s">
        <v>43</v>
      </c>
      <c r="M5" s="36" t="s">
        <v>44</v>
      </c>
      <c r="N5" s="36" t="s">
        <v>46</v>
      </c>
      <c r="O5" s="36" t="s">
        <v>47</v>
      </c>
      <c r="R5" s="36" t="s">
        <v>45</v>
      </c>
      <c r="S5" s="36" t="s">
        <v>55</v>
      </c>
      <c r="T5" s="36" t="s">
        <v>43</v>
      </c>
      <c r="U5" s="36" t="s">
        <v>44</v>
      </c>
      <c r="V5" s="36" t="s">
        <v>46</v>
      </c>
      <c r="W5" s="36" t="s">
        <v>47</v>
      </c>
    </row>
    <row r="7" spans="1:23">
      <c r="B7" s="72">
        <f>+Blank!B8</f>
        <v>0</v>
      </c>
      <c r="D7" s="71"/>
      <c r="E7" s="71">
        <v>188.87815000000001</v>
      </c>
      <c r="J7" s="72">
        <f>+B7</f>
        <v>0</v>
      </c>
      <c r="L7" s="71"/>
      <c r="M7" s="71">
        <v>185.49180000000001</v>
      </c>
      <c r="R7" s="72">
        <f>+J7</f>
        <v>0</v>
      </c>
      <c r="T7" s="71"/>
      <c r="U7" s="71">
        <v>184.33615</v>
      </c>
    </row>
    <row r="8" spans="1:23">
      <c r="A8" s="119">
        <v>1</v>
      </c>
      <c r="B8" s="72">
        <f>+Blank!B9</f>
        <v>0.84027777777373558</v>
      </c>
      <c r="C8" s="71">
        <f>50+50+38</f>
        <v>138</v>
      </c>
      <c r="D8" s="103">
        <v>188.87790000000001</v>
      </c>
      <c r="E8" s="103">
        <v>188.71129999999999</v>
      </c>
      <c r="F8" s="103">
        <f>+E7-D8</f>
        <v>2.4999999999408828E-4</v>
      </c>
      <c r="G8" s="99">
        <f>+D8-E8</f>
        <v>0.16660000000001673</v>
      </c>
      <c r="J8" s="72">
        <f t="shared" ref="J8:J21" si="0">+B8</f>
        <v>0.84027777777373558</v>
      </c>
      <c r="K8" s="71">
        <v>135.5</v>
      </c>
      <c r="L8" s="103">
        <v>185.49119999999999</v>
      </c>
      <c r="M8" s="103">
        <v>185.3244</v>
      </c>
      <c r="N8" s="103">
        <f>+M7-L8</f>
        <v>6.0000000001991793E-4</v>
      </c>
      <c r="O8" s="99">
        <f>+L8-M8</f>
        <v>0.16679999999999495</v>
      </c>
      <c r="R8" s="72">
        <f t="shared" ref="R8:R21" si="1">+J8</f>
        <v>0.84027777777373558</v>
      </c>
      <c r="S8" s="71">
        <v>140.5</v>
      </c>
      <c r="T8" s="103">
        <v>184.33600000000001</v>
      </c>
      <c r="U8" s="103">
        <v>184.16579999999999</v>
      </c>
      <c r="V8" s="103">
        <f>+U7-T8</f>
        <v>1.4999999999076863E-4</v>
      </c>
      <c r="W8" s="99">
        <f>+T8-U8</f>
        <v>0.17020000000002256</v>
      </c>
    </row>
    <row r="9" spans="1:23">
      <c r="A9" s="119">
        <v>2</v>
      </c>
      <c r="B9" s="72">
        <f>+Blank!B10</f>
        <v>1.84375</v>
      </c>
      <c r="C9" s="71">
        <f>53+37+31.6+51.3</f>
        <v>172.89999999999998</v>
      </c>
      <c r="D9" s="103">
        <v>188.71180000000001</v>
      </c>
      <c r="E9" s="103">
        <v>188.5119</v>
      </c>
      <c r="F9" s="103">
        <f t="shared" ref="F9:F11" si="2">+E8-D9</f>
        <v>-5.0000000001659828E-4</v>
      </c>
      <c r="G9" s="99">
        <f t="shared" ref="G9:G21" si="3">+D9-E9</f>
        <v>0.19990000000001373</v>
      </c>
      <c r="J9" s="72">
        <f t="shared" si="0"/>
        <v>1.84375</v>
      </c>
      <c r="K9" s="71">
        <f>30+56.3+44+44</f>
        <v>174.3</v>
      </c>
      <c r="L9" s="103">
        <v>185.3254</v>
      </c>
      <c r="M9" s="103">
        <v>185.12260000000001</v>
      </c>
      <c r="N9" s="103">
        <f t="shared" ref="N9:N11" si="4">+M8-L9</f>
        <v>-1.0000000000047748E-3</v>
      </c>
      <c r="O9" s="99">
        <f t="shared" ref="O9:O21" si="5">+L9-M9</f>
        <v>0.20279999999999632</v>
      </c>
      <c r="R9" s="72">
        <f t="shared" si="1"/>
        <v>1.84375</v>
      </c>
      <c r="S9" s="71">
        <f>35.2+54.5+40.5+43.8</f>
        <v>174</v>
      </c>
      <c r="T9" s="103">
        <v>184.16659999999999</v>
      </c>
      <c r="U9" s="103">
        <v>183.96469999999999</v>
      </c>
      <c r="V9" s="103">
        <f t="shared" ref="V9:V11" si="6">+U8-T9</f>
        <v>-7.9999999999813554E-4</v>
      </c>
      <c r="W9" s="99">
        <f t="shared" ref="W9:W21" si="7">+T9-U9</f>
        <v>0.20189999999999486</v>
      </c>
    </row>
    <row r="10" spans="1:23">
      <c r="A10" s="119">
        <v>3</v>
      </c>
      <c r="B10" s="72">
        <f>+Blank!B11</f>
        <v>2.8506944444452529</v>
      </c>
      <c r="C10" s="71">
        <f>35.5+45.25+35.25+49.5</f>
        <v>165.5</v>
      </c>
      <c r="D10" s="103">
        <v>188.50700000000001</v>
      </c>
      <c r="E10" s="103">
        <v>188.328</v>
      </c>
      <c r="F10" s="103">
        <f t="shared" si="2"/>
        <v>4.8999999999921329E-3</v>
      </c>
      <c r="G10" s="99">
        <f t="shared" si="3"/>
        <v>0.17900000000000205</v>
      </c>
      <c r="J10" s="72">
        <f t="shared" si="0"/>
        <v>2.8506944444452529</v>
      </c>
      <c r="K10" s="71">
        <f>48.5+37.5+40+42</f>
        <v>168</v>
      </c>
      <c r="L10" s="103">
        <v>185.11920000000001</v>
      </c>
      <c r="M10" s="103">
        <v>184.93819999999999</v>
      </c>
      <c r="N10" s="103">
        <f t="shared" si="4"/>
        <v>3.3999999999991815E-3</v>
      </c>
      <c r="O10" s="99">
        <f t="shared" si="5"/>
        <v>0.1810000000000116</v>
      </c>
      <c r="R10" s="72">
        <f t="shared" si="1"/>
        <v>2.8506944444452529</v>
      </c>
      <c r="S10" s="71">
        <f>41+25.5+58+42</f>
        <v>166.5</v>
      </c>
      <c r="T10" s="103">
        <v>183.96039999999999</v>
      </c>
      <c r="U10" s="103">
        <v>183.7807</v>
      </c>
      <c r="V10" s="103">
        <f t="shared" si="6"/>
        <v>4.3000000000006366E-3</v>
      </c>
      <c r="W10" s="99">
        <f t="shared" si="7"/>
        <v>0.17969999999999686</v>
      </c>
    </row>
    <row r="11" spans="1:23">
      <c r="A11" s="119">
        <v>4</v>
      </c>
      <c r="B11" s="72">
        <f>+Blank!B12</f>
        <v>3.8090277777737356</v>
      </c>
      <c r="C11" s="71">
        <f>29.66+21+22+28.5</f>
        <v>101.16</v>
      </c>
      <c r="D11" s="103">
        <v>188.3279</v>
      </c>
      <c r="E11" s="103">
        <v>188.22149999999999</v>
      </c>
      <c r="F11" s="103">
        <f t="shared" si="2"/>
        <v>1.0000000000331966E-4</v>
      </c>
      <c r="G11" s="99">
        <f t="shared" si="3"/>
        <v>0.10640000000000782</v>
      </c>
      <c r="J11" s="72">
        <f t="shared" si="0"/>
        <v>3.8090277777737356</v>
      </c>
      <c r="K11" s="71">
        <f>53+45</f>
        <v>98</v>
      </c>
      <c r="L11" s="103">
        <v>184.9402</v>
      </c>
      <c r="M11" s="103">
        <v>184.833</v>
      </c>
      <c r="N11" s="103">
        <f t="shared" si="4"/>
        <v>-2.0000000000095497E-3</v>
      </c>
      <c r="O11" s="99">
        <f t="shared" si="5"/>
        <v>0.10720000000000596</v>
      </c>
      <c r="R11" s="72">
        <f t="shared" si="1"/>
        <v>3.8090277777737356</v>
      </c>
      <c r="S11" s="71">
        <f>50.25+49.5</f>
        <v>99.75</v>
      </c>
      <c r="T11" s="103">
        <v>183.78370000000001</v>
      </c>
      <c r="U11" s="103">
        <v>183.67580000000001</v>
      </c>
      <c r="V11" s="103">
        <f t="shared" si="6"/>
        <v>-3.0000000000143245E-3</v>
      </c>
      <c r="W11" s="99">
        <f t="shared" si="7"/>
        <v>0.10790000000000077</v>
      </c>
    </row>
    <row r="12" spans="1:23">
      <c r="A12" s="119">
        <v>5</v>
      </c>
      <c r="B12" s="72">
        <f>+Blank!B13</f>
        <v>4.8611111111094942</v>
      </c>
      <c r="C12" s="71">
        <f>32.5+28.2</f>
        <v>60.7</v>
      </c>
      <c r="D12" s="103">
        <v>188.22</v>
      </c>
      <c r="E12" s="103">
        <v>188.15190000000001</v>
      </c>
      <c r="F12" s="103">
        <f>+E11-D12</f>
        <v>1.4999999999929514E-3</v>
      </c>
      <c r="G12" s="99">
        <f t="shared" si="3"/>
        <v>6.8099999999986949E-2</v>
      </c>
      <c r="J12" s="72">
        <f t="shared" si="0"/>
        <v>4.8611111111094942</v>
      </c>
      <c r="K12" s="71">
        <f>27.5+34</f>
        <v>61.5</v>
      </c>
      <c r="L12" s="103">
        <v>184.8306</v>
      </c>
      <c r="M12" s="103">
        <v>184.76439999999999</v>
      </c>
      <c r="N12" s="103">
        <f>+M11-L12</f>
        <v>2.3999999999944066E-3</v>
      </c>
      <c r="O12" s="99">
        <f t="shared" si="5"/>
        <v>6.620000000000914E-2</v>
      </c>
      <c r="R12" s="72">
        <f t="shared" si="1"/>
        <v>4.8611111111094942</v>
      </c>
      <c r="S12" s="71">
        <f>30+31</f>
        <v>61</v>
      </c>
      <c r="T12" s="103">
        <v>183.67490000000001</v>
      </c>
      <c r="U12" s="103">
        <v>183.6079</v>
      </c>
      <c r="V12" s="103">
        <f>+U11-T12</f>
        <v>9.0000000000145519E-4</v>
      </c>
      <c r="W12" s="99">
        <f t="shared" si="7"/>
        <v>6.7000000000007276E-2</v>
      </c>
    </row>
    <row r="13" spans="1:23">
      <c r="A13" s="119">
        <v>6</v>
      </c>
      <c r="B13" s="72">
        <f>+Blank!B14</f>
        <v>5.859027777776646</v>
      </c>
      <c r="C13" s="71">
        <v>38</v>
      </c>
      <c r="D13" s="103">
        <v>188.15549999999999</v>
      </c>
      <c r="E13" s="103">
        <v>188.113</v>
      </c>
      <c r="F13" s="103">
        <f t="shared" ref="F13:F21" si="8">+E12-D13</f>
        <v>-3.5999999999773991E-3</v>
      </c>
      <c r="G13" s="99">
        <f t="shared" si="3"/>
        <v>4.2499999999989768E-2</v>
      </c>
      <c r="J13" s="72">
        <f t="shared" si="0"/>
        <v>5.859027777776646</v>
      </c>
      <c r="K13" s="71">
        <v>38</v>
      </c>
      <c r="L13" s="103">
        <v>184.76730000000001</v>
      </c>
      <c r="M13" s="103">
        <v>184.72450000000001</v>
      </c>
      <c r="N13" s="103">
        <f t="shared" ref="N13:N21" si="9">+M12-L13</f>
        <v>-2.9000000000110049E-3</v>
      </c>
      <c r="O13" s="99">
        <f t="shared" si="5"/>
        <v>4.2799999999999727E-2</v>
      </c>
      <c r="R13" s="72">
        <f t="shared" si="1"/>
        <v>5.859027777776646</v>
      </c>
      <c r="S13" s="71">
        <v>38.75</v>
      </c>
      <c r="T13" s="103">
        <v>183.61019999999999</v>
      </c>
      <c r="U13" s="103">
        <v>183.56649999999999</v>
      </c>
      <c r="V13" s="103">
        <f t="shared" ref="V13:V21" si="10">+U12-T13</f>
        <v>-2.299999999991087E-3</v>
      </c>
      <c r="W13" s="99">
        <f t="shared" si="7"/>
        <v>4.3700000000001182E-2</v>
      </c>
    </row>
    <row r="14" spans="1:23">
      <c r="A14" s="119">
        <v>7</v>
      </c>
      <c r="B14" s="72">
        <f>+Blank!B15</f>
        <v>6.8395833333343035</v>
      </c>
      <c r="C14" s="71">
        <v>29.5</v>
      </c>
      <c r="D14" s="103">
        <v>188.10890000000001</v>
      </c>
      <c r="E14" s="103">
        <v>188.07589999999999</v>
      </c>
      <c r="F14" s="103">
        <f t="shared" si="8"/>
        <v>4.0999999999939973E-3</v>
      </c>
      <c r="G14" s="99">
        <f t="shared" si="3"/>
        <v>3.3000000000015461E-2</v>
      </c>
      <c r="J14" s="72">
        <f t="shared" si="0"/>
        <v>6.8395833333343035</v>
      </c>
      <c r="K14" s="71">
        <v>29</v>
      </c>
      <c r="L14" s="103">
        <v>184.72069999999999</v>
      </c>
      <c r="M14" s="103">
        <v>184.68860000000001</v>
      </c>
      <c r="N14" s="103">
        <f t="shared" si="9"/>
        <v>3.8000000000124601E-3</v>
      </c>
      <c r="O14" s="99">
        <f t="shared" si="5"/>
        <v>3.2099999999985585E-2</v>
      </c>
      <c r="R14" s="72">
        <f t="shared" si="1"/>
        <v>6.8395833333343035</v>
      </c>
      <c r="S14" s="71">
        <v>29</v>
      </c>
      <c r="T14" s="103">
        <v>183.56319999999999</v>
      </c>
      <c r="U14" s="103">
        <v>183.5308</v>
      </c>
      <c r="V14" s="103">
        <f t="shared" si="10"/>
        <v>3.2999999999958618E-3</v>
      </c>
      <c r="W14" s="99">
        <f t="shared" si="7"/>
        <v>3.2399999999995543E-2</v>
      </c>
    </row>
    <row r="15" spans="1:23">
      <c r="A15" s="119">
        <v>8</v>
      </c>
      <c r="B15" s="72">
        <f>+Blank!B16</f>
        <v>8.9166666666642413</v>
      </c>
      <c r="C15" s="71">
        <v>41</v>
      </c>
      <c r="D15" s="103">
        <v>188.08009999999999</v>
      </c>
      <c r="E15" s="103">
        <v>188.0343</v>
      </c>
      <c r="F15" s="103">
        <f t="shared" si="8"/>
        <v>-4.199999999997317E-3</v>
      </c>
      <c r="G15" s="99">
        <f t="shared" si="3"/>
        <v>4.579999999998563E-2</v>
      </c>
      <c r="J15" s="72">
        <f t="shared" si="0"/>
        <v>8.9166666666642413</v>
      </c>
      <c r="K15" s="71">
        <v>41</v>
      </c>
      <c r="L15" s="103">
        <v>184.6926</v>
      </c>
      <c r="M15" s="103">
        <v>184.64609999999999</v>
      </c>
      <c r="N15" s="103">
        <f t="shared" si="9"/>
        <v>-3.9999999999906777E-3</v>
      </c>
      <c r="O15" s="99">
        <f t="shared" si="5"/>
        <v>4.6500000000008868E-2</v>
      </c>
      <c r="R15" s="72">
        <f t="shared" si="1"/>
        <v>8.9166666666642413</v>
      </c>
      <c r="S15" s="71">
        <v>42</v>
      </c>
      <c r="T15" s="103">
        <v>183.5341</v>
      </c>
      <c r="U15" s="103">
        <v>183.48779999999999</v>
      </c>
      <c r="V15" s="103">
        <f t="shared" si="10"/>
        <v>-3.2999999999958618E-3</v>
      </c>
      <c r="W15" s="99">
        <f t="shared" si="7"/>
        <v>4.6300000000002228E-2</v>
      </c>
    </row>
    <row r="16" spans="1:23">
      <c r="A16" s="119">
        <v>9</v>
      </c>
      <c r="B16" s="72">
        <f>+Blank!B17</f>
        <v>10.878472222218988</v>
      </c>
      <c r="C16" s="71">
        <v>30</v>
      </c>
      <c r="D16" s="103">
        <v>188.03899999999999</v>
      </c>
      <c r="E16" s="103">
        <v>188.0061</v>
      </c>
      <c r="F16" s="103">
        <f t="shared" si="8"/>
        <v>-4.6999999999854936E-3</v>
      </c>
      <c r="G16" s="99">
        <f t="shared" si="3"/>
        <v>3.289999999998372E-2</v>
      </c>
      <c r="J16" s="72">
        <f t="shared" si="0"/>
        <v>10.878472222218988</v>
      </c>
      <c r="K16" s="71">
        <v>28.5</v>
      </c>
      <c r="L16" s="103">
        <v>184.65020000000001</v>
      </c>
      <c r="M16" s="103">
        <v>184.6189</v>
      </c>
      <c r="N16" s="103">
        <f t="shared" si="9"/>
        <v>-4.100000000022419E-3</v>
      </c>
      <c r="O16" s="99">
        <f t="shared" si="5"/>
        <v>3.1300000000015871E-2</v>
      </c>
      <c r="R16" s="72">
        <f t="shared" si="1"/>
        <v>10.878472222218988</v>
      </c>
      <c r="S16" s="71">
        <v>29.8</v>
      </c>
      <c r="T16" s="103">
        <v>183.4923</v>
      </c>
      <c r="U16" s="103">
        <v>183.46</v>
      </c>
      <c r="V16" s="103">
        <f t="shared" si="10"/>
        <v>-4.500000000007276E-3</v>
      </c>
      <c r="W16" s="99">
        <f t="shared" si="7"/>
        <v>3.2299999999992224E-2</v>
      </c>
    </row>
    <row r="17" spans="1:23">
      <c r="A17" s="119">
        <v>10</v>
      </c>
      <c r="B17" s="72">
        <f>+Blank!B18</f>
        <v>13.125</v>
      </c>
      <c r="C17" s="71">
        <v>24.33</v>
      </c>
      <c r="D17" s="103">
        <v>188.005</v>
      </c>
      <c r="E17" s="103">
        <v>187.9777</v>
      </c>
      <c r="F17" s="103">
        <f t="shared" si="8"/>
        <v>1.1000000000080945E-3</v>
      </c>
      <c r="G17" s="99">
        <f t="shared" si="3"/>
        <v>2.7299999999996771E-2</v>
      </c>
      <c r="J17" s="72">
        <f t="shared" si="0"/>
        <v>13.125</v>
      </c>
      <c r="K17" s="71">
        <v>24.5</v>
      </c>
      <c r="L17" s="120">
        <v>184.6164</v>
      </c>
      <c r="M17" s="103">
        <v>184.58949999999999</v>
      </c>
      <c r="N17" s="103">
        <f t="shared" si="9"/>
        <v>2.4999999999977263E-3</v>
      </c>
      <c r="O17" s="99">
        <f t="shared" si="5"/>
        <v>2.6900000000011914E-2</v>
      </c>
      <c r="R17" s="72">
        <f t="shared" si="1"/>
        <v>13.125</v>
      </c>
      <c r="S17" s="71">
        <v>25</v>
      </c>
      <c r="T17" s="103">
        <v>183.45820000000001</v>
      </c>
      <c r="U17" s="103">
        <v>183.4308</v>
      </c>
      <c r="V17" s="103">
        <f t="shared" si="10"/>
        <v>1.8000000000029104E-3</v>
      </c>
      <c r="W17" s="99">
        <f t="shared" si="7"/>
        <v>2.7400000000000091E-2</v>
      </c>
    </row>
    <row r="18" spans="1:23">
      <c r="A18" s="119">
        <v>11</v>
      </c>
      <c r="B18" s="72">
        <f>+Blank!B19</f>
        <v>15.854166666664241</v>
      </c>
      <c r="C18" s="71">
        <v>23</v>
      </c>
      <c r="D18" s="103">
        <v>187.97730000000001</v>
      </c>
      <c r="E18" s="103">
        <v>187.95089999999999</v>
      </c>
      <c r="F18" s="103">
        <f t="shared" si="8"/>
        <v>3.9999999998485691E-4</v>
      </c>
      <c r="G18" s="99">
        <f t="shared" si="3"/>
        <v>2.6400000000023738E-2</v>
      </c>
      <c r="J18" s="72">
        <f t="shared" si="0"/>
        <v>15.854166666664241</v>
      </c>
      <c r="K18" s="71">
        <v>22.5</v>
      </c>
      <c r="L18" s="103">
        <v>184.58760000000001</v>
      </c>
      <c r="M18" s="103">
        <v>184.56100000000001</v>
      </c>
      <c r="N18" s="103">
        <f t="shared" si="9"/>
        <v>1.8999999999778083E-3</v>
      </c>
      <c r="O18" s="99">
        <f t="shared" si="5"/>
        <v>2.6600000000001955E-2</v>
      </c>
      <c r="R18" s="72">
        <f t="shared" si="1"/>
        <v>15.854166666664241</v>
      </c>
      <c r="S18" s="71">
        <v>24.66</v>
      </c>
      <c r="T18" s="103">
        <v>183.4297</v>
      </c>
      <c r="U18" s="103">
        <v>183.40209999999999</v>
      </c>
      <c r="V18" s="103">
        <f t="shared" si="10"/>
        <v>1.1000000000080945E-3</v>
      </c>
      <c r="W18" s="99">
        <f t="shared" si="7"/>
        <v>2.760000000000673E-2</v>
      </c>
    </row>
    <row r="19" spans="1:23">
      <c r="A19" s="119">
        <v>12</v>
      </c>
      <c r="B19" s="72">
        <f>+Blank!B20</f>
        <v>18.909722222218988</v>
      </c>
      <c r="C19" s="71">
        <v>19.100000000000001</v>
      </c>
      <c r="D19" s="103">
        <v>187.9522</v>
      </c>
      <c r="E19" s="103">
        <v>187.93039999999999</v>
      </c>
      <c r="F19" s="103">
        <f t="shared" si="8"/>
        <v>-1.3000000000147338E-3</v>
      </c>
      <c r="G19" s="99">
        <f t="shared" si="3"/>
        <v>2.1800000000013142E-2</v>
      </c>
      <c r="J19" s="72">
        <f t="shared" si="0"/>
        <v>18.909722222218988</v>
      </c>
      <c r="K19" s="71">
        <v>19</v>
      </c>
      <c r="L19" s="103">
        <v>184.56370000000001</v>
      </c>
      <c r="M19" s="103">
        <v>184.5419</v>
      </c>
      <c r="N19" s="103">
        <f t="shared" si="9"/>
        <v>-2.7000000000043656E-3</v>
      </c>
      <c r="O19" s="99">
        <f t="shared" si="5"/>
        <v>2.1800000000013142E-2</v>
      </c>
      <c r="R19" s="72">
        <f t="shared" si="1"/>
        <v>18.909722222218988</v>
      </c>
      <c r="S19" s="71">
        <v>20</v>
      </c>
      <c r="T19" s="103">
        <v>183.40299999999999</v>
      </c>
      <c r="U19" s="103">
        <v>183.38030000000001</v>
      </c>
      <c r="V19" s="103">
        <f t="shared" si="10"/>
        <v>-9.0000000000145519E-4</v>
      </c>
      <c r="W19" s="99">
        <f t="shared" si="7"/>
        <v>2.2699999999986176E-2</v>
      </c>
    </row>
    <row r="20" spans="1:23">
      <c r="A20" s="119">
        <v>13</v>
      </c>
      <c r="B20" s="72">
        <f>+Blank!B21</f>
        <v>22.861111111109494</v>
      </c>
      <c r="C20" s="71">
        <v>20.6</v>
      </c>
      <c r="D20" s="103">
        <v>187.92500000000001</v>
      </c>
      <c r="E20" s="103">
        <v>187.9008</v>
      </c>
      <c r="F20" s="103">
        <f t="shared" si="8"/>
        <v>5.3999999999803094E-3</v>
      </c>
      <c r="G20" s="99">
        <f t="shared" si="3"/>
        <v>2.4200000000007549E-2</v>
      </c>
      <c r="J20" s="72">
        <f t="shared" si="0"/>
        <v>22.861111111109494</v>
      </c>
      <c r="K20" s="71">
        <v>21</v>
      </c>
      <c r="L20" s="103">
        <v>184.53620000000001</v>
      </c>
      <c r="M20" s="103">
        <v>184.5128</v>
      </c>
      <c r="N20" s="103">
        <f t="shared" si="9"/>
        <v>5.6999999999902684E-3</v>
      </c>
      <c r="O20" s="99">
        <f t="shared" si="5"/>
        <v>2.3400000000009413E-2</v>
      </c>
      <c r="R20" s="72">
        <f>+J20</f>
        <v>22.861111111109494</v>
      </c>
      <c r="S20" s="71">
        <v>21</v>
      </c>
      <c r="T20" s="103">
        <v>183.37479999999999</v>
      </c>
      <c r="U20" s="103">
        <v>183.35159999999999</v>
      </c>
      <c r="V20" s="103">
        <f t="shared" si="10"/>
        <v>5.5000000000120508E-3</v>
      </c>
      <c r="W20" s="99">
        <f t="shared" si="7"/>
        <v>2.3200000000002774E-2</v>
      </c>
    </row>
    <row r="21" spans="1:23">
      <c r="A21" s="119">
        <v>14</v>
      </c>
      <c r="B21" s="72">
        <f>+Blank!B22</f>
        <v>27.145833333328483</v>
      </c>
      <c r="C21" s="71">
        <v>19.3</v>
      </c>
      <c r="D21" s="103">
        <v>187.9007</v>
      </c>
      <c r="E21" s="103">
        <v>187.87819999999999</v>
      </c>
      <c r="F21" s="103">
        <f t="shared" si="8"/>
        <v>1.0000000000331966E-4</v>
      </c>
      <c r="G21" s="99">
        <f t="shared" si="3"/>
        <v>2.2500000000007958E-2</v>
      </c>
      <c r="J21" s="72">
        <f t="shared" si="0"/>
        <v>27.145833333328483</v>
      </c>
      <c r="K21" s="71">
        <v>19.5</v>
      </c>
      <c r="L21" s="103">
        <v>184.5112</v>
      </c>
      <c r="M21" s="103">
        <v>184.48920000000001</v>
      </c>
      <c r="N21" s="103">
        <f t="shared" si="9"/>
        <v>1.5999999999962711E-3</v>
      </c>
      <c r="O21" s="99">
        <f t="shared" si="5"/>
        <v>2.199999999999136E-2</v>
      </c>
      <c r="R21" s="72">
        <f t="shared" si="1"/>
        <v>27.145833333328483</v>
      </c>
      <c r="S21" s="71">
        <v>20</v>
      </c>
      <c r="T21" s="103">
        <v>183.3503</v>
      </c>
      <c r="U21" s="103">
        <v>183.32839999999999</v>
      </c>
      <c r="V21" s="103">
        <f t="shared" si="10"/>
        <v>1.2999999999863121E-3</v>
      </c>
      <c r="W21" s="99">
        <f t="shared" si="7"/>
        <v>2.1900000000016462E-2</v>
      </c>
    </row>
    <row r="23" spans="1:23">
      <c r="C23" s="71"/>
      <c r="D23" s="71"/>
      <c r="E23" s="71"/>
      <c r="F23" s="71"/>
      <c r="G23" s="71"/>
      <c r="K23" s="71"/>
      <c r="L23" s="71"/>
      <c r="M23" s="71"/>
      <c r="N23" s="71"/>
      <c r="O23" s="71"/>
      <c r="S23" s="71"/>
      <c r="T23" s="71"/>
      <c r="U23" s="71"/>
      <c r="V23" s="71"/>
      <c r="W23" s="71"/>
    </row>
    <row r="24" spans="1:23">
      <c r="G24" s="70"/>
      <c r="O24" s="70"/>
      <c r="W24" s="7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0" tint="-0.34998626667073579"/>
  </sheetPr>
  <dimension ref="B1:H23"/>
  <sheetViews>
    <sheetView workbookViewId="0">
      <selection activeCell="L35" sqref="L35"/>
    </sheetView>
  </sheetViews>
  <sheetFormatPr defaultRowHeight="15"/>
  <sheetData>
    <row r="1" spans="2:8">
      <c r="E1" s="69"/>
      <c r="G1" s="69"/>
    </row>
    <row r="2" spans="2:8">
      <c r="C2" s="108">
        <v>28</v>
      </c>
      <c r="D2" s="108"/>
      <c r="E2" s="109">
        <v>29</v>
      </c>
      <c r="F2" s="109"/>
      <c r="G2" s="110">
        <v>30</v>
      </c>
      <c r="H2" s="110"/>
    </row>
    <row r="3" spans="2:8">
      <c r="C3" s="107" t="s">
        <v>49</v>
      </c>
      <c r="D3" s="107" t="s">
        <v>50</v>
      </c>
      <c r="E3" s="107" t="s">
        <v>49</v>
      </c>
      <c r="F3" s="107" t="s">
        <v>50</v>
      </c>
      <c r="G3" s="107" t="s">
        <v>49</v>
      </c>
      <c r="H3" s="107" t="s">
        <v>50</v>
      </c>
    </row>
    <row r="4" spans="2:8">
      <c r="B4" s="70">
        <f>+Blank!B8</f>
        <v>0</v>
      </c>
      <c r="C4" s="106">
        <v>183.8603</v>
      </c>
      <c r="D4" s="106">
        <v>183.86080000000001</v>
      </c>
      <c r="E4" s="106">
        <v>185.58090000000001</v>
      </c>
      <c r="F4" s="106">
        <v>185.58170000000001</v>
      </c>
      <c r="G4" s="106">
        <v>183.7165</v>
      </c>
      <c r="H4" s="106">
        <v>183.7176</v>
      </c>
    </row>
    <row r="5" spans="2:8">
      <c r="B5" s="70">
        <f>+Blank!B9</f>
        <v>0.84027777777373558</v>
      </c>
      <c r="C5" s="106">
        <v>183.85919999999999</v>
      </c>
      <c r="D5" s="106">
        <v>183.8604</v>
      </c>
      <c r="E5" s="106">
        <v>185.5797</v>
      </c>
      <c r="F5" s="106">
        <v>185.58189999999999</v>
      </c>
      <c r="G5" s="106">
        <v>183.71619999999999</v>
      </c>
      <c r="H5" s="106">
        <v>183.71799999999999</v>
      </c>
    </row>
    <row r="6" spans="2:8">
      <c r="B6" s="70">
        <f>+Blank!B10</f>
        <v>1.84375</v>
      </c>
      <c r="C6" s="106">
        <v>183.8586</v>
      </c>
      <c r="D6" s="106">
        <v>183.86150000000001</v>
      </c>
      <c r="E6" s="106">
        <v>185.57980000000001</v>
      </c>
      <c r="F6" s="106">
        <v>185.583</v>
      </c>
      <c r="G6" s="106">
        <v>183.71600000000001</v>
      </c>
      <c r="H6" s="106">
        <v>183.7182</v>
      </c>
    </row>
    <row r="7" spans="2:8">
      <c r="B7" s="70">
        <f>+Blank!B11</f>
        <v>2.8506944444452529</v>
      </c>
      <c r="C7" s="106">
        <v>183.85759999999999</v>
      </c>
      <c r="D7" s="117"/>
      <c r="E7" s="106">
        <v>185.5787</v>
      </c>
      <c r="F7" s="117"/>
      <c r="G7" s="106">
        <v>183.7148</v>
      </c>
      <c r="H7" s="117"/>
    </row>
    <row r="8" spans="2:8">
      <c r="B8" s="70">
        <f>+Blank!B12</f>
        <v>3.8090277777737356</v>
      </c>
      <c r="C8" s="106">
        <v>183.8588</v>
      </c>
      <c r="D8" s="106">
        <v>183.85980000000001</v>
      </c>
      <c r="E8" s="106">
        <v>185.58080000000001</v>
      </c>
      <c r="F8" s="106">
        <v>185.58019999999999</v>
      </c>
      <c r="G8" s="106">
        <v>183.71600000000001</v>
      </c>
      <c r="H8" s="111">
        <v>183.71629999999999</v>
      </c>
    </row>
    <row r="9" spans="2:8">
      <c r="B9" s="70">
        <f>+Blank!B13</f>
        <v>4.8611111111094942</v>
      </c>
      <c r="C9" s="106">
        <v>183.85720000000001</v>
      </c>
      <c r="D9" s="106">
        <v>183.85669999999999</v>
      </c>
      <c r="E9" s="106">
        <v>185.5788</v>
      </c>
      <c r="F9" s="106">
        <v>185.57929999999999</v>
      </c>
      <c r="G9" s="106">
        <v>183.715</v>
      </c>
      <c r="H9" s="106">
        <v>183.7157</v>
      </c>
    </row>
    <row r="10" spans="2:8">
      <c r="B10" s="70">
        <f>+Blank!B14</f>
        <v>5.859027777776646</v>
      </c>
      <c r="C10" s="106">
        <v>183.85650000000001</v>
      </c>
      <c r="D10" s="106">
        <v>183.8597</v>
      </c>
      <c r="E10" s="106">
        <v>185.5804</v>
      </c>
      <c r="F10" s="106">
        <v>185.58170000000001</v>
      </c>
      <c r="G10" s="106">
        <v>183.7157</v>
      </c>
      <c r="H10" s="106">
        <v>183.71809999999999</v>
      </c>
    </row>
    <row r="11" spans="2:8">
      <c r="B11" s="70">
        <f>+Blank!B15</f>
        <v>6.8395833333343035</v>
      </c>
      <c r="C11" s="106">
        <v>183.85480000000001</v>
      </c>
      <c r="D11" s="106">
        <v>183.857</v>
      </c>
      <c r="E11" s="106">
        <v>185.57849999999999</v>
      </c>
      <c r="F11" s="106">
        <v>185.57859999999999</v>
      </c>
      <c r="G11" s="106">
        <v>183.71369999999999</v>
      </c>
      <c r="H11" s="106">
        <v>183.71420000000001</v>
      </c>
    </row>
    <row r="12" spans="2:8">
      <c r="B12" s="70">
        <f>+Blank!B16</f>
        <v>8.9166666666642413</v>
      </c>
      <c r="C12" s="106">
        <v>183.85830000000001</v>
      </c>
      <c r="D12" s="106">
        <v>183.85990000000001</v>
      </c>
      <c r="E12" s="106">
        <v>185.58179999999999</v>
      </c>
      <c r="F12" s="106">
        <v>185.5831</v>
      </c>
      <c r="G12" s="106">
        <v>183.7174</v>
      </c>
      <c r="H12" s="106">
        <v>183.71780000000001</v>
      </c>
    </row>
    <row r="13" spans="2:8">
      <c r="B13" s="70">
        <f>+Blank!B17</f>
        <v>10.878472222218988</v>
      </c>
      <c r="C13" s="106">
        <v>183.8605</v>
      </c>
      <c r="D13" s="106">
        <v>183.864</v>
      </c>
      <c r="E13" s="106">
        <v>185.58420000000001</v>
      </c>
      <c r="F13" s="106">
        <v>185.58779999999999</v>
      </c>
      <c r="G13" s="106">
        <v>183.7199</v>
      </c>
      <c r="H13" s="106">
        <v>183.72280000000001</v>
      </c>
    </row>
    <row r="14" spans="2:8">
      <c r="B14" s="70">
        <f>+Blank!B18</f>
        <v>13.125</v>
      </c>
      <c r="C14" s="106">
        <v>183.85929999999999</v>
      </c>
      <c r="D14" s="106">
        <v>183.86089999999999</v>
      </c>
      <c r="E14" s="106">
        <v>185.5847</v>
      </c>
      <c r="F14" s="106">
        <v>185.5857</v>
      </c>
      <c r="G14" s="106">
        <v>183.72040000000001</v>
      </c>
      <c r="H14" s="106">
        <v>183.72110000000001</v>
      </c>
    </row>
    <row r="15" spans="2:8">
      <c r="B15" s="70">
        <f>+Blank!B19</f>
        <v>15.854166666664241</v>
      </c>
      <c r="C15" s="106">
        <v>183.8587</v>
      </c>
      <c r="D15" s="106">
        <v>183.85910000000001</v>
      </c>
      <c r="E15" s="106">
        <v>185.58369999999999</v>
      </c>
      <c r="F15" s="106">
        <v>185.58410000000001</v>
      </c>
      <c r="G15" s="106">
        <v>183.71850000000001</v>
      </c>
      <c r="H15" s="106">
        <v>183.71899999999999</v>
      </c>
    </row>
    <row r="16" spans="2:8">
      <c r="B16" s="70">
        <f>+Blank!B20</f>
        <v>18.909722222218988</v>
      </c>
      <c r="C16" s="106">
        <v>183.85749999999999</v>
      </c>
      <c r="D16" s="106">
        <v>183.8399</v>
      </c>
      <c r="E16" s="106">
        <v>185.58260000000001</v>
      </c>
      <c r="F16" s="106">
        <v>185.5857</v>
      </c>
      <c r="G16" s="106">
        <v>183.71690000000001</v>
      </c>
      <c r="H16" s="106">
        <v>183.72110000000001</v>
      </c>
    </row>
    <row r="17" spans="2:8">
      <c r="B17" s="70">
        <f>+Blank!B21</f>
        <v>22.861111111109494</v>
      </c>
      <c r="C17" s="106">
        <v>183.8545</v>
      </c>
      <c r="D17" s="106">
        <v>183.85480000000001</v>
      </c>
      <c r="E17" s="106">
        <v>185.5787</v>
      </c>
      <c r="F17" s="106">
        <v>185.57990000000001</v>
      </c>
      <c r="G17" s="106">
        <v>183.71279999999999</v>
      </c>
      <c r="H17" s="106">
        <v>183.71469999999999</v>
      </c>
    </row>
    <row r="18" spans="2:8">
      <c r="B18" s="70">
        <f>+Blank!B22</f>
        <v>27.145833333328483</v>
      </c>
      <c r="C18" s="106">
        <v>183.85329999999999</v>
      </c>
      <c r="D18" s="106">
        <v>183.85310000000001</v>
      </c>
      <c r="E18" s="106">
        <v>185.5788</v>
      </c>
      <c r="F18" s="106">
        <v>185.57900000000001</v>
      </c>
      <c r="G18" s="106">
        <v>183.71299999999999</v>
      </c>
      <c r="H18" s="106">
        <v>183.71420000000001</v>
      </c>
    </row>
    <row r="19" spans="2:8">
      <c r="B19" s="70">
        <f>+Blank!B23</f>
        <v>0</v>
      </c>
      <c r="C19" s="106"/>
      <c r="D19" s="106"/>
      <c r="E19" s="106"/>
      <c r="F19" s="106"/>
      <c r="G19" s="106"/>
      <c r="H19" s="106"/>
    </row>
    <row r="20" spans="2:8">
      <c r="B20" s="70"/>
      <c r="C20" s="106"/>
      <c r="D20" s="106"/>
      <c r="E20" s="106"/>
      <c r="F20" s="106"/>
      <c r="G20" s="106"/>
      <c r="H20" s="106"/>
    </row>
    <row r="21" spans="2:8">
      <c r="B21" s="70"/>
      <c r="C21" s="106"/>
      <c r="D21" s="106"/>
      <c r="E21" s="106"/>
      <c r="F21" s="106"/>
      <c r="G21" s="106"/>
      <c r="H21" s="106"/>
    </row>
    <row r="22" spans="2:8">
      <c r="C22" s="106"/>
      <c r="D22" s="106"/>
      <c r="E22" s="106"/>
      <c r="F22" s="106"/>
      <c r="G22" s="106"/>
      <c r="H22" s="106"/>
    </row>
    <row r="23" spans="2:8">
      <c r="C23" s="106"/>
      <c r="D23" s="106"/>
      <c r="E23" s="106"/>
      <c r="F23" s="106"/>
      <c r="G23" s="106"/>
      <c r="H23" s="10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Set-up_Mano_Grav</vt:lpstr>
      <vt:lpstr>Blank</vt:lpstr>
      <vt:lpstr>CEL</vt:lpstr>
      <vt:lpstr>Subs C</vt:lpstr>
      <vt:lpstr>Set-up_SYGC</vt:lpstr>
      <vt:lpstr>SYGC_Blank</vt:lpstr>
      <vt:lpstr>SYGC_CEL</vt:lpstr>
      <vt:lpstr>SYGC_Subs C</vt:lpstr>
      <vt:lpstr>WATER</vt:lpstr>
    </vt:vector>
  </TitlesOfParts>
  <Company>The University of Queensland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 Astals</dc:creator>
  <cp:lastModifiedBy>Camilla Justesen</cp:lastModifiedBy>
  <cp:revision/>
  <dcterms:created xsi:type="dcterms:W3CDTF">2015-03-31T05:10:24Z</dcterms:created>
  <dcterms:modified xsi:type="dcterms:W3CDTF">2019-02-13T10:15:11Z</dcterms:modified>
</cp:coreProperties>
</file>