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ate1904="1" autoCompressPictures="0"/>
  <bookViews>
    <workbookView xWindow="-195" yWindow="8460" windowWidth="19440" windowHeight="6765" tabRatio="250" firstSheet="6" activeTab="7"/>
  </bookViews>
  <sheets>
    <sheet name="DMVS" sheetId="6" r:id="rId1"/>
    <sheet name="ISR 1.1" sheetId="7" r:id="rId2"/>
    <sheet name="ph" sheetId="8" r:id="rId3"/>
    <sheet name="Bottle vol" sheetId="9" r:id="rId4"/>
    <sheet name="Setup" sheetId="1" r:id="rId5"/>
    <sheet name="measurements" sheetId="2" r:id="rId6"/>
    <sheet name="Comp" sheetId="5" r:id="rId7"/>
    <sheet name="Cellulose VS" sheetId="13" r:id="rId8"/>
  </sheets>
  <calcPr calcId="145621"/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L44" i="1" l="1"/>
  <c r="L43" i="1"/>
  <c r="L42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6" i="1"/>
  <c r="E638" i="2" l="1"/>
  <c r="E637" i="2"/>
  <c r="E636" i="2"/>
  <c r="E621" i="2"/>
  <c r="E608" i="2" l="1"/>
  <c r="E607" i="2"/>
  <c r="E606" i="2"/>
  <c r="E491" i="2" l="1"/>
  <c r="E490" i="2"/>
  <c r="E489" i="2"/>
  <c r="E449" i="2" l="1"/>
  <c r="E448" i="2"/>
  <c r="E433" i="2"/>
  <c r="E410" i="2" l="1"/>
  <c r="E383" i="2"/>
  <c r="E359" i="2"/>
  <c r="E358" i="2"/>
  <c r="E357" i="2"/>
  <c r="E355" i="2"/>
  <c r="E354" i="2"/>
  <c r="E351" i="2"/>
  <c r="E349" i="2"/>
  <c r="E348" i="2"/>
  <c r="G27" i="7" l="1"/>
  <c r="G28" i="7"/>
  <c r="G29" i="7"/>
  <c r="G30" i="7"/>
  <c r="G31" i="7"/>
  <c r="G32" i="7"/>
  <c r="G33" i="7"/>
  <c r="G34" i="7"/>
  <c r="G35" i="7"/>
  <c r="G26" i="7"/>
  <c r="H26" i="7"/>
  <c r="L40" i="1" l="1"/>
  <c r="L41" i="1"/>
  <c r="L39" i="1"/>
  <c r="L37" i="1"/>
  <c r="L38" i="1"/>
  <c r="L36" i="1"/>
  <c r="L34" i="1"/>
  <c r="L35" i="1"/>
  <c r="L33" i="1"/>
  <c r="L31" i="1"/>
  <c r="L32" i="1"/>
  <c r="L30" i="1"/>
  <c r="L28" i="1"/>
  <c r="L29" i="1"/>
  <c r="L27" i="1"/>
  <c r="L25" i="1"/>
  <c r="L26" i="1"/>
  <c r="L24" i="1"/>
  <c r="L22" i="1"/>
  <c r="L23" i="1"/>
  <c r="L21" i="1"/>
  <c r="L19" i="1"/>
  <c r="L20" i="1"/>
  <c r="L18" i="1"/>
  <c r="L16" i="1"/>
  <c r="L17" i="1"/>
  <c r="L15" i="1"/>
  <c r="L13" i="1"/>
  <c r="L14" i="1"/>
  <c r="L12" i="1"/>
  <c r="L10" i="1"/>
  <c r="L11" i="1"/>
  <c r="L9" i="1"/>
  <c r="E329" i="2" l="1"/>
  <c r="E328" i="2"/>
  <c r="E327" i="2"/>
  <c r="E312" i="2"/>
  <c r="E311" i="2"/>
  <c r="E314" i="2"/>
  <c r="E315" i="2"/>
  <c r="E317" i="2"/>
  <c r="E316" i="2"/>
  <c r="E313" i="2"/>
  <c r="E310" i="2"/>
  <c r="E309" i="2"/>
  <c r="E307" i="2"/>
  <c r="E306" i="2"/>
  <c r="E291" i="2" l="1"/>
  <c r="E287" i="2"/>
  <c r="E286" i="2"/>
  <c r="E285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H27" i="7" l="1"/>
  <c r="H28" i="7"/>
  <c r="H29" i="7"/>
  <c r="H30" i="7"/>
  <c r="H31" i="7"/>
  <c r="H32" i="7"/>
  <c r="H33" i="7"/>
  <c r="H34" i="7"/>
  <c r="H35" i="7"/>
  <c r="K3" i="6" l="1"/>
  <c r="L3" i="6" s="1"/>
  <c r="K4" i="6"/>
  <c r="L4" i="6" s="1"/>
  <c r="K5" i="6"/>
  <c r="L5" i="6" s="1"/>
  <c r="K6" i="6"/>
  <c r="L6" i="6" s="1"/>
  <c r="K7" i="6"/>
  <c r="L7" i="6" s="1"/>
  <c r="K8" i="6"/>
  <c r="L8" i="6" s="1"/>
  <c r="K9" i="6"/>
  <c r="L9" i="6" s="1"/>
  <c r="K10" i="6"/>
  <c r="L10" i="6" s="1"/>
  <c r="K11" i="6"/>
  <c r="L11" i="6" s="1"/>
  <c r="K12" i="6"/>
  <c r="L12" i="6" s="1"/>
  <c r="K13" i="6"/>
  <c r="L13" i="6" s="1"/>
  <c r="K14" i="6"/>
  <c r="L14" i="6" s="1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" i="6"/>
  <c r="L2" i="6" s="1"/>
  <c r="E232" i="2" l="1"/>
  <c r="E237" i="2"/>
  <c r="E233" i="2"/>
  <c r="E231" i="2"/>
  <c r="E230" i="2"/>
  <c r="E229" i="2"/>
  <c r="E228" i="2"/>
  <c r="E226" i="2"/>
  <c r="E225" i="2"/>
  <c r="E224" i="2"/>
  <c r="E223" i="2"/>
  <c r="E222" i="2"/>
  <c r="E212" i="2"/>
  <c r="E211" i="2"/>
  <c r="E210" i="2"/>
  <c r="E203" i="2"/>
  <c r="E202" i="2"/>
  <c r="E201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0" i="2" l="1"/>
  <c r="E169" i="2"/>
  <c r="E168" i="2"/>
  <c r="P16" i="2" s="1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" i="1"/>
  <c r="D5" i="9" l="1"/>
  <c r="D6" i="9"/>
  <c r="D4" i="9"/>
  <c r="G15" i="7" l="1"/>
  <c r="G14" i="7"/>
  <c r="D8" i="9" l="1"/>
  <c r="D7" i="9"/>
  <c r="O6" i="6"/>
  <c r="N16" i="6"/>
  <c r="C11" i="7" s="1"/>
  <c r="F11" i="7" s="1"/>
  <c r="O2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" i="6"/>
  <c r="M2" i="6" l="1"/>
  <c r="I2" i="6"/>
  <c r="J2" i="6"/>
  <c r="J16" i="6"/>
  <c r="I16" i="6"/>
  <c r="I12" i="6"/>
  <c r="J12" i="6"/>
  <c r="I8" i="6"/>
  <c r="J8" i="6"/>
  <c r="I4" i="6"/>
  <c r="J4" i="6"/>
  <c r="M20" i="6"/>
  <c r="I20" i="6"/>
  <c r="J20" i="6"/>
  <c r="J22" i="6"/>
  <c r="I22" i="6"/>
  <c r="J18" i="6"/>
  <c r="I18" i="6"/>
  <c r="J14" i="6"/>
  <c r="I14" i="6"/>
  <c r="J10" i="6"/>
  <c r="I10" i="6"/>
  <c r="J6" i="6"/>
  <c r="I6" i="6"/>
  <c r="N4" i="6"/>
  <c r="C5" i="7" s="1"/>
  <c r="F5" i="7" s="1"/>
  <c r="M22" i="6"/>
  <c r="M14" i="6"/>
  <c r="M6" i="6"/>
  <c r="N18" i="6"/>
  <c r="C12" i="7" s="1"/>
  <c r="F12" i="7" s="1"/>
  <c r="N10" i="6"/>
  <c r="C8" i="7" s="1"/>
  <c r="F8" i="7" s="1"/>
  <c r="M9" i="6"/>
  <c r="N22" i="6"/>
  <c r="C17" i="7" s="1"/>
  <c r="N8" i="6"/>
  <c r="C7" i="7" s="1"/>
  <c r="F7" i="7" s="1"/>
  <c r="N6" i="6"/>
  <c r="C6" i="7" s="1"/>
  <c r="F6" i="7" s="1"/>
  <c r="O14" i="6"/>
  <c r="M17" i="6"/>
  <c r="O16" i="6"/>
  <c r="M16" i="6"/>
  <c r="N14" i="6"/>
  <c r="C10" i="7" s="1"/>
  <c r="F10" i="7" s="1"/>
  <c r="M8" i="6"/>
  <c r="O8" i="6"/>
  <c r="M23" i="6"/>
  <c r="M15" i="6"/>
  <c r="M7" i="6"/>
  <c r="N20" i="6"/>
  <c r="C13" i="7" s="1"/>
  <c r="F13" i="7" s="1"/>
  <c r="M13" i="6"/>
  <c r="M5" i="6"/>
  <c r="M12" i="6"/>
  <c r="M4" i="6"/>
  <c r="M19" i="6"/>
  <c r="O10" i="6"/>
  <c r="O2" i="6"/>
  <c r="M11" i="6"/>
  <c r="M3" i="6"/>
  <c r="N2" i="6"/>
  <c r="C4" i="7" s="1"/>
  <c r="M18" i="6"/>
  <c r="M10" i="6"/>
  <c r="O12" i="6"/>
  <c r="O20" i="6"/>
  <c r="O4" i="6"/>
  <c r="M21" i="6"/>
  <c r="N12" i="6"/>
  <c r="C9" i="7" s="1"/>
  <c r="F9" i="7" s="1"/>
  <c r="O18" i="6"/>
  <c r="G6" i="7" l="1"/>
  <c r="G8" i="7"/>
  <c r="G11" i="7"/>
  <c r="G10" i="7"/>
  <c r="G12" i="7"/>
  <c r="G13" i="7"/>
  <c r="G7" i="7"/>
  <c r="G5" i="7"/>
  <c r="F4" i="7"/>
  <c r="G4" i="7" s="1"/>
  <c r="G9" i="7"/>
</calcChain>
</file>

<file path=xl/comments1.xml><?xml version="1.0" encoding="utf-8"?>
<comments xmlns="http://schemas.openxmlformats.org/spreadsheetml/2006/main">
  <authors>
    <author>Sasha Hafner</author>
  </authors>
  <commentList>
    <comment ref="D45" authorId="0">
      <text>
        <r>
          <rPr>
            <b/>
            <sz val="8"/>
            <color indexed="81"/>
            <rFont val="Tahoma"/>
            <family val="2"/>
          </rPr>
          <t>Sasha Hafner:</t>
        </r>
        <r>
          <rPr>
            <sz val="8"/>
            <color indexed="81"/>
            <rFont val="Tahoma"/>
            <family val="2"/>
          </rPr>
          <t xml:space="preserve">
Check time.</t>
        </r>
      </text>
    </comment>
  </commentList>
</comments>
</file>

<file path=xl/sharedStrings.xml><?xml version="1.0" encoding="utf-8"?>
<sst xmlns="http://schemas.openxmlformats.org/spreadsheetml/2006/main" count="2863" uniqueCount="559">
  <si>
    <t>bottle ID</t>
  </si>
  <si>
    <t>description</t>
  </si>
  <si>
    <t>tare mass [g]</t>
  </si>
  <si>
    <t>inocolum mass [g]</t>
    <phoneticPr fontId="2" type="noConversion"/>
  </si>
  <si>
    <t>total m1 [g]</t>
  </si>
  <si>
    <t>total m2 [g]</t>
  </si>
  <si>
    <t>total mass [g]</t>
  </si>
  <si>
    <t>toal mass sd [mg]</t>
  </si>
  <si>
    <t>id</t>
  </si>
  <si>
    <t>descrip</t>
  </si>
  <si>
    <t>tare</t>
  </si>
  <si>
    <t>m.inoc</t>
  </si>
  <si>
    <t>m.sub</t>
  </si>
  <si>
    <t>m.tot</t>
  </si>
  <si>
    <t>water</t>
  </si>
  <si>
    <t>date</t>
  </si>
  <si>
    <t>time</t>
  </si>
  <si>
    <t>volume [mL]</t>
  </si>
  <si>
    <t>initial mass [g]</t>
  </si>
  <si>
    <t>final mass [g]</t>
  </si>
  <si>
    <t>Volume notes</t>
  </si>
  <si>
    <t>Pressure notes</t>
  </si>
  <si>
    <t>Mass notes</t>
  </si>
  <si>
    <t>vol</t>
  </si>
  <si>
    <t>mass.init</t>
  </si>
  <si>
    <t>mass.final</t>
  </si>
  <si>
    <t>notes.vol</t>
  </si>
  <si>
    <t>notes.pres</t>
  </si>
  <si>
    <t>notes.mass</t>
  </si>
  <si>
    <t>W1</t>
  </si>
  <si>
    <t>W2</t>
  </si>
  <si>
    <t>W3</t>
  </si>
  <si>
    <t>E1</t>
  </si>
  <si>
    <t>E2</t>
  </si>
  <si>
    <t>E3</t>
  </si>
  <si>
    <t>C1</t>
  </si>
  <si>
    <t>C2</t>
  </si>
  <si>
    <t>C3</t>
  </si>
  <si>
    <t>I1</t>
  </si>
  <si>
    <t>I2</t>
  </si>
  <si>
    <t>I3</t>
  </si>
  <si>
    <t>Date</t>
    <phoneticPr fontId="2" type="noConversion"/>
  </si>
  <si>
    <t>Substrate</t>
    <phoneticPr fontId="2" type="noConversion"/>
  </si>
  <si>
    <t>DM (g/kg)</t>
  </si>
  <si>
    <t>VS (g/kg)</t>
  </si>
  <si>
    <t>Volatile Solids %DM</t>
  </si>
  <si>
    <t>C1-1</t>
  </si>
  <si>
    <t>C1-2</t>
  </si>
  <si>
    <t>C1-3</t>
  </si>
  <si>
    <t>C2-1</t>
  </si>
  <si>
    <t>C2-2</t>
  </si>
  <si>
    <t>C2-3</t>
  </si>
  <si>
    <t>C3-1</t>
  </si>
  <si>
    <t>C3-2</t>
  </si>
  <si>
    <t>C3-3</t>
  </si>
  <si>
    <t>C4-1</t>
  </si>
  <si>
    <t>C4-2</t>
  </si>
  <si>
    <t>C4-3</t>
  </si>
  <si>
    <t>C5-1</t>
  </si>
  <si>
    <t>C5-2</t>
  </si>
  <si>
    <t>C5-3</t>
  </si>
  <si>
    <t>m1</t>
  </si>
  <si>
    <t>m2</t>
  </si>
  <si>
    <t>m.tot sd</t>
  </si>
  <si>
    <t>13.1.2017</t>
  </si>
  <si>
    <t>C4</t>
  </si>
  <si>
    <t>C5</t>
  </si>
  <si>
    <t>I</t>
  </si>
  <si>
    <t>ID</t>
  </si>
  <si>
    <t>VS</t>
  </si>
  <si>
    <t>Mass DW [g]</t>
  </si>
  <si>
    <t>Tare mass [g]</t>
  </si>
  <si>
    <t>Combusted mass [g]</t>
  </si>
  <si>
    <t>Inoc</t>
  </si>
  <si>
    <t>[g/kg]</t>
  </si>
  <si>
    <t>[g]</t>
  </si>
  <si>
    <t>Vol [ml]</t>
  </si>
  <si>
    <t>Average</t>
  </si>
  <si>
    <t>sd</t>
  </si>
  <si>
    <t>13.01.2017</t>
  </si>
  <si>
    <t>Inoc mass</t>
  </si>
  <si>
    <t>Sludge mass</t>
  </si>
  <si>
    <t>Total</t>
  </si>
  <si>
    <t xml:space="preserve">Ethanol </t>
  </si>
  <si>
    <t>Cellulose</t>
  </si>
  <si>
    <t>Bottle tare</t>
  </si>
  <si>
    <t>Bottle + water</t>
  </si>
  <si>
    <t>Time</t>
  </si>
  <si>
    <t>Total mass [g]</t>
  </si>
  <si>
    <t>18012017</t>
  </si>
  <si>
    <t>day</t>
  </si>
  <si>
    <t>A1-1</t>
  </si>
  <si>
    <t>A1-2</t>
  </si>
  <si>
    <t>A1-3</t>
  </si>
  <si>
    <t>A2-1</t>
  </si>
  <si>
    <t>A2-2</t>
  </si>
  <si>
    <t>A2-3</t>
  </si>
  <si>
    <t>B1</t>
  </si>
  <si>
    <t>B2</t>
  </si>
  <si>
    <t>B3</t>
  </si>
  <si>
    <t>RI1</t>
  </si>
  <si>
    <t>RI2</t>
  </si>
  <si>
    <t>RI3</t>
  </si>
  <si>
    <t>RE1</t>
  </si>
  <si>
    <t>RE2</t>
  </si>
  <si>
    <t>RE3</t>
  </si>
  <si>
    <t>B</t>
  </si>
  <si>
    <t>RI</t>
  </si>
  <si>
    <t>RE</t>
  </si>
  <si>
    <t>A1</t>
  </si>
  <si>
    <t>A2</t>
  </si>
  <si>
    <t>initial pressure [kPa]</t>
  </si>
  <si>
    <t>end pressure [kPa]</t>
  </si>
  <si>
    <t>19012017</t>
  </si>
  <si>
    <t xml:space="preserve">1000 ml syringe </t>
  </si>
  <si>
    <t xml:space="preserve">Some sludge in GC vial </t>
  </si>
  <si>
    <t>Mass lost in needle</t>
  </si>
  <si>
    <t>20012017</t>
  </si>
  <si>
    <t>temperature</t>
  </si>
  <si>
    <t>temp.</t>
  </si>
  <si>
    <t>Mass lost in needle+ some in GC vial</t>
  </si>
  <si>
    <t>Mass lost in needle + some in GC vial</t>
  </si>
  <si>
    <t>mass lost in GC vial</t>
  </si>
  <si>
    <t>Mass lost in GC vial</t>
  </si>
  <si>
    <t>manometer might plugged as mass goes up to top of bottle when pressure is reduced. Shake the bottles before meassurement</t>
  </si>
  <si>
    <t>Conf 1</t>
  </si>
  <si>
    <t>Conf 2</t>
  </si>
  <si>
    <t>Conf 3</t>
  </si>
  <si>
    <t>Conf 4</t>
  </si>
  <si>
    <t>Conf 5</t>
  </si>
  <si>
    <t>After preheater 1</t>
  </si>
  <si>
    <t>After preheater 2</t>
  </si>
  <si>
    <t xml:space="preserve">Before preheater </t>
  </si>
  <si>
    <t>Raw intern sludge</t>
  </si>
  <si>
    <t>Raw extern sludge</t>
  </si>
  <si>
    <t>VS [g]</t>
  </si>
  <si>
    <t>ISR 1:1</t>
  </si>
  <si>
    <t>Actual</t>
  </si>
  <si>
    <t>Actual ISR</t>
  </si>
  <si>
    <t>0852</t>
  </si>
  <si>
    <t>0903</t>
  </si>
  <si>
    <t>0912</t>
  </si>
  <si>
    <t>0918</t>
  </si>
  <si>
    <t>0922</t>
  </si>
  <si>
    <t>0930</t>
  </si>
  <si>
    <t>0934</t>
  </si>
  <si>
    <t>0936</t>
  </si>
  <si>
    <t>0944</t>
  </si>
  <si>
    <t>0950</t>
  </si>
  <si>
    <t>0957</t>
  </si>
  <si>
    <t>0940</t>
  </si>
  <si>
    <t>0955</t>
  </si>
  <si>
    <t>0947</t>
  </si>
  <si>
    <t>0920</t>
  </si>
  <si>
    <t>0926</t>
  </si>
  <si>
    <t>Vol headspace</t>
  </si>
  <si>
    <t>vol.hs</t>
  </si>
  <si>
    <t>1240</t>
  </si>
  <si>
    <t>1235</t>
  </si>
  <si>
    <t>1251</t>
  </si>
  <si>
    <t>1230</t>
  </si>
  <si>
    <t>Inoculum</t>
  </si>
  <si>
    <t>Conf.1</t>
  </si>
  <si>
    <t>Conf.2</t>
  </si>
  <si>
    <t>Conf.3</t>
  </si>
  <si>
    <t>Conf.4</t>
  </si>
  <si>
    <t>Conf.5</t>
  </si>
  <si>
    <t>Before preheater</t>
  </si>
  <si>
    <t>Raw Intern sludge</t>
  </si>
  <si>
    <t>Ethanol</t>
  </si>
  <si>
    <t>svs</t>
  </si>
  <si>
    <t>sd DM</t>
  </si>
  <si>
    <t>Mean DM</t>
  </si>
  <si>
    <t>1310</t>
  </si>
  <si>
    <t>1305</t>
  </si>
  <si>
    <t>1319</t>
  </si>
  <si>
    <t>1300</t>
  </si>
  <si>
    <t>1256</t>
  </si>
  <si>
    <t>CH4 content</t>
  </si>
  <si>
    <t>xCH4</t>
  </si>
  <si>
    <t>0.1207</t>
  </si>
  <si>
    <t>0.1123</t>
  </si>
  <si>
    <t>0.1146</t>
  </si>
  <si>
    <t>0.2685</t>
  </si>
  <si>
    <t>0.2942</t>
  </si>
  <si>
    <t>0.2904</t>
  </si>
  <si>
    <t>0.2354</t>
  </si>
  <si>
    <t>0.228</t>
  </si>
  <si>
    <t>0.2496</t>
  </si>
  <si>
    <t>0.2424</t>
  </si>
  <si>
    <t>0.2288</t>
  </si>
  <si>
    <t>0.22</t>
  </si>
  <si>
    <t>0.2157</t>
  </si>
  <si>
    <t>0.2262</t>
  </si>
  <si>
    <t>0.2069</t>
  </si>
  <si>
    <t>0.2195</t>
  </si>
  <si>
    <t>0.2128</t>
  </si>
  <si>
    <t>0.203</t>
  </si>
  <si>
    <t>0.1923</t>
  </si>
  <si>
    <t>0.2413</t>
  </si>
  <si>
    <t>0.2325</t>
  </si>
  <si>
    <t>0.2688</t>
  </si>
  <si>
    <t>0.2419</t>
  </si>
  <si>
    <t>0.4099</t>
  </si>
  <si>
    <t>0.2215</t>
  </si>
  <si>
    <t>0.2054</t>
  </si>
  <si>
    <t>0.1972</t>
  </si>
  <si>
    <t>0.09547</t>
  </si>
  <si>
    <t>0.1184</t>
  </si>
  <si>
    <t>0.12</t>
  </si>
  <si>
    <t>0.03005</t>
  </si>
  <si>
    <t>0.03178</t>
  </si>
  <si>
    <t>0.02856</t>
  </si>
  <si>
    <t>0.1585</t>
  </si>
  <si>
    <t>0.1677</t>
  </si>
  <si>
    <t>0.1801</t>
  </si>
  <si>
    <t>0.1073</t>
  </si>
  <si>
    <t>0.1158</t>
  </si>
  <si>
    <t>0.1113</t>
  </si>
  <si>
    <t>0.2338</t>
  </si>
  <si>
    <t>0.2216</t>
  </si>
  <si>
    <t>0.2189</t>
  </si>
  <si>
    <t>0.6609</t>
  </si>
  <si>
    <t>0.6582</t>
  </si>
  <si>
    <t>0.6877</t>
  </si>
  <si>
    <t>0.7219</t>
  </si>
  <si>
    <t>0.7212</t>
  </si>
  <si>
    <t>0.7177</t>
  </si>
  <si>
    <t>0.667</t>
  </si>
  <si>
    <t>0.6745</t>
  </si>
  <si>
    <t>0.6792</t>
  </si>
  <si>
    <t>0.6694</t>
  </si>
  <si>
    <t>0.6733</t>
  </si>
  <si>
    <t>0.6704</t>
  </si>
  <si>
    <t>0.6712</t>
  </si>
  <si>
    <t>0.6721</t>
  </si>
  <si>
    <t>0.6701</t>
  </si>
  <si>
    <t>0.6213</t>
  </si>
  <si>
    <t>0.6778</t>
  </si>
  <si>
    <t>0.6565</t>
  </si>
  <si>
    <t>0.6685</t>
  </si>
  <si>
    <t>0.6446</t>
  </si>
  <si>
    <t>0.6487</t>
  </si>
  <si>
    <t>0.6271</t>
  </si>
  <si>
    <t>0.6292</t>
  </si>
  <si>
    <t>0.6281</t>
  </si>
  <si>
    <t>0.3282</t>
  </si>
  <si>
    <t>0.3366</t>
  </si>
  <si>
    <t>0.3315</t>
  </si>
  <si>
    <t>0.09438</t>
  </si>
  <si>
    <t>0.08546</t>
  </si>
  <si>
    <t>0.08615</t>
  </si>
  <si>
    <t>0.5121</t>
  </si>
  <si>
    <t>0.564</t>
  </si>
  <si>
    <t>0.5842</t>
  </si>
  <si>
    <t>0.2896</t>
  </si>
  <si>
    <t>0.3454</t>
  </si>
  <si>
    <t>0.3328</t>
  </si>
  <si>
    <t>0.3357</t>
  </si>
  <si>
    <t>0.6824</t>
  </si>
  <si>
    <t>0.6594</t>
  </si>
  <si>
    <t>0.6702</t>
  </si>
  <si>
    <t>0.6968</t>
  </si>
  <si>
    <t>0.7021</t>
  </si>
  <si>
    <t>0.7107</t>
  </si>
  <si>
    <t>0.6508</t>
  </si>
  <si>
    <t>0.6598</t>
  </si>
  <si>
    <t>0.6635</t>
  </si>
  <si>
    <t>0.6417</t>
  </si>
  <si>
    <t>0.6837</t>
  </si>
  <si>
    <t>0.6568</t>
  </si>
  <si>
    <t>0.683</t>
  </si>
  <si>
    <t>0.694</t>
  </si>
  <si>
    <t>0.6868</t>
  </si>
  <si>
    <t>0.7373</t>
  </si>
  <si>
    <t>0.7513</t>
  </si>
  <si>
    <t>0.7505</t>
  </si>
  <si>
    <t>0.7057</t>
  </si>
  <si>
    <t>0.7108</t>
  </si>
  <si>
    <t>0.7115</t>
  </si>
  <si>
    <t>0.6981</t>
  </si>
  <si>
    <t>0.6988</t>
  </si>
  <si>
    <t>0.6938</t>
  </si>
  <si>
    <t>0.4886</t>
  </si>
  <si>
    <t>0.4786</t>
  </si>
  <si>
    <t>0.4831</t>
  </si>
  <si>
    <t>0.1559</t>
  </si>
  <si>
    <t>0.1346</t>
  </si>
  <si>
    <t>0.1321</t>
  </si>
  <si>
    <t>0.6657</t>
  </si>
  <si>
    <t>0.6741</t>
  </si>
  <si>
    <t>0.6814</t>
  </si>
  <si>
    <t>0.425</t>
  </si>
  <si>
    <t>0.4248</t>
  </si>
  <si>
    <t>0.4237</t>
  </si>
  <si>
    <t>0.4433</t>
  </si>
  <si>
    <t>0.4366</t>
  </si>
  <si>
    <t>0.4339</t>
  </si>
  <si>
    <t>0.7536</t>
  </si>
  <si>
    <t>0.7523</t>
  </si>
  <si>
    <t>0.7632</t>
  </si>
  <si>
    <t>0.7577</t>
  </si>
  <si>
    <t>0.7533</t>
  </si>
  <si>
    <t>0.7541</t>
  </si>
  <si>
    <t>0.7214</t>
  </si>
  <si>
    <t>0.7283</t>
  </si>
  <si>
    <t>0.7293</t>
  </si>
  <si>
    <t>0.7134</t>
  </si>
  <si>
    <t>0.7158</t>
  </si>
  <si>
    <t>0.7272</t>
  </si>
  <si>
    <t>0.711</t>
  </si>
  <si>
    <t>0.7184</t>
  </si>
  <si>
    <t>0.7188</t>
  </si>
  <si>
    <t>0.7348</t>
  </si>
  <si>
    <t>0.7647</t>
  </si>
  <si>
    <t>0.7671</t>
  </si>
  <si>
    <t>0.7393</t>
  </si>
  <si>
    <t>0.7412</t>
  </si>
  <si>
    <t>0.7425</t>
  </si>
  <si>
    <t>0.6893</t>
  </si>
  <si>
    <t>0.6841</t>
  </si>
  <si>
    <t>0.6794</t>
  </si>
  <si>
    <t>0.5608</t>
  </si>
  <si>
    <t>0.5576</t>
  </si>
  <si>
    <t>0.5616</t>
  </si>
  <si>
    <t>0.2015</t>
  </si>
  <si>
    <t>0.1917</t>
  </si>
  <si>
    <t>0.1945</t>
  </si>
  <si>
    <t>0.7389</t>
  </si>
  <si>
    <t>0.7547</t>
  </si>
  <si>
    <t>0.7608</t>
  </si>
  <si>
    <t>0.4917</t>
  </si>
  <si>
    <t>0.4933</t>
  </si>
  <si>
    <t>0.493</t>
  </si>
  <si>
    <t>0.5767</t>
  </si>
  <si>
    <t>0.501</t>
  </si>
  <si>
    <t>0.4921</t>
  </si>
  <si>
    <t>0.7507</t>
  </si>
  <si>
    <t>0.7562</t>
  </si>
  <si>
    <t>0.7534</t>
  </si>
  <si>
    <t>0.7506</t>
  </si>
  <si>
    <t>0.757</t>
  </si>
  <si>
    <t>0.73</t>
  </si>
  <si>
    <t>0.7337</t>
  </si>
  <si>
    <t>comp</t>
  </si>
  <si>
    <t>Substrate VS</t>
  </si>
  <si>
    <t>fCH4</t>
  </si>
  <si>
    <t>0.7226</t>
  </si>
  <si>
    <t>0.7199</t>
  </si>
  <si>
    <t>0.7355</t>
  </si>
  <si>
    <t>0.7244</t>
  </si>
  <si>
    <t>0.7185</t>
  </si>
  <si>
    <t>0.7176</t>
  </si>
  <si>
    <t>0.7175</t>
  </si>
  <si>
    <t>0.7292</t>
  </si>
  <si>
    <t>0.7316</t>
  </si>
  <si>
    <t>0.726</t>
  </si>
  <si>
    <t>0.6726</t>
  </si>
  <si>
    <t>0.6679</t>
  </si>
  <si>
    <t>0.599</t>
  </si>
  <si>
    <t>0.5946</t>
  </si>
  <si>
    <t>0.596</t>
  </si>
  <si>
    <t>0.194</t>
  </si>
  <si>
    <t>0.1908</t>
  </si>
  <si>
    <t>0.1962</t>
  </si>
  <si>
    <t>0.7662</t>
  </si>
  <si>
    <t>0.7583</t>
  </si>
  <si>
    <t>0.763</t>
  </si>
  <si>
    <t>0.5253</t>
  </si>
  <si>
    <t>0.5155</t>
  </si>
  <si>
    <t>0.5006</t>
  </si>
  <si>
    <t>1217</t>
  </si>
  <si>
    <t>1224</t>
  </si>
  <si>
    <t>1315</t>
  </si>
  <si>
    <t>1246</t>
  </si>
  <si>
    <t>Date</t>
  </si>
  <si>
    <t>0.509</t>
  </si>
  <si>
    <t>0.5128</t>
  </si>
  <si>
    <t>0.5147</t>
  </si>
  <si>
    <t>0.755</t>
  </si>
  <si>
    <t>0.7588</t>
  </si>
  <si>
    <t>0.7689</t>
  </si>
  <si>
    <t>0.7697</t>
  </si>
  <si>
    <t>0.7676</t>
  </si>
  <si>
    <t>0.7414</t>
  </si>
  <si>
    <t>0.7469</t>
  </si>
  <si>
    <t>0.7462</t>
  </si>
  <si>
    <t>0.7438</t>
  </si>
  <si>
    <t>0.7543</t>
  </si>
  <si>
    <t>0.7555</t>
  </si>
  <si>
    <t>0.7397</t>
  </si>
  <si>
    <t>0.7463</t>
  </si>
  <si>
    <t>0.7445</t>
  </si>
  <si>
    <t>0.7083</t>
  </si>
  <si>
    <t>0.7034</t>
  </si>
  <si>
    <t>0.7054</t>
  </si>
  <si>
    <t>0.7182</t>
  </si>
  <si>
    <t>0.7145</t>
  </si>
  <si>
    <t>0.6732</t>
  </si>
  <si>
    <t>0.6753</t>
  </si>
  <si>
    <t>0.6623</t>
  </si>
  <si>
    <t>E1-6</t>
  </si>
  <si>
    <t>E2-6</t>
  </si>
  <si>
    <t>E3-6</t>
  </si>
  <si>
    <t>C1-6</t>
  </si>
  <si>
    <t>C2-6</t>
  </si>
  <si>
    <t>C3-6</t>
  </si>
  <si>
    <t>0.2197</t>
  </si>
  <si>
    <t>0.2327</t>
  </si>
  <si>
    <t>0.2133</t>
  </si>
  <si>
    <t>0.7681</t>
  </si>
  <si>
    <t>0.7702</t>
  </si>
  <si>
    <t>0.771</t>
  </si>
  <si>
    <t>0.56</t>
  </si>
  <si>
    <t>0.5497</t>
  </si>
  <si>
    <t>0.547</t>
  </si>
  <si>
    <t>0.5793</t>
  </si>
  <si>
    <t>0.5766</t>
  </si>
  <si>
    <t>0.5815</t>
  </si>
  <si>
    <t>0.7398</t>
  </si>
  <si>
    <t>0.7343</t>
  </si>
  <si>
    <t>0.6832</t>
  </si>
  <si>
    <t>0.6895</t>
  </si>
  <si>
    <t>0.6874</t>
  </si>
  <si>
    <t>0.7056</t>
  </si>
  <si>
    <t>0.6942</t>
  </si>
  <si>
    <t>0.6911</t>
  </si>
  <si>
    <t>0.692</t>
  </si>
  <si>
    <t>0.7227</t>
  </si>
  <si>
    <t>0.7255</t>
  </si>
  <si>
    <t>0.7126</t>
  </si>
  <si>
    <t>0.6799</t>
  </si>
  <si>
    <t>0.6822</t>
  </si>
  <si>
    <t>0.6859</t>
  </si>
  <si>
    <t>0.6847</t>
  </si>
  <si>
    <t>0.6849</t>
  </si>
  <si>
    <t>0.6773</t>
  </si>
  <si>
    <t>0.673</t>
  </si>
  <si>
    <t>0.674</t>
  </si>
  <si>
    <t>0.4437</t>
  </si>
  <si>
    <t>0.5129</t>
  </si>
  <si>
    <t>0.5399</t>
  </si>
  <si>
    <t>0.6744</t>
  </si>
  <si>
    <t>0.6811</t>
  </si>
  <si>
    <t>0.7416</t>
  </si>
  <si>
    <t>0.7538</t>
  </si>
  <si>
    <t>0.7572</t>
  </si>
  <si>
    <t>0.5888</t>
  </si>
  <si>
    <t>0.594</t>
  </si>
  <si>
    <t>0.5974</t>
  </si>
  <si>
    <t>0.7299</t>
  </si>
  <si>
    <t>0.6800</t>
  </si>
  <si>
    <t>0.6900</t>
  </si>
  <si>
    <t>0.6950</t>
  </si>
  <si>
    <t>0.7400</t>
  </si>
  <si>
    <t>0.6650</t>
  </si>
  <si>
    <t>0.7100</t>
  </si>
  <si>
    <t>15022017</t>
  </si>
  <si>
    <t>29</t>
  </si>
  <si>
    <t>21022017</t>
  </si>
  <si>
    <t>35</t>
  </si>
  <si>
    <t>1616</t>
  </si>
  <si>
    <t>1617</t>
  </si>
  <si>
    <t>1618</t>
  </si>
  <si>
    <t>1620</t>
  </si>
  <si>
    <t>1621</t>
  </si>
  <si>
    <t>1622</t>
  </si>
  <si>
    <t>1623</t>
  </si>
  <si>
    <t>1624</t>
  </si>
  <si>
    <t>1625</t>
  </si>
  <si>
    <t>1627</t>
  </si>
  <si>
    <t>1629</t>
  </si>
  <si>
    <t>1632</t>
  </si>
  <si>
    <t>1633</t>
  </si>
  <si>
    <t>1634</t>
  </si>
  <si>
    <t>1635</t>
  </si>
  <si>
    <t>1636</t>
  </si>
  <si>
    <t>1637</t>
  </si>
  <si>
    <t>101</t>
  </si>
  <si>
    <t>109</t>
  </si>
  <si>
    <t>110</t>
  </si>
  <si>
    <t>77</t>
  </si>
  <si>
    <t>82</t>
  </si>
  <si>
    <t>85</t>
  </si>
  <si>
    <t>01032017</t>
  </si>
  <si>
    <t>43</t>
  </si>
  <si>
    <t>1715</t>
  </si>
  <si>
    <t>1716</t>
  </si>
  <si>
    <t>1717</t>
  </si>
  <si>
    <t>1719</t>
  </si>
  <si>
    <t>1731</t>
  </si>
  <si>
    <t>1724</t>
  </si>
  <si>
    <t>1725</t>
  </si>
  <si>
    <t>1726</t>
  </si>
  <si>
    <t>1727</t>
  </si>
  <si>
    <t>1728</t>
  </si>
  <si>
    <t>1729</t>
  </si>
  <si>
    <t>1732</t>
  </si>
  <si>
    <t>1733</t>
  </si>
  <si>
    <t>1734</t>
  </si>
  <si>
    <t>1736</t>
  </si>
  <si>
    <t>1738</t>
  </si>
  <si>
    <t>1739</t>
  </si>
  <si>
    <t>1742</t>
  </si>
  <si>
    <t>1743</t>
  </si>
  <si>
    <t>1744</t>
  </si>
  <si>
    <t>substrate mass [g]</t>
  </si>
  <si>
    <t>8</t>
  </si>
  <si>
    <t>9</t>
  </si>
  <si>
    <t>11</t>
  </si>
  <si>
    <t>13</t>
  </si>
  <si>
    <t>16</t>
  </si>
  <si>
    <t>19</t>
  </si>
  <si>
    <t>21</t>
  </si>
  <si>
    <t>24</t>
  </si>
  <si>
    <t>1400</t>
  </si>
  <si>
    <t>1401</t>
  </si>
  <si>
    <t>1402</t>
  </si>
  <si>
    <t>1628</t>
  </si>
  <si>
    <t>1720</t>
  </si>
  <si>
    <t>1721</t>
  </si>
  <si>
    <t>1735</t>
  </si>
  <si>
    <t>1740</t>
  </si>
  <si>
    <t>17032017</t>
  </si>
  <si>
    <t>59</t>
  </si>
  <si>
    <t>1330</t>
  </si>
  <si>
    <t>1334</t>
  </si>
  <si>
    <t>1338</t>
  </si>
  <si>
    <t>1344</t>
  </si>
  <si>
    <t>1348</t>
  </si>
  <si>
    <t>1353</t>
  </si>
  <si>
    <t>0</t>
  </si>
  <si>
    <t>1249</t>
  </si>
  <si>
    <t>1254</t>
  </si>
  <si>
    <t>1304</t>
  </si>
  <si>
    <t>1309</t>
  </si>
  <si>
    <t>1313</t>
  </si>
  <si>
    <t>1325</t>
  </si>
  <si>
    <t>pres.init.</t>
  </si>
  <si>
    <t>pres.end.</t>
  </si>
  <si>
    <t>C</t>
  </si>
  <si>
    <t>E</t>
  </si>
  <si>
    <t>17012017</t>
  </si>
  <si>
    <t>1405</t>
  </si>
  <si>
    <t xml:space="preserve">Mean VS </t>
  </si>
  <si>
    <t>sd VS</t>
  </si>
  <si>
    <t>12,6135</t>
  </si>
  <si>
    <t>12,6591</t>
  </si>
  <si>
    <t>14,5134</t>
  </si>
  <si>
    <t>14,8503</t>
  </si>
  <si>
    <t>14,4257</t>
  </si>
  <si>
    <t>14,7473</t>
  </si>
  <si>
    <t>12,6168</t>
  </si>
  <si>
    <t>12,6605</t>
  </si>
  <si>
    <t>total</t>
  </si>
  <si>
    <t>combusted</t>
  </si>
  <si>
    <t>Start</t>
  </si>
  <si>
    <t>End</t>
  </si>
  <si>
    <t>Dry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</si>
</sst>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1" x14ac:knownFonts="1">
    <font>
      <sz val="10"/>
      <name val="Verdana"/>
    </font>
    <font>
      <sz val="10"/>
      <color rgb="FF3333FF"/>
      <name val="Verdana"/>
      <family val="2"/>
      <charset val="1"/>
    </font>
    <font>
      <sz val="8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Verdana"/>
      <family val="2"/>
    </font>
    <font>
      <sz val="11"/>
      <name val="Calibri"/>
      <family val="2"/>
    </font>
    <font>
      <sz val="10"/>
      <color rgb="FFFF0000"/>
      <name val="Verdana"/>
      <family val="2"/>
    </font>
    <font>
      <sz val="11"/>
      <name val="Calibri"/>
      <family val="2"/>
      <scheme val="minor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0" fontId="0" fillId="0" borderId="0" xfId="0" applyFont="1" applyAlignment="1">
      <alignment wrapText="1"/>
    </xf>
    <xf numFmtId="0" fontId="6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 applyBorder="1" applyAlignment="1">
      <alignment vertical="center" wrapText="1"/>
    </xf>
    <xf numFmtId="165" fontId="0" fillId="0" borderId="0" xfId="0" applyNumberFormat="1"/>
    <xf numFmtId="165" fontId="0" fillId="0" borderId="0" xfId="0" applyNumberFormat="1" applyFont="1" applyAlignment="1">
      <alignment wrapText="1"/>
    </xf>
    <xf numFmtId="165" fontId="6" fillId="0" borderId="0" xfId="0" applyNumberFormat="1" applyFont="1"/>
    <xf numFmtId="165" fontId="6" fillId="0" borderId="0" xfId="0" applyNumberFormat="1" applyFont="1" applyAlignment="1">
      <alignment wrapText="1"/>
    </xf>
    <xf numFmtId="165" fontId="8" fillId="0" borderId="0" xfId="0" applyNumberFormat="1" applyFont="1"/>
    <xf numFmtId="1" fontId="0" fillId="0" borderId="0" xfId="0" applyNumberFormat="1" applyAlignment="1">
      <alignment wrapText="1"/>
    </xf>
    <xf numFmtId="1" fontId="6" fillId="0" borderId="0" xfId="0" applyNumberFormat="1" applyFont="1"/>
    <xf numFmtId="1" fontId="0" fillId="0" borderId="0" xfId="0" applyNumberFormat="1"/>
    <xf numFmtId="0" fontId="7" fillId="0" borderId="0" xfId="0" applyFont="1" applyFill="1" applyBorder="1" applyAlignment="1">
      <alignment vertical="center" wrapText="1"/>
    </xf>
    <xf numFmtId="165" fontId="0" fillId="2" borderId="0" xfId="0" applyNumberFormat="1" applyFill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165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0" xfId="0" applyFont="1"/>
    <xf numFmtId="165" fontId="0" fillId="0" borderId="0" xfId="0" applyNumberFormat="1" applyAlignment="1"/>
    <xf numFmtId="165" fontId="0" fillId="0" borderId="0" xfId="0" applyNumberFormat="1" applyAlignment="1">
      <alignment horizontal="center"/>
    </xf>
    <xf numFmtId="165" fontId="6" fillId="0" borderId="0" xfId="0" applyNumberFormat="1" applyFont="1" applyFill="1"/>
    <xf numFmtId="165" fontId="0" fillId="0" borderId="0" xfId="0" applyNumberFormat="1" applyFill="1"/>
    <xf numFmtId="165" fontId="0" fillId="0" borderId="0" xfId="0" applyNumberFormat="1" applyAlignment="1"/>
    <xf numFmtId="0" fontId="6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6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8" fillId="0" borderId="0" xfId="0" applyNumberFormat="1" applyFont="1" applyAlignment="1">
      <alignment horizontal="center"/>
    </xf>
    <xf numFmtId="165" fontId="0" fillId="3" borderId="0" xfId="0" applyNumberFormat="1" applyFill="1"/>
    <xf numFmtId="2" fontId="0" fillId="0" borderId="0" xfId="0" applyNumberFormat="1" applyAlignment="1">
      <alignment wrapText="1"/>
    </xf>
    <xf numFmtId="2" fontId="6" fillId="0" borderId="0" xfId="0" applyNumberFormat="1" applyFont="1"/>
    <xf numFmtId="2" fontId="0" fillId="0" borderId="0" xfId="0" applyNumberFormat="1"/>
    <xf numFmtId="2" fontId="3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3" fillId="0" borderId="0" xfId="0" applyFont="1"/>
    <xf numFmtId="165" fontId="3" fillId="0" borderId="0" xfId="0" applyNumberFormat="1" applyFont="1"/>
    <xf numFmtId="165" fontId="3" fillId="0" borderId="0" xfId="0" applyNumberFormat="1" applyFont="1" applyAlignment="1">
      <alignment vertical="center"/>
    </xf>
    <xf numFmtId="165" fontId="10" fillId="0" borderId="0" xfId="0" applyNumberFormat="1" applyFont="1"/>
    <xf numFmtId="165" fontId="3" fillId="0" borderId="0" xfId="0" applyNumberFormat="1" applyFont="1" applyAlignment="1">
      <alignment wrapText="1"/>
    </xf>
    <xf numFmtId="3" fontId="0" fillId="0" borderId="0" xfId="0" applyNumberFormat="1"/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/>
    <xf numFmtId="165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O100"/>
  <sheetViews>
    <sheetView workbookViewId="0">
      <selection activeCell="N2" sqref="N2:N21"/>
    </sheetView>
  </sheetViews>
  <sheetFormatPr defaultColWidth="11" defaultRowHeight="12.75" x14ac:dyDescent="0.2"/>
  <cols>
    <col min="1" max="2" width="11" style="12"/>
    <col min="3" max="4" width="11.5" style="12" bestFit="1" customWidth="1"/>
    <col min="5" max="5" width="11" style="12"/>
    <col min="6" max="6" width="14.25" style="12" customWidth="1"/>
    <col min="7" max="16384" width="11" style="12"/>
  </cols>
  <sheetData>
    <row r="1" spans="1:15" ht="25.5" x14ac:dyDescent="0.2">
      <c r="A1" s="12" t="s">
        <v>41</v>
      </c>
      <c r="B1" s="12" t="s">
        <v>42</v>
      </c>
      <c r="C1" s="14" t="s">
        <v>1</v>
      </c>
      <c r="D1" s="12" t="s">
        <v>71</v>
      </c>
      <c r="E1" s="12" t="s">
        <v>88</v>
      </c>
      <c r="F1" s="13" t="s">
        <v>70</v>
      </c>
      <c r="G1" s="13" t="s">
        <v>72</v>
      </c>
      <c r="H1" s="12" t="s">
        <v>43</v>
      </c>
      <c r="I1" s="14" t="s">
        <v>172</v>
      </c>
      <c r="J1" s="14" t="s">
        <v>171</v>
      </c>
      <c r="K1" s="12" t="s">
        <v>135</v>
      </c>
      <c r="L1" s="13" t="s">
        <v>44</v>
      </c>
      <c r="M1" s="13" t="s">
        <v>45</v>
      </c>
      <c r="N1" s="53" t="s">
        <v>544</v>
      </c>
      <c r="O1" s="53" t="s">
        <v>545</v>
      </c>
    </row>
    <row r="2" spans="1:15" x14ac:dyDescent="0.2">
      <c r="A2" s="14" t="s">
        <v>64</v>
      </c>
      <c r="B2" s="58" t="s">
        <v>35</v>
      </c>
      <c r="C2" s="58" t="s">
        <v>125</v>
      </c>
      <c r="D2" s="12">
        <v>14.2606</v>
      </c>
      <c r="E2" s="12">
        <v>18.0121</v>
      </c>
      <c r="F2" s="12">
        <v>14.444900000000001</v>
      </c>
      <c r="G2" s="12">
        <v>14.323499999999999</v>
      </c>
      <c r="H2" s="12">
        <f>(F2-D2)/(E2-D2)*1000</f>
        <v>49.127015860322629</v>
      </c>
      <c r="I2" s="56">
        <f>AVERAGE(H2:H3)</f>
        <v>49.22730284505954</v>
      </c>
      <c r="J2" s="56">
        <f>_xlfn.STDEV.P(H2:H3)</f>
        <v>0.10028698473691477</v>
      </c>
      <c r="K2" s="12">
        <f>F2-G2</f>
        <v>0.12140000000000128</v>
      </c>
      <c r="L2" s="12">
        <f>K2/(E2-D2)*1000</f>
        <v>32.360389177662611</v>
      </c>
      <c r="M2" s="12">
        <f t="shared" ref="M2:M23" si="0">L2/H2*100</f>
        <v>65.870862723820437</v>
      </c>
      <c r="N2" s="57">
        <f>AVERAGE(L2:L3)</f>
        <v>32.360064309360915</v>
      </c>
      <c r="O2" s="57">
        <f>_xlfn.STDEV.P(L2:L3)</f>
        <v>3.2486830169631276E-4</v>
      </c>
    </row>
    <row r="3" spans="1:15" x14ac:dyDescent="0.2">
      <c r="A3" s="14" t="s">
        <v>64</v>
      </c>
      <c r="B3" s="58"/>
      <c r="C3" s="58"/>
      <c r="D3" s="12">
        <v>14.2311</v>
      </c>
      <c r="E3" s="12">
        <v>18.0383</v>
      </c>
      <c r="F3" s="12">
        <v>14.418900000000001</v>
      </c>
      <c r="G3" s="12">
        <v>14.2957</v>
      </c>
      <c r="H3" s="12">
        <f t="shared" ref="H3:H23" si="1">(F3-D3)/(E3-D3)*1000</f>
        <v>49.327589829796459</v>
      </c>
      <c r="I3" s="56"/>
      <c r="J3" s="56"/>
      <c r="K3" s="12">
        <f t="shared" ref="K3:K23" si="2">F3-G3</f>
        <v>0.12320000000000064</v>
      </c>
      <c r="L3" s="12">
        <f t="shared" ref="L3:L23" si="3">K3/(E3-D3)*1000</f>
        <v>32.359739441059219</v>
      </c>
      <c r="M3" s="12">
        <f t="shared" si="0"/>
        <v>65.601703940362071</v>
      </c>
      <c r="N3" s="57"/>
      <c r="O3" s="57"/>
    </row>
    <row r="4" spans="1:15" x14ac:dyDescent="0.2">
      <c r="A4" s="14" t="s">
        <v>64</v>
      </c>
      <c r="B4" s="58" t="s">
        <v>36</v>
      </c>
      <c r="C4" s="58" t="s">
        <v>126</v>
      </c>
      <c r="D4" s="12">
        <v>15.0421</v>
      </c>
      <c r="E4" s="12">
        <v>19.425799999999999</v>
      </c>
      <c r="F4" s="12">
        <v>15.5457</v>
      </c>
      <c r="G4" s="12">
        <v>15.211399999999999</v>
      </c>
      <c r="H4" s="12">
        <f t="shared" si="1"/>
        <v>114.88012409608335</v>
      </c>
      <c r="I4" s="56">
        <f t="shared" ref="I4" si="4">AVERAGE(H4:H5)</f>
        <v>115.03732119358399</v>
      </c>
      <c r="J4" s="56">
        <f t="shared" ref="J4" si="5">_xlfn.STDEV.P(H4:H5)</f>
        <v>0.15719709750064226</v>
      </c>
      <c r="K4" s="12">
        <f t="shared" si="2"/>
        <v>0.33430000000000071</v>
      </c>
      <c r="L4" s="12">
        <f t="shared" si="3"/>
        <v>76.259780550676538</v>
      </c>
      <c r="M4" s="12">
        <f t="shared" si="0"/>
        <v>66.382049245432952</v>
      </c>
      <c r="N4" s="57">
        <f t="shared" ref="N4" si="6">AVERAGE(L4:L5)</f>
        <v>76.294041995860994</v>
      </c>
      <c r="O4" s="57">
        <f t="shared" ref="O4" si="7">_xlfn.STDEV.P(L4:L5)</f>
        <v>3.4261445184455397E-2</v>
      </c>
    </row>
    <row r="5" spans="1:15" x14ac:dyDescent="0.2">
      <c r="A5" s="14" t="s">
        <v>64</v>
      </c>
      <c r="B5" s="58"/>
      <c r="C5" s="58"/>
      <c r="D5" s="12">
        <v>13.2728</v>
      </c>
      <c r="E5" s="12">
        <v>18.6142</v>
      </c>
      <c r="F5" s="12">
        <v>13.8881</v>
      </c>
      <c r="G5" s="12">
        <v>13.480399999999999</v>
      </c>
      <c r="H5" s="12">
        <f t="shared" si="1"/>
        <v>115.19451829108463</v>
      </c>
      <c r="I5" s="56"/>
      <c r="J5" s="56"/>
      <c r="K5" s="12">
        <f t="shared" si="2"/>
        <v>0.40770000000000017</v>
      </c>
      <c r="L5" s="12">
        <f t="shared" si="3"/>
        <v>76.328303441045449</v>
      </c>
      <c r="M5" s="12">
        <f t="shared" si="0"/>
        <v>66.260360799610027</v>
      </c>
      <c r="N5" s="57"/>
      <c r="O5" s="57"/>
    </row>
    <row r="6" spans="1:15" x14ac:dyDescent="0.2">
      <c r="A6" s="14" t="s">
        <v>64</v>
      </c>
      <c r="B6" s="58" t="s">
        <v>37</v>
      </c>
      <c r="C6" s="58" t="s">
        <v>127</v>
      </c>
      <c r="D6" s="12">
        <v>14.781499999999999</v>
      </c>
      <c r="E6" s="12">
        <v>19.194500000000001</v>
      </c>
      <c r="F6" s="12">
        <v>15.3339</v>
      </c>
      <c r="G6" s="12">
        <v>14.9689</v>
      </c>
      <c r="H6" s="12">
        <f t="shared" si="1"/>
        <v>125.17561749376846</v>
      </c>
      <c r="I6" s="56">
        <f t="shared" ref="I6" si="8">AVERAGE(H6:H7)</f>
        <v>125.37601455213843</v>
      </c>
      <c r="J6" s="56">
        <f t="shared" ref="J6" si="9">_xlfn.STDEV.P(H6:H7)</f>
        <v>0.20039705836997967</v>
      </c>
      <c r="K6" s="12">
        <f t="shared" si="2"/>
        <v>0.36500000000000021</v>
      </c>
      <c r="L6" s="12">
        <f t="shared" si="3"/>
        <v>82.71017448447769</v>
      </c>
      <c r="M6" s="12">
        <f t="shared" si="0"/>
        <v>66.075307748008669</v>
      </c>
      <c r="N6" s="57">
        <f t="shared" ref="N6" si="10">AVERAGE(L6:L7)</f>
        <v>83.028929157169031</v>
      </c>
      <c r="O6" s="57">
        <f t="shared" ref="O6" si="11">_xlfn.STDEV.P(L6:L7)</f>
        <v>0.31875467269134106</v>
      </c>
    </row>
    <row r="7" spans="1:15" x14ac:dyDescent="0.2">
      <c r="A7" s="14" t="s">
        <v>64</v>
      </c>
      <c r="B7" s="58"/>
      <c r="C7" s="58"/>
      <c r="D7" s="12">
        <v>14.6723</v>
      </c>
      <c r="E7" s="12">
        <v>19.898599999999998</v>
      </c>
      <c r="F7" s="12">
        <v>15.3286</v>
      </c>
      <c r="G7" s="12">
        <v>14.893000000000001</v>
      </c>
      <c r="H7" s="12">
        <f t="shared" si="1"/>
        <v>125.57641161050842</v>
      </c>
      <c r="I7" s="56"/>
      <c r="J7" s="56"/>
      <c r="K7" s="12">
        <f t="shared" si="2"/>
        <v>0.4355999999999991</v>
      </c>
      <c r="L7" s="12">
        <f t="shared" si="3"/>
        <v>83.347683829860372</v>
      </c>
      <c r="M7" s="12">
        <f t="shared" si="0"/>
        <v>66.372085936309489</v>
      </c>
      <c r="N7" s="57"/>
      <c r="O7" s="57"/>
    </row>
    <row r="8" spans="1:15" x14ac:dyDescent="0.2">
      <c r="A8" s="14" t="s">
        <v>64</v>
      </c>
      <c r="B8" s="58" t="s">
        <v>65</v>
      </c>
      <c r="C8" s="58" t="s">
        <v>128</v>
      </c>
      <c r="D8" s="12">
        <v>14.9718</v>
      </c>
      <c r="E8" s="12">
        <v>19.096</v>
      </c>
      <c r="F8" s="12">
        <v>15.5</v>
      </c>
      <c r="G8" s="12">
        <v>15.1509</v>
      </c>
      <c r="H8" s="12">
        <f t="shared" si="1"/>
        <v>128.07332331118761</v>
      </c>
      <c r="I8" s="56">
        <f t="shared" ref="I8" si="12">AVERAGE(H8:H9)</f>
        <v>128.20851634533855</v>
      </c>
      <c r="J8" s="56">
        <f t="shared" ref="J8" si="13">_xlfn.STDEV.P(H8:H9)</f>
        <v>0.13519303415094441</v>
      </c>
      <c r="K8" s="12">
        <f t="shared" si="2"/>
        <v>0.34909999999999997</v>
      </c>
      <c r="L8" s="12">
        <f t="shared" si="3"/>
        <v>84.646719363755381</v>
      </c>
      <c r="M8" s="12">
        <f t="shared" si="0"/>
        <v>66.092389246497547</v>
      </c>
      <c r="N8" s="57">
        <f t="shared" ref="N8" si="14">AVERAGE(L8:L9)</f>
        <v>84.830942177145744</v>
      </c>
      <c r="O8" s="57">
        <f t="shared" ref="O8" si="15">_xlfn.STDEV.P(L8:L9)</f>
        <v>0.18422281339036317</v>
      </c>
    </row>
    <row r="9" spans="1:15" x14ac:dyDescent="0.2">
      <c r="A9" s="14" t="s">
        <v>64</v>
      </c>
      <c r="B9" s="58"/>
      <c r="C9" s="58"/>
      <c r="D9" s="12">
        <v>14.6531</v>
      </c>
      <c r="E9" s="12">
        <v>19.0382</v>
      </c>
      <c r="F9" s="12">
        <v>15.2159</v>
      </c>
      <c r="G9" s="12">
        <v>14.8431</v>
      </c>
      <c r="H9" s="12">
        <f t="shared" si="1"/>
        <v>128.3437093794895</v>
      </c>
      <c r="I9" s="56"/>
      <c r="J9" s="56"/>
      <c r="K9" s="12">
        <f t="shared" si="2"/>
        <v>0.3727999999999998</v>
      </c>
      <c r="L9" s="12">
        <f t="shared" si="3"/>
        <v>85.015164990536107</v>
      </c>
      <c r="M9" s="12">
        <f t="shared" si="0"/>
        <v>66.240227434257335</v>
      </c>
      <c r="N9" s="57"/>
      <c r="O9" s="57"/>
    </row>
    <row r="10" spans="1:15" x14ac:dyDescent="0.2">
      <c r="A10" s="14" t="s">
        <v>64</v>
      </c>
      <c r="B10" s="58" t="s">
        <v>66</v>
      </c>
      <c r="C10" s="58" t="s">
        <v>129</v>
      </c>
      <c r="D10" s="12">
        <v>14.847</v>
      </c>
      <c r="E10" s="12">
        <v>18.6447</v>
      </c>
      <c r="F10" s="12">
        <v>15.3261</v>
      </c>
      <c r="G10" s="12">
        <v>15.005599999999999</v>
      </c>
      <c r="H10" s="12">
        <f t="shared" si="1"/>
        <v>126.15530452642406</v>
      </c>
      <c r="I10" s="56">
        <f t="shared" ref="I10" si="16">AVERAGE(H10:H11)</f>
        <v>126.31702544070885</v>
      </c>
      <c r="J10" s="56">
        <f t="shared" ref="J10" si="17">_xlfn.STDEV.P(H10:H11)</f>
        <v>0.16172091428477842</v>
      </c>
      <c r="K10" s="12">
        <f t="shared" si="2"/>
        <v>0.3205000000000009</v>
      </c>
      <c r="L10" s="12">
        <f t="shared" si="3"/>
        <v>84.393185349027263</v>
      </c>
      <c r="M10" s="12">
        <f t="shared" si="0"/>
        <v>66.896263828010945</v>
      </c>
      <c r="N10" s="57">
        <f t="shared" ref="N10" si="18">AVERAGE(L10:L11)</f>
        <v>84.383833375302913</v>
      </c>
      <c r="O10" s="57">
        <f t="shared" ref="O10" si="19">_xlfn.STDEV.P(L10:L11)</f>
        <v>9.3519737243568102E-3</v>
      </c>
    </row>
    <row r="11" spans="1:15" x14ac:dyDescent="0.2">
      <c r="A11" s="14" t="s">
        <v>64</v>
      </c>
      <c r="B11" s="58"/>
      <c r="C11" s="58"/>
      <c r="D11" s="12">
        <v>15.779500000000001</v>
      </c>
      <c r="E11" s="12">
        <v>19.997599999999998</v>
      </c>
      <c r="F11" s="12">
        <v>16.312999999999999</v>
      </c>
      <c r="G11" s="12">
        <v>15.957100000000001</v>
      </c>
      <c r="H11" s="12">
        <f t="shared" si="1"/>
        <v>126.47874635499362</v>
      </c>
      <c r="I11" s="56"/>
      <c r="J11" s="56"/>
      <c r="K11" s="12">
        <f t="shared" si="2"/>
        <v>0.35589999999999833</v>
      </c>
      <c r="L11" s="12">
        <f t="shared" si="3"/>
        <v>84.374481401578549</v>
      </c>
      <c r="M11" s="12">
        <f t="shared" si="0"/>
        <v>66.710402999062694</v>
      </c>
      <c r="N11" s="57"/>
      <c r="O11" s="57"/>
    </row>
    <row r="12" spans="1:15" x14ac:dyDescent="0.2">
      <c r="A12" s="14" t="s">
        <v>64</v>
      </c>
      <c r="B12" s="58" t="s">
        <v>109</v>
      </c>
      <c r="C12" s="58" t="s">
        <v>130</v>
      </c>
      <c r="D12" s="12">
        <v>13.7788</v>
      </c>
      <c r="E12" s="12">
        <v>17.78</v>
      </c>
      <c r="F12" s="12">
        <v>14.269500000000001</v>
      </c>
      <c r="G12" s="12">
        <v>13.9404</v>
      </c>
      <c r="H12" s="12">
        <f t="shared" si="1"/>
        <v>122.63820853743883</v>
      </c>
      <c r="I12" s="56">
        <f t="shared" ref="I12" si="20">AVERAGE(H12:H13)</f>
        <v>122.8124534676486</v>
      </c>
      <c r="J12" s="56">
        <f t="shared" ref="J12" si="21">_xlfn.STDEV.P(H12:H13)</f>
        <v>0.17424493020975973</v>
      </c>
      <c r="K12" s="12">
        <f t="shared" si="2"/>
        <v>0.32910000000000039</v>
      </c>
      <c r="L12" s="12">
        <f t="shared" si="3"/>
        <v>82.250324902529329</v>
      </c>
      <c r="M12" s="12">
        <f t="shared" si="0"/>
        <v>67.067454656613052</v>
      </c>
      <c r="N12" s="57">
        <f t="shared" ref="N12" si="22">AVERAGE(L12:L13)</f>
        <v>82.198639991530825</v>
      </c>
      <c r="O12" s="57">
        <f t="shared" ref="O12" si="23">_xlfn.STDEV.P(L12:L13)</f>
        <v>5.1684910998496036E-2</v>
      </c>
    </row>
    <row r="13" spans="1:15" x14ac:dyDescent="0.2">
      <c r="A13" s="14" t="s">
        <v>64</v>
      </c>
      <c r="B13" s="58"/>
      <c r="C13" s="58"/>
      <c r="D13" s="12">
        <v>14.2982</v>
      </c>
      <c r="E13" s="12">
        <v>19.0044</v>
      </c>
      <c r="F13" s="12">
        <v>14.877000000000001</v>
      </c>
      <c r="G13" s="12">
        <v>14.490399999999999</v>
      </c>
      <c r="H13" s="12">
        <f t="shared" si="1"/>
        <v>122.98669839785835</v>
      </c>
      <c r="I13" s="56"/>
      <c r="J13" s="56"/>
      <c r="K13" s="12">
        <f t="shared" si="2"/>
        <v>0.38660000000000139</v>
      </c>
      <c r="L13" s="12">
        <f t="shared" si="3"/>
        <v>82.146955080532337</v>
      </c>
      <c r="M13" s="12">
        <f t="shared" si="0"/>
        <v>66.793365583966931</v>
      </c>
      <c r="N13" s="57"/>
      <c r="O13" s="57"/>
    </row>
    <row r="14" spans="1:15" x14ac:dyDescent="0.2">
      <c r="A14" s="14" t="s">
        <v>64</v>
      </c>
      <c r="B14" s="58" t="s">
        <v>110</v>
      </c>
      <c r="C14" s="58" t="s">
        <v>131</v>
      </c>
      <c r="D14" s="12">
        <v>14.181699999999999</v>
      </c>
      <c r="E14" s="12">
        <v>19.046600000000002</v>
      </c>
      <c r="F14" s="12">
        <v>14.9016</v>
      </c>
      <c r="G14" s="12">
        <v>14.4199</v>
      </c>
      <c r="H14" s="12">
        <f t="shared" si="1"/>
        <v>147.97837571173108</v>
      </c>
      <c r="I14" s="56">
        <f t="shared" ref="I14" si="24">AVERAGE(H14:H15)</f>
        <v>147.88093293298272</v>
      </c>
      <c r="J14" s="56">
        <f t="shared" ref="J14" si="25">_xlfn.STDEV.P(H14:H15)</f>
        <v>9.744277874835916E-2</v>
      </c>
      <c r="K14" s="12">
        <f t="shared" si="2"/>
        <v>0.48170000000000002</v>
      </c>
      <c r="L14" s="12">
        <f t="shared" si="3"/>
        <v>99.015395999917743</v>
      </c>
      <c r="M14" s="12">
        <f t="shared" si="0"/>
        <v>66.912071120988955</v>
      </c>
      <c r="N14" s="57">
        <f t="shared" ref="N14" si="26">AVERAGE(L14:L15)</f>
        <v>98.979033726023403</v>
      </c>
      <c r="O14" s="57">
        <f t="shared" ref="O14" si="27">_xlfn.STDEV.P(L14:L15)</f>
        <v>3.6362273894333441E-2</v>
      </c>
    </row>
    <row r="15" spans="1:15" x14ac:dyDescent="0.2">
      <c r="A15" s="14" t="s">
        <v>64</v>
      </c>
      <c r="B15" s="58"/>
      <c r="C15" s="58"/>
      <c r="D15" s="12">
        <v>15.239699999999999</v>
      </c>
      <c r="E15" s="12">
        <v>19.363299999999999</v>
      </c>
      <c r="F15" s="12">
        <v>15.8491</v>
      </c>
      <c r="G15" s="12">
        <v>15.4411</v>
      </c>
      <c r="H15" s="12">
        <f t="shared" si="1"/>
        <v>147.78349015423436</v>
      </c>
      <c r="I15" s="56"/>
      <c r="J15" s="56"/>
      <c r="K15" s="12">
        <f t="shared" si="2"/>
        <v>0.40799999999999947</v>
      </c>
      <c r="L15" s="12">
        <f t="shared" si="3"/>
        <v>98.942671452129076</v>
      </c>
      <c r="M15" s="12">
        <f t="shared" si="0"/>
        <v>66.951099442073996</v>
      </c>
      <c r="N15" s="57"/>
      <c r="O15" s="57"/>
    </row>
    <row r="16" spans="1:15" x14ac:dyDescent="0.2">
      <c r="A16" s="14" t="s">
        <v>64</v>
      </c>
      <c r="B16" s="58" t="s">
        <v>106</v>
      </c>
      <c r="C16" s="58" t="s">
        <v>132</v>
      </c>
      <c r="D16" s="12">
        <v>13.908099999999999</v>
      </c>
      <c r="E16" s="12">
        <v>18.333300000000001</v>
      </c>
      <c r="F16" s="12">
        <v>14.6419</v>
      </c>
      <c r="G16" s="12">
        <v>14.1515</v>
      </c>
      <c r="H16" s="12">
        <f t="shared" si="1"/>
        <v>165.82301364910063</v>
      </c>
      <c r="I16" s="56">
        <f t="shared" ref="I16" si="28">AVERAGE(H16:H17)</f>
        <v>165.93629280667426</v>
      </c>
      <c r="J16" s="56">
        <f t="shared" ref="J16" si="29">_xlfn.STDEV.P(H16:H17)</f>
        <v>0.11327915757361495</v>
      </c>
      <c r="K16" s="12">
        <f t="shared" si="2"/>
        <v>0.49039999999999928</v>
      </c>
      <c r="L16" s="12">
        <f t="shared" si="3"/>
        <v>110.81984995028452</v>
      </c>
      <c r="M16" s="12">
        <f t="shared" si="0"/>
        <v>66.830198964295306</v>
      </c>
      <c r="N16" s="57">
        <f t="shared" ref="N16" si="30">AVERAGE(L16:L17)</f>
        <v>110.87769848173372</v>
      </c>
      <c r="O16" s="57">
        <f t="shared" ref="O16" si="31">_xlfn.STDEV.P(L16:L17)</f>
        <v>5.7848531449202767E-2</v>
      </c>
    </row>
    <row r="17" spans="1:15" x14ac:dyDescent="0.2">
      <c r="A17" s="14" t="s">
        <v>64</v>
      </c>
      <c r="B17" s="58"/>
      <c r="C17" s="58"/>
      <c r="D17" s="12">
        <v>14.5731</v>
      </c>
      <c r="E17" s="12">
        <v>18.813400000000001</v>
      </c>
      <c r="F17" s="12">
        <v>15.277200000000001</v>
      </c>
      <c r="G17" s="12">
        <v>14.806800000000001</v>
      </c>
      <c r="H17" s="12">
        <f t="shared" si="1"/>
        <v>166.04957196424786</v>
      </c>
      <c r="I17" s="56"/>
      <c r="J17" s="56"/>
      <c r="K17" s="12">
        <f t="shared" si="2"/>
        <v>0.47039999999999971</v>
      </c>
      <c r="L17" s="12">
        <f t="shared" si="3"/>
        <v>110.93554701318293</v>
      </c>
      <c r="M17" s="12">
        <f t="shared" si="0"/>
        <v>66.808691947166508</v>
      </c>
      <c r="N17" s="57"/>
      <c r="O17" s="57"/>
    </row>
    <row r="18" spans="1:15" x14ac:dyDescent="0.2">
      <c r="A18" s="14" t="s">
        <v>64</v>
      </c>
      <c r="B18" s="58" t="s">
        <v>107</v>
      </c>
      <c r="C18" s="58" t="s">
        <v>133</v>
      </c>
      <c r="D18" s="12">
        <v>13.7637</v>
      </c>
      <c r="E18" s="12">
        <v>18.772500000000001</v>
      </c>
      <c r="F18" s="12">
        <v>14.0311</v>
      </c>
      <c r="G18" s="12">
        <v>13.8126</v>
      </c>
      <c r="H18" s="12">
        <f t="shared" si="1"/>
        <v>53.386040568599313</v>
      </c>
      <c r="I18" s="56">
        <f t="shared" ref="I18" si="32">AVERAGE(H18:H19)</f>
        <v>53.380223972224414</v>
      </c>
      <c r="J18" s="56">
        <f t="shared" ref="J18" si="33">_xlfn.STDEV.P(H18:H19)</f>
        <v>5.8165963748955107E-3</v>
      </c>
      <c r="K18" s="12">
        <f t="shared" si="2"/>
        <v>0.21850000000000058</v>
      </c>
      <c r="L18" s="12">
        <f t="shared" si="3"/>
        <v>43.623223127296065</v>
      </c>
      <c r="M18" s="12">
        <f t="shared" si="0"/>
        <v>81.712789827973197</v>
      </c>
      <c r="N18" s="57">
        <f t="shared" ref="N18" si="34">AVERAGE(L18:L19)</f>
        <v>43.69227836140211</v>
      </c>
      <c r="O18" s="57">
        <f t="shared" ref="O18" si="35">_xlfn.STDEV.P(L18:L19)</f>
        <v>6.9055234106045305E-2</v>
      </c>
    </row>
    <row r="19" spans="1:15" x14ac:dyDescent="0.2">
      <c r="A19" s="14" t="s">
        <v>64</v>
      </c>
      <c r="B19" s="58"/>
      <c r="C19" s="58"/>
      <c r="D19" s="12">
        <v>13.757</v>
      </c>
      <c r="E19" s="12">
        <v>18.334099999999999</v>
      </c>
      <c r="F19" s="12">
        <v>14.001300000000001</v>
      </c>
      <c r="G19" s="12">
        <v>13.801</v>
      </c>
      <c r="H19" s="12">
        <f t="shared" si="1"/>
        <v>53.374407375849522</v>
      </c>
      <c r="I19" s="56"/>
      <c r="J19" s="56"/>
      <c r="K19" s="12">
        <f t="shared" si="2"/>
        <v>0.20030000000000037</v>
      </c>
      <c r="L19" s="12">
        <f t="shared" si="3"/>
        <v>43.761333595508155</v>
      </c>
      <c r="M19" s="12">
        <f t="shared" si="0"/>
        <v>81.989357347523409</v>
      </c>
      <c r="N19" s="57"/>
      <c r="O19" s="57"/>
    </row>
    <row r="20" spans="1:15" x14ac:dyDescent="0.2">
      <c r="A20" s="14" t="s">
        <v>64</v>
      </c>
      <c r="B20" s="58" t="s">
        <v>108</v>
      </c>
      <c r="C20" s="58" t="s">
        <v>134</v>
      </c>
      <c r="D20" s="12">
        <v>14.111800000000001</v>
      </c>
      <c r="E20" s="12">
        <v>18.07</v>
      </c>
      <c r="F20" s="12">
        <v>14.324</v>
      </c>
      <c r="G20" s="12">
        <v>14.144299999999999</v>
      </c>
      <c r="H20" s="12">
        <f t="shared" si="1"/>
        <v>53.610226870799679</v>
      </c>
      <c r="I20" s="56">
        <f t="shared" ref="I20" si="36">AVERAGE(H20:H21)</f>
        <v>55.136511402079989</v>
      </c>
      <c r="J20" s="56">
        <f t="shared" ref="J20" si="37">_xlfn.STDEV.P(H20:H21)</f>
        <v>1.5262845312803108</v>
      </c>
      <c r="K20" s="12">
        <f t="shared" si="2"/>
        <v>0.17970000000000041</v>
      </c>
      <c r="L20" s="12">
        <f t="shared" si="3"/>
        <v>45.399423980597348</v>
      </c>
      <c r="M20" s="12">
        <f t="shared" si="0"/>
        <v>84.684260131951476</v>
      </c>
      <c r="N20" s="57">
        <f t="shared" ref="N20" si="38">AVERAGE(L20:L21)</f>
        <v>46.729856313354794</v>
      </c>
      <c r="O20" s="57">
        <f t="shared" ref="O20" si="39">_xlfn.STDEV.P(L20:L21)</f>
        <v>1.3304323327574465</v>
      </c>
    </row>
    <row r="21" spans="1:15" x14ac:dyDescent="0.2">
      <c r="A21" s="14" t="s">
        <v>64</v>
      </c>
      <c r="B21" s="58"/>
      <c r="C21" s="58"/>
      <c r="D21" s="12">
        <v>14.375999999999999</v>
      </c>
      <c r="E21" s="12">
        <v>18.595700000000001</v>
      </c>
      <c r="F21" s="12">
        <v>14.6151</v>
      </c>
      <c r="G21" s="12">
        <v>14.4123</v>
      </c>
      <c r="H21" s="12">
        <f t="shared" si="1"/>
        <v>56.6627959333603</v>
      </c>
      <c r="I21" s="56"/>
      <c r="J21" s="56"/>
      <c r="K21" s="12">
        <f t="shared" si="2"/>
        <v>0.20279999999999987</v>
      </c>
      <c r="L21" s="12">
        <f t="shared" si="3"/>
        <v>48.060288646112241</v>
      </c>
      <c r="M21" s="12">
        <f t="shared" si="0"/>
        <v>84.818067754077546</v>
      </c>
      <c r="N21" s="57"/>
      <c r="O21" s="57"/>
    </row>
    <row r="22" spans="1:15" x14ac:dyDescent="0.2">
      <c r="A22" s="14" t="s">
        <v>64</v>
      </c>
      <c r="B22" s="58" t="s">
        <v>67</v>
      </c>
      <c r="C22" s="58" t="s">
        <v>73</v>
      </c>
      <c r="D22" s="12">
        <v>15.4328</v>
      </c>
      <c r="E22" s="12">
        <v>19.459</v>
      </c>
      <c r="F22" s="12">
        <v>15.6722</v>
      </c>
      <c r="G22" s="12">
        <v>15.535600000000001</v>
      </c>
      <c r="H22" s="12">
        <f t="shared" si="1"/>
        <v>59.460533505538692</v>
      </c>
      <c r="I22" s="56">
        <f t="shared" ref="I22" si="40">AVERAGE(H22:H23)</f>
        <v>59.462159509872308</v>
      </c>
      <c r="J22" s="56">
        <f t="shared" ref="J22" si="41">_xlfn.STDEV.P(H22:H23)</f>
        <v>1.6260043336124852E-3</v>
      </c>
      <c r="K22" s="12">
        <f t="shared" si="2"/>
        <v>0.13659999999999961</v>
      </c>
      <c r="L22" s="12">
        <f t="shared" si="3"/>
        <v>33.927773086284745</v>
      </c>
      <c r="M22" s="12">
        <f t="shared" si="0"/>
        <v>57.059314954051679</v>
      </c>
      <c r="N22" s="57">
        <f t="shared" ref="N22" si="42">AVERAGE(L22:L23)</f>
        <v>33.930673257828268</v>
      </c>
      <c r="O22" s="57">
        <f t="shared" ref="O22" si="43">_xlfn.STDEV.P(L22:L23)</f>
        <v>2.9001715435228448E-3</v>
      </c>
    </row>
    <row r="23" spans="1:15" x14ac:dyDescent="0.2">
      <c r="A23" s="14" t="s">
        <v>64</v>
      </c>
      <c r="B23" s="58"/>
      <c r="C23" s="58"/>
      <c r="D23" s="12">
        <v>14.9338</v>
      </c>
      <c r="E23" s="12">
        <v>18.682300000000001</v>
      </c>
      <c r="F23" s="12">
        <v>15.156700000000001</v>
      </c>
      <c r="G23" s="12">
        <v>15.029500000000001</v>
      </c>
      <c r="H23" s="12">
        <f t="shared" si="1"/>
        <v>59.463785514205917</v>
      </c>
      <c r="I23" s="56"/>
      <c r="J23" s="56"/>
      <c r="K23" s="12">
        <f t="shared" si="2"/>
        <v>0.1272000000000002</v>
      </c>
      <c r="L23" s="12">
        <f t="shared" si="3"/>
        <v>33.933573429371791</v>
      </c>
      <c r="M23" s="12">
        <f t="shared" si="0"/>
        <v>57.065948855989078</v>
      </c>
      <c r="N23" s="57"/>
      <c r="O23" s="57"/>
    </row>
    <row r="24" spans="1:15" x14ac:dyDescent="0.2">
      <c r="A24" s="14"/>
      <c r="C24" s="55"/>
    </row>
    <row r="25" spans="1:15" x14ac:dyDescent="0.2">
      <c r="A25" s="14"/>
      <c r="C25" s="56"/>
    </row>
    <row r="26" spans="1:15" x14ac:dyDescent="0.2">
      <c r="A26" s="14"/>
      <c r="B26" s="50"/>
    </row>
    <row r="27" spans="1:15" x14ac:dyDescent="0.2">
      <c r="A27" s="14"/>
      <c r="C27" s="59"/>
      <c r="D27" s="59"/>
      <c r="E27" s="59"/>
      <c r="F27" s="59"/>
      <c r="G27" s="26"/>
    </row>
    <row r="28" spans="1:15" x14ac:dyDescent="0.2">
      <c r="A28" s="14"/>
      <c r="C28" s="14"/>
      <c r="D28" s="14"/>
      <c r="E28" s="26"/>
      <c r="F28" s="26"/>
      <c r="G28" s="26"/>
    </row>
    <row r="29" spans="1:15" x14ac:dyDescent="0.2">
      <c r="B29" s="24"/>
      <c r="E29" s="3"/>
      <c r="F29" s="3"/>
      <c r="G29" s="3"/>
    </row>
    <row r="30" spans="1:15" x14ac:dyDescent="0.2">
      <c r="B30" s="24"/>
      <c r="E30" s="3"/>
      <c r="F30" s="3"/>
      <c r="G30" s="3"/>
    </row>
    <row r="31" spans="1:15" x14ac:dyDescent="0.2">
      <c r="B31" s="24"/>
      <c r="E31" s="3"/>
      <c r="F31" s="3"/>
      <c r="G31" s="3"/>
    </row>
    <row r="32" spans="1:15" x14ac:dyDescent="0.2">
      <c r="B32" s="24"/>
      <c r="E32" s="3"/>
      <c r="F32" s="3"/>
      <c r="G32" s="3"/>
    </row>
    <row r="33" spans="1:15" x14ac:dyDescent="0.2">
      <c r="B33" s="24"/>
      <c r="E33" s="3"/>
      <c r="F33" s="3"/>
      <c r="G33" s="3"/>
    </row>
    <row r="34" spans="1:15" x14ac:dyDescent="0.2">
      <c r="B34" s="24"/>
      <c r="E34" s="3"/>
      <c r="F34" s="3"/>
      <c r="G34" s="3"/>
    </row>
    <row r="35" spans="1:15" x14ac:dyDescent="0.2">
      <c r="B35" s="24"/>
      <c r="E35" s="3"/>
      <c r="F35" s="3"/>
      <c r="G35" s="3"/>
    </row>
    <row r="36" spans="1:15" x14ac:dyDescent="0.2">
      <c r="B36" s="24"/>
      <c r="E36" s="3"/>
      <c r="F36" s="3"/>
      <c r="G36" s="3"/>
    </row>
    <row r="37" spans="1:15" x14ac:dyDescent="0.2">
      <c r="B37" s="24"/>
      <c r="E37" s="3"/>
      <c r="F37" s="3"/>
      <c r="G37" s="3"/>
    </row>
    <row r="38" spans="1:15" x14ac:dyDescent="0.2">
      <c r="B38" s="24"/>
      <c r="E38" s="3"/>
      <c r="F38" s="3"/>
      <c r="G38" s="3"/>
    </row>
    <row r="39" spans="1:15" x14ac:dyDescent="0.2">
      <c r="B39" s="24"/>
      <c r="E39" s="3"/>
      <c r="F39" s="3"/>
      <c r="G39" s="3"/>
    </row>
    <row r="40" spans="1:15" x14ac:dyDescent="0.2">
      <c r="B40" s="25"/>
    </row>
    <row r="44" spans="1:15" x14ac:dyDescent="0.2">
      <c r="C44" s="14"/>
      <c r="F44" s="13"/>
      <c r="I44" s="14"/>
      <c r="J44" s="14"/>
      <c r="L44" s="13"/>
      <c r="M44" s="13"/>
      <c r="N44" s="13"/>
      <c r="O44" s="15"/>
    </row>
    <row r="45" spans="1:15" x14ac:dyDescent="0.2">
      <c r="A45" s="14"/>
      <c r="B45" s="58"/>
      <c r="C45" s="58"/>
      <c r="I45" s="56"/>
      <c r="J45" s="56"/>
      <c r="N45" s="57"/>
      <c r="O45" s="57"/>
    </row>
    <row r="46" spans="1:15" x14ac:dyDescent="0.2">
      <c r="A46" s="14"/>
      <c r="B46" s="58"/>
      <c r="C46" s="58"/>
      <c r="I46" s="56"/>
      <c r="J46" s="56"/>
      <c r="N46" s="57"/>
      <c r="O46" s="57"/>
    </row>
    <row r="47" spans="1:15" x14ac:dyDescent="0.2">
      <c r="A47" s="14"/>
      <c r="B47" s="58"/>
      <c r="C47" s="58"/>
      <c r="I47" s="56"/>
      <c r="J47" s="56"/>
      <c r="N47" s="57"/>
      <c r="O47" s="57"/>
    </row>
    <row r="48" spans="1:15" x14ac:dyDescent="0.2">
      <c r="A48" s="14"/>
      <c r="B48" s="58"/>
      <c r="C48" s="58"/>
      <c r="I48" s="56"/>
      <c r="J48" s="56"/>
      <c r="N48" s="57"/>
      <c r="O48" s="57"/>
    </row>
    <row r="49" spans="1:15" x14ac:dyDescent="0.2">
      <c r="A49" s="14"/>
      <c r="B49" s="58"/>
      <c r="C49" s="58"/>
      <c r="I49" s="56"/>
      <c r="J49" s="56"/>
      <c r="N49" s="57"/>
      <c r="O49" s="57"/>
    </row>
    <row r="50" spans="1:15" x14ac:dyDescent="0.2">
      <c r="A50" s="14"/>
      <c r="B50" s="58"/>
      <c r="C50" s="58"/>
      <c r="I50" s="56"/>
      <c r="J50" s="56"/>
      <c r="N50" s="57"/>
      <c r="O50" s="57"/>
    </row>
    <row r="51" spans="1:15" x14ac:dyDescent="0.2">
      <c r="A51" s="14"/>
      <c r="B51" s="58"/>
      <c r="C51" s="58"/>
      <c r="I51" s="56"/>
      <c r="J51" s="56"/>
      <c r="N51" s="57"/>
      <c r="O51" s="57"/>
    </row>
    <row r="52" spans="1:15" x14ac:dyDescent="0.2">
      <c r="A52" s="14"/>
      <c r="B52" s="58"/>
      <c r="C52" s="58"/>
      <c r="I52" s="56"/>
      <c r="J52" s="56"/>
      <c r="N52" s="57"/>
      <c r="O52" s="57"/>
    </row>
    <row r="53" spans="1:15" x14ac:dyDescent="0.2">
      <c r="A53" s="14"/>
      <c r="B53" s="58"/>
      <c r="C53" s="58"/>
      <c r="I53" s="56"/>
      <c r="J53" s="56"/>
      <c r="N53" s="57"/>
      <c r="O53" s="57"/>
    </row>
    <row r="54" spans="1:15" x14ac:dyDescent="0.2">
      <c r="A54" s="14"/>
      <c r="B54" s="58"/>
      <c r="C54" s="58"/>
      <c r="I54" s="56"/>
      <c r="J54" s="56"/>
      <c r="N54" s="57"/>
      <c r="O54" s="57"/>
    </row>
    <row r="55" spans="1:15" x14ac:dyDescent="0.2">
      <c r="A55" s="14"/>
      <c r="B55" s="58"/>
      <c r="C55" s="58"/>
      <c r="I55" s="56"/>
      <c r="J55" s="56"/>
      <c r="N55" s="57"/>
      <c r="O55" s="57"/>
    </row>
    <row r="56" spans="1:15" x14ac:dyDescent="0.2">
      <c r="A56" s="14"/>
      <c r="B56" s="58"/>
      <c r="C56" s="58"/>
      <c r="I56" s="56"/>
      <c r="J56" s="56"/>
      <c r="N56" s="57"/>
      <c r="O56" s="57"/>
    </row>
    <row r="57" spans="1:15" x14ac:dyDescent="0.2">
      <c r="A57" s="14"/>
      <c r="B57" s="58"/>
      <c r="C57" s="58"/>
      <c r="I57" s="56"/>
      <c r="J57" s="56"/>
      <c r="N57" s="57"/>
      <c r="O57" s="57"/>
    </row>
    <row r="58" spans="1:15" x14ac:dyDescent="0.2">
      <c r="A58" s="14"/>
      <c r="B58" s="58"/>
      <c r="C58" s="58"/>
      <c r="I58" s="56"/>
      <c r="J58" s="56"/>
      <c r="N58" s="57"/>
      <c r="O58" s="57"/>
    </row>
    <row r="59" spans="1:15" s="32" customFormat="1" x14ac:dyDescent="0.2">
      <c r="A59" s="31"/>
      <c r="B59" s="60"/>
      <c r="C59" s="60"/>
      <c r="H59" s="12"/>
      <c r="I59" s="56"/>
      <c r="J59" s="56"/>
      <c r="K59" s="12"/>
      <c r="L59" s="12"/>
      <c r="M59" s="12"/>
      <c r="N59" s="57"/>
      <c r="O59" s="57"/>
    </row>
    <row r="60" spans="1:15" s="32" customFormat="1" x14ac:dyDescent="0.2">
      <c r="A60" s="31"/>
      <c r="B60" s="60"/>
      <c r="C60" s="60"/>
      <c r="H60" s="12"/>
      <c r="I60" s="56"/>
      <c r="J60" s="56"/>
      <c r="K60" s="12"/>
      <c r="L60" s="12"/>
      <c r="M60" s="12"/>
      <c r="N60" s="57"/>
      <c r="O60" s="57"/>
    </row>
    <row r="61" spans="1:15" x14ac:dyDescent="0.2">
      <c r="A61" s="14"/>
      <c r="B61" s="58"/>
      <c r="C61" s="58"/>
      <c r="I61" s="56"/>
      <c r="J61" s="56"/>
      <c r="N61" s="57"/>
      <c r="O61" s="57"/>
    </row>
    <row r="62" spans="1:15" x14ac:dyDescent="0.2">
      <c r="A62" s="14"/>
      <c r="B62" s="58"/>
      <c r="C62" s="58"/>
      <c r="D62" s="42"/>
      <c r="E62" s="42"/>
      <c r="F62" s="42"/>
      <c r="G62" s="42"/>
      <c r="H62" s="42"/>
      <c r="I62" s="56"/>
      <c r="J62" s="56"/>
      <c r="N62" s="57"/>
      <c r="O62" s="57"/>
    </row>
    <row r="63" spans="1:15" x14ac:dyDescent="0.2">
      <c r="A63" s="14"/>
      <c r="B63" s="58"/>
      <c r="C63" s="58"/>
      <c r="I63" s="56"/>
      <c r="J63" s="56"/>
      <c r="N63" s="57"/>
      <c r="O63" s="57"/>
    </row>
    <row r="64" spans="1:15" x14ac:dyDescent="0.2">
      <c r="A64" s="14"/>
      <c r="B64" s="58"/>
      <c r="C64" s="58"/>
      <c r="I64" s="56"/>
      <c r="J64" s="56"/>
      <c r="N64" s="57"/>
      <c r="O64" s="57"/>
    </row>
    <row r="65" spans="1:15" x14ac:dyDescent="0.2">
      <c r="A65" s="14"/>
      <c r="B65" s="58"/>
      <c r="C65" s="58"/>
      <c r="I65" s="56"/>
      <c r="J65" s="56"/>
      <c r="N65" s="57"/>
      <c r="O65" s="57"/>
    </row>
    <row r="66" spans="1:15" x14ac:dyDescent="0.2">
      <c r="A66" s="14"/>
      <c r="B66" s="58"/>
      <c r="C66" s="58"/>
      <c r="I66" s="56"/>
      <c r="J66" s="56"/>
      <c r="N66" s="57"/>
      <c r="O66" s="57"/>
    </row>
    <row r="68" spans="1:15" x14ac:dyDescent="0.2">
      <c r="H68" s="52"/>
      <c r="I68" s="52"/>
      <c r="J68" s="52"/>
      <c r="N68" s="52"/>
      <c r="O68" s="52"/>
    </row>
    <row r="69" spans="1:15" x14ac:dyDescent="0.2">
      <c r="A69" s="52"/>
    </row>
    <row r="72" spans="1:15" x14ac:dyDescent="0.2">
      <c r="B72" s="25"/>
      <c r="C72" s="45"/>
      <c r="D72" s="45"/>
      <c r="E72" s="45"/>
      <c r="F72" s="45"/>
    </row>
    <row r="73" spans="1:15" x14ac:dyDescent="0.2">
      <c r="B73" s="25"/>
      <c r="C73" s="45"/>
      <c r="D73" s="45"/>
      <c r="E73" s="45"/>
      <c r="F73" s="45"/>
    </row>
    <row r="74" spans="1:15" x14ac:dyDescent="0.2">
      <c r="B74" s="25"/>
      <c r="C74" s="45"/>
      <c r="D74" s="45"/>
      <c r="E74" s="45"/>
      <c r="F74" s="45"/>
    </row>
    <row r="75" spans="1:15" x14ac:dyDescent="0.2">
      <c r="B75" s="25"/>
      <c r="C75" s="45"/>
      <c r="D75" s="45"/>
      <c r="E75" s="45"/>
      <c r="F75" s="45"/>
    </row>
    <row r="76" spans="1:15" x14ac:dyDescent="0.2">
      <c r="B76" s="25"/>
      <c r="C76" s="45"/>
      <c r="D76" s="45"/>
      <c r="E76" s="45"/>
      <c r="F76" s="45"/>
    </row>
    <row r="77" spans="1:15" x14ac:dyDescent="0.2">
      <c r="B77" s="25"/>
      <c r="C77" s="45"/>
      <c r="D77" s="45"/>
      <c r="E77" s="45"/>
      <c r="F77" s="45"/>
    </row>
    <row r="78" spans="1:15" x14ac:dyDescent="0.2">
      <c r="B78" s="25"/>
      <c r="C78" s="45"/>
      <c r="D78" s="45"/>
      <c r="E78" s="45"/>
      <c r="F78" s="45"/>
    </row>
    <row r="79" spans="1:15" x14ac:dyDescent="0.2">
      <c r="B79" s="25"/>
      <c r="C79" s="45"/>
      <c r="D79" s="45"/>
      <c r="E79" s="45"/>
      <c r="F79" s="45"/>
    </row>
    <row r="80" spans="1:15" x14ac:dyDescent="0.2">
      <c r="B80" s="25"/>
      <c r="C80" s="45"/>
      <c r="D80" s="45"/>
      <c r="E80" s="45"/>
      <c r="F80" s="45"/>
    </row>
    <row r="81" spans="1:6" x14ac:dyDescent="0.2">
      <c r="B81" s="25"/>
      <c r="C81" s="45"/>
      <c r="D81" s="45"/>
      <c r="E81" s="45"/>
      <c r="F81" s="45"/>
    </row>
    <row r="82" spans="1:6" x14ac:dyDescent="0.2">
      <c r="B82" s="25"/>
      <c r="C82" s="45"/>
      <c r="D82" s="45"/>
      <c r="E82" s="45"/>
      <c r="F82" s="45"/>
    </row>
    <row r="83" spans="1:6" x14ac:dyDescent="0.2">
      <c r="B83" s="25"/>
      <c r="C83" s="45"/>
    </row>
    <row r="86" spans="1:6" x14ac:dyDescent="0.2">
      <c r="A86" s="50"/>
    </row>
    <row r="88" spans="1:6" x14ac:dyDescent="0.2">
      <c r="B88" s="25"/>
      <c r="C88" s="45"/>
      <c r="D88" s="45"/>
      <c r="E88" s="45"/>
      <c r="F88" s="45"/>
    </row>
    <row r="89" spans="1:6" x14ac:dyDescent="0.2">
      <c r="B89" s="25"/>
      <c r="C89" s="45"/>
      <c r="D89" s="45"/>
      <c r="E89" s="45"/>
      <c r="F89" s="45"/>
    </row>
    <row r="90" spans="1:6" x14ac:dyDescent="0.2">
      <c r="B90" s="25"/>
      <c r="C90" s="45"/>
      <c r="D90" s="45"/>
      <c r="E90" s="45"/>
      <c r="F90" s="45"/>
    </row>
    <row r="91" spans="1:6" x14ac:dyDescent="0.2">
      <c r="B91" s="25"/>
      <c r="C91" s="45"/>
      <c r="D91" s="45"/>
      <c r="E91" s="45"/>
      <c r="F91" s="45"/>
    </row>
    <row r="92" spans="1:6" x14ac:dyDescent="0.2">
      <c r="B92" s="25"/>
      <c r="C92" s="45"/>
      <c r="D92" s="45"/>
      <c r="E92" s="45"/>
      <c r="F92" s="45"/>
    </row>
    <row r="93" spans="1:6" x14ac:dyDescent="0.2">
      <c r="B93" s="25"/>
      <c r="C93" s="45"/>
      <c r="D93" s="45"/>
      <c r="E93" s="45"/>
      <c r="F93" s="45"/>
    </row>
    <row r="94" spans="1:6" x14ac:dyDescent="0.2">
      <c r="B94" s="25"/>
      <c r="C94" s="45"/>
      <c r="D94" s="45"/>
      <c r="E94" s="45"/>
      <c r="F94" s="45"/>
    </row>
    <row r="95" spans="1:6" x14ac:dyDescent="0.2">
      <c r="B95" s="51"/>
      <c r="C95" s="45"/>
      <c r="D95" s="45"/>
      <c r="E95" s="45"/>
      <c r="F95" s="45"/>
    </row>
    <row r="96" spans="1:6" x14ac:dyDescent="0.2">
      <c r="B96" s="25"/>
      <c r="C96" s="45"/>
      <c r="D96" s="45"/>
      <c r="E96" s="45"/>
      <c r="F96" s="45"/>
    </row>
    <row r="99" spans="2:2" x14ac:dyDescent="0.2">
      <c r="B99" s="50"/>
    </row>
    <row r="100" spans="2:2" x14ac:dyDescent="0.2">
      <c r="B100" s="50"/>
    </row>
  </sheetData>
  <mergeCells count="135">
    <mergeCell ref="B63:B64"/>
    <mergeCell ref="C63:C64"/>
    <mergeCell ref="B65:B66"/>
    <mergeCell ref="C65:C66"/>
    <mergeCell ref="B57:B58"/>
    <mergeCell ref="C57:C58"/>
    <mergeCell ref="B59:B60"/>
    <mergeCell ref="C59:C60"/>
    <mergeCell ref="B61:B62"/>
    <mergeCell ref="C61:C62"/>
    <mergeCell ref="B51:B52"/>
    <mergeCell ref="C51:C52"/>
    <mergeCell ref="B53:B54"/>
    <mergeCell ref="C53:C54"/>
    <mergeCell ref="B55:B56"/>
    <mergeCell ref="C55:C56"/>
    <mergeCell ref="B45:B46"/>
    <mergeCell ref="C45:C46"/>
    <mergeCell ref="B47:B48"/>
    <mergeCell ref="C47:C48"/>
    <mergeCell ref="B49:B50"/>
    <mergeCell ref="C49:C50"/>
    <mergeCell ref="C27:D27"/>
    <mergeCell ref="E27:F27"/>
    <mergeCell ref="J22:J23"/>
    <mergeCell ref="I2:I3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J12:J13"/>
    <mergeCell ref="J14:J15"/>
    <mergeCell ref="J16:J17"/>
    <mergeCell ref="J18:J19"/>
    <mergeCell ref="J20:J21"/>
    <mergeCell ref="J2:J3"/>
    <mergeCell ref="J4:J5"/>
    <mergeCell ref="J6:J7"/>
    <mergeCell ref="J8:J9"/>
    <mergeCell ref="J10:J11"/>
    <mergeCell ref="B22:B2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B12:B13"/>
    <mergeCell ref="B14:B15"/>
    <mergeCell ref="B16:B17"/>
    <mergeCell ref="B18:B19"/>
    <mergeCell ref="B20:B21"/>
    <mergeCell ref="B2:B3"/>
    <mergeCell ref="B4:B5"/>
    <mergeCell ref="B6:B7"/>
    <mergeCell ref="B8:B9"/>
    <mergeCell ref="B10:B11"/>
    <mergeCell ref="O14:O15"/>
    <mergeCell ref="O16:O17"/>
    <mergeCell ref="O18:O19"/>
    <mergeCell ref="O20:O21"/>
    <mergeCell ref="O22:O23"/>
    <mergeCell ref="N14:N15"/>
    <mergeCell ref="N16:N17"/>
    <mergeCell ref="N18:N19"/>
    <mergeCell ref="N20:N21"/>
    <mergeCell ref="N22:N23"/>
    <mergeCell ref="O2:O3"/>
    <mergeCell ref="O4:O5"/>
    <mergeCell ref="O6:O7"/>
    <mergeCell ref="O8:O9"/>
    <mergeCell ref="O10:O11"/>
    <mergeCell ref="N12:N13"/>
    <mergeCell ref="N2:N3"/>
    <mergeCell ref="N4:N5"/>
    <mergeCell ref="N6:N7"/>
    <mergeCell ref="N8:N9"/>
    <mergeCell ref="N10:N11"/>
    <mergeCell ref="O12:O13"/>
    <mergeCell ref="I45:I46"/>
    <mergeCell ref="J45:J46"/>
    <mergeCell ref="N45:N46"/>
    <mergeCell ref="O45:O46"/>
    <mergeCell ref="I47:I48"/>
    <mergeCell ref="J47:J48"/>
    <mergeCell ref="N47:N48"/>
    <mergeCell ref="O47:O48"/>
    <mergeCell ref="I49:I50"/>
    <mergeCell ref="J49:J50"/>
    <mergeCell ref="N49:N50"/>
    <mergeCell ref="O49:O50"/>
    <mergeCell ref="I51:I52"/>
    <mergeCell ref="J51:J52"/>
    <mergeCell ref="N51:N52"/>
    <mergeCell ref="O51:O52"/>
    <mergeCell ref="O59:O60"/>
    <mergeCell ref="I53:I54"/>
    <mergeCell ref="J53:J54"/>
    <mergeCell ref="N53:N54"/>
    <mergeCell ref="O53:O54"/>
    <mergeCell ref="I55:I56"/>
    <mergeCell ref="J55:J56"/>
    <mergeCell ref="N55:N56"/>
    <mergeCell ref="O55:O56"/>
    <mergeCell ref="C24:C25"/>
    <mergeCell ref="I65:I66"/>
    <mergeCell ref="J65:J66"/>
    <mergeCell ref="N65:N66"/>
    <mergeCell ref="O65:O66"/>
    <mergeCell ref="I61:I62"/>
    <mergeCell ref="J61:J62"/>
    <mergeCell ref="N61:N62"/>
    <mergeCell ref="O61:O62"/>
    <mergeCell ref="I63:I64"/>
    <mergeCell ref="J63:J64"/>
    <mergeCell ref="N63:N64"/>
    <mergeCell ref="O63:O64"/>
    <mergeCell ref="I57:I58"/>
    <mergeCell ref="J57:J58"/>
    <mergeCell ref="N57:N58"/>
    <mergeCell ref="O57:O58"/>
    <mergeCell ref="I59:I60"/>
    <mergeCell ref="J59:J60"/>
    <mergeCell ref="N59:N60"/>
  </mergeCells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N76"/>
  <sheetViews>
    <sheetView topLeftCell="B10" workbookViewId="0">
      <selection activeCell="J18" sqref="J18"/>
    </sheetView>
  </sheetViews>
  <sheetFormatPr defaultRowHeight="12.75" x14ac:dyDescent="0.2"/>
  <cols>
    <col min="1" max="1" width="13.625" style="19" bestFit="1" customWidth="1"/>
    <col min="2" max="2" width="9" style="12"/>
    <col min="3" max="3" width="9.5" style="12" bestFit="1" customWidth="1"/>
    <col min="4" max="6" width="13.625" style="12" customWidth="1"/>
    <col min="7" max="7" width="9.5" style="12" bestFit="1" customWidth="1"/>
    <col min="8" max="13" width="9" style="12"/>
    <col min="14" max="14" width="9.5" style="12" bestFit="1" customWidth="1"/>
    <col min="15" max="16384" width="9" style="12"/>
  </cols>
  <sheetData>
    <row r="1" spans="2:7" x14ac:dyDescent="0.2">
      <c r="B1" s="21" t="s">
        <v>136</v>
      </c>
    </row>
    <row r="2" spans="2:7" x14ac:dyDescent="0.2">
      <c r="B2" s="14" t="s">
        <v>68</v>
      </c>
      <c r="C2" s="14" t="s">
        <v>69</v>
      </c>
      <c r="D2" s="14" t="s">
        <v>80</v>
      </c>
      <c r="E2" s="50" t="s">
        <v>81</v>
      </c>
      <c r="F2" s="14" t="s">
        <v>81</v>
      </c>
      <c r="G2" s="12" t="s">
        <v>82</v>
      </c>
    </row>
    <row r="3" spans="2:7" x14ac:dyDescent="0.2">
      <c r="B3" s="14"/>
      <c r="C3" s="14" t="s">
        <v>74</v>
      </c>
      <c r="D3" s="14" t="s">
        <v>75</v>
      </c>
      <c r="E3" s="14" t="s">
        <v>75</v>
      </c>
      <c r="F3" s="14" t="s">
        <v>75</v>
      </c>
      <c r="G3" s="12" t="s">
        <v>75</v>
      </c>
    </row>
    <row r="4" spans="2:7" x14ac:dyDescent="0.2">
      <c r="B4" s="14" t="s">
        <v>35</v>
      </c>
      <c r="C4" s="12">
        <f>DMVS!N2</f>
        <v>32.360064309360915</v>
      </c>
      <c r="D4" s="12">
        <v>60</v>
      </c>
      <c r="E4" s="12" t="e">
        <f>#REF!</f>
        <v>#REF!</v>
      </c>
      <c r="F4" s="12" t="e">
        <f>E4/C4*1000</f>
        <v>#REF!</v>
      </c>
      <c r="G4" s="12" t="e">
        <f>SUM(F4,D4)</f>
        <v>#REF!</v>
      </c>
    </row>
    <row r="5" spans="2:7" x14ac:dyDescent="0.2">
      <c r="B5" s="14" t="s">
        <v>36</v>
      </c>
      <c r="C5" s="12">
        <f>DMVS!N4</f>
        <v>76.294041995860994</v>
      </c>
      <c r="D5" s="12">
        <v>100</v>
      </c>
      <c r="E5" s="12" t="e">
        <f>#REF!</f>
        <v>#REF!</v>
      </c>
      <c r="F5" s="12" t="e">
        <f>E5/C5*1000</f>
        <v>#REF!</v>
      </c>
      <c r="G5" s="12" t="e">
        <f>SUM(F5,D5)</f>
        <v>#REF!</v>
      </c>
    </row>
    <row r="6" spans="2:7" x14ac:dyDescent="0.2">
      <c r="B6" s="14" t="s">
        <v>37</v>
      </c>
      <c r="C6" s="12">
        <f>DMVS!N6</f>
        <v>83.028929157169031</v>
      </c>
      <c r="D6" s="12">
        <v>100</v>
      </c>
      <c r="E6" s="12" t="e">
        <f>#REF!</f>
        <v>#REF!</v>
      </c>
      <c r="F6" s="12" t="e">
        <f>E6/C6*1000</f>
        <v>#REF!</v>
      </c>
      <c r="G6" s="12" t="e">
        <f>SUM(F6,D6)</f>
        <v>#REF!</v>
      </c>
    </row>
    <row r="7" spans="2:7" x14ac:dyDescent="0.2">
      <c r="B7" s="14" t="s">
        <v>65</v>
      </c>
      <c r="C7" s="12">
        <f>DMVS!N8</f>
        <v>84.830942177145744</v>
      </c>
      <c r="D7" s="12">
        <v>100</v>
      </c>
      <c r="E7" s="12" t="e">
        <f>#REF!</f>
        <v>#REF!</v>
      </c>
      <c r="F7" s="12" t="e">
        <f>E7/C7*1000</f>
        <v>#REF!</v>
      </c>
      <c r="G7" s="12" t="e">
        <f>SUM(F7,D7)</f>
        <v>#REF!</v>
      </c>
    </row>
    <row r="8" spans="2:7" x14ac:dyDescent="0.2">
      <c r="B8" s="14" t="s">
        <v>66</v>
      </c>
      <c r="C8" s="12">
        <f>DMVS!N10</f>
        <v>84.383833375302913</v>
      </c>
      <c r="D8" s="12">
        <v>100</v>
      </c>
      <c r="E8" s="12" t="e">
        <f>#REF!</f>
        <v>#REF!</v>
      </c>
      <c r="F8" s="12" t="e">
        <f>E8/C8*1000</f>
        <v>#REF!</v>
      </c>
      <c r="G8" s="12" t="e">
        <f>SUM(F8,D8)</f>
        <v>#REF!</v>
      </c>
    </row>
    <row r="9" spans="2:7" x14ac:dyDescent="0.2">
      <c r="B9" s="14" t="s">
        <v>109</v>
      </c>
      <c r="C9" s="12">
        <f>DMVS!N12</f>
        <v>82.198639991530825</v>
      </c>
      <c r="D9" s="12">
        <v>100</v>
      </c>
      <c r="E9" s="12" t="e">
        <f>#REF!</f>
        <v>#REF!</v>
      </c>
      <c r="F9" s="12" t="e">
        <f>E9/C9*1000</f>
        <v>#REF!</v>
      </c>
      <c r="G9" s="12" t="e">
        <f>SUM(F9,D9)</f>
        <v>#REF!</v>
      </c>
    </row>
    <row r="10" spans="2:7" x14ac:dyDescent="0.2">
      <c r="B10" s="14" t="s">
        <v>110</v>
      </c>
      <c r="C10" s="12">
        <f>DMVS!N14</f>
        <v>98.979033726023403</v>
      </c>
      <c r="D10" s="12">
        <v>100</v>
      </c>
      <c r="E10" s="12" t="e">
        <f>#REF!</f>
        <v>#REF!</v>
      </c>
      <c r="F10" s="12" t="e">
        <f>E10/C10*1000</f>
        <v>#REF!</v>
      </c>
      <c r="G10" s="12" t="e">
        <f>SUM(F10,D10)</f>
        <v>#REF!</v>
      </c>
    </row>
    <row r="11" spans="2:7" x14ac:dyDescent="0.2">
      <c r="B11" s="14" t="s">
        <v>106</v>
      </c>
      <c r="C11" s="12">
        <f>DMVS!N16</f>
        <v>110.87769848173372</v>
      </c>
      <c r="D11" s="12">
        <v>100</v>
      </c>
      <c r="E11" s="12" t="e">
        <f>#REF!</f>
        <v>#REF!</v>
      </c>
      <c r="F11" s="12" t="e">
        <f>E11/C11*1000</f>
        <v>#REF!</v>
      </c>
      <c r="G11" s="12" t="e">
        <f>SUM(F11,D11)</f>
        <v>#REF!</v>
      </c>
    </row>
    <row r="12" spans="2:7" x14ac:dyDescent="0.2">
      <c r="B12" s="14" t="s">
        <v>107</v>
      </c>
      <c r="C12" s="12">
        <f>DMVS!N18</f>
        <v>43.69227836140211</v>
      </c>
      <c r="D12" s="12">
        <v>40</v>
      </c>
      <c r="E12" s="12" t="e">
        <f>#REF!</f>
        <v>#REF!</v>
      </c>
      <c r="F12" s="12" t="e">
        <f>E12/C12*1000</f>
        <v>#REF!</v>
      </c>
      <c r="G12" s="12" t="e">
        <f>SUM(F12,D12)</f>
        <v>#REF!</v>
      </c>
    </row>
    <row r="13" spans="2:7" x14ac:dyDescent="0.2">
      <c r="B13" s="14" t="s">
        <v>108</v>
      </c>
      <c r="C13" s="12">
        <f>DMVS!N20</f>
        <v>46.729856313354794</v>
      </c>
      <c r="D13" s="12">
        <v>40</v>
      </c>
      <c r="E13" s="12" t="e">
        <f>#REF!</f>
        <v>#REF!</v>
      </c>
      <c r="F13" s="12" t="e">
        <f>E13/C13*1000</f>
        <v>#REF!</v>
      </c>
      <c r="G13" s="12" t="e">
        <f>SUM(F13,D13)</f>
        <v>#REF!</v>
      </c>
    </row>
    <row r="14" spans="2:7" x14ac:dyDescent="0.2">
      <c r="B14" s="14" t="s">
        <v>83</v>
      </c>
      <c r="D14" s="12">
        <v>100</v>
      </c>
      <c r="F14" s="14">
        <v>0.6</v>
      </c>
      <c r="G14" s="12">
        <f>SUM(F14,D14)</f>
        <v>100.6</v>
      </c>
    </row>
    <row r="15" spans="2:7" x14ac:dyDescent="0.2">
      <c r="B15" s="12" t="s">
        <v>84</v>
      </c>
      <c r="C15" s="16"/>
      <c r="D15" s="12">
        <v>100</v>
      </c>
      <c r="F15" s="12">
        <v>1</v>
      </c>
      <c r="G15" s="12">
        <f>SUM(F15,D15)</f>
        <v>101</v>
      </c>
    </row>
    <row r="17" spans="1:14" x14ac:dyDescent="0.2">
      <c r="B17" s="14" t="s">
        <v>67</v>
      </c>
      <c r="C17" s="12">
        <f>DMVS!N22</f>
        <v>33.930673257828268</v>
      </c>
    </row>
    <row r="23" spans="1:14" x14ac:dyDescent="0.2">
      <c r="B23" s="21" t="s">
        <v>137</v>
      </c>
    </row>
    <row r="24" spans="1:14" x14ac:dyDescent="0.2">
      <c r="A24" s="19" t="s">
        <v>375</v>
      </c>
      <c r="B24" s="12" t="s">
        <v>68</v>
      </c>
      <c r="C24" s="12" t="s">
        <v>69</v>
      </c>
      <c r="D24" s="12" t="s">
        <v>80</v>
      </c>
      <c r="E24" s="12" t="s">
        <v>81</v>
      </c>
      <c r="F24" s="12" t="s">
        <v>82</v>
      </c>
      <c r="H24" s="21" t="s">
        <v>138</v>
      </c>
    </row>
    <row r="25" spans="1:14" x14ac:dyDescent="0.2">
      <c r="C25" s="12" t="s">
        <v>74</v>
      </c>
      <c r="D25" s="12" t="s">
        <v>75</v>
      </c>
      <c r="E25" s="12" t="s">
        <v>75</v>
      </c>
      <c r="F25" s="12" t="s">
        <v>75</v>
      </c>
      <c r="K25" s="52"/>
    </row>
    <row r="26" spans="1:14" x14ac:dyDescent="0.2">
      <c r="A26" s="19">
        <v>13012017</v>
      </c>
      <c r="B26" s="12" t="s">
        <v>35</v>
      </c>
      <c r="C26" s="12">
        <v>32.360064309360915</v>
      </c>
      <c r="D26" s="12">
        <v>60</v>
      </c>
      <c r="E26" s="12">
        <v>90.820389590179701</v>
      </c>
      <c r="F26" s="12">
        <v>150.82038959017973</v>
      </c>
      <c r="G26" s="12">
        <f>(E26*C26)/(D26*$C$39)</f>
        <v>1.4436070992006087</v>
      </c>
      <c r="H26" s="12">
        <f>(D26*$C$39)/(C26*E26)</f>
        <v>0.69270925624690116</v>
      </c>
      <c r="L26" s="50"/>
      <c r="M26" s="50"/>
      <c r="N26" s="50"/>
    </row>
    <row r="27" spans="1:14" x14ac:dyDescent="0.2">
      <c r="A27" s="19">
        <v>13012017</v>
      </c>
      <c r="B27" s="12" t="s">
        <v>36</v>
      </c>
      <c r="C27" s="12">
        <v>76.294041995860994</v>
      </c>
      <c r="D27" s="12">
        <v>100</v>
      </c>
      <c r="E27" s="12">
        <v>65.899136006909202</v>
      </c>
      <c r="F27" s="12">
        <v>165.8991360069092</v>
      </c>
      <c r="G27" s="12">
        <f>(E27*C27)/(D27*$C$39)</f>
        <v>1.4817600027556557</v>
      </c>
      <c r="H27" s="12">
        <f>(D27*$C$39)/(C27*E27)</f>
        <v>0.67487312259764209</v>
      </c>
      <c r="L27" s="45"/>
      <c r="M27" s="45"/>
      <c r="N27" s="45"/>
    </row>
    <row r="28" spans="1:14" x14ac:dyDescent="0.2">
      <c r="A28" s="19">
        <v>13012017</v>
      </c>
      <c r="B28" s="12" t="s">
        <v>37</v>
      </c>
      <c r="C28" s="12">
        <v>83.028929157169031</v>
      </c>
      <c r="D28" s="12">
        <v>100</v>
      </c>
      <c r="E28" s="12">
        <v>60.29101179907186</v>
      </c>
      <c r="F28" s="12">
        <v>160.29101179907187</v>
      </c>
      <c r="G28" s="12">
        <f>(E28*C28)/(D28*$C$39)</f>
        <v>1.4753312171087709</v>
      </c>
      <c r="H28" s="12">
        <f>(D28*$C$39)/(C28*E28)</f>
        <v>0.67781389589228325</v>
      </c>
      <c r="L28" s="45"/>
      <c r="M28" s="45"/>
      <c r="N28" s="45"/>
    </row>
    <row r="29" spans="1:14" x14ac:dyDescent="0.2">
      <c r="A29" s="19">
        <v>13012017</v>
      </c>
      <c r="B29" s="12" t="s">
        <v>65</v>
      </c>
      <c r="C29" s="12">
        <v>84.830942177145744</v>
      </c>
      <c r="D29" s="12">
        <v>100</v>
      </c>
      <c r="E29" s="12">
        <v>58.85872306516702</v>
      </c>
      <c r="F29" s="12">
        <v>158.85872306516703</v>
      </c>
      <c r="G29" s="12">
        <f>(E29*C29)/(D29*$C$39)</f>
        <v>1.471541957043206</v>
      </c>
      <c r="H29" s="12">
        <f>(D29*$C$39)/(C29*E29)</f>
        <v>0.67955928488054584</v>
      </c>
      <c r="L29" s="45"/>
      <c r="M29" s="45"/>
      <c r="N29" s="45"/>
    </row>
    <row r="30" spans="1:14" x14ac:dyDescent="0.2">
      <c r="A30" s="19">
        <v>13012017</v>
      </c>
      <c r="B30" s="12" t="s">
        <v>66</v>
      </c>
      <c r="C30" s="12">
        <v>84.383833375302913</v>
      </c>
      <c r="D30" s="12">
        <v>100</v>
      </c>
      <c r="E30" s="12">
        <v>60.886102379759031</v>
      </c>
      <c r="F30" s="12">
        <v>160.88610237975902</v>
      </c>
      <c r="G30" s="12">
        <f>(E30*C30)/(D30*$C$39)</f>
        <v>1.5142059454714356</v>
      </c>
      <c r="H30" s="12">
        <f>(D30*$C$39)/(C30*E30)</f>
        <v>0.6604121473639164</v>
      </c>
      <c r="L30" s="45"/>
      <c r="M30" s="45"/>
      <c r="N30" s="45"/>
    </row>
    <row r="31" spans="1:14" x14ac:dyDescent="0.2">
      <c r="A31" s="19">
        <v>13012017</v>
      </c>
      <c r="B31" s="12" t="s">
        <v>109</v>
      </c>
      <c r="C31" s="12">
        <v>82.198639991530825</v>
      </c>
      <c r="D31" s="12">
        <v>100</v>
      </c>
      <c r="E31" s="12">
        <v>62.864045670218538</v>
      </c>
      <c r="F31" s="12">
        <v>162.86404567021853</v>
      </c>
      <c r="G31" s="12">
        <f>(E31*C31)/(D31*$C$39)</f>
        <v>1.5229108539027501</v>
      </c>
      <c r="H31" s="12">
        <f>(D31*$C$39)/(C31*E31)</f>
        <v>0.65663725321630539</v>
      </c>
      <c r="L31" s="45"/>
      <c r="M31" s="45"/>
      <c r="N31" s="45"/>
    </row>
    <row r="32" spans="1:14" x14ac:dyDescent="0.2">
      <c r="A32" s="19">
        <v>13012017</v>
      </c>
      <c r="B32" s="12" t="s">
        <v>110</v>
      </c>
      <c r="C32" s="12">
        <v>98.979033726023403</v>
      </c>
      <c r="D32" s="12">
        <v>100</v>
      </c>
      <c r="E32" s="12">
        <v>52.209600580115321</v>
      </c>
      <c r="F32" s="12">
        <v>152.20960058011531</v>
      </c>
      <c r="G32" s="12">
        <f>(E32*C32)/(D32*$C$39)</f>
        <v>1.5230042084264264</v>
      </c>
      <c r="H32" s="12">
        <f>(D32*$C$39)/(C32*E32)</f>
        <v>0.65659700378188957</v>
      </c>
      <c r="L32" s="45"/>
      <c r="M32" s="45"/>
      <c r="N32" s="45"/>
    </row>
    <row r="33" spans="1:14" x14ac:dyDescent="0.2">
      <c r="A33" s="19">
        <v>13012017</v>
      </c>
      <c r="B33" s="12" t="s">
        <v>106</v>
      </c>
      <c r="C33" s="12">
        <v>110.87769848173372</v>
      </c>
      <c r="D33" s="12">
        <v>100</v>
      </c>
      <c r="E33" s="12">
        <v>46.371482172908934</v>
      </c>
      <c r="F33" s="12">
        <v>146.37148217290894</v>
      </c>
      <c r="G33" s="12">
        <f>(E33*C33)/(D33*$C$39)</f>
        <v>1.5153142348369579</v>
      </c>
      <c r="H33" s="12">
        <f>(D33*$C$39)/(C33*E33)</f>
        <v>0.65992912691643535</v>
      </c>
      <c r="L33" s="45"/>
      <c r="M33" s="45"/>
      <c r="N33" s="45"/>
    </row>
    <row r="34" spans="1:14" x14ac:dyDescent="0.2">
      <c r="A34" s="19">
        <v>13012017</v>
      </c>
      <c r="B34" s="12" t="s">
        <v>107</v>
      </c>
      <c r="C34" s="12">
        <v>43.69227836140211</v>
      </c>
      <c r="D34" s="12">
        <v>40</v>
      </c>
      <c r="E34" s="12">
        <v>105.4154813731533</v>
      </c>
      <c r="F34" s="12">
        <v>145.41548137315328</v>
      </c>
      <c r="G34" s="12">
        <f>(E34*C34)/(D34*$C$39)</f>
        <v>3.3935684983014465</v>
      </c>
      <c r="H34" s="12">
        <f>(D34*$C$39)/(C34*E34)</f>
        <v>0.29467505974920544</v>
      </c>
      <c r="L34" s="45"/>
      <c r="M34" s="45"/>
      <c r="N34" s="45"/>
    </row>
    <row r="35" spans="1:14" x14ac:dyDescent="0.2">
      <c r="A35" s="19">
        <v>13012017</v>
      </c>
      <c r="B35" s="12" t="s">
        <v>108</v>
      </c>
      <c r="C35" s="12">
        <v>46.729856313354794</v>
      </c>
      <c r="D35" s="12">
        <v>40</v>
      </c>
      <c r="E35" s="12">
        <v>121.48225891311398</v>
      </c>
      <c r="F35" s="12">
        <v>161.48225891311398</v>
      </c>
      <c r="G35" s="12">
        <f>(E35*C35)/(D35*$C$39)</f>
        <v>4.1826818911719172</v>
      </c>
      <c r="H35" s="12">
        <f>(D35*$C$39)/(C35*E35)</f>
        <v>0.23908105517434336</v>
      </c>
      <c r="L35" s="45"/>
      <c r="M35" s="45"/>
      <c r="N35" s="45"/>
    </row>
    <row r="36" spans="1:14" x14ac:dyDescent="0.2">
      <c r="A36" s="19">
        <v>13012017</v>
      </c>
      <c r="B36" s="12" t="s">
        <v>83</v>
      </c>
      <c r="D36" s="12">
        <v>100</v>
      </c>
      <c r="E36" s="12">
        <v>0.6</v>
      </c>
      <c r="F36" s="12">
        <v>100.6</v>
      </c>
      <c r="L36" s="45"/>
      <c r="M36" s="45"/>
      <c r="N36" s="45"/>
    </row>
    <row r="37" spans="1:14" x14ac:dyDescent="0.2">
      <c r="A37" s="19">
        <v>13012017</v>
      </c>
      <c r="B37" s="12" t="s">
        <v>84</v>
      </c>
      <c r="D37" s="12">
        <v>100</v>
      </c>
      <c r="E37" s="12">
        <v>1</v>
      </c>
      <c r="F37" s="12">
        <v>101</v>
      </c>
    </row>
    <row r="38" spans="1:14" x14ac:dyDescent="0.2">
      <c r="A38" s="19">
        <v>13012017</v>
      </c>
    </row>
    <row r="39" spans="1:14" x14ac:dyDescent="0.2">
      <c r="A39" s="19">
        <v>13012017</v>
      </c>
      <c r="B39" s="12" t="s">
        <v>67</v>
      </c>
      <c r="C39" s="12">
        <v>33.930673257828268</v>
      </c>
    </row>
    <row r="40" spans="1:14" ht="15" x14ac:dyDescent="0.2">
      <c r="K40" s="11"/>
      <c r="L40"/>
      <c r="M40"/>
    </row>
    <row r="41" spans="1:14" ht="15" x14ac:dyDescent="0.2">
      <c r="K41" s="11"/>
      <c r="L41"/>
      <c r="M41"/>
    </row>
    <row r="42" spans="1:14" ht="15" x14ac:dyDescent="0.2">
      <c r="B42" s="26"/>
      <c r="C42" s="26"/>
      <c r="K42" s="11"/>
      <c r="L42" s="49"/>
      <c r="M42"/>
    </row>
    <row r="43" spans="1:14" ht="15" x14ac:dyDescent="0.2">
      <c r="B43" s="27"/>
      <c r="C43" s="3"/>
      <c r="K43" s="11"/>
      <c r="L43"/>
      <c r="M43"/>
    </row>
    <row r="44" spans="1:14" ht="15" x14ac:dyDescent="0.2">
      <c r="B44" s="27"/>
      <c r="C44" s="3"/>
      <c r="K44" s="11"/>
      <c r="L44"/>
      <c r="M44"/>
    </row>
    <row r="45" spans="1:14" ht="15" x14ac:dyDescent="0.2">
      <c r="B45" s="27"/>
      <c r="C45" s="3"/>
      <c r="K45" s="11"/>
      <c r="L45"/>
      <c r="M45"/>
    </row>
    <row r="46" spans="1:14" ht="15" x14ac:dyDescent="0.2">
      <c r="B46" s="27"/>
      <c r="C46" s="3"/>
      <c r="K46" s="11"/>
      <c r="L46"/>
      <c r="M46"/>
    </row>
    <row r="47" spans="1:14" ht="15" x14ac:dyDescent="0.2">
      <c r="B47" s="27"/>
      <c r="C47" s="3"/>
      <c r="K47" s="11"/>
      <c r="L47"/>
      <c r="M47"/>
    </row>
    <row r="48" spans="1:14" ht="15" x14ac:dyDescent="0.2">
      <c r="B48" s="27"/>
      <c r="C48" s="3"/>
      <c r="K48" s="11"/>
      <c r="L48"/>
      <c r="M48"/>
    </row>
    <row r="49" spans="1:13" ht="15" x14ac:dyDescent="0.2">
      <c r="B49" s="27"/>
      <c r="C49" s="3"/>
      <c r="K49" s="11"/>
      <c r="L49"/>
      <c r="M49"/>
    </row>
    <row r="50" spans="1:13" ht="15" x14ac:dyDescent="0.2">
      <c r="B50" s="27"/>
      <c r="C50" s="3"/>
      <c r="K50" s="11"/>
      <c r="L50"/>
      <c r="M50"/>
    </row>
    <row r="51" spans="1:13" ht="15" x14ac:dyDescent="0.2">
      <c r="B51" s="27"/>
      <c r="C51" s="3"/>
      <c r="K51" s="11"/>
      <c r="L51"/>
      <c r="M51"/>
    </row>
    <row r="52" spans="1:13" ht="15" x14ac:dyDescent="0.2">
      <c r="B52" s="27"/>
      <c r="C52" s="3"/>
      <c r="K52" s="11"/>
      <c r="L52"/>
      <c r="M52"/>
    </row>
    <row r="53" spans="1:13" ht="15" x14ac:dyDescent="0.2">
      <c r="K53" s="11"/>
      <c r="L53"/>
      <c r="M53"/>
    </row>
    <row r="54" spans="1:13" ht="15" x14ac:dyDescent="0.2">
      <c r="A54" s="18" t="s">
        <v>375</v>
      </c>
      <c r="B54" s="14"/>
      <c r="C54" s="14"/>
      <c r="K54" s="11"/>
      <c r="L54"/>
      <c r="M54"/>
    </row>
    <row r="55" spans="1:13" ht="15" x14ac:dyDescent="0.2">
      <c r="A55" s="19">
        <v>13022017</v>
      </c>
      <c r="B55" s="14"/>
      <c r="C55" s="29"/>
      <c r="K55" s="11"/>
      <c r="L55"/>
      <c r="M55"/>
    </row>
    <row r="56" spans="1:13" ht="15" x14ac:dyDescent="0.2">
      <c r="A56" s="19">
        <v>13022017</v>
      </c>
      <c r="B56" s="14"/>
      <c r="C56" s="29"/>
      <c r="K56" s="11"/>
      <c r="L56"/>
      <c r="M56"/>
    </row>
    <row r="57" spans="1:13" ht="15" x14ac:dyDescent="0.2">
      <c r="A57" s="19">
        <v>13022017</v>
      </c>
      <c r="B57" s="14"/>
      <c r="C57" s="29"/>
      <c r="K57" s="11"/>
      <c r="L57"/>
      <c r="M57"/>
    </row>
    <row r="58" spans="1:13" ht="15" x14ac:dyDescent="0.2">
      <c r="A58" s="19">
        <v>13022017</v>
      </c>
      <c r="B58" s="14"/>
      <c r="C58" s="29"/>
      <c r="K58" s="11"/>
      <c r="L58"/>
      <c r="M58"/>
    </row>
    <row r="59" spans="1:13" ht="15" x14ac:dyDescent="0.2">
      <c r="A59" s="19">
        <v>13022017</v>
      </c>
      <c r="B59" s="14"/>
      <c r="C59" s="29"/>
      <c r="K59" s="11"/>
      <c r="L59"/>
      <c r="M59"/>
    </row>
    <row r="60" spans="1:13" ht="15" x14ac:dyDescent="0.2">
      <c r="A60" s="19">
        <v>13022017</v>
      </c>
      <c r="B60" s="14"/>
      <c r="C60" s="29"/>
      <c r="K60" s="11"/>
      <c r="L60"/>
      <c r="M60"/>
    </row>
    <row r="61" spans="1:13" ht="15" x14ac:dyDescent="0.2">
      <c r="A61" s="19">
        <v>13022017</v>
      </c>
      <c r="B61" s="14"/>
      <c r="C61" s="29"/>
      <c r="K61" s="11"/>
      <c r="L61"/>
      <c r="M61"/>
    </row>
    <row r="62" spans="1:13" ht="15" x14ac:dyDescent="0.2">
      <c r="A62" s="19">
        <v>13022017</v>
      </c>
      <c r="B62" s="14"/>
      <c r="C62" s="29"/>
      <c r="K62" s="11"/>
      <c r="L62"/>
      <c r="M62"/>
    </row>
    <row r="63" spans="1:13" ht="15" x14ac:dyDescent="0.2">
      <c r="A63" s="19">
        <v>13022017</v>
      </c>
      <c r="B63" s="14"/>
      <c r="C63" s="33"/>
      <c r="K63" s="11"/>
      <c r="L63"/>
      <c r="M63"/>
    </row>
    <row r="64" spans="1:13" ht="15" x14ac:dyDescent="0.2">
      <c r="A64" s="19">
        <v>13022017</v>
      </c>
      <c r="B64" s="14"/>
      <c r="C64" s="33"/>
      <c r="K64" s="11"/>
      <c r="L64"/>
      <c r="M64"/>
    </row>
    <row r="65" spans="1:13" ht="15" x14ac:dyDescent="0.2">
      <c r="A65" s="19">
        <v>13022017</v>
      </c>
      <c r="B65" s="14"/>
      <c r="C65" s="29"/>
      <c r="K65" s="11"/>
      <c r="L65"/>
      <c r="M65"/>
    </row>
    <row r="66" spans="1:13" ht="15" x14ac:dyDescent="0.2">
      <c r="C66" s="29"/>
      <c r="K66" s="11"/>
      <c r="L66"/>
      <c r="M66"/>
    </row>
    <row r="67" spans="1:13" ht="15" x14ac:dyDescent="0.2">
      <c r="K67" s="11"/>
      <c r="L67"/>
      <c r="M67"/>
    </row>
    <row r="68" spans="1:13" ht="15" x14ac:dyDescent="0.2">
      <c r="C68" s="29"/>
      <c r="K68" s="11"/>
      <c r="L68"/>
      <c r="M68"/>
    </row>
    <row r="69" spans="1:13" ht="15" x14ac:dyDescent="0.2">
      <c r="K69" s="11"/>
      <c r="L69"/>
      <c r="M69"/>
    </row>
    <row r="70" spans="1:13" x14ac:dyDescent="0.2">
      <c r="C70" s="29"/>
    </row>
    <row r="72" spans="1:13" x14ac:dyDescent="0.2">
      <c r="C72" s="29"/>
    </row>
    <row r="74" spans="1:13" x14ac:dyDescent="0.2">
      <c r="C74" s="30"/>
    </row>
    <row r="76" spans="1:13" x14ac:dyDescent="0.2">
      <c r="C76" s="2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C13"/>
  <sheetViews>
    <sheetView workbookViewId="0">
      <selection activeCell="G11" sqref="G11"/>
    </sheetView>
  </sheetViews>
  <sheetFormatPr defaultRowHeight="12.75" x14ac:dyDescent="0.2"/>
  <cols>
    <col min="1" max="1" width="10.625" bestFit="1" customWidth="1"/>
  </cols>
  <sheetData>
    <row r="1" spans="1:3" x14ac:dyDescent="0.2">
      <c r="A1" s="8" t="s">
        <v>79</v>
      </c>
    </row>
    <row r="2" spans="1:3" x14ac:dyDescent="0.2">
      <c r="A2" s="8" t="s">
        <v>68</v>
      </c>
      <c r="B2" s="49" t="s">
        <v>556</v>
      </c>
      <c r="C2" s="49" t="s">
        <v>557</v>
      </c>
    </row>
    <row r="3" spans="1:3" x14ac:dyDescent="0.2">
      <c r="A3" s="14" t="s">
        <v>36</v>
      </c>
      <c r="B3" s="8">
        <v>9.4600000000000009</v>
      </c>
      <c r="C3">
        <v>7.51</v>
      </c>
    </row>
    <row r="4" spans="1:3" x14ac:dyDescent="0.2">
      <c r="A4" s="14" t="s">
        <v>37</v>
      </c>
      <c r="B4">
        <v>9.26</v>
      </c>
      <c r="C4">
        <v>7.56</v>
      </c>
    </row>
    <row r="5" spans="1:3" x14ac:dyDescent="0.2">
      <c r="A5" s="14" t="s">
        <v>65</v>
      </c>
      <c r="B5">
        <v>9.1999999999999993</v>
      </c>
      <c r="C5">
        <v>7.56</v>
      </c>
    </row>
    <row r="6" spans="1:3" x14ac:dyDescent="0.2">
      <c r="A6" s="14" t="s">
        <v>66</v>
      </c>
      <c r="B6">
        <v>9.18</v>
      </c>
      <c r="C6">
        <v>7.72</v>
      </c>
    </row>
    <row r="7" spans="1:3" x14ac:dyDescent="0.2">
      <c r="A7" s="14" t="s">
        <v>109</v>
      </c>
      <c r="B7">
        <v>8.16</v>
      </c>
      <c r="C7">
        <v>7.6</v>
      </c>
    </row>
    <row r="8" spans="1:3" x14ac:dyDescent="0.2">
      <c r="A8" s="14" t="s">
        <v>110</v>
      </c>
      <c r="B8">
        <v>8.09</v>
      </c>
      <c r="C8">
        <v>7.52</v>
      </c>
    </row>
    <row r="9" spans="1:3" x14ac:dyDescent="0.2">
      <c r="A9" s="14" t="s">
        <v>106</v>
      </c>
      <c r="B9">
        <v>8.0500000000000007</v>
      </c>
      <c r="C9">
        <v>7.54</v>
      </c>
    </row>
    <row r="10" spans="1:3" x14ac:dyDescent="0.2">
      <c r="A10" s="14" t="s">
        <v>107</v>
      </c>
      <c r="B10">
        <v>7.37</v>
      </c>
      <c r="C10">
        <v>7.64</v>
      </c>
    </row>
    <row r="11" spans="1:3" x14ac:dyDescent="0.2">
      <c r="A11" s="14" t="s">
        <v>108</v>
      </c>
      <c r="B11">
        <v>5.54</v>
      </c>
      <c r="C11">
        <v>6.52</v>
      </c>
    </row>
    <row r="12" spans="1:3" x14ac:dyDescent="0.2">
      <c r="A12" s="50" t="s">
        <v>67</v>
      </c>
      <c r="B12">
        <v>7.79</v>
      </c>
      <c r="C12">
        <v>7.46</v>
      </c>
    </row>
    <row r="13" spans="1:3" x14ac:dyDescent="0.2">
      <c r="A13" s="14"/>
      <c r="C13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D8"/>
  <sheetViews>
    <sheetView workbookViewId="0">
      <selection activeCell="D7" sqref="D7"/>
    </sheetView>
  </sheetViews>
  <sheetFormatPr defaultRowHeight="12.75" x14ac:dyDescent="0.2"/>
  <sheetData>
    <row r="2" spans="1:4" x14ac:dyDescent="0.2">
      <c r="B2" s="8" t="s">
        <v>85</v>
      </c>
      <c r="C2" t="s">
        <v>86</v>
      </c>
    </row>
    <row r="3" spans="1:4" x14ac:dyDescent="0.2">
      <c r="A3" s="8" t="s">
        <v>68</v>
      </c>
      <c r="B3" t="s">
        <v>75</v>
      </c>
      <c r="C3" s="8" t="s">
        <v>75</v>
      </c>
      <c r="D3" s="8" t="s">
        <v>76</v>
      </c>
    </row>
    <row r="4" spans="1:4" x14ac:dyDescent="0.2">
      <c r="A4">
        <v>1</v>
      </c>
      <c r="B4">
        <v>247.6</v>
      </c>
      <c r="C4">
        <v>569.34</v>
      </c>
      <c r="D4">
        <f>C4-B4</f>
        <v>321.74</v>
      </c>
    </row>
    <row r="5" spans="1:4" x14ac:dyDescent="0.2">
      <c r="A5">
        <v>2</v>
      </c>
      <c r="B5">
        <v>247.58</v>
      </c>
      <c r="C5">
        <v>568.29</v>
      </c>
      <c r="D5">
        <f t="shared" ref="D5:D6" si="0">C5-B5</f>
        <v>320.70999999999992</v>
      </c>
    </row>
    <row r="6" spans="1:4" x14ac:dyDescent="0.2">
      <c r="A6">
        <v>3</v>
      </c>
      <c r="B6">
        <v>246.48</v>
      </c>
      <c r="C6">
        <v>569.66</v>
      </c>
      <c r="D6">
        <f t="shared" si="0"/>
        <v>323.17999999999995</v>
      </c>
    </row>
    <row r="7" spans="1:4" x14ac:dyDescent="0.2">
      <c r="A7" s="8" t="s">
        <v>77</v>
      </c>
      <c r="B7" s="8"/>
      <c r="C7" s="8"/>
      <c r="D7">
        <f>AVERAGE(D4:D6)</f>
        <v>321.87666666666661</v>
      </c>
    </row>
    <row r="8" spans="1:4" x14ac:dyDescent="0.2">
      <c r="A8" s="8" t="s">
        <v>78</v>
      </c>
      <c r="B8" s="8"/>
      <c r="C8" s="8"/>
      <c r="D8">
        <f>_xlfn.STDEV.P(D4:D6)</f>
        <v>1.0129933640234627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L47"/>
  <sheetViews>
    <sheetView topLeftCell="A16" workbookViewId="0">
      <selection activeCell="D41" sqref="D41"/>
    </sheetView>
  </sheetViews>
  <sheetFormatPr defaultColWidth="5.625" defaultRowHeight="12.75" x14ac:dyDescent="0.2"/>
  <cols>
    <col min="1" max="1" width="8.125" customWidth="1"/>
    <col min="2" max="2" width="15.25" bestFit="1" customWidth="1"/>
    <col min="3" max="3" width="7.5" style="19" bestFit="1" customWidth="1"/>
    <col min="4" max="5" width="8.125" bestFit="1" customWidth="1"/>
    <col min="6" max="6" width="8.75" bestFit="1" customWidth="1"/>
    <col min="7" max="8" width="6.875" bestFit="1" customWidth="1"/>
    <col min="9" max="9" width="8.125" bestFit="1" customWidth="1"/>
    <col min="10" max="10" width="8.75" bestFit="1" customWidth="1"/>
    <col min="12" max="12" width="11.875" style="45" bestFit="1" customWidth="1"/>
    <col min="14" max="14" width="7.5" bestFit="1" customWidth="1"/>
  </cols>
  <sheetData>
    <row r="1" spans="1:12" s="9" customFormat="1" ht="25.5" customHeight="1" x14ac:dyDescent="0.2">
      <c r="A1" s="9" t="s">
        <v>0</v>
      </c>
      <c r="B1" s="9" t="s">
        <v>1</v>
      </c>
      <c r="C1" s="17" t="s">
        <v>87</v>
      </c>
      <c r="D1" s="9" t="s">
        <v>2</v>
      </c>
      <c r="E1" s="9" t="s">
        <v>3</v>
      </c>
      <c r="F1" s="23" t="s">
        <v>506</v>
      </c>
      <c r="G1" s="9" t="s">
        <v>4</v>
      </c>
      <c r="H1" s="9" t="s">
        <v>5</v>
      </c>
      <c r="I1" s="10" t="s">
        <v>6</v>
      </c>
      <c r="J1" s="7" t="s">
        <v>7</v>
      </c>
      <c r="K1" s="23" t="s">
        <v>155</v>
      </c>
      <c r="L1" s="43" t="s">
        <v>345</v>
      </c>
    </row>
    <row r="2" spans="1:12" x14ac:dyDescent="0.2">
      <c r="A2" t="s">
        <v>8</v>
      </c>
      <c r="B2" t="s">
        <v>9</v>
      </c>
      <c r="C2" s="18" t="s">
        <v>16</v>
      </c>
      <c r="D2" s="8" t="s">
        <v>10</v>
      </c>
      <c r="E2" s="8" t="s">
        <v>11</v>
      </c>
      <c r="F2" s="8" t="s">
        <v>12</v>
      </c>
      <c r="G2" s="8" t="s">
        <v>61</v>
      </c>
      <c r="H2" s="8" t="s">
        <v>62</v>
      </c>
      <c r="I2" s="8" t="s">
        <v>13</v>
      </c>
      <c r="J2" s="8" t="s">
        <v>63</v>
      </c>
      <c r="K2" s="8" t="s">
        <v>156</v>
      </c>
      <c r="L2" s="44" t="s">
        <v>170</v>
      </c>
    </row>
    <row r="3" spans="1:12" ht="15" x14ac:dyDescent="0.2">
      <c r="A3" s="11" t="s">
        <v>29</v>
      </c>
      <c r="B3" s="11" t="s">
        <v>14</v>
      </c>
      <c r="C3" s="19">
        <v>1246</v>
      </c>
      <c r="D3">
        <v>255.95</v>
      </c>
      <c r="F3">
        <v>111.62</v>
      </c>
      <c r="G3">
        <v>366.57</v>
      </c>
      <c r="H3">
        <v>366.57</v>
      </c>
      <c r="I3" s="6">
        <f>AVERAGE(G3:H3)</f>
        <v>366.57</v>
      </c>
      <c r="J3" s="5">
        <f>_xlfn.STDEV.P(G3:H3)</f>
        <v>0</v>
      </c>
    </row>
    <row r="4" spans="1:12" ht="15" x14ac:dyDescent="0.2">
      <c r="A4" s="11" t="s">
        <v>30</v>
      </c>
      <c r="B4" s="11" t="s">
        <v>14</v>
      </c>
      <c r="C4" s="19">
        <v>1246</v>
      </c>
      <c r="D4">
        <v>257.27999999999997</v>
      </c>
      <c r="F4">
        <v>101.18</v>
      </c>
      <c r="G4">
        <v>358.45</v>
      </c>
      <c r="H4">
        <v>358.56</v>
      </c>
      <c r="I4" s="6">
        <f t="shared" ref="I4:I44" si="0">AVERAGE(G4:H4)</f>
        <v>358.505</v>
      </c>
      <c r="J4" s="5">
        <f t="shared" ref="J4:J44" si="1">_xlfn.STDEV.P(G4:H4)</f>
        <v>5.5000000000006821E-2</v>
      </c>
    </row>
    <row r="5" spans="1:12" ht="15" x14ac:dyDescent="0.2">
      <c r="A5" s="11" t="s">
        <v>31</v>
      </c>
      <c r="B5" s="11" t="s">
        <v>14</v>
      </c>
      <c r="C5" s="19">
        <v>1246</v>
      </c>
      <c r="D5">
        <v>255.71</v>
      </c>
      <c r="F5">
        <v>102.74</v>
      </c>
      <c r="G5">
        <v>358.45</v>
      </c>
      <c r="H5">
        <v>357.46</v>
      </c>
      <c r="I5" s="6">
        <f t="shared" si="0"/>
        <v>357.95499999999998</v>
      </c>
      <c r="J5" s="5">
        <f t="shared" si="1"/>
        <v>0.49500000000000455</v>
      </c>
    </row>
    <row r="6" spans="1:12" ht="15" x14ac:dyDescent="0.2">
      <c r="A6" s="11" t="s">
        <v>38</v>
      </c>
      <c r="B6" s="11" t="s">
        <v>67</v>
      </c>
      <c r="C6" s="19">
        <v>1246</v>
      </c>
      <c r="D6">
        <v>256.95999999999998</v>
      </c>
      <c r="E6">
        <v>99.9</v>
      </c>
      <c r="G6">
        <v>356.37</v>
      </c>
      <c r="H6">
        <v>356.37</v>
      </c>
      <c r="I6" s="6">
        <f t="shared" si="0"/>
        <v>356.37</v>
      </c>
      <c r="J6" s="5">
        <f t="shared" si="1"/>
        <v>0</v>
      </c>
      <c r="K6">
        <f>'Bottle vol'!$D$7-E6-F6+5.534</f>
        <v>227.51066666666659</v>
      </c>
    </row>
    <row r="7" spans="1:12" ht="15" x14ac:dyDescent="0.2">
      <c r="A7" s="11" t="s">
        <v>39</v>
      </c>
      <c r="B7" s="11" t="s">
        <v>67</v>
      </c>
      <c r="C7" s="19">
        <v>1246</v>
      </c>
      <c r="D7">
        <v>257.24</v>
      </c>
      <c r="E7">
        <v>99.87</v>
      </c>
      <c r="G7">
        <v>357.07</v>
      </c>
      <c r="H7">
        <v>357.08</v>
      </c>
      <c r="I7" s="6">
        <f t="shared" si="0"/>
        <v>357.07499999999999</v>
      </c>
      <c r="J7" s="5">
        <f t="shared" si="1"/>
        <v>4.9999999999954525E-3</v>
      </c>
      <c r="K7">
        <f>'Bottle vol'!$D$7-E7-F7+5.534</f>
        <v>227.5406666666666</v>
      </c>
    </row>
    <row r="8" spans="1:12" ht="15" x14ac:dyDescent="0.2">
      <c r="A8" s="11" t="s">
        <v>40</v>
      </c>
      <c r="B8" s="11" t="s">
        <v>67</v>
      </c>
      <c r="C8" s="19">
        <v>1246</v>
      </c>
      <c r="D8">
        <v>257.02999999999997</v>
      </c>
      <c r="E8">
        <v>100.31</v>
      </c>
      <c r="G8">
        <v>357.29</v>
      </c>
      <c r="H8">
        <v>357.3</v>
      </c>
      <c r="I8" s="6">
        <f t="shared" si="0"/>
        <v>357.29500000000002</v>
      </c>
      <c r="J8" s="5">
        <f t="shared" si="1"/>
        <v>4.9999999999954525E-3</v>
      </c>
      <c r="K8">
        <f>'Bottle vol'!$D$7-E8-F8+5.534</f>
        <v>227.1006666666666</v>
      </c>
    </row>
    <row r="9" spans="1:12" ht="15" x14ac:dyDescent="0.2">
      <c r="A9" s="11" t="s">
        <v>46</v>
      </c>
      <c r="B9" s="11" t="s">
        <v>35</v>
      </c>
      <c r="C9" s="19">
        <v>1246</v>
      </c>
      <c r="D9">
        <v>256.52</v>
      </c>
      <c r="E9">
        <v>60.17</v>
      </c>
      <c r="F9">
        <v>90.13</v>
      </c>
      <c r="G9">
        <v>406.78</v>
      </c>
      <c r="H9">
        <v>406.78</v>
      </c>
      <c r="I9" s="6">
        <f t="shared" si="0"/>
        <v>406.78</v>
      </c>
      <c r="J9" s="5">
        <f t="shared" si="1"/>
        <v>0</v>
      </c>
      <c r="K9">
        <f>'Bottle vol'!$D$7-E9-F9+5.534</f>
        <v>177.11066666666659</v>
      </c>
      <c r="L9" s="45">
        <f>F9*(32.3600643093609/1000)</f>
        <v>2.9166125962026976</v>
      </c>
    </row>
    <row r="10" spans="1:12" ht="15" x14ac:dyDescent="0.2">
      <c r="A10" s="11" t="s">
        <v>47</v>
      </c>
      <c r="B10" s="11" t="s">
        <v>35</v>
      </c>
      <c r="C10" s="19">
        <v>1246</v>
      </c>
      <c r="D10">
        <v>257.58</v>
      </c>
      <c r="E10">
        <v>60.64</v>
      </c>
      <c r="F10">
        <v>93.24</v>
      </c>
      <c r="G10">
        <v>411.41</v>
      </c>
      <c r="H10">
        <v>411.42</v>
      </c>
      <c r="I10" s="6">
        <f t="shared" si="0"/>
        <v>411.41500000000002</v>
      </c>
      <c r="J10" s="5">
        <f t="shared" si="1"/>
        <v>4.9999999999954525E-3</v>
      </c>
      <c r="K10">
        <f>'Bottle vol'!$D$7-E10-F10+5.534</f>
        <v>173.5306666666666</v>
      </c>
      <c r="L10" s="45">
        <f t="shared" ref="L10:L11" si="2">F10*(32.3600643093609/1000)</f>
        <v>3.0172523962048099</v>
      </c>
    </row>
    <row r="11" spans="1:12" ht="15" x14ac:dyDescent="0.2">
      <c r="A11" s="11" t="s">
        <v>48</v>
      </c>
      <c r="B11" s="11" t="s">
        <v>35</v>
      </c>
      <c r="C11" s="19">
        <v>1246</v>
      </c>
      <c r="D11">
        <v>257.27</v>
      </c>
      <c r="E11" s="49">
        <v>67.930000000000007</v>
      </c>
      <c r="F11">
        <v>90.8</v>
      </c>
      <c r="G11">
        <v>415.94</v>
      </c>
      <c r="H11">
        <v>415.95</v>
      </c>
      <c r="I11" s="6">
        <f t="shared" si="0"/>
        <v>415.94499999999999</v>
      </c>
      <c r="J11" s="5">
        <f t="shared" si="1"/>
        <v>4.9999999999954525E-3</v>
      </c>
      <c r="K11">
        <f>'Bottle vol'!$D$7-E11-F11+5.534</f>
        <v>168.68066666666658</v>
      </c>
      <c r="L11" s="45">
        <f t="shared" si="2"/>
        <v>2.9382938392899693</v>
      </c>
    </row>
    <row r="12" spans="1:12" ht="15" x14ac:dyDescent="0.2">
      <c r="A12" s="11" t="s">
        <v>49</v>
      </c>
      <c r="B12" s="11" t="s">
        <v>36</v>
      </c>
      <c r="C12" s="19">
        <v>1246</v>
      </c>
      <c r="D12">
        <v>257.42</v>
      </c>
      <c r="E12">
        <v>100.77</v>
      </c>
      <c r="F12">
        <v>64.28</v>
      </c>
      <c r="G12">
        <v>422.4</v>
      </c>
      <c r="H12">
        <v>422.4</v>
      </c>
      <c r="I12" s="6">
        <f t="shared" si="0"/>
        <v>422.4</v>
      </c>
      <c r="J12" s="5">
        <f t="shared" si="1"/>
        <v>0</v>
      </c>
      <c r="K12">
        <f>'Bottle vol'!$D$7-E12-F12+5.534</f>
        <v>162.36066666666662</v>
      </c>
      <c r="L12" s="45">
        <f>F12*(76.294041995861/1000)</f>
        <v>4.9041810194939446</v>
      </c>
    </row>
    <row r="13" spans="1:12" ht="15" x14ac:dyDescent="0.2">
      <c r="A13" s="11" t="s">
        <v>50</v>
      </c>
      <c r="B13" s="11" t="s">
        <v>36</v>
      </c>
      <c r="C13" s="19">
        <v>1246</v>
      </c>
      <c r="D13">
        <v>255.27</v>
      </c>
      <c r="E13">
        <v>99.97</v>
      </c>
      <c r="F13">
        <v>64.19</v>
      </c>
      <c r="G13">
        <v>419.4</v>
      </c>
      <c r="H13">
        <v>419.41</v>
      </c>
      <c r="I13" s="6">
        <f t="shared" si="0"/>
        <v>419.40499999999997</v>
      </c>
      <c r="J13" s="5">
        <f t="shared" si="1"/>
        <v>5.0000000000238742E-3</v>
      </c>
      <c r="K13">
        <f>'Bottle vol'!$D$7-E13-F13+5.534</f>
        <v>163.2506666666666</v>
      </c>
      <c r="L13" s="45">
        <f t="shared" ref="L13:L14" si="3">F13*(76.294041995861/1000)</f>
        <v>4.897314555714317</v>
      </c>
    </row>
    <row r="14" spans="1:12" ht="15" x14ac:dyDescent="0.2">
      <c r="A14" s="11" t="s">
        <v>51</v>
      </c>
      <c r="B14" s="11" t="s">
        <v>36</v>
      </c>
      <c r="C14" s="19">
        <v>1246</v>
      </c>
      <c r="D14">
        <v>256.35000000000002</v>
      </c>
      <c r="E14">
        <v>100.74</v>
      </c>
      <c r="F14">
        <v>64.400000000000006</v>
      </c>
      <c r="G14">
        <v>421.51</v>
      </c>
      <c r="H14">
        <v>421.52</v>
      </c>
      <c r="I14" s="6">
        <f t="shared" si="0"/>
        <v>421.51499999999999</v>
      </c>
      <c r="J14" s="5">
        <f t="shared" si="1"/>
        <v>4.9999999999954525E-3</v>
      </c>
      <c r="K14">
        <f>'Bottle vol'!$D$7-E14-F14+5.534</f>
        <v>162.27066666666659</v>
      </c>
      <c r="L14" s="45">
        <f t="shared" si="3"/>
        <v>4.9133363045334484</v>
      </c>
    </row>
    <row r="15" spans="1:12" ht="15" x14ac:dyDescent="0.2">
      <c r="A15" s="11" t="s">
        <v>52</v>
      </c>
      <c r="B15" s="11" t="s">
        <v>37</v>
      </c>
      <c r="C15" s="19">
        <v>1246</v>
      </c>
      <c r="D15">
        <v>248.63</v>
      </c>
      <c r="E15">
        <v>99.48</v>
      </c>
      <c r="F15">
        <v>60.53</v>
      </c>
      <c r="G15">
        <v>408.59</v>
      </c>
      <c r="H15">
        <v>408.6</v>
      </c>
      <c r="I15" s="6">
        <f t="shared" si="0"/>
        <v>408.59500000000003</v>
      </c>
      <c r="J15" s="5">
        <f t="shared" si="1"/>
        <v>5.0000000000238742E-3</v>
      </c>
      <c r="K15">
        <f>'Bottle vol'!$D$7-E15-F15+5.534</f>
        <v>167.40066666666658</v>
      </c>
      <c r="L15" s="45">
        <f>F15*(83.028929157169/1000)</f>
        <v>5.0257410818834396</v>
      </c>
    </row>
    <row r="16" spans="1:12" ht="15" x14ac:dyDescent="0.2">
      <c r="A16" s="11" t="s">
        <v>53</v>
      </c>
      <c r="B16" s="11" t="s">
        <v>37</v>
      </c>
      <c r="C16" s="19">
        <v>1246</v>
      </c>
      <c r="D16">
        <v>253.68</v>
      </c>
      <c r="E16">
        <v>100.55</v>
      </c>
      <c r="F16">
        <v>60.06</v>
      </c>
      <c r="G16">
        <v>414.23</v>
      </c>
      <c r="H16">
        <v>414.23</v>
      </c>
      <c r="I16" s="6">
        <f t="shared" si="0"/>
        <v>414.23</v>
      </c>
      <c r="J16" s="5">
        <f t="shared" si="1"/>
        <v>0</v>
      </c>
      <c r="K16">
        <f>'Bottle vol'!$D$7-E16-F16+5.534</f>
        <v>166.80066666666659</v>
      </c>
      <c r="L16" s="45">
        <f t="shared" ref="L16:L17" si="4">F16*(83.028929157169/1000)</f>
        <v>4.9867174851795708</v>
      </c>
    </row>
    <row r="17" spans="1:12" ht="15" x14ac:dyDescent="0.2">
      <c r="A17" s="11" t="s">
        <v>54</v>
      </c>
      <c r="B17" s="11" t="s">
        <v>37</v>
      </c>
      <c r="C17" s="19">
        <v>1246</v>
      </c>
      <c r="D17">
        <v>257.26</v>
      </c>
      <c r="E17">
        <v>102.65</v>
      </c>
      <c r="F17">
        <v>60.96</v>
      </c>
      <c r="G17">
        <v>420.82</v>
      </c>
      <c r="H17">
        <v>420.82</v>
      </c>
      <c r="I17" s="6">
        <f t="shared" si="0"/>
        <v>420.82</v>
      </c>
      <c r="J17" s="5">
        <f t="shared" si="1"/>
        <v>0</v>
      </c>
      <c r="K17">
        <f>'Bottle vol'!$D$7-E17-F17+5.534</f>
        <v>163.80066666666659</v>
      </c>
      <c r="L17" s="45">
        <f t="shared" si="4"/>
        <v>5.0614435214210225</v>
      </c>
    </row>
    <row r="18" spans="1:12" ht="15" x14ac:dyDescent="0.2">
      <c r="A18" s="11" t="s">
        <v>55</v>
      </c>
      <c r="B18" s="11" t="s">
        <v>65</v>
      </c>
      <c r="C18" s="19">
        <v>1246</v>
      </c>
      <c r="D18">
        <v>255.25</v>
      </c>
      <c r="E18">
        <v>101.9</v>
      </c>
      <c r="F18">
        <v>62.66</v>
      </c>
      <c r="G18">
        <v>419.77</v>
      </c>
      <c r="H18">
        <v>419.78</v>
      </c>
      <c r="I18" s="6">
        <f t="shared" si="0"/>
        <v>419.77499999999998</v>
      </c>
      <c r="J18" s="5">
        <f t="shared" si="1"/>
        <v>4.9999999999954525E-3</v>
      </c>
      <c r="K18">
        <f>'Bottle vol'!$D$7-E18-F18+5.534</f>
        <v>162.8506666666666</v>
      </c>
      <c r="L18" s="45">
        <f>F18*(84.8309421771457/1000)</f>
        <v>5.3155068368199494</v>
      </c>
    </row>
    <row r="19" spans="1:12" ht="15" x14ac:dyDescent="0.2">
      <c r="A19" s="11" t="s">
        <v>56</v>
      </c>
      <c r="B19" s="11" t="s">
        <v>65</v>
      </c>
      <c r="C19" s="19">
        <v>1246</v>
      </c>
      <c r="D19">
        <v>257.22000000000003</v>
      </c>
      <c r="E19">
        <v>99.17</v>
      </c>
      <c r="F19">
        <v>58.24</v>
      </c>
      <c r="G19">
        <v>414.58</v>
      </c>
      <c r="H19">
        <v>414.59</v>
      </c>
      <c r="I19" s="6">
        <f t="shared" si="0"/>
        <v>414.58499999999998</v>
      </c>
      <c r="J19" s="5">
        <f t="shared" si="1"/>
        <v>4.9999999999954525E-3</v>
      </c>
      <c r="K19">
        <f>'Bottle vol'!$D$7-E19-F19+5.534</f>
        <v>170.00066666666658</v>
      </c>
      <c r="L19" s="45">
        <f t="shared" ref="L19:L20" si="5">F19*(84.8309421771457/1000)</f>
        <v>4.9405540723969663</v>
      </c>
    </row>
    <row r="20" spans="1:12" ht="15" x14ac:dyDescent="0.2">
      <c r="A20" s="11" t="s">
        <v>57</v>
      </c>
      <c r="B20" s="11" t="s">
        <v>65</v>
      </c>
      <c r="C20" s="19">
        <v>1246</v>
      </c>
      <c r="D20">
        <v>257.39999999999998</v>
      </c>
      <c r="E20">
        <v>101.5</v>
      </c>
      <c r="F20">
        <v>59.82</v>
      </c>
      <c r="G20">
        <v>418.66</v>
      </c>
      <c r="H20">
        <v>418.66</v>
      </c>
      <c r="I20" s="6">
        <f t="shared" si="0"/>
        <v>418.66</v>
      </c>
      <c r="J20" s="5">
        <f t="shared" si="1"/>
        <v>0</v>
      </c>
      <c r="K20">
        <f>'Bottle vol'!$D$7-E20-F20+5.534</f>
        <v>166.09066666666661</v>
      </c>
      <c r="L20" s="45">
        <f t="shared" si="5"/>
        <v>5.0745869610368564</v>
      </c>
    </row>
    <row r="21" spans="1:12" ht="15" x14ac:dyDescent="0.2">
      <c r="A21" s="11" t="s">
        <v>58</v>
      </c>
      <c r="B21" s="11" t="s">
        <v>66</v>
      </c>
      <c r="C21" s="19">
        <v>1246</v>
      </c>
      <c r="D21">
        <v>256.52999999999997</v>
      </c>
      <c r="E21">
        <v>99.7</v>
      </c>
      <c r="F21">
        <v>61.09</v>
      </c>
      <c r="G21">
        <v>417.26</v>
      </c>
      <c r="H21">
        <v>417.27</v>
      </c>
      <c r="I21" s="6">
        <f t="shared" si="0"/>
        <v>417.26499999999999</v>
      </c>
      <c r="J21" s="5">
        <f t="shared" si="1"/>
        <v>4.9999999999954525E-3</v>
      </c>
      <c r="K21">
        <f>'Bottle vol'!$D$7-E21-F21+5.534</f>
        <v>166.62066666666661</v>
      </c>
      <c r="L21" s="45">
        <f>F21*(84.3838333753029/1000)</f>
        <v>5.1550083808972547</v>
      </c>
    </row>
    <row r="22" spans="1:12" ht="15" x14ac:dyDescent="0.2">
      <c r="A22" s="11" t="s">
        <v>59</v>
      </c>
      <c r="B22" s="11" t="s">
        <v>66</v>
      </c>
      <c r="C22" s="19">
        <v>1246</v>
      </c>
      <c r="D22">
        <v>257.76</v>
      </c>
      <c r="E22">
        <v>102.77</v>
      </c>
      <c r="F22">
        <v>60.68</v>
      </c>
      <c r="G22">
        <v>421.18</v>
      </c>
      <c r="H22">
        <v>421.16</v>
      </c>
      <c r="I22" s="6">
        <f t="shared" si="0"/>
        <v>421.17</v>
      </c>
      <c r="J22" s="5">
        <f t="shared" si="1"/>
        <v>9.9999999999909051E-3</v>
      </c>
      <c r="K22">
        <f>'Bottle vol'!$D$7-E22-F22+5.534</f>
        <v>163.96066666666661</v>
      </c>
      <c r="L22" s="45">
        <f t="shared" ref="L22:L23" si="6">F22*(84.3838333753029/1000)</f>
        <v>5.1204110092133801</v>
      </c>
    </row>
    <row r="23" spans="1:12" ht="15" x14ac:dyDescent="0.2">
      <c r="A23" s="11" t="s">
        <v>60</v>
      </c>
      <c r="B23" s="11" t="s">
        <v>66</v>
      </c>
      <c r="C23" s="19">
        <v>1246</v>
      </c>
      <c r="D23">
        <v>254.67</v>
      </c>
      <c r="E23">
        <v>103.56</v>
      </c>
      <c r="F23">
        <v>61.11</v>
      </c>
      <c r="G23">
        <v>419.28</v>
      </c>
      <c r="H23">
        <v>419.29</v>
      </c>
      <c r="I23" s="6">
        <f t="shared" si="0"/>
        <v>419.28499999999997</v>
      </c>
      <c r="J23" s="5">
        <f t="shared" si="1"/>
        <v>5.0000000000238742E-3</v>
      </c>
      <c r="K23">
        <f>'Bottle vol'!$D$7-E23-F23+5.534</f>
        <v>162.74066666666658</v>
      </c>
      <c r="L23" s="45">
        <f t="shared" si="6"/>
        <v>5.1566960575647602</v>
      </c>
    </row>
    <row r="24" spans="1:12" ht="15" x14ac:dyDescent="0.2">
      <c r="A24" s="11" t="s">
        <v>91</v>
      </c>
      <c r="B24" s="11" t="s">
        <v>109</v>
      </c>
      <c r="C24" s="19">
        <v>1246</v>
      </c>
      <c r="D24">
        <v>248.55</v>
      </c>
      <c r="E24">
        <v>102.08</v>
      </c>
      <c r="F24">
        <v>61.06</v>
      </c>
      <c r="G24">
        <v>411.61</v>
      </c>
      <c r="H24">
        <v>411.61</v>
      </c>
      <c r="I24" s="6">
        <f t="shared" si="0"/>
        <v>411.61</v>
      </c>
      <c r="J24" s="5">
        <f t="shared" si="1"/>
        <v>0</v>
      </c>
      <c r="K24">
        <f>'Bottle vol'!$D$7-E24-F24+5.534</f>
        <v>164.27066666666661</v>
      </c>
      <c r="L24" s="45">
        <f>F24*(82.1986399915308/1000)</f>
        <v>5.0190489578828705</v>
      </c>
    </row>
    <row r="25" spans="1:12" ht="15" x14ac:dyDescent="0.2">
      <c r="A25" s="11" t="s">
        <v>92</v>
      </c>
      <c r="B25" s="11" t="s">
        <v>109</v>
      </c>
      <c r="C25" s="19">
        <v>1246</v>
      </c>
      <c r="D25">
        <v>255.8</v>
      </c>
      <c r="E25">
        <v>103.06</v>
      </c>
      <c r="F25">
        <v>64.510000000000005</v>
      </c>
      <c r="G25">
        <v>423.3</v>
      </c>
      <c r="H25">
        <v>423.31</v>
      </c>
      <c r="I25" s="6">
        <f t="shared" si="0"/>
        <v>423.30500000000001</v>
      </c>
      <c r="J25" s="5">
        <f t="shared" si="1"/>
        <v>4.9999999999954525E-3</v>
      </c>
      <c r="K25">
        <f>'Bottle vol'!$D$7-E25-F25+5.534</f>
        <v>159.84066666666661</v>
      </c>
      <c r="L25" s="45">
        <f t="shared" ref="L25:L26" si="7">F25*(82.1986399915308/1000)</f>
        <v>5.3026342658536514</v>
      </c>
    </row>
    <row r="26" spans="1:12" ht="15" x14ac:dyDescent="0.2">
      <c r="A26" s="11" t="s">
        <v>93</v>
      </c>
      <c r="B26" s="11" t="s">
        <v>109</v>
      </c>
      <c r="C26" s="19">
        <v>1246</v>
      </c>
      <c r="D26">
        <v>255.74</v>
      </c>
      <c r="E26">
        <v>100.31</v>
      </c>
      <c r="F26">
        <v>62.93</v>
      </c>
      <c r="G26">
        <v>418.94</v>
      </c>
      <c r="H26">
        <v>418.94</v>
      </c>
      <c r="I26" s="6">
        <f t="shared" si="0"/>
        <v>418.94</v>
      </c>
      <c r="J26" s="5">
        <f t="shared" si="1"/>
        <v>0</v>
      </c>
      <c r="K26">
        <f>'Bottle vol'!$D$7-E26-F26+5.534</f>
        <v>164.17066666666659</v>
      </c>
      <c r="L26" s="45">
        <f t="shared" si="7"/>
        <v>5.1727604146670325</v>
      </c>
    </row>
    <row r="27" spans="1:12" ht="15" x14ac:dyDescent="0.2">
      <c r="A27" s="11" t="s">
        <v>94</v>
      </c>
      <c r="B27" s="11" t="s">
        <v>110</v>
      </c>
      <c r="C27" s="19">
        <v>1246</v>
      </c>
      <c r="D27">
        <v>257.36</v>
      </c>
      <c r="E27">
        <v>102.62</v>
      </c>
      <c r="F27">
        <v>53.14</v>
      </c>
      <c r="G27">
        <v>413.06</v>
      </c>
      <c r="H27">
        <v>413.07</v>
      </c>
      <c r="I27" s="6">
        <f t="shared" si="0"/>
        <v>413.065</v>
      </c>
      <c r="J27" s="5">
        <f t="shared" si="1"/>
        <v>4.9999999999954525E-3</v>
      </c>
      <c r="K27">
        <f>'Bottle vol'!$D$7-E27-F27+5.534</f>
        <v>171.65066666666661</v>
      </c>
      <c r="L27" s="45">
        <f>F27*(98.9790337260234/1000)</f>
        <v>5.2597458522008838</v>
      </c>
    </row>
    <row r="28" spans="1:12" ht="15" x14ac:dyDescent="0.2">
      <c r="A28" s="11" t="s">
        <v>95</v>
      </c>
      <c r="B28" s="11" t="s">
        <v>110</v>
      </c>
      <c r="C28" s="19">
        <v>1246</v>
      </c>
      <c r="D28">
        <v>248.14</v>
      </c>
      <c r="E28">
        <v>102.56</v>
      </c>
      <c r="F28">
        <v>52.47</v>
      </c>
      <c r="G28">
        <v>403.12</v>
      </c>
      <c r="H28">
        <v>403.11</v>
      </c>
      <c r="I28" s="6">
        <f t="shared" si="0"/>
        <v>403.11500000000001</v>
      </c>
      <c r="J28" s="5">
        <f t="shared" si="1"/>
        <v>4.9999999999954525E-3</v>
      </c>
      <c r="K28">
        <f>'Bottle vol'!$D$7-E28-F28+5.534</f>
        <v>172.3806666666666</v>
      </c>
      <c r="L28" s="45">
        <f t="shared" ref="L28:L29" si="8">F28*(98.9790337260234/1000)</f>
        <v>5.1934298996044479</v>
      </c>
    </row>
    <row r="29" spans="1:12" ht="15" x14ac:dyDescent="0.2">
      <c r="A29" s="11" t="s">
        <v>96</v>
      </c>
      <c r="B29" s="11" t="s">
        <v>110</v>
      </c>
      <c r="C29" s="19">
        <v>1246</v>
      </c>
      <c r="D29">
        <v>257.10000000000002</v>
      </c>
      <c r="E29">
        <v>102.49</v>
      </c>
      <c r="F29">
        <v>51.73</v>
      </c>
      <c r="G29">
        <v>411.25</v>
      </c>
      <c r="H29">
        <v>411.26</v>
      </c>
      <c r="I29" s="6">
        <f t="shared" si="0"/>
        <v>411.255</v>
      </c>
      <c r="J29" s="5">
        <f t="shared" si="1"/>
        <v>4.9999999999954525E-3</v>
      </c>
      <c r="K29">
        <f>'Bottle vol'!$D$7-E29-F29+5.534</f>
        <v>173.1906666666666</v>
      </c>
      <c r="L29" s="45">
        <f t="shared" si="8"/>
        <v>5.1201854146471906</v>
      </c>
    </row>
    <row r="30" spans="1:12" ht="15" x14ac:dyDescent="0.2">
      <c r="A30" s="11" t="s">
        <v>97</v>
      </c>
      <c r="B30" s="11" t="s">
        <v>106</v>
      </c>
      <c r="C30" s="19">
        <v>1246</v>
      </c>
      <c r="D30">
        <v>255.19</v>
      </c>
      <c r="E30">
        <v>101.1</v>
      </c>
      <c r="F30">
        <v>47.07</v>
      </c>
      <c r="G30">
        <v>403.29</v>
      </c>
      <c r="H30">
        <v>403.3</v>
      </c>
      <c r="I30" s="6">
        <f t="shared" si="0"/>
        <v>403.29500000000002</v>
      </c>
      <c r="J30" s="5">
        <f t="shared" si="1"/>
        <v>4.9999999999954525E-3</v>
      </c>
      <c r="K30">
        <f>'Bottle vol'!$D$7-E30-F30+5.534</f>
        <v>179.24066666666661</v>
      </c>
      <c r="L30" s="45">
        <f>F30*(110.877698481734/1000)</f>
        <v>5.2190132675352192</v>
      </c>
    </row>
    <row r="31" spans="1:12" ht="15" x14ac:dyDescent="0.2">
      <c r="A31" s="11" t="s">
        <v>98</v>
      </c>
      <c r="B31" s="11" t="s">
        <v>106</v>
      </c>
      <c r="C31" s="19">
        <v>1246</v>
      </c>
      <c r="D31">
        <v>254.93</v>
      </c>
      <c r="E31">
        <v>102.31</v>
      </c>
      <c r="F31">
        <v>46.04</v>
      </c>
      <c r="G31">
        <v>403.23</v>
      </c>
      <c r="H31">
        <v>403.24</v>
      </c>
      <c r="I31" s="6">
        <f t="shared" si="0"/>
        <v>403.23500000000001</v>
      </c>
      <c r="J31" s="5">
        <f t="shared" si="1"/>
        <v>4.9999999999954525E-3</v>
      </c>
      <c r="K31">
        <f>'Bottle vol'!$D$7-E31-F31+5.534</f>
        <v>179.06066666666661</v>
      </c>
      <c r="L31" s="45">
        <f t="shared" ref="L31:L32" si="9">F31*(110.877698481734/1000)</f>
        <v>5.1048092380990333</v>
      </c>
    </row>
    <row r="32" spans="1:12" ht="15" x14ac:dyDescent="0.2">
      <c r="A32" s="11" t="s">
        <v>99</v>
      </c>
      <c r="B32" s="11" t="s">
        <v>106</v>
      </c>
      <c r="C32" s="19">
        <v>1246</v>
      </c>
      <c r="D32">
        <v>257.62</v>
      </c>
      <c r="E32">
        <v>100.43</v>
      </c>
      <c r="F32">
        <v>46.5</v>
      </c>
      <c r="G32">
        <v>404.49</v>
      </c>
      <c r="H32">
        <v>404.5</v>
      </c>
      <c r="I32" s="6">
        <f t="shared" si="0"/>
        <v>404.495</v>
      </c>
      <c r="J32" s="5">
        <f t="shared" si="1"/>
        <v>4.9999999999954525E-3</v>
      </c>
      <c r="K32">
        <f>'Bottle vol'!$D$7-E32-F32+5.534</f>
        <v>180.48066666666659</v>
      </c>
      <c r="L32" s="45">
        <f t="shared" si="9"/>
        <v>5.1558129794006309</v>
      </c>
    </row>
    <row r="33" spans="1:12" ht="15" x14ac:dyDescent="0.2">
      <c r="A33" s="11" t="s">
        <v>100</v>
      </c>
      <c r="B33" s="11" t="s">
        <v>107</v>
      </c>
      <c r="C33" s="19">
        <v>1246</v>
      </c>
      <c r="D33">
        <v>254.08</v>
      </c>
      <c r="E33">
        <v>40.51</v>
      </c>
      <c r="F33">
        <v>106.05</v>
      </c>
      <c r="G33">
        <v>400.59</v>
      </c>
      <c r="H33">
        <v>400.59</v>
      </c>
      <c r="I33" s="6">
        <f t="shared" si="0"/>
        <v>400.59</v>
      </c>
      <c r="J33" s="5">
        <f t="shared" si="1"/>
        <v>0</v>
      </c>
      <c r="K33">
        <f>'Bottle vol'!$D$7-E33-F33+5.534</f>
        <v>180.8506666666666</v>
      </c>
      <c r="L33" s="45">
        <f>F33*(43.6922783614021/1000)</f>
        <v>4.6335661202266927</v>
      </c>
    </row>
    <row r="34" spans="1:12" ht="15" x14ac:dyDescent="0.2">
      <c r="A34" s="11" t="s">
        <v>101</v>
      </c>
      <c r="B34" s="11" t="s">
        <v>107</v>
      </c>
      <c r="C34" s="19">
        <v>1246</v>
      </c>
      <c r="D34">
        <v>257.20999999999998</v>
      </c>
      <c r="E34">
        <v>41.35</v>
      </c>
      <c r="F34">
        <v>103.94</v>
      </c>
      <c r="G34">
        <v>402.45</v>
      </c>
      <c r="H34">
        <v>402.46</v>
      </c>
      <c r="I34" s="6">
        <f t="shared" si="0"/>
        <v>402.45499999999998</v>
      </c>
      <c r="J34" s="5">
        <f t="shared" si="1"/>
        <v>4.9999999999954525E-3</v>
      </c>
      <c r="K34">
        <f>'Bottle vol'!$D$7-E34-F34+5.534</f>
        <v>182.12066666666658</v>
      </c>
      <c r="L34" s="45">
        <f t="shared" ref="L34:L35" si="10">F34*(43.6922783614021/1000)</f>
        <v>4.5413754128841344</v>
      </c>
    </row>
    <row r="35" spans="1:12" ht="15" x14ac:dyDescent="0.2">
      <c r="A35" s="11" t="s">
        <v>102</v>
      </c>
      <c r="B35" s="11" t="s">
        <v>107</v>
      </c>
      <c r="C35" s="19">
        <v>1246</v>
      </c>
      <c r="D35">
        <v>256.39</v>
      </c>
      <c r="E35">
        <v>41.34</v>
      </c>
      <c r="F35">
        <v>105.81</v>
      </c>
      <c r="G35">
        <v>403.49</v>
      </c>
      <c r="H35">
        <v>403.5</v>
      </c>
      <c r="I35" s="6">
        <f t="shared" si="0"/>
        <v>403.495</v>
      </c>
      <c r="J35" s="5">
        <f t="shared" si="1"/>
        <v>4.9999999999954525E-3</v>
      </c>
      <c r="K35">
        <f>'Bottle vol'!$D$7-E35-F35+5.534</f>
        <v>180.26066666666662</v>
      </c>
      <c r="L35" s="45">
        <f t="shared" si="10"/>
        <v>4.6230799734199568</v>
      </c>
    </row>
    <row r="36" spans="1:12" ht="15" x14ac:dyDescent="0.2">
      <c r="A36" s="11" t="s">
        <v>103</v>
      </c>
      <c r="B36" s="11" t="s">
        <v>108</v>
      </c>
      <c r="C36" s="19">
        <v>1246</v>
      </c>
      <c r="D36">
        <v>257.07</v>
      </c>
      <c r="E36">
        <v>40</v>
      </c>
      <c r="F36">
        <v>120.3</v>
      </c>
      <c r="G36">
        <v>417.26</v>
      </c>
      <c r="H36">
        <v>417.27</v>
      </c>
      <c r="I36" s="6">
        <f t="shared" si="0"/>
        <v>417.26499999999999</v>
      </c>
      <c r="J36" s="5">
        <f t="shared" si="1"/>
        <v>4.9999999999954525E-3</v>
      </c>
      <c r="K36">
        <f>'Bottle vol'!$D$7-E36-F36+5.534</f>
        <v>167.11066666666659</v>
      </c>
      <c r="L36" s="45">
        <f>F36*(46.7298563133548/1000)</f>
        <v>5.621601714496582</v>
      </c>
    </row>
    <row r="37" spans="1:12" ht="15" x14ac:dyDescent="0.2">
      <c r="A37" s="11" t="s">
        <v>104</v>
      </c>
      <c r="B37" s="11" t="s">
        <v>108</v>
      </c>
      <c r="C37" s="19">
        <v>1246</v>
      </c>
      <c r="D37">
        <v>256.48</v>
      </c>
      <c r="E37">
        <v>40.799999999999997</v>
      </c>
      <c r="F37">
        <v>120.17</v>
      </c>
      <c r="G37">
        <v>417.39</v>
      </c>
      <c r="H37">
        <v>417.4</v>
      </c>
      <c r="I37" s="6">
        <f t="shared" si="0"/>
        <v>417.39499999999998</v>
      </c>
      <c r="J37" s="5">
        <f t="shared" si="1"/>
        <v>4.9999999999954525E-3</v>
      </c>
      <c r="K37">
        <f>'Bottle vol'!$D$7-E37-F37+5.534</f>
        <v>166.44066666666657</v>
      </c>
      <c r="L37" s="45">
        <f t="shared" ref="L37:L38" si="11">F37*(46.7298563133548/1000)</f>
        <v>5.6155268331758466</v>
      </c>
    </row>
    <row r="38" spans="1:12" ht="15" x14ac:dyDescent="0.2">
      <c r="A38" s="11" t="s">
        <v>105</v>
      </c>
      <c r="B38" s="11" t="s">
        <v>108</v>
      </c>
      <c r="C38" s="19">
        <v>1246</v>
      </c>
      <c r="D38">
        <v>255.13</v>
      </c>
      <c r="E38">
        <v>42.24</v>
      </c>
      <c r="F38">
        <v>122.04</v>
      </c>
      <c r="G38">
        <v>419.31</v>
      </c>
      <c r="H38">
        <v>419.31</v>
      </c>
      <c r="I38" s="6">
        <f t="shared" si="0"/>
        <v>419.31</v>
      </c>
      <c r="J38" s="5">
        <f t="shared" si="1"/>
        <v>0</v>
      </c>
      <c r="K38">
        <f>'Bottle vol'!$D$7-E38-F38+5.534</f>
        <v>163.13066666666657</v>
      </c>
      <c r="L38" s="45">
        <f t="shared" si="11"/>
        <v>5.7029116644818201</v>
      </c>
    </row>
    <row r="39" spans="1:12" ht="15" x14ac:dyDescent="0.2">
      <c r="A39" s="11" t="s">
        <v>32</v>
      </c>
      <c r="B39" s="11" t="s">
        <v>541</v>
      </c>
      <c r="C39" s="19">
        <v>1246</v>
      </c>
      <c r="D39">
        <v>255.62</v>
      </c>
      <c r="E39">
        <v>104.57</v>
      </c>
      <c r="F39">
        <v>0.64</v>
      </c>
      <c r="G39">
        <v>360.78</v>
      </c>
      <c r="H39">
        <v>360.77</v>
      </c>
      <c r="I39" s="6">
        <f t="shared" si="0"/>
        <v>360.77499999999998</v>
      </c>
      <c r="J39" s="5">
        <f t="shared" si="1"/>
        <v>4.9999999999954525E-3</v>
      </c>
      <c r="K39">
        <f>'Bottle vol'!$D$7-E39-F39+5.534</f>
        <v>222.20066666666662</v>
      </c>
      <c r="L39" s="45">
        <f>F39*(1000/1000)</f>
        <v>0.64</v>
      </c>
    </row>
    <row r="40" spans="1:12" ht="15" x14ac:dyDescent="0.2">
      <c r="A40" s="11" t="s">
        <v>33</v>
      </c>
      <c r="B40" s="11" t="s">
        <v>541</v>
      </c>
      <c r="C40" s="19">
        <v>1246</v>
      </c>
      <c r="D40">
        <v>257.69</v>
      </c>
      <c r="E40">
        <v>99.26</v>
      </c>
      <c r="F40">
        <v>0.61</v>
      </c>
      <c r="G40">
        <v>357.5</v>
      </c>
      <c r="H40">
        <v>357.5</v>
      </c>
      <c r="I40" s="6">
        <f t="shared" si="0"/>
        <v>357.5</v>
      </c>
      <c r="J40" s="5">
        <f t="shared" si="1"/>
        <v>0</v>
      </c>
      <c r="K40">
        <f>'Bottle vol'!$D$7-E40-F40+5.534</f>
        <v>227.5406666666666</v>
      </c>
      <c r="L40" s="45">
        <f t="shared" ref="L40:L41" si="12">F40*(1000/1000)</f>
        <v>0.61</v>
      </c>
    </row>
    <row r="41" spans="1:12" ht="15" x14ac:dyDescent="0.2">
      <c r="A41" s="11" t="s">
        <v>34</v>
      </c>
      <c r="B41" s="11" t="s">
        <v>541</v>
      </c>
      <c r="C41" s="19">
        <v>1246</v>
      </c>
      <c r="D41">
        <v>256.33999999999997</v>
      </c>
      <c r="E41">
        <v>100.37</v>
      </c>
      <c r="F41">
        <v>0.63</v>
      </c>
      <c r="G41">
        <v>357.26</v>
      </c>
      <c r="H41">
        <v>357.26</v>
      </c>
      <c r="I41" s="6">
        <f t="shared" si="0"/>
        <v>357.26</v>
      </c>
      <c r="J41" s="5">
        <f t="shared" si="1"/>
        <v>0</v>
      </c>
      <c r="K41">
        <f>'Bottle vol'!$D$7-E41-F41+5.534</f>
        <v>226.4106666666666</v>
      </c>
      <c r="L41" s="45">
        <f t="shared" si="12"/>
        <v>0.63</v>
      </c>
    </row>
    <row r="42" spans="1:12" ht="15" x14ac:dyDescent="0.2">
      <c r="A42" s="11" t="s">
        <v>35</v>
      </c>
      <c r="B42" s="11" t="s">
        <v>540</v>
      </c>
      <c r="C42" s="19">
        <v>1246</v>
      </c>
      <c r="D42">
        <v>248.21</v>
      </c>
      <c r="E42">
        <v>99.68</v>
      </c>
      <c r="F42">
        <v>1.02</v>
      </c>
      <c r="G42">
        <v>348.85</v>
      </c>
      <c r="H42">
        <v>348.85</v>
      </c>
      <c r="I42" s="6">
        <f t="shared" si="0"/>
        <v>348.85</v>
      </c>
      <c r="J42" s="5">
        <f t="shared" si="1"/>
        <v>0</v>
      </c>
      <c r="K42">
        <f>'Bottle vol'!$D$7-E42-F42+5.534</f>
        <v>226.71066666666658</v>
      </c>
      <c r="L42" s="45">
        <f>F42*(952/1000)</f>
        <v>0.97104000000000001</v>
      </c>
    </row>
    <row r="43" spans="1:12" ht="15" x14ac:dyDescent="0.2">
      <c r="A43" s="11" t="s">
        <v>36</v>
      </c>
      <c r="B43" s="11" t="s">
        <v>540</v>
      </c>
      <c r="C43" s="19">
        <v>1246</v>
      </c>
      <c r="D43">
        <v>256.95999999999998</v>
      </c>
      <c r="E43">
        <v>99.58</v>
      </c>
      <c r="F43">
        <v>1.01</v>
      </c>
      <c r="G43">
        <v>357.48</v>
      </c>
      <c r="H43">
        <v>357.47</v>
      </c>
      <c r="I43" s="6">
        <f t="shared" si="0"/>
        <v>357.47500000000002</v>
      </c>
      <c r="J43" s="5">
        <f t="shared" si="1"/>
        <v>4.9999999999954525E-3</v>
      </c>
      <c r="K43">
        <f>'Bottle vol'!$D$7-E43-F43+5.534</f>
        <v>226.82066666666663</v>
      </c>
      <c r="L43" s="45">
        <f>F43*(952/1000)</f>
        <v>0.96151999999999993</v>
      </c>
    </row>
    <row r="44" spans="1:12" ht="15" x14ac:dyDescent="0.2">
      <c r="A44" s="11" t="s">
        <v>37</v>
      </c>
      <c r="B44" s="11" t="s">
        <v>540</v>
      </c>
      <c r="C44" s="19">
        <v>1246</v>
      </c>
      <c r="D44">
        <v>256.62</v>
      </c>
      <c r="E44">
        <v>100.23</v>
      </c>
      <c r="F44">
        <v>1.01</v>
      </c>
      <c r="G44">
        <v>357.77</v>
      </c>
      <c r="H44">
        <v>357.76</v>
      </c>
      <c r="I44" s="6">
        <f t="shared" si="0"/>
        <v>357.76499999999999</v>
      </c>
      <c r="J44" s="5">
        <f t="shared" si="1"/>
        <v>4.9999999999954525E-3</v>
      </c>
      <c r="K44">
        <f>'Bottle vol'!$D$7-E44-F44+5.534</f>
        <v>226.17066666666659</v>
      </c>
      <c r="L44" s="45">
        <f>F44*(952/1000)</f>
        <v>0.96151999999999993</v>
      </c>
    </row>
    <row r="47" spans="1:12" ht="15" x14ac:dyDescent="0.2">
      <c r="B47" s="20"/>
    </row>
  </sheetData>
  <phoneticPr fontId="2" type="noConversion"/>
  <pageMargins left="0.75" right="0.75" top="1" bottom="1" header="0.51180555555555496" footer="0.51180555555555496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published="0"/>
  <dimension ref="A1:P686"/>
  <sheetViews>
    <sheetView zoomScale="90" zoomScaleNormal="90" workbookViewId="0">
      <pane xSplit="1" ySplit="2" topLeftCell="B659" activePane="bottomRight" state="frozen"/>
      <selection pane="topRight" activeCell="B1" sqref="B1"/>
      <selection pane="bottomLeft" activeCell="A3" sqref="A3"/>
      <selection pane="bottomRight" activeCell="I669" sqref="I669"/>
    </sheetView>
  </sheetViews>
  <sheetFormatPr defaultColWidth="8.75" defaultRowHeight="15" x14ac:dyDescent="0.25"/>
  <cols>
    <col min="1" max="1" width="8.75" style="35"/>
    <col min="2" max="2" width="9.875" style="4" bestFit="1" customWidth="1"/>
    <col min="3" max="3" width="8.75" style="4"/>
    <col min="4" max="4" width="11.125" style="4" bestFit="1" customWidth="1"/>
    <col min="5" max="5" width="13" style="40" bestFit="1" customWidth="1"/>
    <col min="6" max="6" width="10.625" style="40" customWidth="1"/>
    <col min="7" max="7" width="18.5" style="4" customWidth="1"/>
    <col min="8" max="8" width="13.375" style="4" customWidth="1"/>
    <col min="9" max="9" width="15.125" style="40" customWidth="1"/>
    <col min="10" max="10" width="15.125" style="4" customWidth="1"/>
    <col min="11" max="11" width="12.375" style="4" customWidth="1"/>
    <col min="12" max="16384" width="8.75" style="4"/>
  </cols>
  <sheetData>
    <row r="1" spans="1:16" x14ac:dyDescent="0.25">
      <c r="A1" s="35" t="s">
        <v>0</v>
      </c>
      <c r="B1" s="4" t="s">
        <v>15</v>
      </c>
      <c r="C1" s="4" t="s">
        <v>90</v>
      </c>
      <c r="D1" s="4" t="s">
        <v>16</v>
      </c>
      <c r="E1" s="40" t="s">
        <v>17</v>
      </c>
      <c r="F1" s="40" t="s">
        <v>111</v>
      </c>
      <c r="G1" s="4" t="s">
        <v>112</v>
      </c>
      <c r="H1" s="2" t="s">
        <v>18</v>
      </c>
      <c r="I1" s="39" t="s">
        <v>19</v>
      </c>
      <c r="J1" s="2" t="s">
        <v>118</v>
      </c>
      <c r="K1" s="4" t="s">
        <v>20</v>
      </c>
      <c r="L1" s="4" t="s">
        <v>21</v>
      </c>
      <c r="M1" s="2" t="s">
        <v>22</v>
      </c>
      <c r="N1" s="2" t="s">
        <v>178</v>
      </c>
    </row>
    <row r="2" spans="1:16" x14ac:dyDescent="0.25">
      <c r="A2" s="35" t="s">
        <v>8</v>
      </c>
      <c r="B2" s="4" t="s">
        <v>15</v>
      </c>
      <c r="C2" s="4" t="s">
        <v>90</v>
      </c>
      <c r="D2" s="4" t="s">
        <v>16</v>
      </c>
      <c r="E2" s="40" t="s">
        <v>23</v>
      </c>
      <c r="F2" s="40" t="s">
        <v>538</v>
      </c>
      <c r="G2" s="4" t="s">
        <v>539</v>
      </c>
      <c r="H2" s="2" t="s">
        <v>24</v>
      </c>
      <c r="I2" s="39" t="s">
        <v>25</v>
      </c>
      <c r="J2" s="2" t="s">
        <v>119</v>
      </c>
      <c r="K2" s="4" t="s">
        <v>26</v>
      </c>
      <c r="L2" s="4" t="s">
        <v>27</v>
      </c>
      <c r="M2" s="2" t="s">
        <v>28</v>
      </c>
      <c r="N2" s="2" t="s">
        <v>179</v>
      </c>
    </row>
    <row r="3" spans="1:16" ht="12.75" x14ac:dyDescent="0.2">
      <c r="A3" s="37" t="s">
        <v>29</v>
      </c>
      <c r="B3" s="36" t="s">
        <v>542</v>
      </c>
      <c r="C3" s="36" t="s">
        <v>531</v>
      </c>
      <c r="D3" s="36" t="s">
        <v>374</v>
      </c>
      <c r="H3" s="4">
        <v>366.57</v>
      </c>
      <c r="I3" s="40">
        <v>366.57</v>
      </c>
    </row>
    <row r="4" spans="1:16" ht="12.75" x14ac:dyDescent="0.2">
      <c r="A4" s="37" t="s">
        <v>30</v>
      </c>
      <c r="B4" s="36" t="s">
        <v>542</v>
      </c>
      <c r="C4" s="36" t="s">
        <v>531</v>
      </c>
      <c r="D4" s="36" t="s">
        <v>374</v>
      </c>
      <c r="H4" s="4">
        <v>358.505</v>
      </c>
      <c r="I4" s="40">
        <v>358.505</v>
      </c>
    </row>
    <row r="5" spans="1:16" ht="12.75" x14ac:dyDescent="0.2">
      <c r="A5" s="37" t="s">
        <v>31</v>
      </c>
      <c r="B5" s="36" t="s">
        <v>542</v>
      </c>
      <c r="C5" s="36" t="s">
        <v>531</v>
      </c>
      <c r="D5" s="36" t="s">
        <v>374</v>
      </c>
      <c r="H5" s="4">
        <v>357.95499999999998</v>
      </c>
      <c r="I5" s="40">
        <v>357.95499999999998</v>
      </c>
    </row>
    <row r="6" spans="1:16" ht="12.75" x14ac:dyDescent="0.2">
      <c r="A6" s="37" t="s">
        <v>38</v>
      </c>
      <c r="B6" s="36" t="s">
        <v>542</v>
      </c>
      <c r="C6" s="36" t="s">
        <v>531</v>
      </c>
      <c r="D6" s="36" t="s">
        <v>374</v>
      </c>
      <c r="H6" s="4">
        <v>356.37</v>
      </c>
      <c r="I6" s="40">
        <v>356.37</v>
      </c>
    </row>
    <row r="7" spans="1:16" ht="12.75" x14ac:dyDescent="0.2">
      <c r="A7" s="37" t="s">
        <v>39</v>
      </c>
      <c r="B7" s="36" t="s">
        <v>542</v>
      </c>
      <c r="C7" s="36" t="s">
        <v>531</v>
      </c>
      <c r="D7" s="36" t="s">
        <v>374</v>
      </c>
      <c r="H7" s="4">
        <v>357.07499999999999</v>
      </c>
      <c r="I7" s="40">
        <v>357.07499999999999</v>
      </c>
    </row>
    <row r="8" spans="1:16" ht="12.75" x14ac:dyDescent="0.2">
      <c r="A8" s="37" t="s">
        <v>40</v>
      </c>
      <c r="B8" s="36" t="s">
        <v>542</v>
      </c>
      <c r="C8" s="36" t="s">
        <v>531</v>
      </c>
      <c r="D8" s="36" t="s">
        <v>374</v>
      </c>
      <c r="H8" s="4">
        <v>357.29500000000002</v>
      </c>
      <c r="I8" s="40">
        <v>357.29500000000002</v>
      </c>
    </row>
    <row r="9" spans="1:16" ht="12.75" x14ac:dyDescent="0.2">
      <c r="A9" s="37" t="s">
        <v>46</v>
      </c>
      <c r="B9" s="36" t="s">
        <v>542</v>
      </c>
      <c r="C9" s="36" t="s">
        <v>531</v>
      </c>
      <c r="D9" s="36" t="s">
        <v>374</v>
      </c>
      <c r="H9" s="4">
        <v>406.78</v>
      </c>
      <c r="I9" s="40">
        <v>406.78</v>
      </c>
    </row>
    <row r="10" spans="1:16" ht="12.75" x14ac:dyDescent="0.2">
      <c r="A10" s="37" t="s">
        <v>47</v>
      </c>
      <c r="B10" s="36" t="s">
        <v>542</v>
      </c>
      <c r="C10" s="36" t="s">
        <v>531</v>
      </c>
      <c r="D10" s="36" t="s">
        <v>374</v>
      </c>
      <c r="H10" s="4">
        <v>411.41500000000002</v>
      </c>
      <c r="I10" s="40">
        <v>411.41500000000002</v>
      </c>
    </row>
    <row r="11" spans="1:16" ht="12.75" x14ac:dyDescent="0.2">
      <c r="A11" s="37" t="s">
        <v>48</v>
      </c>
      <c r="B11" s="36" t="s">
        <v>542</v>
      </c>
      <c r="C11" s="36" t="s">
        <v>531</v>
      </c>
      <c r="D11" s="36" t="s">
        <v>374</v>
      </c>
      <c r="H11" s="4">
        <v>415.94499999999999</v>
      </c>
      <c r="I11" s="40">
        <v>415.94499999999999</v>
      </c>
    </row>
    <row r="12" spans="1:16" ht="12.75" x14ac:dyDescent="0.2">
      <c r="A12" s="37" t="s">
        <v>49</v>
      </c>
      <c r="B12" s="36" t="s">
        <v>542</v>
      </c>
      <c r="C12" s="36" t="s">
        <v>531</v>
      </c>
      <c r="D12" s="36" t="s">
        <v>374</v>
      </c>
      <c r="H12" s="4">
        <v>422.4</v>
      </c>
      <c r="I12" s="40">
        <v>422.4</v>
      </c>
    </row>
    <row r="13" spans="1:16" ht="12.75" x14ac:dyDescent="0.2">
      <c r="A13" s="37" t="s">
        <v>50</v>
      </c>
      <c r="B13" s="36" t="s">
        <v>542</v>
      </c>
      <c r="C13" s="36" t="s">
        <v>531</v>
      </c>
      <c r="D13" s="36" t="s">
        <v>374</v>
      </c>
      <c r="H13" s="4">
        <v>419.40499999999997</v>
      </c>
      <c r="I13" s="40">
        <v>419.40499999999997</v>
      </c>
    </row>
    <row r="14" spans="1:16" ht="12.75" x14ac:dyDescent="0.2">
      <c r="A14" s="37" t="s">
        <v>51</v>
      </c>
      <c r="B14" s="36" t="s">
        <v>542</v>
      </c>
      <c r="C14" s="36" t="s">
        <v>531</v>
      </c>
      <c r="D14" s="36" t="s">
        <v>374</v>
      </c>
      <c r="H14" s="4">
        <v>421.51499999999999</v>
      </c>
      <c r="I14" s="40">
        <v>421.51499999999999</v>
      </c>
    </row>
    <row r="15" spans="1:16" ht="12.75" x14ac:dyDescent="0.2">
      <c r="A15" s="37" t="s">
        <v>52</v>
      </c>
      <c r="B15" s="36" t="s">
        <v>542</v>
      </c>
      <c r="C15" s="36" t="s">
        <v>531</v>
      </c>
      <c r="D15" s="36" t="s">
        <v>374</v>
      </c>
      <c r="H15" s="4">
        <v>408.59500000000003</v>
      </c>
      <c r="I15" s="40">
        <v>408.59500000000003</v>
      </c>
      <c r="P15" s="36" t="s">
        <v>35</v>
      </c>
    </row>
    <row r="16" spans="1:16" ht="12.75" x14ac:dyDescent="0.2">
      <c r="A16" s="37" t="s">
        <v>53</v>
      </c>
      <c r="B16" s="36" t="s">
        <v>542</v>
      </c>
      <c r="C16" s="36" t="s">
        <v>531</v>
      </c>
      <c r="D16" s="36" t="s">
        <v>374</v>
      </c>
      <c r="H16" s="4">
        <v>414.23</v>
      </c>
      <c r="I16" s="40">
        <v>414.23</v>
      </c>
      <c r="P16" s="40">
        <f>SUM(E84,E126,E168,E210,E252,E294,E336,E453,E543,E675)</f>
        <v>1048</v>
      </c>
    </row>
    <row r="17" spans="1:9" ht="12.75" x14ac:dyDescent="0.2">
      <c r="A17" s="37" t="s">
        <v>54</v>
      </c>
      <c r="B17" s="36" t="s">
        <v>542</v>
      </c>
      <c r="C17" s="36" t="s">
        <v>531</v>
      </c>
      <c r="D17" s="36" t="s">
        <v>374</v>
      </c>
      <c r="H17" s="4">
        <v>420.82</v>
      </c>
      <c r="I17" s="40">
        <v>420.82</v>
      </c>
    </row>
    <row r="18" spans="1:9" ht="12.75" x14ac:dyDescent="0.2">
      <c r="A18" s="37" t="s">
        <v>55</v>
      </c>
      <c r="B18" s="36" t="s">
        <v>542</v>
      </c>
      <c r="C18" s="36" t="s">
        <v>531</v>
      </c>
      <c r="D18" s="36" t="s">
        <v>374</v>
      </c>
      <c r="H18" s="4">
        <v>419.77499999999998</v>
      </c>
      <c r="I18" s="40">
        <v>419.77499999999998</v>
      </c>
    </row>
    <row r="19" spans="1:9" ht="12.75" x14ac:dyDescent="0.2">
      <c r="A19" s="37" t="s">
        <v>56</v>
      </c>
      <c r="B19" s="36" t="s">
        <v>542</v>
      </c>
      <c r="C19" s="36" t="s">
        <v>531</v>
      </c>
      <c r="D19" s="36" t="s">
        <v>374</v>
      </c>
      <c r="H19" s="4">
        <v>414.58499999999998</v>
      </c>
      <c r="I19" s="40">
        <v>414.58499999999998</v>
      </c>
    </row>
    <row r="20" spans="1:9" ht="12.75" x14ac:dyDescent="0.2">
      <c r="A20" s="37" t="s">
        <v>57</v>
      </c>
      <c r="B20" s="36" t="s">
        <v>542</v>
      </c>
      <c r="C20" s="36" t="s">
        <v>531</v>
      </c>
      <c r="D20" s="36" t="s">
        <v>374</v>
      </c>
      <c r="H20" s="4">
        <v>418.66</v>
      </c>
      <c r="I20" s="40">
        <v>418.66</v>
      </c>
    </row>
    <row r="21" spans="1:9" ht="12.75" x14ac:dyDescent="0.2">
      <c r="A21" s="37" t="s">
        <v>58</v>
      </c>
      <c r="B21" s="36" t="s">
        <v>542</v>
      </c>
      <c r="C21" s="36" t="s">
        <v>531</v>
      </c>
      <c r="D21" s="36" t="s">
        <v>374</v>
      </c>
      <c r="H21" s="4">
        <v>417.26499999999999</v>
      </c>
      <c r="I21" s="40">
        <v>417.26499999999999</v>
      </c>
    </row>
    <row r="22" spans="1:9" ht="12.75" x14ac:dyDescent="0.2">
      <c r="A22" s="37" t="s">
        <v>59</v>
      </c>
      <c r="B22" s="36" t="s">
        <v>542</v>
      </c>
      <c r="C22" s="36" t="s">
        <v>531</v>
      </c>
      <c r="D22" s="36" t="s">
        <v>374</v>
      </c>
      <c r="H22" s="4">
        <v>421.17</v>
      </c>
      <c r="I22" s="40">
        <v>421.17</v>
      </c>
    </row>
    <row r="23" spans="1:9" ht="12.75" x14ac:dyDescent="0.2">
      <c r="A23" s="37" t="s">
        <v>60</v>
      </c>
      <c r="B23" s="36" t="s">
        <v>542</v>
      </c>
      <c r="C23" s="36" t="s">
        <v>531</v>
      </c>
      <c r="D23" s="36" t="s">
        <v>374</v>
      </c>
      <c r="H23" s="4">
        <v>419.28499999999997</v>
      </c>
      <c r="I23" s="40">
        <v>419.28499999999997</v>
      </c>
    </row>
    <row r="24" spans="1:9" ht="12.75" x14ac:dyDescent="0.2">
      <c r="A24" s="37" t="s">
        <v>91</v>
      </c>
      <c r="B24" s="36" t="s">
        <v>542</v>
      </c>
      <c r="C24" s="36" t="s">
        <v>531</v>
      </c>
      <c r="D24" s="36" t="s">
        <v>374</v>
      </c>
      <c r="H24" s="4">
        <v>411.61</v>
      </c>
      <c r="I24" s="40">
        <v>411.61</v>
      </c>
    </row>
    <row r="25" spans="1:9" ht="12.75" x14ac:dyDescent="0.2">
      <c r="A25" s="37" t="s">
        <v>92</v>
      </c>
      <c r="B25" s="36" t="s">
        <v>542</v>
      </c>
      <c r="C25" s="36" t="s">
        <v>531</v>
      </c>
      <c r="D25" s="36" t="s">
        <v>374</v>
      </c>
      <c r="H25" s="4">
        <v>423.30500000000001</v>
      </c>
      <c r="I25" s="40">
        <v>423.30500000000001</v>
      </c>
    </row>
    <row r="26" spans="1:9" ht="12.75" x14ac:dyDescent="0.2">
      <c r="A26" s="37" t="s">
        <v>93</v>
      </c>
      <c r="B26" s="36" t="s">
        <v>542</v>
      </c>
      <c r="C26" s="36" t="s">
        <v>531</v>
      </c>
      <c r="D26" s="36" t="s">
        <v>374</v>
      </c>
      <c r="H26" s="4">
        <v>418.94</v>
      </c>
      <c r="I26" s="40">
        <v>418.94</v>
      </c>
    </row>
    <row r="27" spans="1:9" ht="12.75" x14ac:dyDescent="0.2">
      <c r="A27" s="37" t="s">
        <v>94</v>
      </c>
      <c r="B27" s="36" t="s">
        <v>542</v>
      </c>
      <c r="C27" s="36" t="s">
        <v>531</v>
      </c>
      <c r="D27" s="36" t="s">
        <v>374</v>
      </c>
      <c r="H27" s="4">
        <v>413.065</v>
      </c>
      <c r="I27" s="40">
        <v>413.065</v>
      </c>
    </row>
    <row r="28" spans="1:9" ht="12.75" x14ac:dyDescent="0.2">
      <c r="A28" s="37" t="s">
        <v>95</v>
      </c>
      <c r="B28" s="36" t="s">
        <v>542</v>
      </c>
      <c r="C28" s="36" t="s">
        <v>531</v>
      </c>
      <c r="D28" s="36" t="s">
        <v>374</v>
      </c>
      <c r="H28" s="4">
        <v>403.11500000000001</v>
      </c>
      <c r="I28" s="40">
        <v>403.11500000000001</v>
      </c>
    </row>
    <row r="29" spans="1:9" ht="12.75" x14ac:dyDescent="0.2">
      <c r="A29" s="37" t="s">
        <v>96</v>
      </c>
      <c r="B29" s="36" t="s">
        <v>542</v>
      </c>
      <c r="C29" s="36" t="s">
        <v>531</v>
      </c>
      <c r="D29" s="36" t="s">
        <v>374</v>
      </c>
      <c r="H29" s="4">
        <v>411.255</v>
      </c>
      <c r="I29" s="40">
        <v>411.255</v>
      </c>
    </row>
    <row r="30" spans="1:9" ht="12.75" x14ac:dyDescent="0.2">
      <c r="A30" s="37" t="s">
        <v>97</v>
      </c>
      <c r="B30" s="36" t="s">
        <v>542</v>
      </c>
      <c r="C30" s="36" t="s">
        <v>531</v>
      </c>
      <c r="D30" s="36" t="s">
        <v>374</v>
      </c>
      <c r="H30" s="4">
        <v>403.29500000000002</v>
      </c>
      <c r="I30" s="40">
        <v>403.29500000000002</v>
      </c>
    </row>
    <row r="31" spans="1:9" ht="12.75" x14ac:dyDescent="0.2">
      <c r="A31" s="37" t="s">
        <v>98</v>
      </c>
      <c r="B31" s="36" t="s">
        <v>542</v>
      </c>
      <c r="C31" s="36" t="s">
        <v>531</v>
      </c>
      <c r="D31" s="36" t="s">
        <v>374</v>
      </c>
      <c r="H31" s="4">
        <v>403.23500000000001</v>
      </c>
      <c r="I31" s="40">
        <v>403.23500000000001</v>
      </c>
    </row>
    <row r="32" spans="1:9" ht="12.75" x14ac:dyDescent="0.2">
      <c r="A32" s="37" t="s">
        <v>99</v>
      </c>
      <c r="B32" s="36" t="s">
        <v>542</v>
      </c>
      <c r="C32" s="36" t="s">
        <v>531</v>
      </c>
      <c r="D32" s="36" t="s">
        <v>374</v>
      </c>
      <c r="H32" s="4">
        <v>404.495</v>
      </c>
      <c r="I32" s="40">
        <v>404.495</v>
      </c>
    </row>
    <row r="33" spans="1:14" ht="12.75" x14ac:dyDescent="0.2">
      <c r="A33" s="37" t="s">
        <v>100</v>
      </c>
      <c r="B33" s="36" t="s">
        <v>542</v>
      </c>
      <c r="C33" s="36" t="s">
        <v>531</v>
      </c>
      <c r="D33" s="36" t="s">
        <v>374</v>
      </c>
      <c r="H33" s="4">
        <v>400.59</v>
      </c>
      <c r="I33" s="40">
        <v>400.59</v>
      </c>
    </row>
    <row r="34" spans="1:14" ht="12.75" x14ac:dyDescent="0.2">
      <c r="A34" s="37" t="s">
        <v>101</v>
      </c>
      <c r="B34" s="36" t="s">
        <v>542</v>
      </c>
      <c r="C34" s="36" t="s">
        <v>531</v>
      </c>
      <c r="D34" s="36" t="s">
        <v>374</v>
      </c>
      <c r="H34" s="4">
        <v>402.45499999999998</v>
      </c>
      <c r="I34" s="40">
        <v>402.45499999999998</v>
      </c>
    </row>
    <row r="35" spans="1:14" ht="12.75" x14ac:dyDescent="0.2">
      <c r="A35" s="37" t="s">
        <v>102</v>
      </c>
      <c r="B35" s="36" t="s">
        <v>542</v>
      </c>
      <c r="C35" s="36" t="s">
        <v>531</v>
      </c>
      <c r="D35" s="36" t="s">
        <v>374</v>
      </c>
      <c r="H35" s="4">
        <v>403.495</v>
      </c>
      <c r="I35" s="40">
        <v>403.495</v>
      </c>
    </row>
    <row r="36" spans="1:14" ht="12.75" x14ac:dyDescent="0.2">
      <c r="A36" s="37" t="s">
        <v>103</v>
      </c>
      <c r="B36" s="36" t="s">
        <v>542</v>
      </c>
      <c r="C36" s="36" t="s">
        <v>531</v>
      </c>
      <c r="D36" s="36" t="s">
        <v>374</v>
      </c>
      <c r="H36" s="4">
        <v>417.26499999999999</v>
      </c>
      <c r="I36" s="40">
        <v>417.26499999999999</v>
      </c>
    </row>
    <row r="37" spans="1:14" ht="12.75" x14ac:dyDescent="0.2">
      <c r="A37" s="37" t="s">
        <v>104</v>
      </c>
      <c r="B37" s="36" t="s">
        <v>542</v>
      </c>
      <c r="C37" s="36" t="s">
        <v>531</v>
      </c>
      <c r="D37" s="36" t="s">
        <v>374</v>
      </c>
      <c r="H37" s="4">
        <v>417.39499999999998</v>
      </c>
      <c r="I37" s="40">
        <v>417.39499999999998</v>
      </c>
    </row>
    <row r="38" spans="1:14" ht="12.75" x14ac:dyDescent="0.2">
      <c r="A38" s="37" t="s">
        <v>105</v>
      </c>
      <c r="B38" s="36" t="s">
        <v>542</v>
      </c>
      <c r="C38" s="36" t="s">
        <v>531</v>
      </c>
      <c r="D38" s="36" t="s">
        <v>374</v>
      </c>
      <c r="H38" s="4">
        <v>419.31</v>
      </c>
      <c r="I38" s="40">
        <v>419.31</v>
      </c>
    </row>
    <row r="39" spans="1:14" ht="12.75" x14ac:dyDescent="0.2">
      <c r="A39" s="37" t="s">
        <v>32</v>
      </c>
      <c r="B39" s="36" t="s">
        <v>542</v>
      </c>
      <c r="C39" s="36" t="s">
        <v>531</v>
      </c>
      <c r="D39" s="36" t="s">
        <v>374</v>
      </c>
      <c r="H39" s="4">
        <v>360.77499999999998</v>
      </c>
      <c r="I39" s="40">
        <v>360.77499999999998</v>
      </c>
    </row>
    <row r="40" spans="1:14" ht="12.75" x14ac:dyDescent="0.2">
      <c r="A40" s="37" t="s">
        <v>33</v>
      </c>
      <c r="B40" s="36" t="s">
        <v>542</v>
      </c>
      <c r="C40" s="36" t="s">
        <v>531</v>
      </c>
      <c r="D40" s="36" t="s">
        <v>374</v>
      </c>
      <c r="H40" s="4">
        <v>357.5</v>
      </c>
      <c r="I40" s="40">
        <v>357.5</v>
      </c>
    </row>
    <row r="41" spans="1:14" ht="12.75" x14ac:dyDescent="0.2">
      <c r="A41" s="37" t="s">
        <v>34</v>
      </c>
      <c r="B41" s="36" t="s">
        <v>542</v>
      </c>
      <c r="C41" s="36" t="s">
        <v>531</v>
      </c>
      <c r="D41" s="36" t="s">
        <v>374</v>
      </c>
      <c r="H41" s="4">
        <v>357.26</v>
      </c>
      <c r="I41" s="40">
        <v>357.26</v>
      </c>
    </row>
    <row r="42" spans="1:14" ht="12.75" x14ac:dyDescent="0.2">
      <c r="A42" s="37" t="s">
        <v>35</v>
      </c>
      <c r="B42" s="36" t="s">
        <v>542</v>
      </c>
      <c r="C42" s="36" t="s">
        <v>531</v>
      </c>
      <c r="D42" s="36" t="s">
        <v>374</v>
      </c>
      <c r="H42" s="4">
        <v>348.85</v>
      </c>
      <c r="I42" s="40">
        <v>348.85</v>
      </c>
    </row>
    <row r="43" spans="1:14" ht="12.75" x14ac:dyDescent="0.2">
      <c r="A43" s="37" t="s">
        <v>36</v>
      </c>
      <c r="B43" s="36" t="s">
        <v>542</v>
      </c>
      <c r="C43" s="36" t="s">
        <v>531</v>
      </c>
      <c r="D43" s="36" t="s">
        <v>374</v>
      </c>
      <c r="H43" s="4">
        <v>357.47500000000002</v>
      </c>
      <c r="I43" s="40">
        <v>357.47500000000002</v>
      </c>
    </row>
    <row r="44" spans="1:14" ht="12.75" x14ac:dyDescent="0.2">
      <c r="A44" s="37" t="s">
        <v>37</v>
      </c>
      <c r="B44" s="36" t="s">
        <v>542</v>
      </c>
      <c r="C44" s="36" t="s">
        <v>531</v>
      </c>
      <c r="D44" s="36" t="s">
        <v>374</v>
      </c>
      <c r="H44" s="4">
        <v>357.76499999999999</v>
      </c>
      <c r="I44" s="40">
        <v>357.76499999999999</v>
      </c>
    </row>
    <row r="45" spans="1:14" ht="12.75" x14ac:dyDescent="0.2">
      <c r="A45" s="37" t="s">
        <v>29</v>
      </c>
      <c r="B45" s="2">
        <v>18012017</v>
      </c>
      <c r="C45" s="4">
        <v>1</v>
      </c>
      <c r="G45" s="2"/>
      <c r="H45" s="46">
        <v>366.56</v>
      </c>
      <c r="I45" s="46">
        <v>366.56</v>
      </c>
      <c r="L45" s="36"/>
    </row>
    <row r="46" spans="1:14" ht="12.75" x14ac:dyDescent="0.2">
      <c r="A46" s="37" t="s">
        <v>30</v>
      </c>
      <c r="B46" s="2">
        <v>18012017</v>
      </c>
      <c r="C46" s="4">
        <v>1</v>
      </c>
      <c r="F46" s="39"/>
      <c r="G46" s="36"/>
      <c r="H46" s="3">
        <v>358.46</v>
      </c>
      <c r="I46" s="3">
        <v>358.46</v>
      </c>
      <c r="K46" s="36"/>
    </row>
    <row r="47" spans="1:14" ht="12.75" x14ac:dyDescent="0.2">
      <c r="A47" s="37" t="s">
        <v>31</v>
      </c>
      <c r="B47" s="2">
        <v>18012017</v>
      </c>
      <c r="C47" s="4">
        <v>1</v>
      </c>
      <c r="F47" s="39"/>
      <c r="G47" s="36"/>
      <c r="H47" s="3">
        <v>358.45</v>
      </c>
      <c r="I47" s="3">
        <v>358.45</v>
      </c>
      <c r="K47" s="36"/>
    </row>
    <row r="48" spans="1:14" ht="12.75" x14ac:dyDescent="0.2">
      <c r="A48" s="37" t="s">
        <v>38</v>
      </c>
      <c r="B48" s="2">
        <v>18012017</v>
      </c>
      <c r="C48" s="4">
        <v>1</v>
      </c>
      <c r="D48" s="22">
        <v>852</v>
      </c>
      <c r="E48" s="40">
        <v>42</v>
      </c>
      <c r="F48" s="39">
        <v>20.2</v>
      </c>
      <c r="G48" s="36">
        <v>0.1</v>
      </c>
      <c r="H48" s="47">
        <v>356.37</v>
      </c>
      <c r="I48" s="47">
        <v>356.3</v>
      </c>
      <c r="J48" s="2"/>
      <c r="K48" s="36"/>
      <c r="N48" s="4" t="s">
        <v>180</v>
      </c>
    </row>
    <row r="49" spans="1:14" ht="12.75" x14ac:dyDescent="0.2">
      <c r="A49" s="37" t="s">
        <v>39</v>
      </c>
      <c r="B49" s="2">
        <v>18012017</v>
      </c>
      <c r="C49" s="4">
        <v>1</v>
      </c>
      <c r="D49" s="22">
        <v>852</v>
      </c>
      <c r="E49" s="40">
        <v>45</v>
      </c>
      <c r="F49" s="39">
        <v>19.2</v>
      </c>
      <c r="G49" s="36">
        <v>0</v>
      </c>
      <c r="H49" s="47">
        <v>357.06</v>
      </c>
      <c r="I49" s="47">
        <v>357.01</v>
      </c>
      <c r="J49" s="2"/>
      <c r="K49" s="36"/>
      <c r="N49" s="4" t="s">
        <v>181</v>
      </c>
    </row>
    <row r="50" spans="1:14" ht="12.75" x14ac:dyDescent="0.2">
      <c r="A50" s="37" t="s">
        <v>40</v>
      </c>
      <c r="B50" s="2">
        <v>18012017</v>
      </c>
      <c r="C50" s="4">
        <v>1</v>
      </c>
      <c r="D50" s="22">
        <v>852</v>
      </c>
      <c r="E50" s="40">
        <v>43</v>
      </c>
      <c r="F50" s="39">
        <v>18.5</v>
      </c>
      <c r="G50" s="36">
        <v>0.2</v>
      </c>
      <c r="H50" s="47">
        <v>357.29</v>
      </c>
      <c r="I50" s="47">
        <v>357.23</v>
      </c>
      <c r="J50" s="2"/>
      <c r="K50" s="36"/>
      <c r="N50" s="4" t="s">
        <v>182</v>
      </c>
    </row>
    <row r="51" spans="1:14" ht="12.75" x14ac:dyDescent="0.2">
      <c r="A51" s="37" t="s">
        <v>46</v>
      </c>
      <c r="B51" s="2">
        <v>18012017</v>
      </c>
      <c r="C51" s="4">
        <v>1</v>
      </c>
      <c r="D51" s="22">
        <v>903</v>
      </c>
      <c r="E51" s="40">
        <v>50</v>
      </c>
      <c r="F51" s="39">
        <v>27.1</v>
      </c>
      <c r="G51" s="36">
        <v>0.1</v>
      </c>
      <c r="H51" s="47">
        <v>406.79</v>
      </c>
      <c r="I51" s="47">
        <v>406.73</v>
      </c>
      <c r="J51" s="2"/>
      <c r="K51" s="36"/>
      <c r="N51" s="4" t="s">
        <v>183</v>
      </c>
    </row>
    <row r="52" spans="1:14" ht="12.75" x14ac:dyDescent="0.2">
      <c r="A52" s="37" t="s">
        <v>47</v>
      </c>
      <c r="B52" s="2">
        <v>18012017</v>
      </c>
      <c r="C52" s="4">
        <v>1</v>
      </c>
      <c r="D52" s="22">
        <v>903</v>
      </c>
      <c r="E52" s="40">
        <v>41</v>
      </c>
      <c r="F52" s="39">
        <v>22.6</v>
      </c>
      <c r="G52" s="36">
        <v>0.2</v>
      </c>
      <c r="H52" s="47">
        <v>411.41</v>
      </c>
      <c r="I52" s="47">
        <v>411.37</v>
      </c>
      <c r="J52" s="2"/>
      <c r="K52" s="36"/>
      <c r="N52" s="4" t="s">
        <v>184</v>
      </c>
    </row>
    <row r="53" spans="1:14" ht="12.75" x14ac:dyDescent="0.2">
      <c r="A53" s="37" t="s">
        <v>48</v>
      </c>
      <c r="B53" s="2">
        <v>18012017</v>
      </c>
      <c r="C53" s="4">
        <v>1</v>
      </c>
      <c r="D53" s="22">
        <v>903</v>
      </c>
      <c r="E53" s="40">
        <v>51</v>
      </c>
      <c r="F53" s="39">
        <v>28.3</v>
      </c>
      <c r="G53" s="36">
        <v>0.1</v>
      </c>
      <c r="H53" s="47">
        <v>415.94</v>
      </c>
      <c r="I53" s="47">
        <v>415.88</v>
      </c>
      <c r="J53" s="2"/>
      <c r="K53" s="36"/>
      <c r="N53" s="4" t="s">
        <v>185</v>
      </c>
    </row>
    <row r="54" spans="1:14" ht="12.75" x14ac:dyDescent="0.2">
      <c r="A54" s="37" t="s">
        <v>49</v>
      </c>
      <c r="B54" s="2">
        <v>18012017</v>
      </c>
      <c r="C54" s="4">
        <v>1</v>
      </c>
      <c r="D54" s="22">
        <v>912</v>
      </c>
      <c r="E54" s="40">
        <v>118</v>
      </c>
      <c r="F54" s="39">
        <v>65.599999999999994</v>
      </c>
      <c r="G54" s="36">
        <v>0.3</v>
      </c>
      <c r="H54" s="47">
        <v>422.4</v>
      </c>
      <c r="I54" s="47">
        <v>422.25</v>
      </c>
      <c r="J54" s="2"/>
      <c r="K54" s="36"/>
      <c r="N54" s="4" t="s">
        <v>186</v>
      </c>
    </row>
    <row r="55" spans="1:14" ht="12.75" x14ac:dyDescent="0.2">
      <c r="A55" s="37" t="s">
        <v>50</v>
      </c>
      <c r="B55" s="2">
        <v>18012017</v>
      </c>
      <c r="C55" s="4">
        <v>1</v>
      </c>
      <c r="D55" s="22">
        <v>912</v>
      </c>
      <c r="E55" s="40">
        <v>119</v>
      </c>
      <c r="F55" s="39">
        <v>65</v>
      </c>
      <c r="G55" s="36">
        <v>0.2</v>
      </c>
      <c r="H55" s="47">
        <v>419.41</v>
      </c>
      <c r="I55" s="47">
        <v>419.26</v>
      </c>
      <c r="J55" s="2"/>
      <c r="K55" s="36"/>
      <c r="N55" s="4" t="s">
        <v>187</v>
      </c>
    </row>
    <row r="56" spans="1:14" ht="12.75" x14ac:dyDescent="0.2">
      <c r="A56" s="37" t="s">
        <v>51</v>
      </c>
      <c r="B56" s="2">
        <v>18012017</v>
      </c>
      <c r="C56" s="4">
        <v>1</v>
      </c>
      <c r="D56" s="22">
        <v>912</v>
      </c>
      <c r="E56" s="40">
        <v>126</v>
      </c>
      <c r="F56" s="39">
        <v>69</v>
      </c>
      <c r="G56" s="36">
        <v>0.2</v>
      </c>
      <c r="H56" s="47">
        <v>421.51</v>
      </c>
      <c r="I56" s="47">
        <v>421.35</v>
      </c>
      <c r="J56" s="2"/>
      <c r="K56" s="36"/>
      <c r="N56" s="4" t="s">
        <v>188</v>
      </c>
    </row>
    <row r="57" spans="1:14" ht="12.75" x14ac:dyDescent="0.2">
      <c r="A57" s="37" t="s">
        <v>52</v>
      </c>
      <c r="B57" s="2">
        <v>18012017</v>
      </c>
      <c r="C57" s="4">
        <v>1</v>
      </c>
      <c r="D57" s="22">
        <v>918</v>
      </c>
      <c r="E57" s="40">
        <v>131</v>
      </c>
      <c r="F57" s="39">
        <v>69</v>
      </c>
      <c r="G57" s="36">
        <v>0.1</v>
      </c>
      <c r="H57" s="47">
        <v>408.58</v>
      </c>
      <c r="I57" s="47">
        <v>408.42</v>
      </c>
      <c r="J57" s="2"/>
      <c r="K57" s="36"/>
      <c r="N57" s="4" t="s">
        <v>189</v>
      </c>
    </row>
    <row r="58" spans="1:14" ht="12.75" x14ac:dyDescent="0.2">
      <c r="A58" s="37" t="s">
        <v>53</v>
      </c>
      <c r="B58" s="2">
        <v>18012017</v>
      </c>
      <c r="C58" s="4">
        <v>1</v>
      </c>
      <c r="D58" s="22">
        <v>918</v>
      </c>
      <c r="E58" s="40">
        <v>134</v>
      </c>
      <c r="F58" s="39">
        <v>70</v>
      </c>
      <c r="G58" s="36">
        <v>0.1</v>
      </c>
      <c r="H58" s="47">
        <v>414.23</v>
      </c>
      <c r="I58" s="47">
        <v>414.06</v>
      </c>
      <c r="J58" s="2"/>
      <c r="K58" s="36"/>
      <c r="N58" s="4" t="s">
        <v>190</v>
      </c>
    </row>
    <row r="59" spans="1:14" ht="12.75" x14ac:dyDescent="0.2">
      <c r="A59" s="37" t="s">
        <v>54</v>
      </c>
      <c r="B59" s="2">
        <v>18012017</v>
      </c>
      <c r="C59" s="4">
        <v>1</v>
      </c>
      <c r="D59" s="22">
        <v>918</v>
      </c>
      <c r="E59" s="40">
        <v>136</v>
      </c>
      <c r="F59" s="39">
        <v>71.8</v>
      </c>
      <c r="G59" s="36">
        <v>0.2</v>
      </c>
      <c r="H59" s="47">
        <v>420.81</v>
      </c>
      <c r="I59" s="47">
        <v>420.64</v>
      </c>
      <c r="J59" s="2"/>
      <c r="K59" s="36"/>
      <c r="N59" s="4" t="s">
        <v>191</v>
      </c>
    </row>
    <row r="60" spans="1:14" ht="12.75" x14ac:dyDescent="0.2">
      <c r="A60" s="37" t="s">
        <v>55</v>
      </c>
      <c r="B60" s="2">
        <v>18012017</v>
      </c>
      <c r="C60" s="4">
        <v>1</v>
      </c>
      <c r="D60" s="22">
        <v>922</v>
      </c>
      <c r="E60" s="40">
        <v>125</v>
      </c>
      <c r="F60" s="39">
        <v>66.8</v>
      </c>
      <c r="G60" s="36">
        <v>0.2</v>
      </c>
      <c r="H60" s="47">
        <v>419.76</v>
      </c>
      <c r="I60" s="47">
        <v>419.61</v>
      </c>
      <c r="J60" s="2"/>
      <c r="K60" s="36"/>
      <c r="N60" s="4" t="s">
        <v>192</v>
      </c>
    </row>
    <row r="61" spans="1:14" ht="12.75" x14ac:dyDescent="0.2">
      <c r="A61" s="37" t="s">
        <v>56</v>
      </c>
      <c r="B61" s="2">
        <v>18012017</v>
      </c>
      <c r="C61" s="4">
        <v>1</v>
      </c>
      <c r="D61" s="22">
        <v>922</v>
      </c>
      <c r="E61" s="40">
        <v>132</v>
      </c>
      <c r="F61" s="39">
        <v>68.599999999999994</v>
      </c>
      <c r="G61" s="36">
        <v>0.3</v>
      </c>
      <c r="H61" s="47">
        <v>414.56</v>
      </c>
      <c r="I61" s="47">
        <v>414.42</v>
      </c>
      <c r="J61" s="2"/>
      <c r="K61" s="36"/>
      <c r="N61" s="4" t="s">
        <v>193</v>
      </c>
    </row>
    <row r="62" spans="1:14" ht="12.75" x14ac:dyDescent="0.2">
      <c r="A62" s="37" t="s">
        <v>57</v>
      </c>
      <c r="B62" s="2">
        <v>18012017</v>
      </c>
      <c r="C62" s="4">
        <v>1</v>
      </c>
      <c r="D62" s="22">
        <v>922</v>
      </c>
      <c r="E62" s="40">
        <v>135</v>
      </c>
      <c r="F62" s="39">
        <v>70.3</v>
      </c>
      <c r="G62" s="36">
        <v>0.2</v>
      </c>
      <c r="H62" s="47">
        <v>418.65</v>
      </c>
      <c r="I62" s="47">
        <v>418.49</v>
      </c>
      <c r="J62" s="2"/>
      <c r="K62" s="36"/>
      <c r="N62" s="4" t="s">
        <v>194</v>
      </c>
    </row>
    <row r="63" spans="1:14" ht="12.75" x14ac:dyDescent="0.2">
      <c r="A63" s="37" t="s">
        <v>58</v>
      </c>
      <c r="B63" s="2">
        <v>18012017</v>
      </c>
      <c r="C63" s="4">
        <v>1</v>
      </c>
      <c r="D63" s="22">
        <v>930</v>
      </c>
      <c r="E63" s="40">
        <v>138</v>
      </c>
      <c r="F63" s="39">
        <v>72.400000000000006</v>
      </c>
      <c r="G63" s="36">
        <v>0.2</v>
      </c>
      <c r="H63" s="47">
        <v>417.25</v>
      </c>
      <c r="I63" s="47">
        <v>417.09</v>
      </c>
      <c r="J63" s="2"/>
      <c r="K63" s="36"/>
      <c r="N63" s="4" t="s">
        <v>195</v>
      </c>
    </row>
    <row r="64" spans="1:14" ht="12.75" x14ac:dyDescent="0.2">
      <c r="A64" s="37" t="s">
        <v>59</v>
      </c>
      <c r="B64" s="2">
        <v>18012017</v>
      </c>
      <c r="C64" s="4">
        <v>1</v>
      </c>
      <c r="D64" s="22">
        <v>930</v>
      </c>
      <c r="E64" s="40">
        <v>137</v>
      </c>
      <c r="F64" s="39">
        <v>72.900000000000006</v>
      </c>
      <c r="G64" s="2">
        <v>0.3</v>
      </c>
      <c r="H64" s="47">
        <v>421.14</v>
      </c>
      <c r="I64" s="47">
        <v>420.98</v>
      </c>
      <c r="J64" s="2"/>
      <c r="K64" s="36"/>
      <c r="N64" s="4" t="s">
        <v>196</v>
      </c>
    </row>
    <row r="65" spans="1:14" ht="12.75" x14ac:dyDescent="0.2">
      <c r="A65" s="37" t="s">
        <v>60</v>
      </c>
      <c r="B65" s="2">
        <v>18012017</v>
      </c>
      <c r="C65" s="4">
        <v>1</v>
      </c>
      <c r="D65" s="22">
        <v>930</v>
      </c>
      <c r="E65" s="40">
        <v>133</v>
      </c>
      <c r="F65" s="39">
        <v>70.400000000000006</v>
      </c>
      <c r="G65" s="36">
        <v>0.3</v>
      </c>
      <c r="H65" s="47">
        <v>419.27</v>
      </c>
      <c r="I65" s="47">
        <v>419.11</v>
      </c>
      <c r="J65" s="2"/>
      <c r="K65" s="36"/>
      <c r="N65" s="4" t="s">
        <v>197</v>
      </c>
    </row>
    <row r="66" spans="1:14" ht="12.75" x14ac:dyDescent="0.2">
      <c r="A66" s="37" t="s">
        <v>91</v>
      </c>
      <c r="B66" s="2">
        <v>18012017</v>
      </c>
      <c r="C66" s="4">
        <v>1</v>
      </c>
      <c r="D66" s="22">
        <v>936</v>
      </c>
      <c r="E66" s="40">
        <v>130</v>
      </c>
      <c r="F66" s="39">
        <v>68.599999999999994</v>
      </c>
      <c r="G66" s="36">
        <v>0.3</v>
      </c>
      <c r="H66" s="47">
        <v>411.6</v>
      </c>
      <c r="I66" s="47">
        <v>411.44</v>
      </c>
      <c r="J66" s="2"/>
      <c r="K66" s="36"/>
      <c r="N66" s="4" t="s">
        <v>198</v>
      </c>
    </row>
    <row r="67" spans="1:14" ht="12.75" x14ac:dyDescent="0.2">
      <c r="A67" s="37" t="s">
        <v>92</v>
      </c>
      <c r="B67" s="2">
        <v>18012017</v>
      </c>
      <c r="C67" s="4">
        <v>1</v>
      </c>
      <c r="D67" s="22">
        <v>936</v>
      </c>
      <c r="E67" s="40">
        <v>147</v>
      </c>
      <c r="F67" s="39">
        <v>79.8</v>
      </c>
      <c r="G67" s="36">
        <v>0.2</v>
      </c>
      <c r="H67" s="47">
        <v>423.29</v>
      </c>
      <c r="I67" s="47">
        <v>423.12</v>
      </c>
      <c r="J67" s="2"/>
      <c r="K67" s="36"/>
      <c r="N67" s="4" t="s">
        <v>199</v>
      </c>
    </row>
    <row r="68" spans="1:14" ht="12.75" x14ac:dyDescent="0.2">
      <c r="A68" s="37" t="s">
        <v>93</v>
      </c>
      <c r="B68" s="2">
        <v>18012017</v>
      </c>
      <c r="C68" s="4">
        <v>1</v>
      </c>
      <c r="D68" s="22">
        <v>936</v>
      </c>
      <c r="E68" s="40">
        <v>144</v>
      </c>
      <c r="F68" s="39">
        <v>76</v>
      </c>
      <c r="G68" s="36">
        <v>0.3</v>
      </c>
      <c r="H68" s="47">
        <v>418.92</v>
      </c>
      <c r="I68" s="47">
        <v>418.75</v>
      </c>
      <c r="J68" s="2"/>
      <c r="K68" s="36"/>
      <c r="N68" s="4" t="s">
        <v>200</v>
      </c>
    </row>
    <row r="69" spans="1:14" ht="12.75" x14ac:dyDescent="0.2">
      <c r="A69" s="37" t="s">
        <v>94</v>
      </c>
      <c r="B69" s="2">
        <v>18012017</v>
      </c>
      <c r="C69" s="4">
        <v>1</v>
      </c>
      <c r="D69" s="22">
        <v>944</v>
      </c>
      <c r="E69" s="40">
        <v>148</v>
      </c>
      <c r="F69" s="39">
        <v>77.099999999999994</v>
      </c>
      <c r="G69" s="36">
        <v>0.3</v>
      </c>
      <c r="H69" s="47">
        <v>413.03</v>
      </c>
      <c r="I69" s="47">
        <v>412.84</v>
      </c>
      <c r="J69" s="2"/>
      <c r="N69" s="4" t="s">
        <v>201</v>
      </c>
    </row>
    <row r="70" spans="1:14" ht="12.75" x14ac:dyDescent="0.2">
      <c r="A70" s="37" t="s">
        <v>95</v>
      </c>
      <c r="B70" s="2">
        <v>18012017</v>
      </c>
      <c r="C70" s="4">
        <v>1</v>
      </c>
      <c r="D70" s="22">
        <v>944</v>
      </c>
      <c r="E70" s="40">
        <v>147</v>
      </c>
      <c r="F70" s="39">
        <v>73.900000000000006</v>
      </c>
      <c r="G70" s="36">
        <v>0.3</v>
      </c>
      <c r="H70" s="47">
        <v>403.1</v>
      </c>
      <c r="I70" s="47">
        <v>402.93</v>
      </c>
      <c r="J70" s="2"/>
      <c r="N70" s="4" t="s">
        <v>202</v>
      </c>
    </row>
    <row r="71" spans="1:14" ht="12.75" x14ac:dyDescent="0.2">
      <c r="A71" s="37" t="s">
        <v>96</v>
      </c>
      <c r="B71" s="2">
        <v>18012017</v>
      </c>
      <c r="C71" s="4">
        <v>1</v>
      </c>
      <c r="D71" s="22">
        <v>944</v>
      </c>
      <c r="E71" s="40">
        <v>142</v>
      </c>
      <c r="F71" s="39">
        <v>73.099999999999994</v>
      </c>
      <c r="G71" s="36">
        <v>0.2</v>
      </c>
      <c r="H71" s="47">
        <v>411.25</v>
      </c>
      <c r="I71" s="47">
        <v>411.08</v>
      </c>
      <c r="J71" s="2"/>
      <c r="N71" s="4" t="s">
        <v>203</v>
      </c>
    </row>
    <row r="72" spans="1:14" ht="12.75" x14ac:dyDescent="0.2">
      <c r="A72" s="37" t="s">
        <v>97</v>
      </c>
      <c r="B72" s="2">
        <v>18012017</v>
      </c>
      <c r="C72" s="4">
        <v>1</v>
      </c>
      <c r="D72" s="22">
        <v>950</v>
      </c>
      <c r="E72" s="40">
        <v>121</v>
      </c>
      <c r="F72" s="39">
        <v>60.6</v>
      </c>
      <c r="G72" s="36">
        <v>0.2</v>
      </c>
      <c r="H72" s="47">
        <v>403.28</v>
      </c>
      <c r="I72" s="47">
        <v>403.13</v>
      </c>
      <c r="J72" s="2"/>
      <c r="K72" s="3"/>
      <c r="N72" s="4" t="s">
        <v>204</v>
      </c>
    </row>
    <row r="73" spans="1:14" ht="12.75" x14ac:dyDescent="0.2">
      <c r="A73" s="37" t="s">
        <v>98</v>
      </c>
      <c r="B73" s="2">
        <v>18012017</v>
      </c>
      <c r="C73" s="4">
        <v>1</v>
      </c>
      <c r="D73" s="22">
        <v>950</v>
      </c>
      <c r="E73" s="40">
        <v>118</v>
      </c>
      <c r="F73" s="39">
        <v>58.4</v>
      </c>
      <c r="G73" s="36">
        <v>0.2</v>
      </c>
      <c r="H73" s="48">
        <v>403.22</v>
      </c>
      <c r="I73" s="47">
        <v>403.08</v>
      </c>
      <c r="J73" s="2"/>
      <c r="N73" s="4" t="s">
        <v>205</v>
      </c>
    </row>
    <row r="74" spans="1:14" ht="12.75" x14ac:dyDescent="0.2">
      <c r="A74" s="37" t="s">
        <v>99</v>
      </c>
      <c r="B74" s="2">
        <v>18012017</v>
      </c>
      <c r="C74" s="4">
        <v>1</v>
      </c>
      <c r="D74" s="22">
        <v>950</v>
      </c>
      <c r="E74" s="40">
        <v>112</v>
      </c>
      <c r="F74" s="39">
        <v>56</v>
      </c>
      <c r="G74" s="36">
        <v>0.2</v>
      </c>
      <c r="H74" s="47">
        <v>404.48</v>
      </c>
      <c r="I74" s="47">
        <v>404.34</v>
      </c>
      <c r="J74" s="2"/>
      <c r="N74" s="4" t="s">
        <v>206</v>
      </c>
    </row>
    <row r="75" spans="1:14" ht="12.75" x14ac:dyDescent="0.2">
      <c r="A75" s="37" t="s">
        <v>100</v>
      </c>
      <c r="B75" s="2">
        <v>18012017</v>
      </c>
      <c r="C75" s="4">
        <v>1</v>
      </c>
      <c r="D75" s="22">
        <v>957</v>
      </c>
      <c r="E75" s="40">
        <v>136</v>
      </c>
      <c r="F75" s="39">
        <v>65.599999999999994</v>
      </c>
      <c r="G75" s="36">
        <v>0.2</v>
      </c>
      <c r="H75" s="47">
        <v>400.57</v>
      </c>
      <c r="I75" s="47">
        <v>400.39</v>
      </c>
      <c r="J75" s="2"/>
      <c r="N75" s="4" t="s">
        <v>207</v>
      </c>
    </row>
    <row r="76" spans="1:14" ht="12.75" x14ac:dyDescent="0.2">
      <c r="A76" s="37" t="s">
        <v>101</v>
      </c>
      <c r="B76" s="2">
        <v>18012017</v>
      </c>
      <c r="C76" s="4">
        <v>1</v>
      </c>
      <c r="D76" s="22">
        <v>957</v>
      </c>
      <c r="E76" s="40">
        <v>139</v>
      </c>
      <c r="F76" s="39">
        <v>65.5</v>
      </c>
      <c r="G76" s="36">
        <v>0.3</v>
      </c>
      <c r="H76" s="47">
        <v>402.43</v>
      </c>
      <c r="I76" s="47">
        <v>402.25</v>
      </c>
      <c r="J76" s="2"/>
      <c r="N76" s="4" t="s">
        <v>208</v>
      </c>
    </row>
    <row r="77" spans="1:14" ht="12.75" x14ac:dyDescent="0.2">
      <c r="A77" s="37" t="s">
        <v>102</v>
      </c>
      <c r="B77" s="2">
        <v>18012017</v>
      </c>
      <c r="C77" s="4">
        <v>1</v>
      </c>
      <c r="D77" s="22">
        <v>957</v>
      </c>
      <c r="E77" s="40">
        <v>138</v>
      </c>
      <c r="F77" s="39">
        <v>66.7</v>
      </c>
      <c r="G77" s="2">
        <v>0.4</v>
      </c>
      <c r="H77" s="47">
        <v>403.49</v>
      </c>
      <c r="I77" s="47">
        <v>403.31</v>
      </c>
      <c r="J77" s="2"/>
      <c r="N77" s="4" t="s">
        <v>209</v>
      </c>
    </row>
    <row r="78" spans="1:14" ht="12.75" x14ac:dyDescent="0.2">
      <c r="A78" s="37" t="s">
        <v>103</v>
      </c>
      <c r="B78" s="2">
        <v>18012017</v>
      </c>
      <c r="C78" s="4">
        <v>1</v>
      </c>
      <c r="D78" s="4">
        <v>1002</v>
      </c>
      <c r="E78" s="40">
        <v>162</v>
      </c>
      <c r="F78" s="39">
        <v>74</v>
      </c>
      <c r="G78" s="4">
        <v>0.7</v>
      </c>
      <c r="H78" s="47">
        <v>417.25</v>
      </c>
      <c r="I78" s="47">
        <v>417.03</v>
      </c>
      <c r="J78" s="2"/>
      <c r="N78" s="4" t="s">
        <v>210</v>
      </c>
    </row>
    <row r="79" spans="1:14" ht="12.75" x14ac:dyDescent="0.2">
      <c r="A79" s="37" t="s">
        <v>104</v>
      </c>
      <c r="B79" s="2">
        <v>18012017</v>
      </c>
      <c r="C79" s="4">
        <v>1</v>
      </c>
      <c r="D79" s="4">
        <v>1002</v>
      </c>
      <c r="E79" s="40">
        <v>157</v>
      </c>
      <c r="F79" s="39">
        <v>71.7</v>
      </c>
      <c r="G79" s="4">
        <v>0.4</v>
      </c>
      <c r="H79" s="47">
        <v>417.38</v>
      </c>
      <c r="I79" s="47">
        <v>417.17</v>
      </c>
      <c r="J79" s="2"/>
      <c r="N79" s="4" t="s">
        <v>211</v>
      </c>
    </row>
    <row r="80" spans="1:14" ht="12.75" x14ac:dyDescent="0.2">
      <c r="A80" s="37" t="s">
        <v>105</v>
      </c>
      <c r="B80" s="2">
        <v>18012017</v>
      </c>
      <c r="C80" s="4">
        <v>1</v>
      </c>
      <c r="D80" s="4">
        <v>1002</v>
      </c>
      <c r="E80" s="40">
        <v>145</v>
      </c>
      <c r="F80" s="39">
        <v>67.3</v>
      </c>
      <c r="G80" s="2">
        <v>0.3</v>
      </c>
      <c r="H80" s="47">
        <v>419.3</v>
      </c>
      <c r="I80" s="47">
        <v>419.11</v>
      </c>
      <c r="J80" s="2"/>
      <c r="N80" s="4" t="s">
        <v>212</v>
      </c>
    </row>
    <row r="81" spans="1:14" ht="12.75" x14ac:dyDescent="0.2">
      <c r="A81" s="37" t="s">
        <v>32</v>
      </c>
      <c r="B81" s="2">
        <v>18012017</v>
      </c>
      <c r="C81" s="4">
        <v>1</v>
      </c>
      <c r="D81" s="4">
        <v>1008</v>
      </c>
      <c r="E81" s="40">
        <v>86</v>
      </c>
      <c r="F81" s="39">
        <v>37.5</v>
      </c>
      <c r="G81" s="2">
        <v>0.1</v>
      </c>
      <c r="H81" s="47">
        <v>360.76</v>
      </c>
      <c r="I81" s="47">
        <v>360.66</v>
      </c>
      <c r="J81" s="2"/>
      <c r="N81" s="4" t="s">
        <v>213</v>
      </c>
    </row>
    <row r="82" spans="1:14" ht="12.75" x14ac:dyDescent="0.2">
      <c r="A82" s="37" t="s">
        <v>33</v>
      </c>
      <c r="B82" s="2">
        <v>18012017</v>
      </c>
      <c r="C82" s="4">
        <v>1</v>
      </c>
      <c r="D82" s="4">
        <v>1008</v>
      </c>
      <c r="E82" s="40">
        <v>81</v>
      </c>
      <c r="F82" s="39">
        <v>34.4</v>
      </c>
      <c r="G82" s="2">
        <v>0.1</v>
      </c>
      <c r="H82" s="47">
        <v>357.48</v>
      </c>
      <c r="I82" s="47">
        <v>357.38</v>
      </c>
      <c r="J82" s="2"/>
      <c r="N82" s="4" t="s">
        <v>214</v>
      </c>
    </row>
    <row r="83" spans="1:14" ht="12.75" x14ac:dyDescent="0.2">
      <c r="A83" s="37" t="s">
        <v>34</v>
      </c>
      <c r="B83" s="2">
        <v>18012017</v>
      </c>
      <c r="C83" s="4">
        <v>1</v>
      </c>
      <c r="D83" s="4">
        <v>1008</v>
      </c>
      <c r="E83" s="40">
        <v>80</v>
      </c>
      <c r="F83" s="39">
        <v>33.700000000000003</v>
      </c>
      <c r="G83" s="2">
        <v>0.1</v>
      </c>
      <c r="H83" s="47">
        <v>357.23</v>
      </c>
      <c r="I83" s="47">
        <v>357.15</v>
      </c>
      <c r="J83" s="2"/>
      <c r="N83" s="4" t="s">
        <v>215</v>
      </c>
    </row>
    <row r="84" spans="1:14" ht="12.75" x14ac:dyDescent="0.2">
      <c r="A84" s="37" t="s">
        <v>35</v>
      </c>
      <c r="B84" s="2">
        <v>18012017</v>
      </c>
      <c r="C84" s="4">
        <v>1</v>
      </c>
      <c r="D84" s="4">
        <v>1014</v>
      </c>
      <c r="E84" s="40">
        <v>51</v>
      </c>
      <c r="F84" s="39">
        <v>21.7</v>
      </c>
      <c r="G84" s="2">
        <v>0.1</v>
      </c>
      <c r="H84" s="47">
        <v>348.82</v>
      </c>
      <c r="I84" s="47">
        <v>348.78</v>
      </c>
      <c r="J84" s="2"/>
      <c r="N84" s="4" t="s">
        <v>216</v>
      </c>
    </row>
    <row r="85" spans="1:14" ht="12.75" x14ac:dyDescent="0.2">
      <c r="A85" s="37" t="s">
        <v>36</v>
      </c>
      <c r="B85" s="2">
        <v>18012017</v>
      </c>
      <c r="C85" s="4">
        <v>1</v>
      </c>
      <c r="D85" s="4">
        <v>1014</v>
      </c>
      <c r="E85" s="40">
        <v>49</v>
      </c>
      <c r="F85" s="39">
        <v>21</v>
      </c>
      <c r="G85" s="2">
        <v>0.1</v>
      </c>
      <c r="H85" s="47">
        <v>357.46</v>
      </c>
      <c r="I85" s="47">
        <v>357.41</v>
      </c>
      <c r="J85" s="2"/>
      <c r="N85" s="4" t="s">
        <v>217</v>
      </c>
    </row>
    <row r="86" spans="1:14" ht="12.75" x14ac:dyDescent="0.2">
      <c r="A86" s="37" t="s">
        <v>37</v>
      </c>
      <c r="B86" s="2">
        <v>18012017</v>
      </c>
      <c r="C86" s="4">
        <v>1</v>
      </c>
      <c r="D86" s="4">
        <v>1014</v>
      </c>
      <c r="E86" s="40">
        <v>46</v>
      </c>
      <c r="F86" s="39">
        <v>19.600000000000001</v>
      </c>
      <c r="G86" s="2">
        <v>0.1</v>
      </c>
      <c r="H86" s="47">
        <v>357.75</v>
      </c>
      <c r="I86" s="47">
        <v>357.69</v>
      </c>
      <c r="J86" s="2"/>
      <c r="N86" s="4" t="s">
        <v>218</v>
      </c>
    </row>
    <row r="87" spans="1:14" ht="12.75" x14ac:dyDescent="0.2">
      <c r="A87" s="37" t="s">
        <v>29</v>
      </c>
      <c r="B87" s="4">
        <v>19012017</v>
      </c>
      <c r="C87" s="4">
        <v>2</v>
      </c>
      <c r="F87" s="39"/>
      <c r="G87" s="2"/>
      <c r="H87" s="47">
        <v>366.56</v>
      </c>
      <c r="I87" s="47">
        <v>366.56</v>
      </c>
    </row>
    <row r="88" spans="1:14" ht="12.75" x14ac:dyDescent="0.2">
      <c r="A88" s="37" t="s">
        <v>30</v>
      </c>
      <c r="B88" s="4">
        <v>19012017</v>
      </c>
      <c r="C88" s="4">
        <v>2</v>
      </c>
      <c r="F88" s="39"/>
      <c r="G88" s="2"/>
      <c r="H88" s="47">
        <v>358.45</v>
      </c>
      <c r="I88" s="47">
        <v>358.45</v>
      </c>
    </row>
    <row r="89" spans="1:14" ht="12.75" x14ac:dyDescent="0.2">
      <c r="A89" s="37" t="s">
        <v>31</v>
      </c>
      <c r="B89" s="4">
        <v>19012017</v>
      </c>
      <c r="C89" s="4">
        <v>2</v>
      </c>
      <c r="F89" s="39"/>
      <c r="G89" s="2"/>
      <c r="H89" s="47">
        <v>358.44</v>
      </c>
      <c r="I89" s="47">
        <v>358.44</v>
      </c>
    </row>
    <row r="90" spans="1:14" ht="12.75" x14ac:dyDescent="0.2">
      <c r="A90" s="37" t="s">
        <v>38</v>
      </c>
      <c r="B90" s="4">
        <v>19012017</v>
      </c>
      <c r="C90" s="4">
        <v>2</v>
      </c>
      <c r="D90" s="22">
        <v>912</v>
      </c>
      <c r="E90" s="40">
        <v>19</v>
      </c>
      <c r="F90" s="39">
        <v>9.5</v>
      </c>
      <c r="G90" s="2">
        <v>0.1</v>
      </c>
      <c r="H90" s="47">
        <v>356.29</v>
      </c>
      <c r="I90" s="47">
        <v>356.28</v>
      </c>
      <c r="J90" s="2"/>
      <c r="N90" s="4" t="s">
        <v>219</v>
      </c>
    </row>
    <row r="91" spans="1:14" ht="12.75" x14ac:dyDescent="0.2">
      <c r="A91" s="37" t="s">
        <v>39</v>
      </c>
      <c r="B91" s="4">
        <v>19012017</v>
      </c>
      <c r="C91" s="4">
        <v>2</v>
      </c>
      <c r="D91" s="22">
        <v>912</v>
      </c>
      <c r="E91" s="40">
        <v>18</v>
      </c>
      <c r="F91" s="39">
        <v>7.8</v>
      </c>
      <c r="G91" s="2">
        <v>0.2</v>
      </c>
      <c r="H91" s="47">
        <v>357</v>
      </c>
      <c r="I91" s="47">
        <v>356.99</v>
      </c>
      <c r="J91" s="2"/>
      <c r="N91" s="4" t="s">
        <v>220</v>
      </c>
    </row>
    <row r="92" spans="1:14" ht="12.75" x14ac:dyDescent="0.2">
      <c r="A92" s="37" t="s">
        <v>40</v>
      </c>
      <c r="B92" s="4">
        <v>19012017</v>
      </c>
      <c r="C92" s="4">
        <v>2</v>
      </c>
      <c r="D92" s="22">
        <v>912</v>
      </c>
      <c r="E92" s="40">
        <v>18</v>
      </c>
      <c r="F92" s="39">
        <v>7.8</v>
      </c>
      <c r="G92" s="2">
        <v>0.1</v>
      </c>
      <c r="H92" s="47">
        <v>357.23</v>
      </c>
      <c r="I92" s="47">
        <v>357.2</v>
      </c>
      <c r="J92" s="2"/>
      <c r="N92" s="4" t="s">
        <v>221</v>
      </c>
    </row>
    <row r="93" spans="1:14" ht="12.75" x14ac:dyDescent="0.2">
      <c r="A93" s="37" t="s">
        <v>46</v>
      </c>
      <c r="B93" s="4">
        <v>19012017</v>
      </c>
      <c r="C93" s="4">
        <v>2</v>
      </c>
      <c r="D93" s="22">
        <v>940</v>
      </c>
      <c r="E93" s="40">
        <v>86</v>
      </c>
      <c r="F93" s="39">
        <v>47.2</v>
      </c>
      <c r="G93" s="2">
        <v>0</v>
      </c>
      <c r="H93" s="47">
        <v>406.72</v>
      </c>
      <c r="I93" s="47">
        <v>406.62</v>
      </c>
      <c r="J93" s="2"/>
      <c r="N93" s="4" t="s">
        <v>222</v>
      </c>
    </row>
    <row r="94" spans="1:14" ht="12.75" x14ac:dyDescent="0.2">
      <c r="A94" s="37" t="s">
        <v>47</v>
      </c>
      <c r="B94" s="4">
        <v>19012017</v>
      </c>
      <c r="C94" s="4">
        <v>2</v>
      </c>
      <c r="D94" s="22">
        <v>940</v>
      </c>
      <c r="E94" s="40">
        <v>90</v>
      </c>
      <c r="F94" s="39">
        <v>49.2</v>
      </c>
      <c r="G94" s="2">
        <v>0</v>
      </c>
      <c r="H94" s="47">
        <v>411.35</v>
      </c>
      <c r="I94" s="47">
        <v>411.26</v>
      </c>
      <c r="J94" s="2"/>
      <c r="N94" s="4" t="s">
        <v>223</v>
      </c>
    </row>
    <row r="95" spans="1:14" ht="12.75" x14ac:dyDescent="0.2">
      <c r="A95" s="37" t="s">
        <v>48</v>
      </c>
      <c r="B95" s="4">
        <v>19012017</v>
      </c>
      <c r="C95" s="4">
        <v>2</v>
      </c>
      <c r="D95" s="22">
        <v>940</v>
      </c>
      <c r="E95" s="40">
        <v>97</v>
      </c>
      <c r="F95" s="39">
        <v>54.6</v>
      </c>
      <c r="G95" s="2">
        <v>0.1</v>
      </c>
      <c r="H95" s="47">
        <v>415.87</v>
      </c>
      <c r="I95" s="47">
        <v>415.77</v>
      </c>
      <c r="J95" s="2"/>
      <c r="N95" s="4" t="s">
        <v>224</v>
      </c>
    </row>
    <row r="96" spans="1:14" ht="12.75" x14ac:dyDescent="0.2">
      <c r="A96" s="37" t="s">
        <v>49</v>
      </c>
      <c r="B96" s="4">
        <v>19012017</v>
      </c>
      <c r="C96" s="4">
        <v>2</v>
      </c>
      <c r="D96" s="22">
        <v>955</v>
      </c>
      <c r="E96" s="40">
        <v>178</v>
      </c>
      <c r="F96" s="39">
        <v>81.900000000000006</v>
      </c>
      <c r="G96" s="2">
        <v>0.3</v>
      </c>
      <c r="H96" s="47">
        <v>422.24</v>
      </c>
      <c r="I96" s="47">
        <v>422.1</v>
      </c>
      <c r="J96" s="2"/>
      <c r="K96" s="4" t="s">
        <v>114</v>
      </c>
      <c r="N96" s="4" t="s">
        <v>225</v>
      </c>
    </row>
    <row r="97" spans="1:14" ht="12.75" x14ac:dyDescent="0.2">
      <c r="A97" s="37" t="s">
        <v>50</v>
      </c>
      <c r="B97" s="4">
        <v>19012017</v>
      </c>
      <c r="C97" s="4">
        <v>2</v>
      </c>
      <c r="D97" s="22">
        <v>955</v>
      </c>
      <c r="E97" s="40">
        <v>169</v>
      </c>
      <c r="F97" s="39">
        <v>79.5</v>
      </c>
      <c r="G97" s="2">
        <v>0.6</v>
      </c>
      <c r="H97" s="47">
        <v>419.26</v>
      </c>
      <c r="I97" s="47">
        <v>419.11</v>
      </c>
      <c r="J97" s="2"/>
      <c r="K97" s="4" t="s">
        <v>114</v>
      </c>
      <c r="N97" s="4" t="s">
        <v>226</v>
      </c>
    </row>
    <row r="98" spans="1:14" ht="12.75" x14ac:dyDescent="0.2">
      <c r="A98" s="37" t="s">
        <v>51</v>
      </c>
      <c r="B98" s="4">
        <v>19012017</v>
      </c>
      <c r="C98" s="4">
        <v>2</v>
      </c>
      <c r="D98" s="22">
        <v>955</v>
      </c>
      <c r="E98" s="40">
        <v>170</v>
      </c>
      <c r="F98" s="39">
        <v>80.2</v>
      </c>
      <c r="G98" s="2">
        <v>0.4</v>
      </c>
      <c r="H98" s="47">
        <v>421.35</v>
      </c>
      <c r="I98" s="47">
        <v>421.21</v>
      </c>
      <c r="J98" s="2"/>
      <c r="N98" s="4" t="s">
        <v>227</v>
      </c>
    </row>
    <row r="99" spans="1:14" ht="12.75" x14ac:dyDescent="0.2">
      <c r="A99" s="37" t="s">
        <v>52</v>
      </c>
      <c r="B99" s="4">
        <v>19012017</v>
      </c>
      <c r="C99" s="4">
        <v>2</v>
      </c>
      <c r="D99" s="4">
        <v>1012</v>
      </c>
      <c r="E99" s="40">
        <v>195</v>
      </c>
      <c r="F99" s="39">
        <v>92.1</v>
      </c>
      <c r="G99" s="2">
        <v>0.5</v>
      </c>
      <c r="H99" s="47">
        <v>408.42</v>
      </c>
      <c r="I99" s="47">
        <v>408.22</v>
      </c>
      <c r="J99" s="2"/>
      <c r="K99" s="4" t="s">
        <v>114</v>
      </c>
      <c r="N99" s="4" t="s">
        <v>228</v>
      </c>
    </row>
    <row r="100" spans="1:14" ht="12.75" x14ac:dyDescent="0.2">
      <c r="A100" s="37" t="s">
        <v>53</v>
      </c>
      <c r="B100" s="4">
        <v>19012017</v>
      </c>
      <c r="C100" s="4">
        <v>2</v>
      </c>
      <c r="D100" s="4">
        <v>1012</v>
      </c>
      <c r="E100" s="40">
        <v>190</v>
      </c>
      <c r="F100" s="39">
        <v>91.3</v>
      </c>
      <c r="G100" s="2">
        <v>0.7</v>
      </c>
      <c r="H100" s="47">
        <v>414.06</v>
      </c>
      <c r="I100" s="47">
        <v>413.89</v>
      </c>
      <c r="J100" s="2"/>
      <c r="K100" s="4" t="s">
        <v>114</v>
      </c>
      <c r="N100" s="4" t="s">
        <v>229</v>
      </c>
    </row>
    <row r="101" spans="1:14" ht="12.75" x14ac:dyDescent="0.2">
      <c r="A101" s="37" t="s">
        <v>54</v>
      </c>
      <c r="B101" s="4">
        <v>19012017</v>
      </c>
      <c r="C101" s="4">
        <v>2</v>
      </c>
      <c r="D101" s="4">
        <v>1012</v>
      </c>
      <c r="E101" s="40">
        <v>195</v>
      </c>
      <c r="F101" s="39">
        <v>94.8</v>
      </c>
      <c r="G101" s="2">
        <v>0.5</v>
      </c>
      <c r="H101" s="47">
        <v>420.65</v>
      </c>
      <c r="I101" s="47">
        <v>420.47</v>
      </c>
      <c r="J101" s="2"/>
      <c r="K101" s="4" t="s">
        <v>114</v>
      </c>
      <c r="N101" s="4" t="s">
        <v>230</v>
      </c>
    </row>
    <row r="102" spans="1:14" ht="12.75" x14ac:dyDescent="0.2">
      <c r="A102" s="37" t="s">
        <v>55</v>
      </c>
      <c r="B102" s="4">
        <v>19012017</v>
      </c>
      <c r="C102" s="4">
        <v>2</v>
      </c>
      <c r="D102" s="4">
        <v>1041</v>
      </c>
      <c r="E102" s="40">
        <v>200</v>
      </c>
      <c r="F102" s="39">
        <v>96.4</v>
      </c>
      <c r="G102" s="2">
        <v>0.3</v>
      </c>
      <c r="H102" s="47">
        <v>419.61</v>
      </c>
      <c r="I102" s="47">
        <v>419.43</v>
      </c>
      <c r="J102" s="2"/>
      <c r="K102" s="4" t="s">
        <v>114</v>
      </c>
      <c r="N102" s="4" t="s">
        <v>231</v>
      </c>
    </row>
    <row r="103" spans="1:14" ht="12.75" x14ac:dyDescent="0.2">
      <c r="A103" s="37" t="s">
        <v>56</v>
      </c>
      <c r="B103" s="4">
        <v>19012017</v>
      </c>
      <c r="C103" s="4">
        <v>2</v>
      </c>
      <c r="D103" s="4">
        <v>1041</v>
      </c>
      <c r="E103" s="40">
        <v>198</v>
      </c>
      <c r="F103" s="39">
        <v>92.1</v>
      </c>
      <c r="G103" s="2">
        <v>0.3</v>
      </c>
      <c r="H103" s="47">
        <v>414.42</v>
      </c>
      <c r="I103" s="47">
        <v>414.23</v>
      </c>
      <c r="J103" s="2"/>
      <c r="N103" s="4" t="s">
        <v>232</v>
      </c>
    </row>
    <row r="104" spans="1:14" ht="12.75" x14ac:dyDescent="0.2">
      <c r="A104" s="37" t="s">
        <v>57</v>
      </c>
      <c r="B104" s="4">
        <v>19012017</v>
      </c>
      <c r="C104" s="4">
        <v>2</v>
      </c>
      <c r="D104" s="4">
        <v>1041</v>
      </c>
      <c r="E104" s="40">
        <v>200</v>
      </c>
      <c r="F104" s="39">
        <v>92.5</v>
      </c>
      <c r="G104" s="2">
        <v>0.5</v>
      </c>
      <c r="H104" s="47">
        <v>418.49</v>
      </c>
      <c r="I104" s="47">
        <v>418.3</v>
      </c>
      <c r="J104" s="2"/>
      <c r="N104" s="4" t="s">
        <v>233</v>
      </c>
    </row>
    <row r="105" spans="1:14" ht="12.75" x14ac:dyDescent="0.2">
      <c r="A105" s="37" t="s">
        <v>58</v>
      </c>
      <c r="B105" s="4">
        <v>19012017</v>
      </c>
      <c r="C105" s="4">
        <v>2</v>
      </c>
      <c r="D105" s="4">
        <v>1028</v>
      </c>
      <c r="E105" s="40">
        <v>195</v>
      </c>
      <c r="F105" s="39">
        <v>92.9</v>
      </c>
      <c r="G105" s="2">
        <v>0.6</v>
      </c>
      <c r="H105" s="47">
        <v>417.09</v>
      </c>
      <c r="I105" s="47">
        <v>416.91</v>
      </c>
      <c r="J105" s="2"/>
      <c r="K105" s="4" t="s">
        <v>114</v>
      </c>
      <c r="N105" s="4" t="s">
        <v>234</v>
      </c>
    </row>
    <row r="106" spans="1:14" ht="12.75" x14ac:dyDescent="0.2">
      <c r="A106" s="37" t="s">
        <v>59</v>
      </c>
      <c r="B106" s="4">
        <v>19012017</v>
      </c>
      <c r="C106" s="4">
        <v>2</v>
      </c>
      <c r="D106" s="4">
        <v>1028</v>
      </c>
      <c r="E106" s="40">
        <v>197</v>
      </c>
      <c r="F106" s="39">
        <v>94.7</v>
      </c>
      <c r="G106" s="2">
        <v>0.4</v>
      </c>
      <c r="H106" s="47">
        <v>420.99</v>
      </c>
      <c r="I106" s="47">
        <v>420.8</v>
      </c>
      <c r="J106" s="2"/>
      <c r="K106" s="4" t="s">
        <v>114</v>
      </c>
      <c r="N106" s="4" t="s">
        <v>235</v>
      </c>
    </row>
    <row r="107" spans="1:14" ht="12.75" x14ac:dyDescent="0.2">
      <c r="A107" s="37" t="s">
        <v>60</v>
      </c>
      <c r="B107" s="4">
        <v>19012017</v>
      </c>
      <c r="C107" s="4">
        <v>2</v>
      </c>
      <c r="D107" s="4">
        <v>1028</v>
      </c>
      <c r="E107" s="40">
        <v>190</v>
      </c>
      <c r="F107" s="39">
        <v>92</v>
      </c>
      <c r="G107" s="2">
        <v>0.2</v>
      </c>
      <c r="H107" s="47">
        <v>419.11</v>
      </c>
      <c r="I107" s="47">
        <v>418.94</v>
      </c>
      <c r="J107" s="2"/>
      <c r="K107" s="4" t="s">
        <v>114</v>
      </c>
      <c r="N107" s="4" t="s">
        <v>236</v>
      </c>
    </row>
    <row r="108" spans="1:14" ht="12.75" x14ac:dyDescent="0.2">
      <c r="A108" s="37" t="s">
        <v>91</v>
      </c>
      <c r="B108" s="4">
        <v>19012017</v>
      </c>
      <c r="C108" s="4">
        <v>2</v>
      </c>
      <c r="D108" s="4">
        <v>1024</v>
      </c>
      <c r="E108" s="40">
        <v>142</v>
      </c>
      <c r="F108" s="39">
        <v>75.3</v>
      </c>
      <c r="G108" s="2">
        <v>0.4</v>
      </c>
      <c r="H108" s="47">
        <v>411.43</v>
      </c>
      <c r="I108" s="47">
        <v>411.27</v>
      </c>
      <c r="J108" s="2"/>
      <c r="N108" s="4" t="s">
        <v>237</v>
      </c>
    </row>
    <row r="109" spans="1:14" ht="12.75" x14ac:dyDescent="0.2">
      <c r="A109" s="37" t="s">
        <v>92</v>
      </c>
      <c r="B109" s="4">
        <v>19012017</v>
      </c>
      <c r="C109" s="4">
        <v>2</v>
      </c>
      <c r="D109" s="4">
        <v>1024</v>
      </c>
      <c r="E109" s="40">
        <v>180</v>
      </c>
      <c r="F109" s="39">
        <v>82.7</v>
      </c>
      <c r="G109" s="2">
        <v>0.3</v>
      </c>
      <c r="H109" s="47">
        <v>423.11</v>
      </c>
      <c r="I109" s="47">
        <v>422.95</v>
      </c>
      <c r="J109" s="2"/>
      <c r="K109" s="4" t="s">
        <v>114</v>
      </c>
      <c r="M109" s="4" t="s">
        <v>116</v>
      </c>
      <c r="N109" s="4" t="s">
        <v>238</v>
      </c>
    </row>
    <row r="110" spans="1:14" ht="12.75" x14ac:dyDescent="0.2">
      <c r="A110" s="37" t="s">
        <v>93</v>
      </c>
      <c r="B110" s="4">
        <v>19012017</v>
      </c>
      <c r="C110" s="4">
        <v>2</v>
      </c>
      <c r="D110" s="4">
        <v>1024</v>
      </c>
      <c r="E110" s="40">
        <v>153</v>
      </c>
      <c r="F110" s="39">
        <v>80</v>
      </c>
      <c r="G110" s="2">
        <v>0.8</v>
      </c>
      <c r="H110" s="47">
        <v>418.75</v>
      </c>
      <c r="I110" s="47">
        <v>418.6</v>
      </c>
      <c r="J110" s="2"/>
      <c r="N110" s="4" t="s">
        <v>239</v>
      </c>
    </row>
    <row r="111" spans="1:14" ht="12.75" x14ac:dyDescent="0.2">
      <c r="A111" s="37" t="s">
        <v>94</v>
      </c>
      <c r="B111" s="4">
        <v>19012017</v>
      </c>
      <c r="C111" s="4">
        <v>2</v>
      </c>
      <c r="D111" s="4">
        <v>1004</v>
      </c>
      <c r="E111" s="40">
        <v>179</v>
      </c>
      <c r="F111" s="39">
        <v>79.099999999999994</v>
      </c>
      <c r="G111" s="2">
        <v>0.2</v>
      </c>
      <c r="H111" s="47">
        <v>412.8</v>
      </c>
      <c r="I111" s="47">
        <v>412.64</v>
      </c>
      <c r="J111" s="2"/>
      <c r="K111" s="4" t="s">
        <v>114</v>
      </c>
      <c r="N111" s="4" t="s">
        <v>240</v>
      </c>
    </row>
    <row r="112" spans="1:14" ht="12.75" x14ac:dyDescent="0.2">
      <c r="A112" s="37" t="s">
        <v>95</v>
      </c>
      <c r="B112" s="4">
        <v>19012017</v>
      </c>
      <c r="C112" s="4">
        <v>2</v>
      </c>
      <c r="D112" s="4">
        <v>1004</v>
      </c>
      <c r="E112" s="40">
        <v>147</v>
      </c>
      <c r="F112" s="39">
        <v>75</v>
      </c>
      <c r="G112" s="2">
        <v>0.3</v>
      </c>
      <c r="H112" s="47">
        <v>402.92</v>
      </c>
      <c r="I112" s="47">
        <v>402.76</v>
      </c>
      <c r="J112" s="2"/>
      <c r="N112" s="4" t="s">
        <v>241</v>
      </c>
    </row>
    <row r="113" spans="1:14" ht="12.75" x14ac:dyDescent="0.2">
      <c r="A113" s="37" t="s">
        <v>96</v>
      </c>
      <c r="B113" s="4">
        <v>19012017</v>
      </c>
      <c r="C113" s="4">
        <v>2</v>
      </c>
      <c r="D113" s="4">
        <v>1004</v>
      </c>
      <c r="E113" s="40">
        <v>152</v>
      </c>
      <c r="F113" s="39">
        <v>77.599999999999994</v>
      </c>
      <c r="G113" s="2">
        <v>0.1</v>
      </c>
      <c r="H113" s="47">
        <v>411.07</v>
      </c>
      <c r="I113" s="47">
        <v>410.91</v>
      </c>
      <c r="J113" s="2"/>
      <c r="K113" s="2"/>
      <c r="N113" s="4" t="s">
        <v>242</v>
      </c>
    </row>
    <row r="114" spans="1:14" ht="12.75" x14ac:dyDescent="0.2">
      <c r="A114" s="37" t="s">
        <v>97</v>
      </c>
      <c r="B114" s="4">
        <v>19012017</v>
      </c>
      <c r="C114" s="4">
        <v>2</v>
      </c>
      <c r="D114" s="22">
        <v>947</v>
      </c>
      <c r="E114" s="40">
        <v>152</v>
      </c>
      <c r="F114" s="39">
        <v>77.7</v>
      </c>
      <c r="G114" s="2">
        <v>0.2</v>
      </c>
      <c r="H114" s="47">
        <v>403.14</v>
      </c>
      <c r="I114" s="47">
        <v>402.96</v>
      </c>
      <c r="J114" s="2"/>
      <c r="K114" s="2"/>
      <c r="N114" s="4" t="s">
        <v>243</v>
      </c>
    </row>
    <row r="115" spans="1:14" ht="12.75" x14ac:dyDescent="0.2">
      <c r="A115" s="37" t="s">
        <v>98</v>
      </c>
      <c r="B115" s="4">
        <v>19012017</v>
      </c>
      <c r="C115" s="4">
        <v>2</v>
      </c>
      <c r="D115" s="22">
        <v>947</v>
      </c>
      <c r="E115" s="40">
        <v>145</v>
      </c>
      <c r="F115" s="39">
        <v>75</v>
      </c>
      <c r="G115" s="2">
        <v>0.2</v>
      </c>
      <c r="H115" s="48">
        <v>403.08</v>
      </c>
      <c r="I115" s="47">
        <v>402.9</v>
      </c>
      <c r="J115" s="2"/>
      <c r="K115" s="2"/>
      <c r="N115" s="4" t="s">
        <v>244</v>
      </c>
    </row>
    <row r="116" spans="1:14" ht="12.75" x14ac:dyDescent="0.2">
      <c r="A116" s="37" t="s">
        <v>99</v>
      </c>
      <c r="B116" s="4">
        <v>19012017</v>
      </c>
      <c r="C116" s="4">
        <v>2</v>
      </c>
      <c r="D116" s="22">
        <v>947</v>
      </c>
      <c r="E116" s="40">
        <v>138</v>
      </c>
      <c r="F116" s="39">
        <v>70.5</v>
      </c>
      <c r="G116" s="2">
        <v>0</v>
      </c>
      <c r="H116" s="47">
        <v>404.35</v>
      </c>
      <c r="I116" s="47">
        <v>404.19</v>
      </c>
      <c r="J116" s="2"/>
      <c r="N116" s="4" t="s">
        <v>245</v>
      </c>
    </row>
    <row r="117" spans="1:14" ht="12.75" x14ac:dyDescent="0.2">
      <c r="A117" s="37" t="s">
        <v>100</v>
      </c>
      <c r="B117" s="4">
        <v>19012017</v>
      </c>
      <c r="C117" s="4">
        <v>2</v>
      </c>
      <c r="D117" s="22">
        <v>920</v>
      </c>
      <c r="E117" s="40">
        <v>136</v>
      </c>
      <c r="F117" s="39">
        <v>68.3</v>
      </c>
      <c r="G117" s="2">
        <v>0.1</v>
      </c>
      <c r="H117" s="47">
        <v>400.39</v>
      </c>
      <c r="I117" s="47">
        <v>400.21</v>
      </c>
      <c r="J117" s="2"/>
      <c r="N117" s="4" t="s">
        <v>246</v>
      </c>
    </row>
    <row r="118" spans="1:14" ht="12.75" x14ac:dyDescent="0.2">
      <c r="A118" s="37" t="s">
        <v>101</v>
      </c>
      <c r="B118" s="4">
        <v>19012017</v>
      </c>
      <c r="C118" s="4">
        <v>2</v>
      </c>
      <c r="D118" s="22">
        <v>920</v>
      </c>
      <c r="E118" s="40">
        <v>124</v>
      </c>
      <c r="F118" s="39">
        <v>62.1</v>
      </c>
      <c r="G118" s="2">
        <v>0.3</v>
      </c>
      <c r="H118" s="47">
        <v>402.24</v>
      </c>
      <c r="I118" s="47">
        <v>402.07</v>
      </c>
      <c r="J118" s="2"/>
      <c r="N118" s="4" t="s">
        <v>247</v>
      </c>
    </row>
    <row r="119" spans="1:14" ht="12.75" x14ac:dyDescent="0.2">
      <c r="A119" s="37" t="s">
        <v>102</v>
      </c>
      <c r="B119" s="4">
        <v>19012017</v>
      </c>
      <c r="C119" s="4">
        <v>2</v>
      </c>
      <c r="D119" s="22">
        <v>920</v>
      </c>
      <c r="E119" s="40">
        <v>143</v>
      </c>
      <c r="F119" s="39">
        <v>71.099999999999994</v>
      </c>
      <c r="G119" s="2">
        <v>0.2</v>
      </c>
      <c r="H119" s="47">
        <v>403.3</v>
      </c>
      <c r="I119" s="47">
        <v>403.12</v>
      </c>
      <c r="J119" s="2"/>
      <c r="K119" s="2"/>
      <c r="N119" s="4" t="s">
        <v>248</v>
      </c>
    </row>
    <row r="120" spans="1:14" ht="12.75" x14ac:dyDescent="0.2">
      <c r="A120" s="37" t="s">
        <v>103</v>
      </c>
      <c r="B120" s="4">
        <v>19012017</v>
      </c>
      <c r="C120" s="4">
        <v>2</v>
      </c>
      <c r="D120" s="22">
        <v>926</v>
      </c>
      <c r="E120" s="40">
        <v>76</v>
      </c>
      <c r="F120" s="39">
        <v>35.5</v>
      </c>
      <c r="G120" s="2">
        <v>0.2</v>
      </c>
      <c r="H120" s="47">
        <v>416.97</v>
      </c>
      <c r="I120" s="47">
        <v>416.97</v>
      </c>
      <c r="J120" s="2"/>
      <c r="N120" s="4" t="s">
        <v>249</v>
      </c>
    </row>
    <row r="121" spans="1:14" ht="12.75" x14ac:dyDescent="0.2">
      <c r="A121" s="37" t="s">
        <v>104</v>
      </c>
      <c r="B121" s="4">
        <v>19012017</v>
      </c>
      <c r="C121" s="4">
        <v>2</v>
      </c>
      <c r="D121" s="22">
        <v>926</v>
      </c>
      <c r="E121" s="40">
        <v>76</v>
      </c>
      <c r="F121" s="39">
        <v>34.799999999999997</v>
      </c>
      <c r="G121" s="2">
        <v>0.3</v>
      </c>
      <c r="H121" s="47">
        <v>417.16</v>
      </c>
      <c r="I121" s="47">
        <v>417.05</v>
      </c>
      <c r="J121" s="2"/>
      <c r="N121" s="4" t="s">
        <v>250</v>
      </c>
    </row>
    <row r="122" spans="1:14" ht="12.75" x14ac:dyDescent="0.2">
      <c r="A122" s="37" t="s">
        <v>105</v>
      </c>
      <c r="B122" s="4">
        <v>19012017</v>
      </c>
      <c r="C122" s="4">
        <v>2</v>
      </c>
      <c r="D122" s="22">
        <v>926</v>
      </c>
      <c r="E122" s="40">
        <v>77</v>
      </c>
      <c r="F122" s="39">
        <v>35.200000000000003</v>
      </c>
      <c r="G122" s="2">
        <v>0.3</v>
      </c>
      <c r="H122" s="47">
        <v>419.1</v>
      </c>
      <c r="I122" s="47">
        <v>419</v>
      </c>
      <c r="J122" s="2"/>
      <c r="K122" s="2"/>
      <c r="N122" s="4" t="s">
        <v>251</v>
      </c>
    </row>
    <row r="123" spans="1:14" ht="12.75" x14ac:dyDescent="0.2">
      <c r="A123" s="37" t="s">
        <v>32</v>
      </c>
      <c r="B123" s="4">
        <v>19012017</v>
      </c>
      <c r="C123" s="4">
        <v>2</v>
      </c>
      <c r="D123" s="22">
        <v>934</v>
      </c>
      <c r="E123" s="40">
        <v>57</v>
      </c>
      <c r="F123" s="39">
        <v>24.8</v>
      </c>
      <c r="G123" s="2">
        <v>0.1</v>
      </c>
      <c r="H123" s="47">
        <v>360.67</v>
      </c>
      <c r="I123" s="47">
        <v>360.6</v>
      </c>
      <c r="J123" s="2"/>
      <c r="K123" s="2"/>
      <c r="N123" s="4" t="s">
        <v>252</v>
      </c>
    </row>
    <row r="124" spans="1:14" ht="12.75" x14ac:dyDescent="0.2">
      <c r="A124" s="37" t="s">
        <v>33</v>
      </c>
      <c r="B124" s="4">
        <v>19012017</v>
      </c>
      <c r="C124" s="4">
        <v>2</v>
      </c>
      <c r="D124" s="22">
        <v>934</v>
      </c>
      <c r="E124" s="40">
        <v>55</v>
      </c>
      <c r="F124" s="39">
        <v>23.2</v>
      </c>
      <c r="G124" s="2">
        <v>0.1</v>
      </c>
      <c r="H124" s="47">
        <v>357.39</v>
      </c>
      <c r="I124" s="47">
        <v>357.32</v>
      </c>
      <c r="J124" s="2"/>
      <c r="K124" s="2"/>
      <c r="N124" s="4" t="s">
        <v>253</v>
      </c>
    </row>
    <row r="125" spans="1:14" ht="12.75" x14ac:dyDescent="0.2">
      <c r="A125" s="37" t="s">
        <v>34</v>
      </c>
      <c r="B125" s="4">
        <v>19012017</v>
      </c>
      <c r="C125" s="4">
        <v>2</v>
      </c>
      <c r="D125" s="22">
        <v>934</v>
      </c>
      <c r="E125" s="40">
        <v>54</v>
      </c>
      <c r="F125" s="39">
        <v>22.8</v>
      </c>
      <c r="G125" s="2">
        <v>0.1</v>
      </c>
      <c r="H125" s="47">
        <v>357.15</v>
      </c>
      <c r="I125" s="47">
        <v>357.09</v>
      </c>
      <c r="J125" s="2"/>
      <c r="N125" s="4" t="s">
        <v>254</v>
      </c>
    </row>
    <row r="126" spans="1:14" ht="12.75" x14ac:dyDescent="0.2">
      <c r="A126" s="37" t="s">
        <v>35</v>
      </c>
      <c r="B126" s="4">
        <v>19012017</v>
      </c>
      <c r="C126" s="4">
        <v>2</v>
      </c>
      <c r="D126" s="4">
        <v>1035</v>
      </c>
      <c r="E126" s="40">
        <v>58</v>
      </c>
      <c r="F126" s="39">
        <v>24.5</v>
      </c>
      <c r="G126" s="2">
        <v>0.3</v>
      </c>
      <c r="H126" s="47">
        <v>348.8</v>
      </c>
      <c r="I126" s="47">
        <v>348.72</v>
      </c>
      <c r="J126" s="2"/>
      <c r="N126" s="4" t="s">
        <v>255</v>
      </c>
    </row>
    <row r="127" spans="1:14" ht="12.75" x14ac:dyDescent="0.2">
      <c r="A127" s="37" t="s">
        <v>36</v>
      </c>
      <c r="B127" s="4">
        <v>19012017</v>
      </c>
      <c r="C127" s="4">
        <v>2</v>
      </c>
      <c r="D127" s="4">
        <v>1035</v>
      </c>
      <c r="E127" s="40">
        <v>61</v>
      </c>
      <c r="F127" s="39">
        <v>25.2</v>
      </c>
      <c r="G127" s="2">
        <v>0</v>
      </c>
      <c r="H127" s="47">
        <v>357.42</v>
      </c>
      <c r="I127" s="47">
        <v>357.33</v>
      </c>
      <c r="J127" s="2"/>
      <c r="M127" s="4" t="s">
        <v>115</v>
      </c>
      <c r="N127" s="4" t="s">
        <v>202</v>
      </c>
    </row>
    <row r="128" spans="1:14" ht="12.75" x14ac:dyDescent="0.2">
      <c r="A128" s="37" t="s">
        <v>37</v>
      </c>
      <c r="B128" s="4">
        <v>19012017</v>
      </c>
      <c r="C128" s="4">
        <v>2</v>
      </c>
      <c r="D128" s="4">
        <v>1035</v>
      </c>
      <c r="E128" s="40">
        <v>60</v>
      </c>
      <c r="F128" s="39">
        <v>25</v>
      </c>
      <c r="G128" s="2">
        <v>0.1</v>
      </c>
      <c r="H128" s="47">
        <v>357.7</v>
      </c>
      <c r="I128" s="47">
        <v>357.62</v>
      </c>
      <c r="J128" s="2"/>
      <c r="K128" s="2"/>
      <c r="N128" s="4" t="s">
        <v>202</v>
      </c>
    </row>
    <row r="129" spans="1:14" ht="12.75" x14ac:dyDescent="0.2">
      <c r="A129" s="37" t="s">
        <v>29</v>
      </c>
      <c r="B129" s="2">
        <v>20012017</v>
      </c>
      <c r="C129" s="2">
        <v>3</v>
      </c>
      <c r="F129" s="39"/>
      <c r="G129" s="2"/>
      <c r="H129" s="47">
        <v>366.56</v>
      </c>
      <c r="I129" s="47">
        <v>366.56</v>
      </c>
      <c r="K129" s="2"/>
    </row>
    <row r="130" spans="1:14" ht="12.75" x14ac:dyDescent="0.2">
      <c r="A130" s="37" t="s">
        <v>30</v>
      </c>
      <c r="B130" s="2">
        <v>20012017</v>
      </c>
      <c r="C130" s="2">
        <v>3</v>
      </c>
      <c r="F130" s="39"/>
      <c r="G130" s="2"/>
      <c r="H130" s="47">
        <v>358.45</v>
      </c>
      <c r="I130" s="47">
        <v>358.45</v>
      </c>
      <c r="K130" s="2"/>
    </row>
    <row r="131" spans="1:14" ht="12.75" x14ac:dyDescent="0.2">
      <c r="A131" s="37" t="s">
        <v>31</v>
      </c>
      <c r="B131" s="2">
        <v>20012017</v>
      </c>
      <c r="C131" s="2">
        <v>3</v>
      </c>
      <c r="F131" s="39"/>
      <c r="G131" s="2"/>
      <c r="H131" s="47">
        <v>358.44</v>
      </c>
      <c r="I131" s="47">
        <v>358.44</v>
      </c>
      <c r="K131" s="2"/>
    </row>
    <row r="132" spans="1:14" ht="12.75" x14ac:dyDescent="0.2">
      <c r="A132" s="37" t="s">
        <v>38</v>
      </c>
      <c r="B132" s="2">
        <v>20012017</v>
      </c>
      <c r="C132" s="2">
        <v>3</v>
      </c>
      <c r="D132" s="4">
        <v>1231</v>
      </c>
      <c r="E132" s="40">
        <v>16</v>
      </c>
      <c r="F132" s="39">
        <v>7.9</v>
      </c>
      <c r="G132" s="2">
        <v>0.2</v>
      </c>
      <c r="H132" s="47">
        <v>356.28</v>
      </c>
      <c r="I132" s="47">
        <v>356.27</v>
      </c>
      <c r="J132" s="2">
        <v>34.4</v>
      </c>
      <c r="K132" s="2"/>
      <c r="N132" s="4" t="s">
        <v>256</v>
      </c>
    </row>
    <row r="133" spans="1:14" ht="12.75" x14ac:dyDescent="0.2">
      <c r="A133" s="37" t="s">
        <v>39</v>
      </c>
      <c r="B133" s="2">
        <v>20012017</v>
      </c>
      <c r="C133" s="2">
        <v>3</v>
      </c>
      <c r="D133" s="4">
        <v>1231</v>
      </c>
      <c r="E133" s="40">
        <v>17</v>
      </c>
      <c r="F133" s="39">
        <v>8.5</v>
      </c>
      <c r="G133" s="2">
        <v>0.1</v>
      </c>
      <c r="H133" s="47">
        <v>357</v>
      </c>
      <c r="I133" s="47">
        <v>356.97</v>
      </c>
      <c r="J133" s="2">
        <v>31.7</v>
      </c>
      <c r="K133" s="2"/>
      <c r="N133" s="4" t="s">
        <v>257</v>
      </c>
    </row>
    <row r="134" spans="1:14" ht="12.75" x14ac:dyDescent="0.2">
      <c r="A134" s="37" t="s">
        <v>40</v>
      </c>
      <c r="B134" s="2">
        <v>20012017</v>
      </c>
      <c r="C134" s="2">
        <v>3</v>
      </c>
      <c r="D134" s="4">
        <v>1231</v>
      </c>
      <c r="E134" s="40">
        <v>17</v>
      </c>
      <c r="F134" s="39">
        <v>7.4</v>
      </c>
      <c r="G134" s="2">
        <v>0.2</v>
      </c>
      <c r="H134" s="47">
        <v>357.22</v>
      </c>
      <c r="I134" s="47">
        <v>357.2</v>
      </c>
      <c r="J134" s="2">
        <v>30.4</v>
      </c>
      <c r="K134" s="2"/>
      <c r="N134" s="4" t="s">
        <v>258</v>
      </c>
    </row>
    <row r="135" spans="1:14" ht="12.75" x14ac:dyDescent="0.2">
      <c r="A135" s="37" t="s">
        <v>46</v>
      </c>
      <c r="B135" s="2">
        <v>20012017</v>
      </c>
      <c r="C135" s="2">
        <v>3</v>
      </c>
      <c r="D135" s="4">
        <v>1237</v>
      </c>
      <c r="E135" s="40">
        <v>98</v>
      </c>
      <c r="F135" s="39">
        <v>53.4</v>
      </c>
      <c r="G135" s="2">
        <v>0.2</v>
      </c>
      <c r="H135" s="47">
        <v>406.63</v>
      </c>
      <c r="I135" s="47">
        <v>406.52</v>
      </c>
      <c r="J135" s="2">
        <v>34.4</v>
      </c>
      <c r="K135" s="2"/>
      <c r="N135" s="4" t="s">
        <v>259</v>
      </c>
    </row>
    <row r="136" spans="1:14" ht="12.75" x14ac:dyDescent="0.2">
      <c r="A136" s="37" t="s">
        <v>47</v>
      </c>
      <c r="B136" s="2">
        <v>20012017</v>
      </c>
      <c r="C136" s="2">
        <v>3</v>
      </c>
      <c r="D136" s="4">
        <v>1237</v>
      </c>
      <c r="E136" s="40">
        <v>101</v>
      </c>
      <c r="F136" s="39">
        <v>53.7</v>
      </c>
      <c r="G136" s="2">
        <v>0.1</v>
      </c>
      <c r="H136" s="47">
        <v>411.27</v>
      </c>
      <c r="I136" s="47">
        <v>411.15</v>
      </c>
      <c r="J136" s="2">
        <v>31.4</v>
      </c>
      <c r="K136" s="2"/>
      <c r="N136" s="4" t="s">
        <v>260</v>
      </c>
    </row>
    <row r="137" spans="1:14" ht="12.75" x14ac:dyDescent="0.2">
      <c r="A137" s="37" t="s">
        <v>48</v>
      </c>
      <c r="B137" s="2">
        <v>20012017</v>
      </c>
      <c r="C137" s="2">
        <v>3</v>
      </c>
      <c r="D137" s="4">
        <v>1237</v>
      </c>
      <c r="E137" s="40">
        <v>102</v>
      </c>
      <c r="F137" s="39">
        <v>60.5</v>
      </c>
      <c r="G137" s="2">
        <v>0.3</v>
      </c>
      <c r="H137" s="47">
        <v>415.77</v>
      </c>
      <c r="I137" s="47">
        <v>415.65</v>
      </c>
      <c r="J137" s="2">
        <v>29.9</v>
      </c>
      <c r="K137" s="2"/>
      <c r="N137" s="4" t="s">
        <v>261</v>
      </c>
    </row>
    <row r="138" spans="1:14" ht="12.75" x14ac:dyDescent="0.2">
      <c r="A138" s="37" t="s">
        <v>49</v>
      </c>
      <c r="B138" s="2">
        <v>20012017</v>
      </c>
      <c r="C138" s="2">
        <v>3</v>
      </c>
      <c r="D138" s="4">
        <v>1248</v>
      </c>
      <c r="E138" s="40">
        <f>38+128+7</f>
        <v>173</v>
      </c>
      <c r="F138" s="39">
        <v>92</v>
      </c>
      <c r="G138" s="2">
        <v>3.1</v>
      </c>
      <c r="H138" s="47">
        <v>422.11</v>
      </c>
      <c r="I138" s="47">
        <v>421.79</v>
      </c>
      <c r="J138" s="2">
        <v>33.799999999999997</v>
      </c>
      <c r="K138" s="2"/>
      <c r="M138" s="4" t="s">
        <v>120</v>
      </c>
      <c r="N138" s="4" t="s">
        <v>262</v>
      </c>
    </row>
    <row r="139" spans="1:14" ht="12.75" x14ac:dyDescent="0.2">
      <c r="A139" s="37" t="s">
        <v>50</v>
      </c>
      <c r="B139" s="2">
        <v>20012017</v>
      </c>
      <c r="C139" s="2">
        <v>3</v>
      </c>
      <c r="D139" s="4">
        <v>1248</v>
      </c>
      <c r="E139" s="40">
        <f>38+145</f>
        <v>183</v>
      </c>
      <c r="F139" s="39">
        <v>91.4</v>
      </c>
      <c r="G139" s="2">
        <v>3.9</v>
      </c>
      <c r="H139" s="47">
        <v>419.12</v>
      </c>
      <c r="I139" s="47">
        <v>418.8</v>
      </c>
      <c r="J139" s="2">
        <v>29.4</v>
      </c>
      <c r="K139" s="2"/>
      <c r="M139" s="4" t="s">
        <v>116</v>
      </c>
      <c r="N139" s="4" t="s">
        <v>263</v>
      </c>
    </row>
    <row r="140" spans="1:14" ht="12.75" x14ac:dyDescent="0.2">
      <c r="A140" s="37" t="s">
        <v>51</v>
      </c>
      <c r="B140" s="2">
        <v>20012017</v>
      </c>
      <c r="C140" s="2">
        <v>3</v>
      </c>
      <c r="D140" s="4">
        <v>1248</v>
      </c>
      <c r="E140" s="40">
        <f>22+155</f>
        <v>177</v>
      </c>
      <c r="F140" s="39">
        <v>95.9</v>
      </c>
      <c r="G140" s="2">
        <v>2.5</v>
      </c>
      <c r="H140" s="47">
        <v>421.21</v>
      </c>
      <c r="I140" s="47">
        <v>421.01</v>
      </c>
      <c r="J140" s="2">
        <v>28.3</v>
      </c>
      <c r="K140" s="2"/>
      <c r="N140" s="4" t="s">
        <v>264</v>
      </c>
    </row>
    <row r="141" spans="1:14" ht="12.75" x14ac:dyDescent="0.2">
      <c r="A141" s="37" t="s">
        <v>52</v>
      </c>
      <c r="B141" s="2">
        <v>20012017</v>
      </c>
      <c r="C141" s="2">
        <v>3</v>
      </c>
      <c r="D141" s="4">
        <v>1304</v>
      </c>
      <c r="E141" s="40">
        <f>105+77</f>
        <v>182</v>
      </c>
      <c r="F141" s="39">
        <v>93.6</v>
      </c>
      <c r="G141" s="2">
        <v>5</v>
      </c>
      <c r="H141" s="47">
        <v>408.22</v>
      </c>
      <c r="I141" s="47">
        <v>407.99</v>
      </c>
      <c r="J141" s="2">
        <v>34.1</v>
      </c>
      <c r="L141" s="4" t="s">
        <v>124</v>
      </c>
      <c r="M141" s="4" t="s">
        <v>116</v>
      </c>
      <c r="N141" s="4" t="s">
        <v>265</v>
      </c>
    </row>
    <row r="142" spans="1:14" ht="12.75" x14ac:dyDescent="0.2">
      <c r="A142" s="37" t="s">
        <v>53</v>
      </c>
      <c r="B142" s="2">
        <v>20012017</v>
      </c>
      <c r="C142" s="2">
        <v>3</v>
      </c>
      <c r="D142" s="4">
        <v>1304</v>
      </c>
      <c r="E142" s="40">
        <f>116+64</f>
        <v>180</v>
      </c>
      <c r="F142" s="39">
        <v>97.1</v>
      </c>
      <c r="G142" s="2">
        <v>2.4</v>
      </c>
      <c r="H142" s="47">
        <v>413.88</v>
      </c>
      <c r="I142" s="47">
        <v>413.63</v>
      </c>
      <c r="J142" s="2">
        <v>31.6</v>
      </c>
      <c r="L142" s="4" t="s">
        <v>124</v>
      </c>
      <c r="M142" s="4" t="s">
        <v>116</v>
      </c>
      <c r="N142" s="4" t="s">
        <v>266</v>
      </c>
    </row>
    <row r="143" spans="1:14" ht="12.75" x14ac:dyDescent="0.2">
      <c r="A143" s="37" t="s">
        <v>54</v>
      </c>
      <c r="B143" s="2">
        <v>20012017</v>
      </c>
      <c r="C143" s="2">
        <v>3</v>
      </c>
      <c r="D143" s="4">
        <v>1304</v>
      </c>
      <c r="E143" s="40">
        <f>57+115</f>
        <v>172</v>
      </c>
      <c r="F143" s="39">
        <v>99.7</v>
      </c>
      <c r="G143" s="2">
        <v>11.5</v>
      </c>
      <c r="H143" s="47">
        <v>420.48</v>
      </c>
      <c r="I143" s="47">
        <v>420.21</v>
      </c>
      <c r="J143" s="2">
        <v>28.5</v>
      </c>
      <c r="L143" s="4" t="s">
        <v>124</v>
      </c>
      <c r="M143" s="4" t="s">
        <v>121</v>
      </c>
      <c r="N143" s="4" t="s">
        <v>267</v>
      </c>
    </row>
    <row r="144" spans="1:14" ht="12.75" x14ac:dyDescent="0.2">
      <c r="A144" s="38" t="s">
        <v>55</v>
      </c>
      <c r="B144" s="2">
        <v>20012017</v>
      </c>
      <c r="C144" s="2">
        <v>3</v>
      </c>
      <c r="D144" s="4" t="s">
        <v>515</v>
      </c>
      <c r="E144" s="40">
        <f>115+58</f>
        <v>173</v>
      </c>
      <c r="F144" s="39">
        <v>91.4</v>
      </c>
      <c r="G144" s="2">
        <v>2.8</v>
      </c>
      <c r="H144" s="47">
        <v>419.42</v>
      </c>
      <c r="I144" s="47">
        <v>419.21</v>
      </c>
      <c r="J144" s="2">
        <v>34.4</v>
      </c>
      <c r="K144" s="2"/>
      <c r="M144" s="4" t="s">
        <v>116</v>
      </c>
      <c r="N144" s="4" t="s">
        <v>268</v>
      </c>
    </row>
    <row r="145" spans="1:14" ht="12.75" x14ac:dyDescent="0.2">
      <c r="A145" s="38" t="s">
        <v>56</v>
      </c>
      <c r="B145" s="2">
        <v>20012017</v>
      </c>
      <c r="C145" s="2">
        <v>3</v>
      </c>
      <c r="D145" s="4" t="s">
        <v>516</v>
      </c>
      <c r="E145" s="40">
        <f>58+112</f>
        <v>170</v>
      </c>
      <c r="F145" s="39">
        <v>90.3</v>
      </c>
      <c r="G145" s="2">
        <v>0.7</v>
      </c>
      <c r="H145" s="47">
        <v>414.24</v>
      </c>
      <c r="I145" s="47">
        <v>414.07</v>
      </c>
      <c r="J145" s="2">
        <v>32.6</v>
      </c>
      <c r="K145" s="2"/>
      <c r="N145" s="4" t="s">
        <v>269</v>
      </c>
    </row>
    <row r="146" spans="1:14" ht="12.75" x14ac:dyDescent="0.2">
      <c r="A146" s="38" t="s">
        <v>57</v>
      </c>
      <c r="B146" s="2">
        <v>20012017</v>
      </c>
      <c r="C146" s="2">
        <v>3</v>
      </c>
      <c r="D146" s="4" t="s">
        <v>517</v>
      </c>
      <c r="E146" s="40">
        <f>125+46</f>
        <v>171</v>
      </c>
      <c r="F146" s="39">
        <v>91.4</v>
      </c>
      <c r="G146" s="2">
        <v>5.4</v>
      </c>
      <c r="H146" s="47">
        <v>418.32</v>
      </c>
      <c r="I146" s="47">
        <v>418.05</v>
      </c>
      <c r="J146" s="2">
        <v>30.3</v>
      </c>
      <c r="K146" s="2"/>
      <c r="L146" s="4" t="s">
        <v>124</v>
      </c>
      <c r="M146" s="4" t="s">
        <v>116</v>
      </c>
      <c r="N146" s="4" t="s">
        <v>270</v>
      </c>
    </row>
    <row r="147" spans="1:14" ht="12.75" x14ac:dyDescent="0.2">
      <c r="A147" s="38" t="s">
        <v>58</v>
      </c>
      <c r="B147" s="2">
        <v>20012017</v>
      </c>
      <c r="C147" s="2">
        <v>3</v>
      </c>
      <c r="D147" s="4">
        <v>1410</v>
      </c>
      <c r="E147" s="40">
        <f>118+48+5</f>
        <v>171</v>
      </c>
      <c r="F147" s="39">
        <v>91.8</v>
      </c>
      <c r="G147" s="2">
        <v>0.4</v>
      </c>
      <c r="H147" s="47">
        <v>416.92</v>
      </c>
      <c r="I147" s="47">
        <v>416.73</v>
      </c>
      <c r="J147" s="2">
        <v>34.299999999999997</v>
      </c>
      <c r="K147" s="2"/>
      <c r="M147" s="4" t="s">
        <v>116</v>
      </c>
      <c r="N147" s="4" t="s">
        <v>271</v>
      </c>
    </row>
    <row r="148" spans="1:14" ht="12.75" x14ac:dyDescent="0.2">
      <c r="A148" s="38" t="s">
        <v>59</v>
      </c>
      <c r="B148" s="2">
        <v>20012017</v>
      </c>
      <c r="C148" s="2">
        <v>3</v>
      </c>
      <c r="D148" s="4">
        <v>1410</v>
      </c>
      <c r="E148" s="40">
        <f>60+115</f>
        <v>175</v>
      </c>
      <c r="F148" s="39">
        <v>96.7</v>
      </c>
      <c r="G148" s="2">
        <v>0.4</v>
      </c>
      <c r="H148" s="47">
        <v>420.79</v>
      </c>
      <c r="I148" s="47">
        <v>420.61</v>
      </c>
      <c r="J148" s="2">
        <v>33.200000000000003</v>
      </c>
      <c r="K148" s="2"/>
      <c r="N148" s="4" t="s">
        <v>272</v>
      </c>
    </row>
    <row r="149" spans="1:14" ht="12.75" x14ac:dyDescent="0.2">
      <c r="A149" s="38" t="s">
        <v>60</v>
      </c>
      <c r="B149" s="2">
        <v>20012017</v>
      </c>
      <c r="C149" s="2">
        <v>3</v>
      </c>
      <c r="D149" s="4">
        <v>1410</v>
      </c>
      <c r="E149" s="40">
        <f>127+56</f>
        <v>183</v>
      </c>
      <c r="F149" s="39">
        <v>96</v>
      </c>
      <c r="G149" s="2">
        <v>0.3</v>
      </c>
      <c r="H149" s="47">
        <v>418.93</v>
      </c>
      <c r="I149" s="47">
        <v>418.77</v>
      </c>
      <c r="J149" s="2">
        <v>32</v>
      </c>
      <c r="K149" s="2"/>
      <c r="M149" s="4" t="s">
        <v>116</v>
      </c>
      <c r="N149" s="4" t="s">
        <v>273</v>
      </c>
    </row>
    <row r="150" spans="1:14" ht="12.75" x14ac:dyDescent="0.2">
      <c r="A150" s="38" t="s">
        <v>91</v>
      </c>
      <c r="B150" s="2">
        <v>20012017</v>
      </c>
      <c r="C150" s="2">
        <v>3</v>
      </c>
      <c r="D150" s="4">
        <v>1420</v>
      </c>
      <c r="E150" s="40">
        <f>138+54</f>
        <v>192</v>
      </c>
      <c r="F150" s="39">
        <v>104.7</v>
      </c>
      <c r="G150" s="2">
        <v>0.4</v>
      </c>
      <c r="H150" s="47">
        <v>411.27</v>
      </c>
      <c r="I150" s="47">
        <v>411.08</v>
      </c>
      <c r="J150" s="2">
        <v>34.700000000000003</v>
      </c>
      <c r="K150" s="2"/>
      <c r="M150" s="4" t="s">
        <v>116</v>
      </c>
      <c r="N150" s="4" t="s">
        <v>274</v>
      </c>
    </row>
    <row r="151" spans="1:14" ht="12.75" x14ac:dyDescent="0.2">
      <c r="A151" s="38" t="s">
        <v>92</v>
      </c>
      <c r="B151" s="2">
        <v>20012017</v>
      </c>
      <c r="C151" s="2">
        <v>3</v>
      </c>
      <c r="D151" s="4">
        <v>1420</v>
      </c>
      <c r="E151" s="40">
        <f>140+62</f>
        <v>202</v>
      </c>
      <c r="F151" s="39">
        <v>116.6</v>
      </c>
      <c r="G151" s="2">
        <v>0.4</v>
      </c>
      <c r="H151" s="47">
        <v>422.95</v>
      </c>
      <c r="I151" s="47">
        <v>422.78</v>
      </c>
      <c r="J151" s="2">
        <v>33.700000000000003</v>
      </c>
      <c r="K151" s="2"/>
      <c r="N151" s="4" t="s">
        <v>275</v>
      </c>
    </row>
    <row r="152" spans="1:14" ht="12.75" x14ac:dyDescent="0.2">
      <c r="A152" s="38" t="s">
        <v>93</v>
      </c>
      <c r="B152" s="2">
        <v>20012017</v>
      </c>
      <c r="C152" s="2">
        <v>3</v>
      </c>
      <c r="D152" s="4">
        <v>1420</v>
      </c>
      <c r="E152" s="40">
        <f>66+128</f>
        <v>194</v>
      </c>
      <c r="F152" s="39">
        <v>109.6</v>
      </c>
      <c r="G152" s="2">
        <v>0.5</v>
      </c>
      <c r="H152" s="47">
        <v>418.6</v>
      </c>
      <c r="I152" s="47">
        <v>418.4</v>
      </c>
      <c r="J152" s="2">
        <v>32.5</v>
      </c>
      <c r="K152" s="2"/>
      <c r="N152" s="4" t="s">
        <v>276</v>
      </c>
    </row>
    <row r="153" spans="1:14" ht="12.75" x14ac:dyDescent="0.2">
      <c r="A153" s="38" t="s">
        <v>94</v>
      </c>
      <c r="B153" s="2">
        <v>20012017</v>
      </c>
      <c r="C153" s="2">
        <v>3</v>
      </c>
      <c r="D153" s="4">
        <v>1428</v>
      </c>
      <c r="E153" s="40">
        <f>75+114</f>
        <v>189</v>
      </c>
      <c r="F153" s="39">
        <v>102.4</v>
      </c>
      <c r="G153" s="2">
        <v>0.4</v>
      </c>
      <c r="H153" s="47">
        <v>412.61</v>
      </c>
      <c r="I153" s="47">
        <v>412.41</v>
      </c>
      <c r="J153" s="2">
        <v>34.5</v>
      </c>
      <c r="K153" s="2"/>
      <c r="N153" s="4" t="s">
        <v>277</v>
      </c>
    </row>
    <row r="154" spans="1:14" ht="12.75" x14ac:dyDescent="0.2">
      <c r="A154" s="38" t="s">
        <v>95</v>
      </c>
      <c r="B154" s="2">
        <v>20012017</v>
      </c>
      <c r="C154" s="2">
        <v>3</v>
      </c>
      <c r="D154" s="4">
        <v>1428</v>
      </c>
      <c r="E154" s="40">
        <f>74+118</f>
        <v>192</v>
      </c>
      <c r="F154" s="39">
        <v>100.2</v>
      </c>
      <c r="G154" s="2">
        <v>0.4</v>
      </c>
      <c r="H154" s="47">
        <v>402.77</v>
      </c>
      <c r="I154" s="47">
        <v>402.57</v>
      </c>
      <c r="J154" s="2">
        <v>33.6</v>
      </c>
      <c r="K154" s="2"/>
      <c r="M154" s="4" t="s">
        <v>122</v>
      </c>
      <c r="N154" s="4" t="s">
        <v>278</v>
      </c>
    </row>
    <row r="155" spans="1:14" ht="12.75" x14ac:dyDescent="0.2">
      <c r="A155" s="38" t="s">
        <v>96</v>
      </c>
      <c r="B155" s="2">
        <v>20012017</v>
      </c>
      <c r="C155" s="2">
        <v>3</v>
      </c>
      <c r="D155" s="4">
        <v>1428</v>
      </c>
      <c r="E155" s="40">
        <f>70+122</f>
        <v>192</v>
      </c>
      <c r="F155" s="39">
        <v>102.6</v>
      </c>
      <c r="G155" s="2">
        <v>0.4</v>
      </c>
      <c r="H155" s="47">
        <v>410.92</v>
      </c>
      <c r="I155" s="47">
        <v>410.72</v>
      </c>
      <c r="J155" s="2">
        <v>32.9</v>
      </c>
      <c r="K155" s="2"/>
      <c r="N155" s="4" t="s">
        <v>279</v>
      </c>
    </row>
    <row r="156" spans="1:14" ht="12.75" x14ac:dyDescent="0.2">
      <c r="A156" s="38" t="s">
        <v>97</v>
      </c>
      <c r="B156" s="2">
        <v>20012017</v>
      </c>
      <c r="C156" s="2">
        <v>3</v>
      </c>
      <c r="D156" s="4">
        <v>1436</v>
      </c>
      <c r="E156" s="40">
        <f>56+122</f>
        <v>178</v>
      </c>
      <c r="F156" s="39">
        <v>91.9</v>
      </c>
      <c r="G156" s="2">
        <v>0.3</v>
      </c>
      <c r="H156" s="47">
        <v>402.96</v>
      </c>
      <c r="I156" s="47">
        <v>402.78</v>
      </c>
      <c r="J156" s="2">
        <v>34.299999999999997</v>
      </c>
      <c r="K156" s="2"/>
      <c r="N156" s="4" t="s">
        <v>280</v>
      </c>
    </row>
    <row r="157" spans="1:14" ht="12.75" x14ac:dyDescent="0.2">
      <c r="A157" s="38" t="s">
        <v>98</v>
      </c>
      <c r="B157" s="2">
        <v>20012017</v>
      </c>
      <c r="C157" s="2">
        <v>3</v>
      </c>
      <c r="D157" s="4">
        <v>1436</v>
      </c>
      <c r="E157" s="40">
        <f>40+140</f>
        <v>180</v>
      </c>
      <c r="F157" s="39">
        <v>93.4</v>
      </c>
      <c r="G157" s="2">
        <v>0.3</v>
      </c>
      <c r="H157" s="48">
        <v>402.9</v>
      </c>
      <c r="I157" s="47">
        <v>402.71</v>
      </c>
      <c r="J157" s="2">
        <v>32.5</v>
      </c>
      <c r="K157" s="2"/>
      <c r="N157" s="4" t="s">
        <v>281</v>
      </c>
    </row>
    <row r="158" spans="1:14" ht="12.75" x14ac:dyDescent="0.2">
      <c r="A158" s="38" t="s">
        <v>99</v>
      </c>
      <c r="B158" s="2">
        <v>20012017</v>
      </c>
      <c r="C158" s="2">
        <v>3</v>
      </c>
      <c r="D158" s="4">
        <v>1436</v>
      </c>
      <c r="E158" s="40">
        <f>54+120</f>
        <v>174</v>
      </c>
      <c r="F158" s="39">
        <v>89.8</v>
      </c>
      <c r="G158" s="2">
        <v>0.2</v>
      </c>
      <c r="H158" s="47">
        <v>404.19</v>
      </c>
      <c r="I158" s="47">
        <v>404</v>
      </c>
      <c r="J158" s="2">
        <v>32.5</v>
      </c>
      <c r="K158" s="2"/>
      <c r="M158" s="4" t="s">
        <v>123</v>
      </c>
      <c r="N158" s="4" t="s">
        <v>282</v>
      </c>
    </row>
    <row r="159" spans="1:14" ht="12.75" x14ac:dyDescent="0.2">
      <c r="A159" s="38" t="s">
        <v>100</v>
      </c>
      <c r="B159" s="2">
        <v>20012017</v>
      </c>
      <c r="C159" s="2">
        <v>3</v>
      </c>
      <c r="D159" s="4">
        <v>1339</v>
      </c>
      <c r="E159" s="40">
        <f>54+116</f>
        <v>170</v>
      </c>
      <c r="F159" s="39">
        <v>87.5</v>
      </c>
      <c r="G159" s="2">
        <v>0.2</v>
      </c>
      <c r="H159" s="47">
        <v>400.21</v>
      </c>
      <c r="I159" s="47">
        <v>400.01</v>
      </c>
      <c r="J159" s="2">
        <v>32.200000000000003</v>
      </c>
      <c r="K159" s="2"/>
      <c r="N159" s="4" t="s">
        <v>283</v>
      </c>
    </row>
    <row r="160" spans="1:14" ht="12.75" x14ac:dyDescent="0.2">
      <c r="A160" s="38" t="s">
        <v>101</v>
      </c>
      <c r="B160" s="2">
        <v>20012017</v>
      </c>
      <c r="C160" s="2">
        <v>3</v>
      </c>
      <c r="D160" s="4">
        <v>1339</v>
      </c>
      <c r="E160" s="40">
        <f>101+48</f>
        <v>149</v>
      </c>
      <c r="F160" s="39">
        <v>75.599999999999994</v>
      </c>
      <c r="G160" s="2">
        <v>0.3</v>
      </c>
      <c r="H160" s="47">
        <v>402.05</v>
      </c>
      <c r="I160" s="47">
        <v>401.86</v>
      </c>
      <c r="J160" s="2">
        <v>31.3</v>
      </c>
      <c r="K160" s="2"/>
      <c r="N160" s="4" t="s">
        <v>284</v>
      </c>
    </row>
    <row r="161" spans="1:14" ht="12.75" x14ac:dyDescent="0.2">
      <c r="A161" s="38" t="s">
        <v>102</v>
      </c>
      <c r="B161" s="2">
        <v>20012017</v>
      </c>
      <c r="C161" s="2">
        <v>3</v>
      </c>
      <c r="D161" s="4">
        <v>1339</v>
      </c>
      <c r="E161" s="40">
        <f>28+150</f>
        <v>178</v>
      </c>
      <c r="F161" s="39">
        <v>88.2</v>
      </c>
      <c r="G161" s="2">
        <v>0.2</v>
      </c>
      <c r="H161" s="47">
        <v>403.12</v>
      </c>
      <c r="I161" s="47">
        <v>402.9</v>
      </c>
      <c r="J161" s="2">
        <v>30.7</v>
      </c>
      <c r="K161" s="2"/>
      <c r="N161" s="4" t="s">
        <v>285</v>
      </c>
    </row>
    <row r="162" spans="1:14" ht="12.75" x14ac:dyDescent="0.2">
      <c r="A162" s="38" t="s">
        <v>103</v>
      </c>
      <c r="B162" s="2">
        <v>20012017</v>
      </c>
      <c r="C162" s="2">
        <v>3</v>
      </c>
      <c r="D162" s="4">
        <v>1330</v>
      </c>
      <c r="E162" s="40">
        <v>57</v>
      </c>
      <c r="F162" s="39">
        <v>26.9</v>
      </c>
      <c r="G162" s="2">
        <v>0.1</v>
      </c>
      <c r="H162" s="47">
        <v>416.92</v>
      </c>
      <c r="I162" s="47">
        <v>416.83</v>
      </c>
      <c r="J162" s="2">
        <v>34.1</v>
      </c>
      <c r="K162" s="2"/>
      <c r="N162" s="4" t="s">
        <v>286</v>
      </c>
    </row>
    <row r="163" spans="1:14" ht="12.75" x14ac:dyDescent="0.2">
      <c r="A163" s="38" t="s">
        <v>104</v>
      </c>
      <c r="B163" s="2">
        <v>20012017</v>
      </c>
      <c r="C163" s="2">
        <v>3</v>
      </c>
      <c r="D163" s="4">
        <v>1330</v>
      </c>
      <c r="E163" s="40">
        <v>56</v>
      </c>
      <c r="F163" s="39">
        <v>26.2</v>
      </c>
      <c r="G163" s="2">
        <v>0.3</v>
      </c>
      <c r="H163" s="3">
        <v>417.05</v>
      </c>
      <c r="I163" s="47">
        <v>416.97</v>
      </c>
      <c r="J163" s="2">
        <v>32.4</v>
      </c>
      <c r="K163" s="2"/>
      <c r="N163" s="4" t="s">
        <v>287</v>
      </c>
    </row>
    <row r="164" spans="1:14" ht="12.75" x14ac:dyDescent="0.2">
      <c r="A164" s="38" t="s">
        <v>105</v>
      </c>
      <c r="B164" s="2">
        <v>20012017</v>
      </c>
      <c r="C164" s="2">
        <v>3</v>
      </c>
      <c r="D164" s="4">
        <v>1330</v>
      </c>
      <c r="E164" s="40">
        <v>51</v>
      </c>
      <c r="F164" s="39">
        <v>25.2</v>
      </c>
      <c r="G164" s="2">
        <v>0.2</v>
      </c>
      <c r="H164" s="3">
        <v>419</v>
      </c>
      <c r="I164" s="47">
        <v>418.92</v>
      </c>
      <c r="J164" s="2">
        <v>30.6</v>
      </c>
      <c r="K164" s="2"/>
      <c r="N164" s="4" t="s">
        <v>288</v>
      </c>
    </row>
    <row r="165" spans="1:14" ht="12.75" x14ac:dyDescent="0.2">
      <c r="A165" s="38" t="s">
        <v>32</v>
      </c>
      <c r="B165" s="2">
        <v>20012017</v>
      </c>
      <c r="C165" s="4">
        <v>3</v>
      </c>
      <c r="D165" s="4">
        <v>1353</v>
      </c>
      <c r="E165" s="40">
        <v>82</v>
      </c>
      <c r="F165" s="40">
        <v>35.200000000000003</v>
      </c>
      <c r="G165" s="4">
        <v>0.1</v>
      </c>
      <c r="H165" s="3">
        <v>360.6</v>
      </c>
      <c r="I165" s="47">
        <v>360.52</v>
      </c>
      <c r="J165" s="2">
        <v>33.700000000000003</v>
      </c>
      <c r="N165" s="4" t="s">
        <v>289</v>
      </c>
    </row>
    <row r="166" spans="1:14" ht="12.75" x14ac:dyDescent="0.2">
      <c r="A166" s="38" t="s">
        <v>33</v>
      </c>
      <c r="B166" s="2">
        <v>20012017</v>
      </c>
      <c r="C166" s="4">
        <v>3</v>
      </c>
      <c r="D166" s="4">
        <v>1353</v>
      </c>
      <c r="E166" s="40">
        <v>73</v>
      </c>
      <c r="F166" s="40">
        <v>30.7</v>
      </c>
      <c r="G166" s="4">
        <v>0.1</v>
      </c>
      <c r="H166" s="3">
        <v>357.32</v>
      </c>
      <c r="I166" s="47">
        <v>357.25</v>
      </c>
      <c r="J166" s="2">
        <v>32.4</v>
      </c>
      <c r="N166" s="4" t="s">
        <v>290</v>
      </c>
    </row>
    <row r="167" spans="1:14" ht="12.75" x14ac:dyDescent="0.2">
      <c r="A167" s="38" t="s">
        <v>34</v>
      </c>
      <c r="B167" s="2">
        <v>20012017</v>
      </c>
      <c r="C167" s="4">
        <v>3</v>
      </c>
      <c r="D167" s="4">
        <v>1353</v>
      </c>
      <c r="E167" s="40">
        <v>70</v>
      </c>
      <c r="F167" s="40">
        <v>29.8</v>
      </c>
      <c r="G167" s="4">
        <v>0.4</v>
      </c>
      <c r="H167" s="3">
        <v>357.11</v>
      </c>
      <c r="I167" s="47">
        <v>357.02</v>
      </c>
      <c r="J167" s="2">
        <v>29.9</v>
      </c>
      <c r="N167" s="4" t="s">
        <v>291</v>
      </c>
    </row>
    <row r="168" spans="1:14" ht="12.75" x14ac:dyDescent="0.2">
      <c r="A168" s="38" t="s">
        <v>35</v>
      </c>
      <c r="B168" s="2">
        <v>20012017</v>
      </c>
      <c r="C168" s="4">
        <v>3</v>
      </c>
      <c r="D168" s="4">
        <v>1346</v>
      </c>
      <c r="E168" s="40">
        <f>120+67</f>
        <v>187</v>
      </c>
      <c r="F168" s="40">
        <v>79.5</v>
      </c>
      <c r="G168" s="4">
        <v>0.2</v>
      </c>
      <c r="H168" s="3">
        <v>348.71</v>
      </c>
      <c r="I168" s="47">
        <v>348.48</v>
      </c>
      <c r="J168" s="2">
        <v>33.6</v>
      </c>
      <c r="N168" s="4" t="s">
        <v>292</v>
      </c>
    </row>
    <row r="169" spans="1:14" ht="12.75" x14ac:dyDescent="0.2">
      <c r="A169" s="38" t="s">
        <v>36</v>
      </c>
      <c r="B169" s="2">
        <v>20012017</v>
      </c>
      <c r="C169" s="4">
        <v>3</v>
      </c>
      <c r="D169" s="4">
        <v>1346</v>
      </c>
      <c r="E169" s="40">
        <f>116+73</f>
        <v>189</v>
      </c>
      <c r="F169" s="40">
        <v>81.2</v>
      </c>
      <c r="G169" s="4">
        <v>0.5</v>
      </c>
      <c r="H169" s="3">
        <v>357.34</v>
      </c>
      <c r="I169" s="47">
        <v>357.1</v>
      </c>
      <c r="J169" s="2">
        <v>31.3</v>
      </c>
      <c r="N169" s="4" t="s">
        <v>293</v>
      </c>
    </row>
    <row r="170" spans="1:14" ht="12.75" x14ac:dyDescent="0.2">
      <c r="A170" s="38" t="s">
        <v>37</v>
      </c>
      <c r="B170" s="2">
        <v>20012017</v>
      </c>
      <c r="C170" s="4">
        <v>3</v>
      </c>
      <c r="D170" s="4">
        <v>1346</v>
      </c>
      <c r="E170" s="40">
        <f>140+50</f>
        <v>190</v>
      </c>
      <c r="F170" s="40">
        <v>80.5</v>
      </c>
      <c r="G170" s="4">
        <v>0.1</v>
      </c>
      <c r="H170" s="3">
        <v>357.62</v>
      </c>
      <c r="I170" s="47">
        <v>357.39</v>
      </c>
      <c r="J170" s="2">
        <v>28.8</v>
      </c>
      <c r="N170" s="4" t="s">
        <v>294</v>
      </c>
    </row>
    <row r="171" spans="1:14" ht="12.75" x14ac:dyDescent="0.2">
      <c r="A171" s="38" t="s">
        <v>29</v>
      </c>
      <c r="B171" s="4">
        <v>21012017</v>
      </c>
      <c r="C171" s="4">
        <v>4</v>
      </c>
      <c r="H171" s="3">
        <v>366.57</v>
      </c>
      <c r="I171" s="3">
        <v>366.57</v>
      </c>
      <c r="J171" s="2"/>
    </row>
    <row r="172" spans="1:14" ht="12.75" x14ac:dyDescent="0.2">
      <c r="A172" s="38" t="s">
        <v>30</v>
      </c>
      <c r="B172" s="4">
        <v>21012017</v>
      </c>
      <c r="C172" s="4">
        <v>4</v>
      </c>
      <c r="H172" s="3">
        <v>358.45</v>
      </c>
      <c r="I172" s="3">
        <v>358.45</v>
      </c>
    </row>
    <row r="173" spans="1:14" ht="12.75" x14ac:dyDescent="0.2">
      <c r="A173" s="38" t="s">
        <v>31</v>
      </c>
      <c r="B173" s="4">
        <v>21012017</v>
      </c>
      <c r="C173" s="4">
        <v>4</v>
      </c>
      <c r="H173" s="3">
        <v>358.45</v>
      </c>
      <c r="I173" s="3">
        <v>358.45</v>
      </c>
    </row>
    <row r="174" spans="1:14" ht="12.75" x14ac:dyDescent="0.2">
      <c r="A174" s="38" t="s">
        <v>38</v>
      </c>
      <c r="B174" s="4">
        <v>21012017</v>
      </c>
      <c r="C174" s="4">
        <v>4</v>
      </c>
      <c r="D174" s="4">
        <v>1641</v>
      </c>
      <c r="E174" s="40">
        <v>12</v>
      </c>
      <c r="F174" s="40">
        <v>4.7</v>
      </c>
      <c r="G174" s="4">
        <v>0.1</v>
      </c>
      <c r="H174" s="3">
        <v>356.27</v>
      </c>
      <c r="I174" s="3">
        <v>356.26</v>
      </c>
      <c r="J174" s="4">
        <v>30.4</v>
      </c>
      <c r="N174" s="4" t="s">
        <v>295</v>
      </c>
    </row>
    <row r="175" spans="1:14" ht="12.75" x14ac:dyDescent="0.2">
      <c r="A175" s="38" t="s">
        <v>39</v>
      </c>
      <c r="B175" s="4">
        <v>21012017</v>
      </c>
      <c r="C175" s="4">
        <v>4</v>
      </c>
      <c r="D175" s="4">
        <v>1641</v>
      </c>
      <c r="E175" s="40">
        <v>12</v>
      </c>
      <c r="F175" s="40">
        <v>4.5999999999999996</v>
      </c>
      <c r="G175" s="4">
        <v>0.2</v>
      </c>
      <c r="H175" s="3">
        <v>356.97</v>
      </c>
      <c r="I175" s="3">
        <v>356.96</v>
      </c>
      <c r="J175" s="4">
        <v>30.6</v>
      </c>
      <c r="N175" s="4" t="s">
        <v>296</v>
      </c>
    </row>
    <row r="176" spans="1:14" ht="12.75" x14ac:dyDescent="0.2">
      <c r="A176" s="38" t="s">
        <v>40</v>
      </c>
      <c r="B176" s="4">
        <v>21012017</v>
      </c>
      <c r="C176" s="4">
        <v>4</v>
      </c>
      <c r="D176" s="4">
        <v>1641</v>
      </c>
      <c r="E176" s="40">
        <v>13</v>
      </c>
      <c r="F176" s="40">
        <v>4.7</v>
      </c>
      <c r="G176" s="4">
        <v>0.1</v>
      </c>
      <c r="H176" s="3">
        <v>357.19</v>
      </c>
      <c r="I176" s="3">
        <v>357.18</v>
      </c>
      <c r="J176" s="4">
        <v>28.7</v>
      </c>
      <c r="N176" s="4" t="s">
        <v>297</v>
      </c>
    </row>
    <row r="177" spans="1:14" ht="12.75" x14ac:dyDescent="0.2">
      <c r="A177" s="38" t="s">
        <v>46</v>
      </c>
      <c r="B177" s="4">
        <v>21012017</v>
      </c>
      <c r="C177" s="4">
        <v>4</v>
      </c>
      <c r="D177" s="4">
        <v>1647</v>
      </c>
      <c r="E177" s="40">
        <v>120</v>
      </c>
      <c r="F177" s="40">
        <v>62.5</v>
      </c>
      <c r="G177" s="4">
        <v>0.3</v>
      </c>
      <c r="H177" s="3">
        <v>406.51</v>
      </c>
      <c r="I177" s="3">
        <v>406.4</v>
      </c>
      <c r="J177" s="4">
        <v>34.1</v>
      </c>
      <c r="N177" s="4" t="s">
        <v>298</v>
      </c>
    </row>
    <row r="178" spans="1:14" ht="12.75" x14ac:dyDescent="0.2">
      <c r="A178" s="38" t="s">
        <v>47</v>
      </c>
      <c r="B178" s="4">
        <v>21012017</v>
      </c>
      <c r="C178" s="4">
        <v>4</v>
      </c>
      <c r="D178" s="4">
        <v>1647</v>
      </c>
      <c r="E178" s="40">
        <v>118</v>
      </c>
      <c r="F178" s="40">
        <v>65.099999999999994</v>
      </c>
      <c r="G178" s="4">
        <v>0.1</v>
      </c>
      <c r="H178" s="3">
        <v>411.13</v>
      </c>
      <c r="I178" s="3">
        <v>411.04</v>
      </c>
      <c r="J178" s="4">
        <v>32.200000000000003</v>
      </c>
      <c r="N178" s="4" t="s">
        <v>299</v>
      </c>
    </row>
    <row r="179" spans="1:14" ht="12.75" x14ac:dyDescent="0.2">
      <c r="A179" s="38" t="s">
        <v>48</v>
      </c>
      <c r="B179" s="4">
        <v>21012017</v>
      </c>
      <c r="C179" s="4">
        <v>4</v>
      </c>
      <c r="D179" s="4">
        <v>1647</v>
      </c>
      <c r="E179" s="40">
        <v>128</v>
      </c>
      <c r="F179" s="40">
        <v>72.099999999999994</v>
      </c>
      <c r="G179" s="4">
        <v>0.2</v>
      </c>
      <c r="H179" s="3">
        <v>415.64</v>
      </c>
      <c r="I179" s="3">
        <v>415.53</v>
      </c>
      <c r="J179" s="4">
        <v>30.8</v>
      </c>
      <c r="N179" s="4" t="s">
        <v>300</v>
      </c>
    </row>
    <row r="180" spans="1:14" ht="12.75" x14ac:dyDescent="0.2">
      <c r="A180" s="38" t="s">
        <v>49</v>
      </c>
      <c r="B180" s="4">
        <v>21012017</v>
      </c>
      <c r="C180" s="4">
        <v>4</v>
      </c>
      <c r="D180" s="4">
        <v>1653</v>
      </c>
      <c r="E180" s="40">
        <f>140+62</f>
        <v>202</v>
      </c>
      <c r="F180" s="40">
        <v>115.2</v>
      </c>
      <c r="G180" s="4">
        <v>0.5</v>
      </c>
      <c r="H180" s="3">
        <v>421.77</v>
      </c>
      <c r="I180" s="3">
        <v>421.57</v>
      </c>
      <c r="J180" s="4">
        <v>33.700000000000003</v>
      </c>
      <c r="N180" s="4" t="s">
        <v>301</v>
      </c>
    </row>
    <row r="181" spans="1:14" ht="12.75" x14ac:dyDescent="0.2">
      <c r="A181" s="38" t="s">
        <v>50</v>
      </c>
      <c r="B181" s="4">
        <v>21012017</v>
      </c>
      <c r="C181" s="4">
        <v>4</v>
      </c>
      <c r="D181" s="4">
        <v>1653</v>
      </c>
      <c r="E181" s="40">
        <f>147+60</f>
        <v>207</v>
      </c>
      <c r="F181" s="40">
        <v>116.2</v>
      </c>
      <c r="G181" s="4">
        <v>0.4</v>
      </c>
      <c r="H181" s="3">
        <v>418.81</v>
      </c>
      <c r="I181" s="3">
        <v>418.61</v>
      </c>
      <c r="J181" s="4">
        <v>32.1</v>
      </c>
      <c r="N181" s="4" t="s">
        <v>302</v>
      </c>
    </row>
    <row r="182" spans="1:14" ht="12.75" x14ac:dyDescent="0.2">
      <c r="A182" s="38" t="s">
        <v>51</v>
      </c>
      <c r="B182" s="4">
        <v>21012017</v>
      </c>
      <c r="C182" s="4">
        <v>4</v>
      </c>
      <c r="D182" s="4">
        <v>1653</v>
      </c>
      <c r="E182" s="40">
        <f>137+78</f>
        <v>215</v>
      </c>
      <c r="F182" s="40">
        <v>123.9</v>
      </c>
      <c r="G182" s="4">
        <v>0.3</v>
      </c>
      <c r="H182" s="3">
        <v>421.01</v>
      </c>
      <c r="I182" s="3">
        <v>420.8</v>
      </c>
      <c r="J182" s="4">
        <v>32.5</v>
      </c>
      <c r="N182" s="4" t="s">
        <v>303</v>
      </c>
    </row>
    <row r="183" spans="1:14" ht="12.75" x14ac:dyDescent="0.2">
      <c r="A183" s="38" t="s">
        <v>52</v>
      </c>
      <c r="B183" s="4">
        <v>21012017</v>
      </c>
      <c r="C183" s="4">
        <v>4</v>
      </c>
      <c r="D183" s="4">
        <v>1700</v>
      </c>
      <c r="E183" s="40">
        <f>120+76</f>
        <v>196</v>
      </c>
      <c r="F183" s="40">
        <v>106.3</v>
      </c>
      <c r="G183" s="4">
        <v>0.5</v>
      </c>
      <c r="H183" s="3">
        <v>407.99</v>
      </c>
      <c r="I183" s="3">
        <v>407.8</v>
      </c>
      <c r="J183" s="4">
        <v>33.700000000000003</v>
      </c>
      <c r="N183" s="4" t="s">
        <v>304</v>
      </c>
    </row>
    <row r="184" spans="1:14" ht="12.75" x14ac:dyDescent="0.2">
      <c r="A184" s="38" t="s">
        <v>53</v>
      </c>
      <c r="B184" s="4">
        <v>21012017</v>
      </c>
      <c r="C184" s="4">
        <v>4</v>
      </c>
      <c r="D184" s="4">
        <v>1700</v>
      </c>
      <c r="E184" s="40">
        <f>126+76</f>
        <v>202</v>
      </c>
      <c r="F184" s="40">
        <v>110.5</v>
      </c>
      <c r="G184" s="4">
        <v>0.4</v>
      </c>
      <c r="H184" s="3">
        <v>413.62</v>
      </c>
      <c r="I184" s="3">
        <v>413.41</v>
      </c>
      <c r="J184" s="4">
        <v>30.8</v>
      </c>
      <c r="N184" s="4" t="s">
        <v>305</v>
      </c>
    </row>
    <row r="185" spans="1:14" ht="12.75" x14ac:dyDescent="0.2">
      <c r="A185" s="38" t="s">
        <v>54</v>
      </c>
      <c r="B185" s="4">
        <v>21012017</v>
      </c>
      <c r="C185" s="4">
        <v>4</v>
      </c>
      <c r="D185" s="4">
        <v>1700</v>
      </c>
      <c r="E185" s="40">
        <f>135+84</f>
        <v>219</v>
      </c>
      <c r="F185" s="40">
        <v>119.7</v>
      </c>
      <c r="G185" s="4">
        <v>0.4</v>
      </c>
      <c r="H185" s="3">
        <v>420.21</v>
      </c>
      <c r="I185" s="3">
        <v>419.99</v>
      </c>
      <c r="J185" s="4">
        <v>31.8</v>
      </c>
      <c r="N185" s="4" t="s">
        <v>306</v>
      </c>
    </row>
    <row r="186" spans="1:14" ht="12.75" x14ac:dyDescent="0.2">
      <c r="A186" s="38" t="s">
        <v>55</v>
      </c>
      <c r="B186" s="4">
        <v>21012017</v>
      </c>
      <c r="C186" s="4">
        <v>4</v>
      </c>
      <c r="D186" s="4">
        <v>1707</v>
      </c>
      <c r="E186" s="40">
        <f>113+74</f>
        <v>187</v>
      </c>
      <c r="F186" s="40">
        <v>103.9</v>
      </c>
      <c r="G186" s="4">
        <v>0.4</v>
      </c>
      <c r="H186" s="3">
        <v>419.2</v>
      </c>
      <c r="I186" s="3">
        <v>419.01</v>
      </c>
      <c r="J186" s="4">
        <v>34.299999999999997</v>
      </c>
      <c r="N186" s="4" t="s">
        <v>307</v>
      </c>
    </row>
    <row r="187" spans="1:14" ht="12.75" x14ac:dyDescent="0.2">
      <c r="A187" s="38" t="s">
        <v>56</v>
      </c>
      <c r="B187" s="4">
        <v>21012017</v>
      </c>
      <c r="C187" s="4">
        <v>4</v>
      </c>
      <c r="D187" s="4">
        <v>1707</v>
      </c>
      <c r="E187" s="40">
        <f>115+91</f>
        <v>206</v>
      </c>
      <c r="F187" s="40">
        <v>108.3</v>
      </c>
      <c r="G187" s="4">
        <v>0.6</v>
      </c>
      <c r="H187" s="3">
        <v>414.04</v>
      </c>
      <c r="I187" s="3">
        <v>413.86</v>
      </c>
      <c r="J187" s="4">
        <v>32.4</v>
      </c>
      <c r="N187" s="4" t="s">
        <v>308</v>
      </c>
    </row>
    <row r="188" spans="1:14" ht="12.75" x14ac:dyDescent="0.2">
      <c r="A188" s="38" t="s">
        <v>57</v>
      </c>
      <c r="B188" s="4">
        <v>21012017</v>
      </c>
      <c r="C188" s="4">
        <v>4</v>
      </c>
      <c r="D188" s="4">
        <v>1707</v>
      </c>
      <c r="E188" s="40">
        <f>112+84</f>
        <v>196</v>
      </c>
      <c r="F188" s="40">
        <v>107.8</v>
      </c>
      <c r="G188" s="4">
        <v>0.4</v>
      </c>
      <c r="H188" s="3">
        <v>418.05</v>
      </c>
      <c r="I188" s="3">
        <v>417.85</v>
      </c>
      <c r="J188" s="4">
        <v>30.4</v>
      </c>
      <c r="N188" s="4" t="s">
        <v>309</v>
      </c>
    </row>
    <row r="189" spans="1:14" ht="12.75" x14ac:dyDescent="0.2">
      <c r="A189" s="38" t="s">
        <v>58</v>
      </c>
      <c r="B189" s="4">
        <v>21012017</v>
      </c>
      <c r="C189" s="4">
        <v>4</v>
      </c>
      <c r="D189" s="4">
        <v>1716</v>
      </c>
      <c r="E189" s="40">
        <f>103+88</f>
        <v>191</v>
      </c>
      <c r="F189" s="40">
        <v>105.2</v>
      </c>
      <c r="G189" s="4">
        <v>0.4</v>
      </c>
      <c r="H189" s="3">
        <v>416.71</v>
      </c>
      <c r="I189" s="3">
        <v>416.53</v>
      </c>
      <c r="J189" s="4">
        <v>33.4</v>
      </c>
      <c r="N189" s="4" t="s">
        <v>310</v>
      </c>
    </row>
    <row r="190" spans="1:14" ht="12.75" x14ac:dyDescent="0.2">
      <c r="A190" s="38" t="s">
        <v>59</v>
      </c>
      <c r="B190" s="4">
        <v>21012017</v>
      </c>
      <c r="C190" s="4">
        <v>4</v>
      </c>
      <c r="D190" s="4">
        <v>1716</v>
      </c>
      <c r="E190" s="40">
        <f>114+88</f>
        <v>202</v>
      </c>
      <c r="F190" s="40">
        <v>111.5</v>
      </c>
      <c r="G190" s="4">
        <v>0.2</v>
      </c>
      <c r="H190" s="3">
        <v>420.61</v>
      </c>
      <c r="I190" s="3">
        <v>420.43</v>
      </c>
      <c r="J190" s="4">
        <v>31.4</v>
      </c>
      <c r="N190" s="4" t="s">
        <v>311</v>
      </c>
    </row>
    <row r="191" spans="1:14" ht="12.75" x14ac:dyDescent="0.2">
      <c r="A191" s="38" t="s">
        <v>60</v>
      </c>
      <c r="B191" s="4">
        <v>21012017</v>
      </c>
      <c r="C191" s="4">
        <v>4</v>
      </c>
      <c r="D191" s="4">
        <v>1716</v>
      </c>
      <c r="E191" s="40">
        <f>112+83</f>
        <v>195</v>
      </c>
      <c r="F191" s="40">
        <v>108.9</v>
      </c>
      <c r="G191" s="4">
        <v>0.4</v>
      </c>
      <c r="H191" s="3">
        <v>418.74</v>
      </c>
      <c r="I191" s="3">
        <v>418.56</v>
      </c>
      <c r="J191" s="4">
        <v>32.299999999999997</v>
      </c>
      <c r="N191" s="4" t="s">
        <v>312</v>
      </c>
    </row>
    <row r="192" spans="1:14" ht="12.75" x14ac:dyDescent="0.2">
      <c r="A192" s="38" t="s">
        <v>91</v>
      </c>
      <c r="B192" s="4">
        <v>21012017</v>
      </c>
      <c r="C192" s="4">
        <v>4</v>
      </c>
      <c r="D192" s="4">
        <v>1723</v>
      </c>
      <c r="E192" s="40">
        <f>116+74</f>
        <v>190</v>
      </c>
      <c r="F192" s="40">
        <v>113.4</v>
      </c>
      <c r="G192" s="4">
        <v>0.3</v>
      </c>
      <c r="H192" s="3">
        <v>411.08</v>
      </c>
      <c r="I192" s="3">
        <v>410.82</v>
      </c>
      <c r="J192" s="4">
        <v>33.1</v>
      </c>
      <c r="N192" s="4" t="s">
        <v>313</v>
      </c>
    </row>
    <row r="193" spans="1:14" ht="12.75" x14ac:dyDescent="0.2">
      <c r="A193" s="38" t="s">
        <v>92</v>
      </c>
      <c r="B193" s="4">
        <v>21012017</v>
      </c>
      <c r="C193" s="4">
        <v>4</v>
      </c>
      <c r="D193" s="4">
        <v>1723</v>
      </c>
      <c r="E193" s="40">
        <f>138+76</f>
        <v>214</v>
      </c>
      <c r="F193" s="40">
        <v>122.6</v>
      </c>
      <c r="G193" s="4">
        <v>0.5</v>
      </c>
      <c r="H193" s="3">
        <v>422.75</v>
      </c>
      <c r="I193" s="3">
        <v>422.53</v>
      </c>
      <c r="J193" s="4">
        <v>31.1</v>
      </c>
      <c r="N193" s="4" t="s">
        <v>314</v>
      </c>
    </row>
    <row r="194" spans="1:14" ht="12.75" x14ac:dyDescent="0.2">
      <c r="A194" s="38" t="s">
        <v>93</v>
      </c>
      <c r="B194" s="4">
        <v>21012017</v>
      </c>
      <c r="C194" s="4">
        <v>4</v>
      </c>
      <c r="D194" s="4">
        <v>1723</v>
      </c>
      <c r="E194" s="40">
        <f>125+88</f>
        <v>213</v>
      </c>
      <c r="F194" s="40">
        <v>118.6</v>
      </c>
      <c r="G194" s="4">
        <v>0.7</v>
      </c>
      <c r="H194" s="3">
        <v>418.39</v>
      </c>
      <c r="I194" s="3">
        <v>418.18</v>
      </c>
      <c r="J194" s="4">
        <v>32.1</v>
      </c>
      <c r="N194" s="4" t="s">
        <v>315</v>
      </c>
    </row>
    <row r="195" spans="1:14" ht="12.75" x14ac:dyDescent="0.2">
      <c r="A195" s="38" t="s">
        <v>94</v>
      </c>
      <c r="B195" s="4">
        <v>21012017</v>
      </c>
      <c r="C195" s="4">
        <v>4</v>
      </c>
      <c r="D195" s="4">
        <v>1730</v>
      </c>
      <c r="E195" s="40">
        <f>125+92</f>
        <v>217</v>
      </c>
      <c r="F195" s="40">
        <v>118.6</v>
      </c>
      <c r="G195" s="4">
        <v>0.6</v>
      </c>
      <c r="H195" s="3">
        <v>412.36</v>
      </c>
      <c r="I195" s="3">
        <v>412.14</v>
      </c>
      <c r="J195" s="4">
        <v>33.6</v>
      </c>
      <c r="N195" s="4" t="s">
        <v>316</v>
      </c>
    </row>
    <row r="196" spans="1:14" ht="12.75" x14ac:dyDescent="0.2">
      <c r="A196" s="38" t="s">
        <v>95</v>
      </c>
      <c r="B196" s="4">
        <v>21012017</v>
      </c>
      <c r="C196" s="4">
        <v>4</v>
      </c>
      <c r="D196" s="4">
        <v>1730</v>
      </c>
      <c r="E196" s="40">
        <f>125+90</f>
        <v>215</v>
      </c>
      <c r="F196" s="40">
        <v>114</v>
      </c>
      <c r="G196" s="4">
        <v>0.7</v>
      </c>
      <c r="H196" s="3">
        <v>402.56</v>
      </c>
      <c r="I196" s="3">
        <v>402.35</v>
      </c>
      <c r="J196" s="4">
        <v>32.700000000000003</v>
      </c>
      <c r="N196" s="4" t="s">
        <v>317</v>
      </c>
    </row>
    <row r="197" spans="1:14" ht="12.75" x14ac:dyDescent="0.2">
      <c r="A197" s="38" t="s">
        <v>96</v>
      </c>
      <c r="B197" s="4">
        <v>21012017</v>
      </c>
      <c r="C197" s="4">
        <v>4</v>
      </c>
      <c r="D197" s="4">
        <v>1730</v>
      </c>
      <c r="E197" s="40">
        <f>135+87</f>
        <v>222</v>
      </c>
      <c r="F197" s="40">
        <v>117.3</v>
      </c>
      <c r="G197" s="4">
        <v>0.5</v>
      </c>
      <c r="H197" s="3">
        <v>410.7</v>
      </c>
      <c r="I197" s="3">
        <v>410.49</v>
      </c>
      <c r="J197" s="4">
        <v>31.7</v>
      </c>
      <c r="N197" s="4" t="s">
        <v>318</v>
      </c>
    </row>
    <row r="198" spans="1:14" ht="12.75" x14ac:dyDescent="0.2">
      <c r="A198" s="38" t="s">
        <v>97</v>
      </c>
      <c r="B198" s="4">
        <v>21012017</v>
      </c>
      <c r="C198" s="4">
        <v>4</v>
      </c>
      <c r="D198" s="4">
        <v>1740</v>
      </c>
      <c r="E198" s="40">
        <v>119</v>
      </c>
      <c r="F198" s="40">
        <v>62.1</v>
      </c>
      <c r="G198" s="4">
        <v>0.2</v>
      </c>
      <c r="H198" s="3">
        <v>402.78</v>
      </c>
      <c r="I198" s="3">
        <v>402.65</v>
      </c>
      <c r="J198" s="4">
        <v>31.6</v>
      </c>
      <c r="N198" s="4" t="s">
        <v>319</v>
      </c>
    </row>
    <row r="199" spans="1:14" ht="12.75" x14ac:dyDescent="0.2">
      <c r="A199" s="38" t="s">
        <v>98</v>
      </c>
      <c r="B199" s="4">
        <v>21012017</v>
      </c>
      <c r="C199" s="4">
        <v>4</v>
      </c>
      <c r="D199" s="4">
        <v>1740</v>
      </c>
      <c r="E199" s="40">
        <v>120</v>
      </c>
      <c r="F199" s="40">
        <v>61.1</v>
      </c>
      <c r="G199" s="4">
        <v>0.5</v>
      </c>
      <c r="H199" s="3">
        <v>402.73</v>
      </c>
      <c r="I199" s="3">
        <v>402.6</v>
      </c>
      <c r="J199" s="4">
        <v>31.8</v>
      </c>
      <c r="N199" s="4" t="s">
        <v>320</v>
      </c>
    </row>
    <row r="200" spans="1:14" ht="12.75" x14ac:dyDescent="0.2">
      <c r="A200" s="38" t="s">
        <v>99</v>
      </c>
      <c r="B200" s="4">
        <v>21012017</v>
      </c>
      <c r="C200" s="4">
        <v>4</v>
      </c>
      <c r="D200" s="4">
        <v>1740</v>
      </c>
      <c r="E200" s="40">
        <v>133</v>
      </c>
      <c r="F200" s="40">
        <v>66</v>
      </c>
      <c r="G200" s="4">
        <v>0.5</v>
      </c>
      <c r="H200" s="3">
        <v>404.02</v>
      </c>
      <c r="I200" s="3">
        <v>403.87</v>
      </c>
      <c r="J200" s="4">
        <v>30.3</v>
      </c>
      <c r="N200" s="4" t="s">
        <v>321</v>
      </c>
    </row>
    <row r="201" spans="1:14" ht="12.75" x14ac:dyDescent="0.2">
      <c r="A201" s="38" t="s">
        <v>100</v>
      </c>
      <c r="B201" s="4">
        <v>21012017</v>
      </c>
      <c r="C201" s="4">
        <v>4</v>
      </c>
      <c r="D201" s="4">
        <v>1746</v>
      </c>
      <c r="E201" s="40">
        <f>106+78</f>
        <v>184</v>
      </c>
      <c r="F201" s="40">
        <v>96.4</v>
      </c>
      <c r="G201" s="4">
        <v>0.6</v>
      </c>
      <c r="H201" s="3">
        <v>400.01</v>
      </c>
      <c r="I201" s="3">
        <v>399.79</v>
      </c>
      <c r="J201" s="4">
        <v>34.200000000000003</v>
      </c>
      <c r="N201" s="4" t="s">
        <v>322</v>
      </c>
    </row>
    <row r="202" spans="1:14" ht="12.75" x14ac:dyDescent="0.2">
      <c r="A202" s="38" t="s">
        <v>101</v>
      </c>
      <c r="B202" s="4">
        <v>21012017</v>
      </c>
      <c r="C202" s="4">
        <v>4</v>
      </c>
      <c r="D202" s="4">
        <v>1746</v>
      </c>
      <c r="E202" s="40">
        <f>102+73</f>
        <v>175</v>
      </c>
      <c r="F202" s="40">
        <v>90</v>
      </c>
      <c r="G202" s="4">
        <v>0.1</v>
      </c>
      <c r="H202" s="3">
        <v>401.85</v>
      </c>
      <c r="I202" s="3">
        <v>401.63</v>
      </c>
      <c r="J202" s="4">
        <v>33.299999999999997</v>
      </c>
      <c r="N202" s="4" t="s">
        <v>323</v>
      </c>
    </row>
    <row r="203" spans="1:14" ht="12.75" x14ac:dyDescent="0.2">
      <c r="A203" s="38" t="s">
        <v>102</v>
      </c>
      <c r="B203" s="4">
        <v>21012017</v>
      </c>
      <c r="C203" s="4">
        <v>4</v>
      </c>
      <c r="D203" s="4">
        <v>1746</v>
      </c>
      <c r="E203" s="40">
        <f>106+76</f>
        <v>182</v>
      </c>
      <c r="F203" s="40">
        <v>92.5</v>
      </c>
      <c r="G203" s="4">
        <v>0.6</v>
      </c>
      <c r="H203" s="3">
        <v>402.91</v>
      </c>
      <c r="I203" s="3">
        <v>402.67</v>
      </c>
      <c r="J203" s="4">
        <v>32.4</v>
      </c>
      <c r="N203" s="4" t="s">
        <v>324</v>
      </c>
    </row>
    <row r="204" spans="1:14" ht="12.75" x14ac:dyDescent="0.2">
      <c r="A204" s="38" t="s">
        <v>103</v>
      </c>
      <c r="B204" s="4">
        <v>21012017</v>
      </c>
      <c r="C204" s="4">
        <v>4</v>
      </c>
      <c r="D204" s="4">
        <v>1753</v>
      </c>
      <c r="E204" s="40">
        <v>77</v>
      </c>
      <c r="F204" s="40">
        <v>36.700000000000003</v>
      </c>
      <c r="G204" s="4">
        <v>0.4</v>
      </c>
      <c r="H204" s="3">
        <v>416.83</v>
      </c>
      <c r="I204" s="3">
        <v>416.71</v>
      </c>
      <c r="J204" s="4">
        <v>34.6</v>
      </c>
      <c r="N204" s="4" t="s">
        <v>325</v>
      </c>
    </row>
    <row r="205" spans="1:14" ht="12.75" x14ac:dyDescent="0.2">
      <c r="A205" s="38" t="s">
        <v>104</v>
      </c>
      <c r="B205" s="4">
        <v>21012017</v>
      </c>
      <c r="C205" s="4">
        <v>4</v>
      </c>
      <c r="D205" s="4">
        <v>1753</v>
      </c>
      <c r="E205" s="40">
        <v>76</v>
      </c>
      <c r="F205" s="40">
        <v>37.1</v>
      </c>
      <c r="G205" s="4">
        <v>0.5</v>
      </c>
      <c r="H205" s="3">
        <v>416.97</v>
      </c>
      <c r="I205" s="3">
        <v>416.85</v>
      </c>
      <c r="J205" s="4">
        <v>33.5</v>
      </c>
      <c r="N205" s="4" t="s">
        <v>326</v>
      </c>
    </row>
    <row r="206" spans="1:14" ht="12.75" x14ac:dyDescent="0.2">
      <c r="A206" s="38" t="s">
        <v>105</v>
      </c>
      <c r="B206" s="4">
        <v>21012017</v>
      </c>
      <c r="C206" s="4">
        <v>4</v>
      </c>
      <c r="D206" s="4">
        <v>1753</v>
      </c>
      <c r="E206" s="40">
        <v>72</v>
      </c>
      <c r="F206" s="40">
        <v>35.1</v>
      </c>
      <c r="G206" s="4">
        <v>0.2</v>
      </c>
      <c r="H206" s="3">
        <v>418.92</v>
      </c>
      <c r="I206" s="3">
        <v>418.8</v>
      </c>
      <c r="J206" s="4">
        <v>32.6</v>
      </c>
      <c r="N206" s="4" t="s">
        <v>327</v>
      </c>
    </row>
    <row r="207" spans="1:14" ht="12.75" x14ac:dyDescent="0.2">
      <c r="A207" s="38" t="s">
        <v>32</v>
      </c>
      <c r="B207" s="4">
        <v>21012017</v>
      </c>
      <c r="C207" s="4">
        <v>4</v>
      </c>
      <c r="D207" s="4">
        <v>1758</v>
      </c>
      <c r="E207" s="40">
        <v>95</v>
      </c>
      <c r="F207" s="40">
        <v>41.4</v>
      </c>
      <c r="G207" s="4">
        <v>0.3</v>
      </c>
      <c r="H207" s="3">
        <v>360.51</v>
      </c>
      <c r="I207" s="3">
        <v>360.41</v>
      </c>
      <c r="J207" s="4">
        <v>34.700000000000003</v>
      </c>
      <c r="N207" s="4" t="s">
        <v>328</v>
      </c>
    </row>
    <row r="208" spans="1:14" ht="12.75" x14ac:dyDescent="0.2">
      <c r="A208" s="38" t="s">
        <v>33</v>
      </c>
      <c r="B208" s="4">
        <v>21012017</v>
      </c>
      <c r="C208" s="4">
        <v>4</v>
      </c>
      <c r="D208" s="4">
        <v>1758</v>
      </c>
      <c r="E208" s="40">
        <v>90</v>
      </c>
      <c r="F208" s="40">
        <v>37.9</v>
      </c>
      <c r="G208" s="4">
        <v>0.2</v>
      </c>
      <c r="H208" s="3">
        <v>357.25</v>
      </c>
      <c r="I208" s="3">
        <v>357.16</v>
      </c>
      <c r="J208" s="4">
        <v>33.1</v>
      </c>
      <c r="N208" s="4" t="s">
        <v>329</v>
      </c>
    </row>
    <row r="209" spans="1:14" ht="12.75" x14ac:dyDescent="0.2">
      <c r="A209" s="38" t="s">
        <v>34</v>
      </c>
      <c r="B209" s="4">
        <v>21012017</v>
      </c>
      <c r="C209" s="4">
        <v>4</v>
      </c>
      <c r="D209" s="4">
        <v>1758</v>
      </c>
      <c r="E209" s="40">
        <v>91</v>
      </c>
      <c r="F209" s="40">
        <v>38.700000000000003</v>
      </c>
      <c r="G209" s="4">
        <v>0.2</v>
      </c>
      <c r="H209" s="3">
        <v>357.02</v>
      </c>
      <c r="I209" s="3">
        <v>356.93</v>
      </c>
      <c r="J209" s="4">
        <v>33.799999999999997</v>
      </c>
      <c r="N209" s="4" t="s">
        <v>330</v>
      </c>
    </row>
    <row r="210" spans="1:14" ht="12.75" x14ac:dyDescent="0.2">
      <c r="A210" s="38" t="s">
        <v>35</v>
      </c>
      <c r="B210" s="4">
        <v>21012017</v>
      </c>
      <c r="C210" s="4">
        <v>4</v>
      </c>
      <c r="D210" s="4">
        <v>1804</v>
      </c>
      <c r="E210" s="40">
        <f>101+95</f>
        <v>196</v>
      </c>
      <c r="F210" s="40">
        <v>85.9</v>
      </c>
      <c r="G210" s="4">
        <v>0.1</v>
      </c>
      <c r="H210" s="3">
        <v>348.47</v>
      </c>
      <c r="I210" s="3">
        <v>348.22</v>
      </c>
      <c r="J210" s="4">
        <v>35</v>
      </c>
      <c r="N210" s="4" t="s">
        <v>331</v>
      </c>
    </row>
    <row r="211" spans="1:14" ht="12.75" x14ac:dyDescent="0.2">
      <c r="A211" s="38" t="s">
        <v>36</v>
      </c>
      <c r="B211" s="4">
        <v>21012017</v>
      </c>
      <c r="C211" s="4">
        <v>4</v>
      </c>
      <c r="D211" s="4">
        <v>1804</v>
      </c>
      <c r="E211" s="40">
        <f>117+90</f>
        <v>207</v>
      </c>
      <c r="F211" s="40">
        <v>86.3</v>
      </c>
      <c r="G211" s="4">
        <v>0.2</v>
      </c>
      <c r="H211" s="3">
        <v>357.1</v>
      </c>
      <c r="I211" s="3">
        <v>356.84</v>
      </c>
      <c r="J211" s="4">
        <v>33.6</v>
      </c>
      <c r="N211" s="4" t="s">
        <v>332</v>
      </c>
    </row>
    <row r="212" spans="1:14" ht="12.75" x14ac:dyDescent="0.2">
      <c r="A212" s="38" t="s">
        <v>37</v>
      </c>
      <c r="B212" s="4">
        <v>21012017</v>
      </c>
      <c r="C212" s="4">
        <v>4</v>
      </c>
      <c r="D212" s="4">
        <v>1804</v>
      </c>
      <c r="E212" s="40">
        <f>125+82</f>
        <v>207</v>
      </c>
      <c r="F212" s="40">
        <v>86.1</v>
      </c>
      <c r="G212" s="4">
        <v>0.2</v>
      </c>
      <c r="H212" s="3">
        <v>357.39</v>
      </c>
      <c r="I212" s="3">
        <v>357.12</v>
      </c>
      <c r="J212" s="4">
        <v>32.9</v>
      </c>
      <c r="N212" s="4" t="s">
        <v>333</v>
      </c>
    </row>
    <row r="213" spans="1:14" ht="12.75" x14ac:dyDescent="0.2">
      <c r="A213" s="38" t="s">
        <v>29</v>
      </c>
      <c r="B213" s="4">
        <v>22012017</v>
      </c>
      <c r="C213" s="4">
        <v>5</v>
      </c>
      <c r="H213" s="3">
        <v>366.58</v>
      </c>
      <c r="I213" s="3">
        <v>366.58</v>
      </c>
    </row>
    <row r="214" spans="1:14" ht="12.75" x14ac:dyDescent="0.2">
      <c r="A214" s="38" t="s">
        <v>30</v>
      </c>
      <c r="B214" s="4">
        <v>22012017</v>
      </c>
      <c r="C214" s="4">
        <v>5</v>
      </c>
      <c r="H214" s="3">
        <v>358.47</v>
      </c>
      <c r="I214" s="3">
        <v>358.47</v>
      </c>
    </row>
    <row r="215" spans="1:14" ht="12.75" x14ac:dyDescent="0.2">
      <c r="A215" s="38" t="s">
        <v>31</v>
      </c>
      <c r="B215" s="4">
        <v>22012017</v>
      </c>
      <c r="C215" s="4">
        <v>5</v>
      </c>
      <c r="H215" s="3">
        <v>358.46</v>
      </c>
      <c r="I215" s="3">
        <v>358.46</v>
      </c>
    </row>
    <row r="216" spans="1:14" ht="12.75" x14ac:dyDescent="0.2">
      <c r="A216" s="38" t="s">
        <v>38</v>
      </c>
      <c r="B216" s="4">
        <v>22012017</v>
      </c>
      <c r="C216" s="4">
        <v>5</v>
      </c>
      <c r="D216" s="4">
        <v>1320</v>
      </c>
      <c r="E216" s="40">
        <v>11</v>
      </c>
      <c r="F216" s="40">
        <v>4.5999999999999996</v>
      </c>
      <c r="G216" s="4">
        <v>0.2</v>
      </c>
      <c r="H216" s="3">
        <v>356.25</v>
      </c>
      <c r="I216" s="3">
        <v>356.24</v>
      </c>
      <c r="J216" s="4">
        <v>33.299999999999997</v>
      </c>
      <c r="N216" s="4" t="s">
        <v>334</v>
      </c>
    </row>
    <row r="217" spans="1:14" ht="12.75" x14ac:dyDescent="0.2">
      <c r="A217" s="38" t="s">
        <v>39</v>
      </c>
      <c r="B217" s="4">
        <v>22012017</v>
      </c>
      <c r="C217" s="4">
        <v>5</v>
      </c>
      <c r="D217" s="4">
        <v>1320</v>
      </c>
      <c r="E217" s="40">
        <v>12</v>
      </c>
      <c r="F217" s="40">
        <v>4.8</v>
      </c>
      <c r="G217" s="4">
        <v>0</v>
      </c>
      <c r="H217" s="3">
        <v>356.96</v>
      </c>
      <c r="I217" s="3">
        <v>356.95</v>
      </c>
      <c r="J217" s="4">
        <v>32.1</v>
      </c>
      <c r="N217" s="4" t="s">
        <v>335</v>
      </c>
    </row>
    <row r="218" spans="1:14" ht="12.75" x14ac:dyDescent="0.2">
      <c r="A218" s="38" t="s">
        <v>40</v>
      </c>
      <c r="B218" s="4">
        <v>22012017</v>
      </c>
      <c r="C218" s="4">
        <v>5</v>
      </c>
      <c r="D218" s="4">
        <v>1320</v>
      </c>
      <c r="E218" s="40">
        <v>11</v>
      </c>
      <c r="F218" s="40">
        <v>4.2</v>
      </c>
      <c r="G218" s="4">
        <v>0.1</v>
      </c>
      <c r="H218" s="3">
        <v>357.19</v>
      </c>
      <c r="I218" s="3">
        <v>357.17</v>
      </c>
      <c r="J218" s="4">
        <v>31.5</v>
      </c>
      <c r="N218" s="4" t="s">
        <v>336</v>
      </c>
    </row>
    <row r="219" spans="1:14" ht="12.75" x14ac:dyDescent="0.2">
      <c r="A219" s="38" t="s">
        <v>46</v>
      </c>
      <c r="B219" s="4">
        <v>22012017</v>
      </c>
      <c r="C219" s="4">
        <v>5</v>
      </c>
      <c r="D219" s="4">
        <v>1310</v>
      </c>
      <c r="E219" s="40">
        <v>92</v>
      </c>
      <c r="F219" s="40">
        <v>49.4</v>
      </c>
      <c r="G219" s="4">
        <v>0.3</v>
      </c>
      <c r="H219" s="3">
        <v>406.39</v>
      </c>
      <c r="I219" s="3">
        <v>406.3</v>
      </c>
      <c r="J219" s="4">
        <v>33.9</v>
      </c>
    </row>
    <row r="220" spans="1:14" ht="12.75" x14ac:dyDescent="0.2">
      <c r="A220" s="38" t="s">
        <v>47</v>
      </c>
      <c r="B220" s="4">
        <v>22012017</v>
      </c>
      <c r="C220" s="4">
        <v>5</v>
      </c>
      <c r="D220" s="4">
        <v>1310</v>
      </c>
      <c r="E220" s="40">
        <v>86</v>
      </c>
      <c r="F220" s="40">
        <v>47.6</v>
      </c>
      <c r="G220" s="4">
        <v>0.6</v>
      </c>
      <c r="H220" s="3">
        <v>411.03</v>
      </c>
      <c r="I220" s="3">
        <v>410.94</v>
      </c>
      <c r="J220" s="4">
        <v>33.1</v>
      </c>
      <c r="N220" s="22" t="s">
        <v>337</v>
      </c>
    </row>
    <row r="221" spans="1:14" ht="12.75" x14ac:dyDescent="0.2">
      <c r="A221" s="38" t="s">
        <v>48</v>
      </c>
      <c r="B221" s="4">
        <v>22012017</v>
      </c>
      <c r="C221" s="4">
        <v>5</v>
      </c>
      <c r="D221" s="4">
        <v>1310</v>
      </c>
      <c r="E221" s="40">
        <v>105</v>
      </c>
      <c r="F221" s="40">
        <v>59</v>
      </c>
      <c r="G221" s="4">
        <v>0.4</v>
      </c>
      <c r="H221" s="3">
        <v>415.52</v>
      </c>
      <c r="I221" s="3">
        <v>415.42</v>
      </c>
      <c r="J221" s="4">
        <v>31.1</v>
      </c>
      <c r="N221" s="4" t="s">
        <v>338</v>
      </c>
    </row>
    <row r="222" spans="1:14" ht="12.75" x14ac:dyDescent="0.2">
      <c r="A222" s="38" t="s">
        <v>49</v>
      </c>
      <c r="B222" s="4">
        <v>22012017</v>
      </c>
      <c r="C222" s="4">
        <v>5</v>
      </c>
      <c r="D222" s="4">
        <v>1301</v>
      </c>
      <c r="E222" s="40">
        <f>120+62</f>
        <v>182</v>
      </c>
      <c r="F222" s="40">
        <v>101.7</v>
      </c>
      <c r="G222" s="4">
        <v>0.4</v>
      </c>
      <c r="H222" s="3">
        <v>421.58</v>
      </c>
      <c r="I222" s="3">
        <v>421.41</v>
      </c>
      <c r="J222" s="4">
        <v>33.4</v>
      </c>
      <c r="N222" s="4" t="s">
        <v>339</v>
      </c>
    </row>
    <row r="223" spans="1:14" ht="12.75" x14ac:dyDescent="0.2">
      <c r="A223" s="38" t="s">
        <v>50</v>
      </c>
      <c r="B223" s="4">
        <v>22012017</v>
      </c>
      <c r="C223" s="4">
        <v>5</v>
      </c>
      <c r="D223" s="4">
        <v>1301</v>
      </c>
      <c r="E223" s="40">
        <f>110+74</f>
        <v>184</v>
      </c>
      <c r="F223" s="40">
        <v>99</v>
      </c>
      <c r="G223" s="4">
        <v>0.4</v>
      </c>
      <c r="H223" s="3">
        <v>418.61</v>
      </c>
      <c r="I223" s="3">
        <v>418.43</v>
      </c>
      <c r="J223" s="4">
        <v>32.9</v>
      </c>
      <c r="N223" s="4" t="s">
        <v>340</v>
      </c>
    </row>
    <row r="224" spans="1:14" ht="12.75" x14ac:dyDescent="0.2">
      <c r="A224" s="38" t="s">
        <v>51</v>
      </c>
      <c r="B224" s="4">
        <v>22012017</v>
      </c>
      <c r="C224" s="4">
        <v>5</v>
      </c>
      <c r="D224" s="4">
        <v>1301</v>
      </c>
      <c r="E224" s="40">
        <f>150+46</f>
        <v>196</v>
      </c>
      <c r="F224" s="40">
        <v>104.6</v>
      </c>
      <c r="G224" s="4">
        <v>0.4</v>
      </c>
      <c r="H224" s="3">
        <v>420.8</v>
      </c>
      <c r="I224" s="3">
        <v>420.61</v>
      </c>
      <c r="J224" s="4">
        <v>32.200000000000003</v>
      </c>
      <c r="N224" s="4" t="s">
        <v>341</v>
      </c>
    </row>
    <row r="225" spans="1:14" ht="12.75" x14ac:dyDescent="0.2">
      <c r="A225" s="38" t="s">
        <v>52</v>
      </c>
      <c r="B225" s="4">
        <v>22012017</v>
      </c>
      <c r="C225" s="4">
        <v>5</v>
      </c>
      <c r="D225" s="4">
        <v>1238</v>
      </c>
      <c r="E225" s="40">
        <f>115+51</f>
        <v>166</v>
      </c>
      <c r="F225" s="40">
        <v>87.2</v>
      </c>
      <c r="G225" s="4">
        <v>0.3</v>
      </c>
      <c r="H225" s="3">
        <v>407.8</v>
      </c>
      <c r="I225" s="3">
        <v>407.63</v>
      </c>
      <c r="J225" s="4">
        <v>34.1</v>
      </c>
      <c r="N225" s="4" t="s">
        <v>342</v>
      </c>
    </row>
    <row r="226" spans="1:14" ht="12.75" x14ac:dyDescent="0.2">
      <c r="A226" s="38" t="s">
        <v>53</v>
      </c>
      <c r="B226" s="4">
        <v>22012017</v>
      </c>
      <c r="C226" s="4">
        <v>5</v>
      </c>
      <c r="D226" s="4">
        <v>1238</v>
      </c>
      <c r="E226" s="40">
        <f>108+58</f>
        <v>166</v>
      </c>
      <c r="F226" s="40">
        <v>88.6</v>
      </c>
      <c r="G226" s="4">
        <v>0.4</v>
      </c>
      <c r="H226" s="3">
        <v>413.41</v>
      </c>
      <c r="I226" s="3">
        <v>413.24</v>
      </c>
      <c r="J226" s="4">
        <v>32.1</v>
      </c>
      <c r="N226" s="4" t="s">
        <v>343</v>
      </c>
    </row>
    <row r="227" spans="1:14" ht="12.75" x14ac:dyDescent="0.2">
      <c r="A227" s="38" t="s">
        <v>54</v>
      </c>
      <c r="B227" s="4">
        <v>22012017</v>
      </c>
      <c r="C227" s="4">
        <v>5</v>
      </c>
      <c r="D227" s="4">
        <v>1238</v>
      </c>
      <c r="E227" s="34">
        <v>186</v>
      </c>
      <c r="F227" s="40">
        <v>98.9</v>
      </c>
      <c r="G227" s="4">
        <v>0.4</v>
      </c>
      <c r="H227" s="3">
        <v>420</v>
      </c>
      <c r="I227" s="3">
        <v>419.81</v>
      </c>
      <c r="J227" s="4">
        <v>32.299999999999997</v>
      </c>
    </row>
    <row r="228" spans="1:14" ht="12.75" x14ac:dyDescent="0.2">
      <c r="A228" s="38" t="s">
        <v>55</v>
      </c>
      <c r="B228" s="4">
        <v>22012017</v>
      </c>
      <c r="C228" s="4">
        <v>5</v>
      </c>
      <c r="D228" s="4">
        <v>1247</v>
      </c>
      <c r="E228" s="40">
        <f>108+58</f>
        <v>166</v>
      </c>
      <c r="F228" s="40">
        <v>98.1</v>
      </c>
      <c r="G228" s="4">
        <v>0.4</v>
      </c>
      <c r="H228" s="3">
        <v>419</v>
      </c>
      <c r="I228" s="3">
        <v>418.84</v>
      </c>
      <c r="J228" s="4">
        <v>34</v>
      </c>
    </row>
    <row r="229" spans="1:14" ht="12.75" x14ac:dyDescent="0.2">
      <c r="A229" s="38" t="s">
        <v>56</v>
      </c>
      <c r="B229" s="4">
        <v>22012017</v>
      </c>
      <c r="C229" s="4">
        <v>5</v>
      </c>
      <c r="D229" s="4">
        <v>1247</v>
      </c>
      <c r="E229" s="40">
        <f>108+57</f>
        <v>165</v>
      </c>
      <c r="F229" s="40">
        <v>98</v>
      </c>
      <c r="G229" s="4">
        <v>0.3</v>
      </c>
      <c r="H229" s="3">
        <v>413.92</v>
      </c>
      <c r="I229" s="3">
        <v>413.69</v>
      </c>
      <c r="J229" s="4">
        <v>33.5</v>
      </c>
    </row>
    <row r="230" spans="1:14" ht="12.75" x14ac:dyDescent="0.2">
      <c r="A230" s="38" t="s">
        <v>57</v>
      </c>
      <c r="B230" s="4">
        <v>22012017</v>
      </c>
      <c r="C230" s="4">
        <v>5</v>
      </c>
      <c r="D230" s="4">
        <v>1247</v>
      </c>
      <c r="E230" s="40">
        <f>110+65</f>
        <v>175</v>
      </c>
      <c r="F230" s="40">
        <v>94.1</v>
      </c>
      <c r="G230" s="4">
        <v>0.5</v>
      </c>
      <c r="H230" s="3">
        <v>417.87</v>
      </c>
      <c r="I230" s="3">
        <v>417.7</v>
      </c>
      <c r="J230" s="4">
        <v>33.5</v>
      </c>
    </row>
    <row r="231" spans="1:14" ht="12.75" x14ac:dyDescent="0.2">
      <c r="A231" s="38" t="s">
        <v>58</v>
      </c>
      <c r="B231" s="4">
        <v>22012017</v>
      </c>
      <c r="C231" s="4">
        <v>5</v>
      </c>
      <c r="D231" s="4">
        <v>1254</v>
      </c>
      <c r="E231" s="40">
        <f>110+62</f>
        <v>172</v>
      </c>
      <c r="F231" s="40">
        <v>91.8</v>
      </c>
      <c r="G231" s="4">
        <v>0.5</v>
      </c>
      <c r="H231" s="3">
        <v>416.52</v>
      </c>
      <c r="I231" s="3">
        <v>416.36</v>
      </c>
      <c r="J231" s="4">
        <v>33.9</v>
      </c>
    </row>
    <row r="232" spans="1:14" ht="12.75" x14ac:dyDescent="0.2">
      <c r="A232" s="38" t="s">
        <v>59</v>
      </c>
      <c r="B232" s="4">
        <v>22012017</v>
      </c>
      <c r="C232" s="4">
        <v>5</v>
      </c>
      <c r="D232" s="4">
        <v>1254</v>
      </c>
      <c r="E232" s="40">
        <f>109+66</f>
        <v>175</v>
      </c>
      <c r="F232" s="40">
        <v>97</v>
      </c>
      <c r="G232" s="4">
        <v>0.4</v>
      </c>
      <c r="H232" s="3">
        <v>420.42</v>
      </c>
      <c r="I232" s="3">
        <v>420.25</v>
      </c>
      <c r="J232" s="4">
        <v>32.4</v>
      </c>
    </row>
    <row r="233" spans="1:14" ht="12.75" x14ac:dyDescent="0.2">
      <c r="A233" s="38" t="s">
        <v>60</v>
      </c>
      <c r="B233" s="4">
        <v>22012017</v>
      </c>
      <c r="C233" s="4">
        <v>5</v>
      </c>
      <c r="D233" s="4">
        <v>1254</v>
      </c>
      <c r="E233" s="40">
        <f>109+66</f>
        <v>175</v>
      </c>
      <c r="F233" s="40">
        <v>64.599999999999994</v>
      </c>
      <c r="G233" s="4">
        <v>0.4</v>
      </c>
      <c r="H233" s="3">
        <v>418.55</v>
      </c>
      <c r="I233" s="3">
        <v>418.38</v>
      </c>
      <c r="J233" s="4">
        <v>32.9</v>
      </c>
    </row>
    <row r="234" spans="1:14" ht="12.75" x14ac:dyDescent="0.2">
      <c r="A234" s="38" t="s">
        <v>91</v>
      </c>
      <c r="B234" s="4">
        <v>22012017</v>
      </c>
      <c r="C234" s="4">
        <v>5</v>
      </c>
      <c r="D234" s="4">
        <v>1232</v>
      </c>
      <c r="E234" s="40">
        <v>89</v>
      </c>
      <c r="F234" s="40">
        <v>49.2</v>
      </c>
      <c r="G234" s="4">
        <v>0.3</v>
      </c>
      <c r="H234" s="3">
        <v>410.81</v>
      </c>
      <c r="I234" s="3">
        <v>410.73</v>
      </c>
      <c r="J234" s="4">
        <v>33.6</v>
      </c>
    </row>
    <row r="235" spans="1:14" ht="12.75" x14ac:dyDescent="0.2">
      <c r="A235" s="38" t="s">
        <v>92</v>
      </c>
      <c r="B235" s="4">
        <v>22012017</v>
      </c>
      <c r="C235" s="4">
        <v>5</v>
      </c>
      <c r="D235" s="4">
        <v>1232</v>
      </c>
      <c r="E235" s="40">
        <v>82</v>
      </c>
      <c r="F235" s="40">
        <v>47</v>
      </c>
      <c r="G235" s="4">
        <v>0.1</v>
      </c>
      <c r="H235" s="3">
        <v>422.56</v>
      </c>
      <c r="I235" s="3">
        <v>422.48</v>
      </c>
      <c r="J235" s="4">
        <v>32.9</v>
      </c>
    </row>
    <row r="236" spans="1:14" ht="12.75" x14ac:dyDescent="0.2">
      <c r="A236" s="38" t="s">
        <v>93</v>
      </c>
      <c r="B236" s="4">
        <v>22012017</v>
      </c>
      <c r="C236" s="4">
        <v>5</v>
      </c>
      <c r="D236" s="4">
        <v>1232</v>
      </c>
      <c r="E236" s="40">
        <v>83</v>
      </c>
      <c r="F236" s="40">
        <v>46.4</v>
      </c>
      <c r="G236" s="4">
        <v>0.3</v>
      </c>
      <c r="H236" s="3">
        <v>418.18</v>
      </c>
      <c r="I236" s="3">
        <v>418.1</v>
      </c>
      <c r="J236" s="4">
        <v>32.6</v>
      </c>
    </row>
    <row r="237" spans="1:14" ht="12.75" x14ac:dyDescent="0.2">
      <c r="A237" s="38" t="s">
        <v>94</v>
      </c>
      <c r="B237" s="4">
        <v>22012017</v>
      </c>
      <c r="C237" s="4">
        <v>5</v>
      </c>
      <c r="D237" s="4">
        <v>1226</v>
      </c>
      <c r="E237" s="40">
        <f>104+45</f>
        <v>149</v>
      </c>
      <c r="F237" s="40">
        <v>79.7</v>
      </c>
      <c r="G237" s="4">
        <v>0.3</v>
      </c>
      <c r="H237" s="3">
        <v>412.12</v>
      </c>
      <c r="I237" s="3">
        <v>411.97</v>
      </c>
      <c r="J237" s="4">
        <v>33.6</v>
      </c>
    </row>
    <row r="238" spans="1:14" ht="12.75" x14ac:dyDescent="0.2">
      <c r="A238" s="38" t="s">
        <v>95</v>
      </c>
      <c r="B238" s="4">
        <v>22012017</v>
      </c>
      <c r="C238" s="4">
        <v>5</v>
      </c>
      <c r="D238" s="4">
        <v>1226</v>
      </c>
      <c r="E238" s="40">
        <v>141</v>
      </c>
      <c r="F238" s="40">
        <v>75.3</v>
      </c>
      <c r="G238" s="4">
        <v>0.3</v>
      </c>
      <c r="H238" s="3">
        <v>402.35</v>
      </c>
      <c r="I238" s="3">
        <v>402.21</v>
      </c>
      <c r="J238" s="4">
        <v>31.6</v>
      </c>
    </row>
    <row r="239" spans="1:14" ht="12.75" x14ac:dyDescent="0.2">
      <c r="A239" s="38" t="s">
        <v>96</v>
      </c>
      <c r="B239" s="4">
        <v>22012017</v>
      </c>
      <c r="C239" s="4">
        <v>5</v>
      </c>
      <c r="D239" s="4">
        <v>1226</v>
      </c>
      <c r="E239" s="40">
        <v>130</v>
      </c>
      <c r="F239" s="40">
        <v>69.900000000000006</v>
      </c>
      <c r="G239" s="4">
        <v>0.3</v>
      </c>
      <c r="H239" s="3">
        <v>410.5</v>
      </c>
      <c r="I239" s="3">
        <v>410.37</v>
      </c>
      <c r="J239" s="4">
        <v>32</v>
      </c>
    </row>
    <row r="240" spans="1:14" ht="12.75" x14ac:dyDescent="0.2">
      <c r="A240" s="38" t="s">
        <v>97</v>
      </c>
      <c r="B240" s="4">
        <v>22012017</v>
      </c>
      <c r="C240" s="4">
        <v>5</v>
      </c>
      <c r="D240" s="4">
        <v>1218</v>
      </c>
      <c r="E240" s="40">
        <v>75</v>
      </c>
      <c r="F240" s="40">
        <v>38.4</v>
      </c>
      <c r="G240" s="4">
        <v>0.1</v>
      </c>
      <c r="H240" s="3">
        <v>402.65</v>
      </c>
      <c r="I240" s="3">
        <v>402.57</v>
      </c>
      <c r="J240" s="4">
        <v>33.4</v>
      </c>
    </row>
    <row r="241" spans="1:11" ht="12.75" x14ac:dyDescent="0.2">
      <c r="A241" s="38" t="s">
        <v>98</v>
      </c>
      <c r="B241" s="4">
        <v>22012017</v>
      </c>
      <c r="C241" s="4">
        <v>5</v>
      </c>
      <c r="D241" s="4">
        <v>1218</v>
      </c>
      <c r="E241" s="40">
        <v>72</v>
      </c>
      <c r="F241" s="40">
        <v>37.6</v>
      </c>
      <c r="G241" s="4">
        <v>0.2</v>
      </c>
      <c r="H241" s="3">
        <v>402.6</v>
      </c>
      <c r="I241" s="3">
        <v>402.53</v>
      </c>
      <c r="J241" s="4">
        <v>31.9</v>
      </c>
    </row>
    <row r="242" spans="1:11" ht="12.75" x14ac:dyDescent="0.2">
      <c r="A242" s="38" t="s">
        <v>99</v>
      </c>
      <c r="B242" s="4">
        <v>22012017</v>
      </c>
      <c r="C242" s="4">
        <v>5</v>
      </c>
      <c r="D242" s="4">
        <v>1218</v>
      </c>
      <c r="E242" s="40">
        <v>73</v>
      </c>
      <c r="F242" s="40">
        <v>38.4</v>
      </c>
      <c r="G242" s="4">
        <v>0</v>
      </c>
      <c r="H242" s="3">
        <v>403.85</v>
      </c>
      <c r="I242" s="3">
        <v>403.81</v>
      </c>
      <c r="J242" s="4">
        <v>31.9</v>
      </c>
    </row>
    <row r="243" spans="1:11" ht="12.75" x14ac:dyDescent="0.2">
      <c r="A243" s="38" t="s">
        <v>100</v>
      </c>
      <c r="B243" s="4">
        <v>22012017</v>
      </c>
      <c r="C243" s="4">
        <v>5</v>
      </c>
      <c r="D243" s="4">
        <v>1325</v>
      </c>
      <c r="E243" s="40">
        <v>153</v>
      </c>
      <c r="F243" s="40">
        <v>78.2</v>
      </c>
      <c r="G243" s="4">
        <v>0.4</v>
      </c>
      <c r="H243" s="3">
        <v>399.77</v>
      </c>
      <c r="I243" s="3">
        <v>399.6</v>
      </c>
      <c r="J243" s="4">
        <v>33.4</v>
      </c>
    </row>
    <row r="244" spans="1:11" ht="12.75" x14ac:dyDescent="0.2">
      <c r="A244" s="38" t="s">
        <v>101</v>
      </c>
      <c r="B244" s="4">
        <v>22012017</v>
      </c>
      <c r="C244" s="4">
        <v>5</v>
      </c>
      <c r="D244" s="4">
        <v>1325</v>
      </c>
      <c r="E244" s="40">
        <v>146</v>
      </c>
      <c r="F244" s="40">
        <v>75.7</v>
      </c>
      <c r="G244" s="4">
        <v>0.5</v>
      </c>
      <c r="H244" s="3">
        <v>401.63</v>
      </c>
      <c r="I244" s="3">
        <v>401.47</v>
      </c>
      <c r="J244" s="4">
        <v>32.799999999999997</v>
      </c>
    </row>
    <row r="245" spans="1:11" ht="12.75" x14ac:dyDescent="0.2">
      <c r="A245" s="38" t="s">
        <v>102</v>
      </c>
      <c r="B245" s="4">
        <v>22012017</v>
      </c>
      <c r="C245" s="4">
        <v>5</v>
      </c>
      <c r="D245" s="4">
        <v>1325</v>
      </c>
      <c r="E245" s="40">
        <v>150</v>
      </c>
      <c r="F245" s="40">
        <v>77.099999999999994</v>
      </c>
      <c r="G245" s="4">
        <v>0.1</v>
      </c>
      <c r="H245" s="3">
        <v>402.66</v>
      </c>
      <c r="I245" s="3">
        <v>402.5</v>
      </c>
      <c r="J245" s="4">
        <v>32.6</v>
      </c>
    </row>
    <row r="246" spans="1:11" ht="12.75" x14ac:dyDescent="0.2">
      <c r="A246" s="38" t="s">
        <v>103</v>
      </c>
      <c r="B246" s="4">
        <v>22012017</v>
      </c>
      <c r="C246" s="4">
        <v>5</v>
      </c>
      <c r="D246" s="4">
        <v>1331</v>
      </c>
      <c r="E246" s="40">
        <v>40</v>
      </c>
      <c r="F246" s="40">
        <v>19.7</v>
      </c>
      <c r="G246" s="4">
        <v>0.5</v>
      </c>
      <c r="H246" s="3">
        <v>416.73</v>
      </c>
      <c r="I246" s="3">
        <v>416.64</v>
      </c>
      <c r="J246" s="4">
        <v>33.9</v>
      </c>
    </row>
    <row r="247" spans="1:11" ht="12.75" x14ac:dyDescent="0.2">
      <c r="A247" s="38" t="s">
        <v>104</v>
      </c>
      <c r="B247" s="4">
        <v>22012017</v>
      </c>
      <c r="C247" s="4">
        <v>5</v>
      </c>
      <c r="D247" s="4">
        <v>1331</v>
      </c>
      <c r="E247" s="40">
        <v>48</v>
      </c>
      <c r="F247" s="40">
        <v>22.6</v>
      </c>
      <c r="G247" s="4">
        <v>0.3</v>
      </c>
      <c r="H247" s="3">
        <v>416.83</v>
      </c>
      <c r="I247" s="3">
        <v>416.77</v>
      </c>
      <c r="J247" s="4">
        <v>33.700000000000003</v>
      </c>
    </row>
    <row r="248" spans="1:11" ht="12.75" x14ac:dyDescent="0.2">
      <c r="A248" s="38" t="s">
        <v>105</v>
      </c>
      <c r="B248" s="4">
        <v>22012017</v>
      </c>
      <c r="C248" s="4">
        <v>5</v>
      </c>
      <c r="D248" s="4">
        <v>1331</v>
      </c>
      <c r="E248" s="40">
        <v>60</v>
      </c>
      <c r="F248" s="40">
        <v>28.3</v>
      </c>
      <c r="G248" s="4">
        <v>0.1</v>
      </c>
      <c r="H248" s="3">
        <v>418.81</v>
      </c>
      <c r="I248" s="3">
        <v>418.73</v>
      </c>
      <c r="J248" s="4">
        <v>32.200000000000003</v>
      </c>
    </row>
    <row r="249" spans="1:11" ht="12.75" x14ac:dyDescent="0.2">
      <c r="A249" s="38" t="s">
        <v>32</v>
      </c>
      <c r="B249" s="4">
        <v>22012017</v>
      </c>
      <c r="C249" s="4">
        <v>5</v>
      </c>
      <c r="D249" s="4">
        <v>1316</v>
      </c>
      <c r="E249" s="40">
        <v>98</v>
      </c>
      <c r="F249" s="40">
        <v>42.3</v>
      </c>
      <c r="G249" s="4">
        <v>0.4</v>
      </c>
      <c r="H249" s="3">
        <v>360.41</v>
      </c>
      <c r="I249" s="3">
        <v>360.31</v>
      </c>
      <c r="J249" s="4">
        <v>33.799999999999997</v>
      </c>
    </row>
    <row r="250" spans="1:11" ht="12.75" x14ac:dyDescent="0.2">
      <c r="A250" s="38" t="s">
        <v>33</v>
      </c>
      <c r="B250" s="4">
        <v>22012017</v>
      </c>
      <c r="C250" s="4">
        <v>5</v>
      </c>
      <c r="D250" s="4">
        <v>1316</v>
      </c>
      <c r="E250" s="40">
        <v>90</v>
      </c>
      <c r="F250" s="40">
        <v>37.299999999999997</v>
      </c>
      <c r="G250" s="4">
        <v>0.2</v>
      </c>
      <c r="H250" s="3">
        <v>357.16</v>
      </c>
      <c r="I250" s="3">
        <v>357.08</v>
      </c>
      <c r="J250" s="4">
        <v>33</v>
      </c>
    </row>
    <row r="251" spans="1:11" ht="12.75" x14ac:dyDescent="0.2">
      <c r="A251" s="38" t="s">
        <v>34</v>
      </c>
      <c r="B251" s="4">
        <v>22012017</v>
      </c>
      <c r="C251" s="4">
        <v>5</v>
      </c>
      <c r="D251" s="4">
        <v>1316</v>
      </c>
      <c r="E251" s="40">
        <v>87</v>
      </c>
      <c r="F251" s="40">
        <v>36.700000000000003</v>
      </c>
      <c r="G251" s="4">
        <v>0.2</v>
      </c>
      <c r="H251" s="3">
        <v>356.93</v>
      </c>
      <c r="I251" s="3">
        <v>356.84</v>
      </c>
      <c r="J251" s="4">
        <v>31.8</v>
      </c>
    </row>
    <row r="252" spans="1:11" ht="12.75" x14ac:dyDescent="0.2">
      <c r="A252" s="38" t="s">
        <v>35</v>
      </c>
      <c r="B252" s="4">
        <v>22012017</v>
      </c>
      <c r="C252" s="4">
        <v>5</v>
      </c>
      <c r="D252" s="4">
        <v>1336</v>
      </c>
      <c r="E252" s="40">
        <v>124</v>
      </c>
      <c r="F252" s="40">
        <v>52.4</v>
      </c>
      <c r="G252" s="4">
        <v>0.2</v>
      </c>
      <c r="H252" s="3">
        <v>348.22</v>
      </c>
      <c r="I252" s="3">
        <v>348.06</v>
      </c>
      <c r="J252" s="4">
        <v>35</v>
      </c>
    </row>
    <row r="253" spans="1:11" ht="12.75" x14ac:dyDescent="0.2">
      <c r="A253" s="38" t="s">
        <v>36</v>
      </c>
      <c r="B253" s="4">
        <v>22012017</v>
      </c>
      <c r="C253" s="4">
        <v>5</v>
      </c>
      <c r="D253" s="4">
        <v>1336</v>
      </c>
      <c r="E253" s="40">
        <v>122</v>
      </c>
      <c r="F253" s="40">
        <v>51.3</v>
      </c>
      <c r="G253" s="4">
        <v>0.3</v>
      </c>
      <c r="H253" s="3">
        <v>356.83</v>
      </c>
      <c r="I253" s="3">
        <v>356.68</v>
      </c>
      <c r="J253" s="4">
        <v>30.8</v>
      </c>
    </row>
    <row r="254" spans="1:11" ht="12.75" x14ac:dyDescent="0.2">
      <c r="A254" s="38" t="s">
        <v>37</v>
      </c>
      <c r="B254" s="4">
        <v>22012017</v>
      </c>
      <c r="C254" s="4">
        <v>5</v>
      </c>
      <c r="D254" s="4">
        <v>1336</v>
      </c>
      <c r="E254" s="40">
        <v>130</v>
      </c>
      <c r="F254" s="40">
        <v>52.7</v>
      </c>
      <c r="G254" s="4">
        <v>0.1</v>
      </c>
      <c r="H254" s="3">
        <v>357.12</v>
      </c>
      <c r="I254" s="3">
        <v>356.97</v>
      </c>
      <c r="J254" s="4">
        <v>32.6</v>
      </c>
      <c r="K254" s="3"/>
    </row>
    <row r="255" spans="1:11" ht="12.75" x14ac:dyDescent="0.2">
      <c r="A255" s="38" t="s">
        <v>29</v>
      </c>
      <c r="B255" s="4">
        <v>23012017</v>
      </c>
      <c r="C255" s="4">
        <v>6</v>
      </c>
      <c r="H255" s="3">
        <v>366.56</v>
      </c>
      <c r="I255" s="3">
        <v>366.56</v>
      </c>
      <c r="J255" s="3"/>
    </row>
    <row r="256" spans="1:11" ht="12.75" x14ac:dyDescent="0.2">
      <c r="A256" s="38" t="s">
        <v>30</v>
      </c>
      <c r="B256" s="4">
        <v>23012017</v>
      </c>
      <c r="C256" s="4">
        <v>6</v>
      </c>
      <c r="H256" s="3">
        <v>358.43</v>
      </c>
      <c r="I256" s="3">
        <v>358.43</v>
      </c>
    </row>
    <row r="257" spans="1:9" ht="12.75" x14ac:dyDescent="0.2">
      <c r="A257" s="38" t="s">
        <v>31</v>
      </c>
      <c r="B257" s="4">
        <v>23012017</v>
      </c>
      <c r="C257" s="4">
        <v>6</v>
      </c>
      <c r="H257" s="3">
        <v>358.43</v>
      </c>
      <c r="I257" s="3">
        <v>358.43</v>
      </c>
    </row>
    <row r="258" spans="1:9" ht="12.75" x14ac:dyDescent="0.2">
      <c r="A258" s="38" t="s">
        <v>38</v>
      </c>
      <c r="B258" s="4">
        <v>23012017</v>
      </c>
      <c r="C258" s="4">
        <v>6</v>
      </c>
      <c r="D258" s="4">
        <v>1405</v>
      </c>
      <c r="E258" s="40">
        <v>7</v>
      </c>
      <c r="F258" s="40">
        <v>2.9</v>
      </c>
      <c r="G258" s="4">
        <v>0</v>
      </c>
      <c r="H258" s="3">
        <v>356.23</v>
      </c>
      <c r="I258" s="3">
        <v>356.23</v>
      </c>
    </row>
    <row r="259" spans="1:9" ht="12.75" x14ac:dyDescent="0.2">
      <c r="A259" s="38" t="s">
        <v>39</v>
      </c>
      <c r="B259" s="4">
        <v>23012017</v>
      </c>
      <c r="C259" s="4">
        <v>6</v>
      </c>
      <c r="D259" s="4">
        <v>1405</v>
      </c>
      <c r="E259" s="40">
        <v>7</v>
      </c>
      <c r="F259" s="40">
        <v>2.6</v>
      </c>
      <c r="G259" s="4">
        <v>0.2</v>
      </c>
      <c r="H259" s="3">
        <v>356.94</v>
      </c>
      <c r="I259" s="3">
        <v>356.93</v>
      </c>
    </row>
    <row r="260" spans="1:9" ht="12.75" x14ac:dyDescent="0.2">
      <c r="A260" s="38" t="s">
        <v>40</v>
      </c>
      <c r="B260" s="4">
        <v>23012017</v>
      </c>
      <c r="C260" s="4">
        <v>6</v>
      </c>
      <c r="D260" s="4">
        <v>1405</v>
      </c>
      <c r="E260" s="40">
        <v>7</v>
      </c>
      <c r="F260" s="40">
        <v>2.5</v>
      </c>
      <c r="G260" s="4">
        <v>0</v>
      </c>
      <c r="H260" s="3">
        <v>357.17</v>
      </c>
      <c r="I260" s="3">
        <v>357.16</v>
      </c>
    </row>
    <row r="261" spans="1:9" ht="12.75" x14ac:dyDescent="0.2">
      <c r="A261" s="38" t="s">
        <v>46</v>
      </c>
      <c r="B261" s="4">
        <v>23012017</v>
      </c>
      <c r="C261" s="4">
        <v>6</v>
      </c>
      <c r="D261" s="4">
        <v>1502</v>
      </c>
      <c r="E261" s="40">
        <v>131</v>
      </c>
      <c r="F261" s="40">
        <v>70.5</v>
      </c>
      <c r="G261" s="4">
        <v>0.3</v>
      </c>
      <c r="H261" s="3">
        <v>406.3</v>
      </c>
      <c r="I261" s="3">
        <v>406.18</v>
      </c>
    </row>
    <row r="262" spans="1:9" ht="12.75" x14ac:dyDescent="0.2">
      <c r="A262" s="38" t="s">
        <v>47</v>
      </c>
      <c r="B262" s="4">
        <v>23012017</v>
      </c>
      <c r="C262" s="4">
        <v>6</v>
      </c>
      <c r="D262" s="4">
        <v>1502</v>
      </c>
      <c r="E262" s="40">
        <v>117</v>
      </c>
      <c r="F262" s="40">
        <v>63.5</v>
      </c>
      <c r="G262" s="4">
        <v>0.5</v>
      </c>
      <c r="H262" s="3">
        <v>410.94</v>
      </c>
      <c r="I262" s="3">
        <v>410.84</v>
      </c>
    </row>
    <row r="263" spans="1:9" ht="12.75" x14ac:dyDescent="0.2">
      <c r="A263" s="38" t="s">
        <v>48</v>
      </c>
      <c r="B263" s="4">
        <v>23012017</v>
      </c>
      <c r="C263" s="4">
        <v>6</v>
      </c>
      <c r="D263" s="4">
        <v>1502</v>
      </c>
      <c r="E263" s="40">
        <f>123+39</f>
        <v>162</v>
      </c>
      <c r="F263" s="40">
        <v>89.4</v>
      </c>
      <c r="G263" s="4">
        <v>0.5</v>
      </c>
      <c r="H263" s="3">
        <v>415.42</v>
      </c>
      <c r="I263" s="3">
        <v>415.28</v>
      </c>
    </row>
    <row r="264" spans="1:9" ht="12.75" x14ac:dyDescent="0.2">
      <c r="A264" s="38" t="s">
        <v>49</v>
      </c>
      <c r="B264" s="4">
        <v>23012017</v>
      </c>
      <c r="C264" s="4">
        <v>6</v>
      </c>
      <c r="D264" s="4">
        <v>1433</v>
      </c>
      <c r="E264" s="40">
        <f>125+89</f>
        <v>214</v>
      </c>
      <c r="F264" s="40">
        <v>119.6</v>
      </c>
      <c r="G264" s="4">
        <v>0.3</v>
      </c>
      <c r="H264" s="3">
        <v>421.39</v>
      </c>
      <c r="I264" s="3">
        <v>421.18</v>
      </c>
    </row>
    <row r="265" spans="1:9" ht="12.75" x14ac:dyDescent="0.2">
      <c r="A265" s="38" t="s">
        <v>50</v>
      </c>
      <c r="B265" s="4">
        <v>23012017</v>
      </c>
      <c r="C265" s="4">
        <v>6</v>
      </c>
      <c r="D265" s="4">
        <v>1433</v>
      </c>
      <c r="E265" s="40">
        <f>118+91</f>
        <v>209</v>
      </c>
      <c r="F265" s="40">
        <v>119</v>
      </c>
      <c r="G265" s="4">
        <v>0.3</v>
      </c>
      <c r="H265" s="3">
        <v>418.43</v>
      </c>
      <c r="I265" s="3">
        <v>418.23</v>
      </c>
    </row>
    <row r="266" spans="1:9" ht="12.75" x14ac:dyDescent="0.2">
      <c r="A266" s="38" t="s">
        <v>51</v>
      </c>
      <c r="B266" s="4">
        <v>23012017</v>
      </c>
      <c r="C266" s="4">
        <v>6</v>
      </c>
      <c r="D266" s="4">
        <v>1433</v>
      </c>
      <c r="E266" s="40">
        <f>137+88</f>
        <v>225</v>
      </c>
      <c r="F266" s="40">
        <v>123</v>
      </c>
      <c r="G266" s="4">
        <v>0.4</v>
      </c>
      <c r="H266" s="3">
        <v>420.59</v>
      </c>
      <c r="I266" s="3">
        <v>420.39</v>
      </c>
    </row>
    <row r="267" spans="1:9" ht="12.75" x14ac:dyDescent="0.2">
      <c r="A267" s="38" t="s">
        <v>52</v>
      </c>
      <c r="B267" s="4">
        <v>23012017</v>
      </c>
      <c r="C267" s="4">
        <v>6</v>
      </c>
      <c r="D267" s="4">
        <v>1418</v>
      </c>
      <c r="E267" s="40">
        <f>135+82</f>
        <v>217</v>
      </c>
      <c r="F267" s="40">
        <v>118.8</v>
      </c>
      <c r="G267" s="4">
        <v>0.4</v>
      </c>
      <c r="H267" s="3">
        <v>407.63</v>
      </c>
      <c r="I267" s="3">
        <v>407.43</v>
      </c>
    </row>
    <row r="268" spans="1:9" ht="12.75" x14ac:dyDescent="0.2">
      <c r="A268" s="38" t="s">
        <v>53</v>
      </c>
      <c r="B268" s="4">
        <v>23012017</v>
      </c>
      <c r="C268" s="4">
        <v>6</v>
      </c>
      <c r="D268" s="4">
        <v>1418</v>
      </c>
      <c r="E268" s="40">
        <f>138+86</f>
        <v>224</v>
      </c>
      <c r="F268" s="40">
        <v>122.9</v>
      </c>
      <c r="G268" s="4">
        <v>0.4</v>
      </c>
      <c r="H268" s="3">
        <v>413.26</v>
      </c>
      <c r="I268" s="3">
        <v>413.03</v>
      </c>
    </row>
    <row r="269" spans="1:9" ht="12.75" x14ac:dyDescent="0.2">
      <c r="A269" s="38" t="s">
        <v>54</v>
      </c>
      <c r="B269" s="4">
        <v>23012017</v>
      </c>
      <c r="C269" s="4">
        <v>6</v>
      </c>
      <c r="D269" s="4">
        <v>1418</v>
      </c>
      <c r="E269" s="40">
        <f>144+88</f>
        <v>232</v>
      </c>
      <c r="F269" s="40">
        <v>130.69999999999999</v>
      </c>
      <c r="G269" s="4">
        <v>0.3</v>
      </c>
      <c r="H269" s="3">
        <v>419.81</v>
      </c>
      <c r="I269" s="3">
        <v>419.58</v>
      </c>
    </row>
    <row r="270" spans="1:9" ht="12.75" x14ac:dyDescent="0.2">
      <c r="A270" s="38" t="s">
        <v>55</v>
      </c>
      <c r="B270" s="4">
        <v>23012017</v>
      </c>
      <c r="C270" s="4">
        <v>6</v>
      </c>
      <c r="D270" s="4">
        <v>1426</v>
      </c>
      <c r="E270" s="40">
        <f>138+80</f>
        <v>218</v>
      </c>
      <c r="F270" s="40">
        <v>121.7</v>
      </c>
      <c r="G270" s="4">
        <v>1</v>
      </c>
      <c r="H270" s="3">
        <v>418.82</v>
      </c>
      <c r="I270" s="3">
        <v>418.59</v>
      </c>
    </row>
    <row r="271" spans="1:9" ht="12.75" x14ac:dyDescent="0.2">
      <c r="A271" s="38" t="s">
        <v>56</v>
      </c>
      <c r="B271" s="4">
        <v>23012017</v>
      </c>
      <c r="C271" s="4">
        <v>6</v>
      </c>
      <c r="D271" s="4">
        <v>1426</v>
      </c>
      <c r="E271" s="40">
        <f>127+97</f>
        <v>224</v>
      </c>
      <c r="F271" s="40">
        <v>122.7</v>
      </c>
      <c r="G271" s="4">
        <v>0.7</v>
      </c>
      <c r="H271" s="3">
        <v>413.67</v>
      </c>
      <c r="I271" s="3">
        <v>413.46</v>
      </c>
    </row>
    <row r="272" spans="1:9" ht="12.75" x14ac:dyDescent="0.2">
      <c r="A272" s="38" t="s">
        <v>57</v>
      </c>
      <c r="B272" s="4">
        <v>23012017</v>
      </c>
      <c r="C272" s="4">
        <v>6</v>
      </c>
      <c r="D272" s="4">
        <v>1426</v>
      </c>
      <c r="E272" s="40">
        <f>135+86</f>
        <v>221</v>
      </c>
      <c r="F272" s="40">
        <v>121.8</v>
      </c>
      <c r="G272" s="4">
        <v>0.2</v>
      </c>
      <c r="H272" s="3">
        <v>417.7</v>
      </c>
      <c r="I272" s="3">
        <v>417.48</v>
      </c>
    </row>
    <row r="273" spans="1:9" ht="12.75" x14ac:dyDescent="0.2">
      <c r="A273" s="38" t="s">
        <v>58</v>
      </c>
      <c r="B273" s="4">
        <v>23012017</v>
      </c>
      <c r="C273" s="4">
        <v>6</v>
      </c>
      <c r="D273" s="4">
        <v>1411</v>
      </c>
      <c r="E273" s="40">
        <f>134+76</f>
        <v>210</v>
      </c>
      <c r="F273" s="40">
        <v>117.1</v>
      </c>
      <c r="G273" s="4">
        <v>0.2</v>
      </c>
      <c r="H273" s="3">
        <v>416.34</v>
      </c>
      <c r="I273" s="3">
        <v>416.12</v>
      </c>
    </row>
    <row r="274" spans="1:9" ht="12.75" x14ac:dyDescent="0.2">
      <c r="A274" s="38" t="s">
        <v>59</v>
      </c>
      <c r="B274" s="4">
        <v>23012017</v>
      </c>
      <c r="C274" s="4">
        <v>6</v>
      </c>
      <c r="D274" s="4">
        <v>1411</v>
      </c>
      <c r="E274" s="40">
        <f>140+84</f>
        <v>224</v>
      </c>
      <c r="F274" s="40">
        <v>120.8</v>
      </c>
      <c r="G274" s="4">
        <v>0.6</v>
      </c>
      <c r="H274" s="3">
        <v>420.25</v>
      </c>
      <c r="I274" s="3">
        <v>420.04</v>
      </c>
    </row>
    <row r="275" spans="1:9" ht="12.75" x14ac:dyDescent="0.2">
      <c r="A275" s="38" t="s">
        <v>60</v>
      </c>
      <c r="B275" s="4">
        <v>23012017</v>
      </c>
      <c r="C275" s="4">
        <v>6</v>
      </c>
      <c r="D275" s="4">
        <v>1411</v>
      </c>
      <c r="E275" s="40">
        <f>136+67</f>
        <v>203</v>
      </c>
      <c r="F275" s="40">
        <v>114.4</v>
      </c>
      <c r="G275" s="4">
        <v>0.4</v>
      </c>
      <c r="H275" s="3">
        <v>418.38</v>
      </c>
      <c r="I275" s="3">
        <v>418.19</v>
      </c>
    </row>
    <row r="276" spans="1:9" ht="12.75" x14ac:dyDescent="0.2">
      <c r="A276" s="38" t="s">
        <v>91</v>
      </c>
      <c r="B276" s="4">
        <v>23012017</v>
      </c>
      <c r="C276" s="4">
        <v>6</v>
      </c>
      <c r="D276" s="4">
        <v>1451</v>
      </c>
      <c r="E276" s="40">
        <v>86</v>
      </c>
      <c r="F276" s="40">
        <v>47</v>
      </c>
      <c r="G276" s="4">
        <v>0.2</v>
      </c>
      <c r="H276" s="3">
        <v>410.73</v>
      </c>
      <c r="I276" s="3">
        <v>410.65</v>
      </c>
    </row>
    <row r="277" spans="1:9" ht="12.75" x14ac:dyDescent="0.2">
      <c r="A277" s="38" t="s">
        <v>92</v>
      </c>
      <c r="B277" s="4">
        <v>23012017</v>
      </c>
      <c r="C277" s="4">
        <v>6</v>
      </c>
      <c r="D277" s="4">
        <v>1451</v>
      </c>
      <c r="E277" s="40">
        <v>90</v>
      </c>
      <c r="F277" s="40">
        <v>50.9</v>
      </c>
      <c r="G277" s="4">
        <v>0.2</v>
      </c>
      <c r="H277" s="3">
        <v>422.49</v>
      </c>
      <c r="I277" s="3">
        <v>422.38</v>
      </c>
    </row>
    <row r="278" spans="1:9" ht="12.75" x14ac:dyDescent="0.2">
      <c r="A278" s="38" t="s">
        <v>93</v>
      </c>
      <c r="B278" s="4">
        <v>23012017</v>
      </c>
      <c r="C278" s="4">
        <v>6</v>
      </c>
      <c r="D278" s="4">
        <v>1451</v>
      </c>
      <c r="E278" s="40">
        <v>85</v>
      </c>
      <c r="F278" s="40">
        <v>47.5</v>
      </c>
      <c r="G278" s="4">
        <v>0.4</v>
      </c>
      <c r="H278" s="3">
        <v>418.1</v>
      </c>
      <c r="I278" s="3">
        <v>418</v>
      </c>
    </row>
    <row r="279" spans="1:9" ht="12.75" x14ac:dyDescent="0.2">
      <c r="A279" s="38" t="s">
        <v>94</v>
      </c>
      <c r="B279" s="4">
        <v>23012017</v>
      </c>
      <c r="C279" s="4">
        <v>6</v>
      </c>
      <c r="D279" s="4">
        <v>1456</v>
      </c>
      <c r="E279" s="40">
        <v>116</v>
      </c>
      <c r="F279" s="40">
        <v>63.3</v>
      </c>
      <c r="G279" s="4">
        <v>0.2</v>
      </c>
      <c r="H279" s="3">
        <v>411.99</v>
      </c>
      <c r="I279" s="3">
        <v>411.86</v>
      </c>
    </row>
    <row r="280" spans="1:9" ht="12.75" x14ac:dyDescent="0.2">
      <c r="A280" s="38" t="s">
        <v>95</v>
      </c>
      <c r="B280" s="4">
        <v>23012017</v>
      </c>
      <c r="C280" s="4">
        <v>6</v>
      </c>
      <c r="D280" s="4">
        <v>1456</v>
      </c>
      <c r="E280" s="40">
        <v>112</v>
      </c>
      <c r="F280" s="40">
        <v>59.6</v>
      </c>
      <c r="G280" s="4">
        <v>0.3</v>
      </c>
      <c r="H280" s="3">
        <v>402.2</v>
      </c>
      <c r="I280" s="3">
        <v>402.12</v>
      </c>
    </row>
    <row r="281" spans="1:9" ht="12.75" x14ac:dyDescent="0.2">
      <c r="A281" s="38" t="s">
        <v>96</v>
      </c>
      <c r="B281" s="4">
        <v>23012017</v>
      </c>
      <c r="C281" s="4">
        <v>6</v>
      </c>
      <c r="D281" s="4">
        <v>1456</v>
      </c>
      <c r="E281" s="40">
        <v>113</v>
      </c>
      <c r="F281" s="40">
        <v>59.8</v>
      </c>
      <c r="G281" s="4">
        <v>0.2</v>
      </c>
      <c r="H281" s="3">
        <v>410.38</v>
      </c>
      <c r="I281" s="3">
        <v>410.25</v>
      </c>
    </row>
    <row r="282" spans="1:9" ht="12.75" x14ac:dyDescent="0.2">
      <c r="A282" s="38" t="s">
        <v>97</v>
      </c>
      <c r="B282" s="4">
        <v>23012017</v>
      </c>
      <c r="C282" s="4">
        <v>6</v>
      </c>
      <c r="D282" s="4">
        <v>1445</v>
      </c>
      <c r="E282" s="40">
        <v>83</v>
      </c>
      <c r="F282" s="40">
        <v>43.8</v>
      </c>
      <c r="G282" s="4">
        <v>0.4</v>
      </c>
      <c r="H282" s="3">
        <v>402.57</v>
      </c>
      <c r="I282" s="3">
        <v>402.49</v>
      </c>
    </row>
    <row r="283" spans="1:9" ht="12.75" x14ac:dyDescent="0.2">
      <c r="A283" s="38" t="s">
        <v>98</v>
      </c>
      <c r="B283" s="4">
        <v>23012017</v>
      </c>
      <c r="C283" s="4">
        <v>6</v>
      </c>
      <c r="D283" s="4">
        <v>1445</v>
      </c>
      <c r="E283" s="40">
        <v>80</v>
      </c>
      <c r="F283" s="40">
        <v>42</v>
      </c>
      <c r="G283" s="4">
        <v>0.1</v>
      </c>
      <c r="H283" s="3">
        <v>402.51</v>
      </c>
      <c r="I283" s="3">
        <v>402.43</v>
      </c>
    </row>
    <row r="284" spans="1:9" ht="12.75" x14ac:dyDescent="0.2">
      <c r="A284" s="38" t="s">
        <v>99</v>
      </c>
      <c r="B284" s="4">
        <v>23012017</v>
      </c>
      <c r="C284" s="4">
        <v>6</v>
      </c>
      <c r="D284" s="4">
        <v>1445</v>
      </c>
      <c r="E284" s="40">
        <v>85</v>
      </c>
      <c r="F284" s="40">
        <v>44</v>
      </c>
      <c r="G284" s="4">
        <v>0.1</v>
      </c>
      <c r="H284" s="3">
        <v>403.79</v>
      </c>
      <c r="I284" s="3">
        <v>403.69</v>
      </c>
    </row>
    <row r="285" spans="1:9" ht="12.75" x14ac:dyDescent="0.2">
      <c r="A285" s="38" t="s">
        <v>100</v>
      </c>
      <c r="B285" s="4">
        <v>23012017</v>
      </c>
      <c r="C285" s="4">
        <v>6</v>
      </c>
      <c r="D285" s="4">
        <v>1439</v>
      </c>
      <c r="E285" s="40">
        <f>114+92</f>
        <v>206</v>
      </c>
      <c r="F285" s="40">
        <v>105.4</v>
      </c>
      <c r="G285" s="4">
        <v>0.5</v>
      </c>
      <c r="H285" s="3">
        <v>399.6</v>
      </c>
      <c r="I285" s="3">
        <v>399.39</v>
      </c>
    </row>
    <row r="286" spans="1:9" ht="12.75" x14ac:dyDescent="0.2">
      <c r="A286" s="38" t="s">
        <v>101</v>
      </c>
      <c r="B286" s="4">
        <v>23012017</v>
      </c>
      <c r="C286" s="4">
        <v>6</v>
      </c>
      <c r="D286" s="4">
        <v>1439</v>
      </c>
      <c r="E286" s="40">
        <f>120+82</f>
        <v>202</v>
      </c>
      <c r="F286" s="40">
        <v>104</v>
      </c>
      <c r="G286" s="4">
        <v>0.5</v>
      </c>
      <c r="H286" s="3">
        <v>401.45</v>
      </c>
      <c r="I286" s="3">
        <v>401.25</v>
      </c>
    </row>
    <row r="287" spans="1:9" ht="12.75" x14ac:dyDescent="0.2">
      <c r="A287" s="38" t="s">
        <v>102</v>
      </c>
      <c r="B287" s="4">
        <v>23012017</v>
      </c>
      <c r="C287" s="4">
        <v>6</v>
      </c>
      <c r="D287" s="4">
        <v>1439</v>
      </c>
      <c r="E287" s="40">
        <f>132+72</f>
        <v>204</v>
      </c>
      <c r="F287" s="40">
        <v>104.5</v>
      </c>
      <c r="G287" s="4">
        <v>0.4</v>
      </c>
      <c r="H287" s="3">
        <v>402.48</v>
      </c>
      <c r="I287" s="3">
        <v>402.26</v>
      </c>
    </row>
    <row r="288" spans="1:9" ht="12.75" x14ac:dyDescent="0.2">
      <c r="A288" s="38" t="s">
        <v>103</v>
      </c>
      <c r="B288" s="4">
        <v>23012017</v>
      </c>
      <c r="C288" s="4">
        <v>6</v>
      </c>
      <c r="D288" s="4">
        <v>1518</v>
      </c>
      <c r="E288" s="40">
        <v>30</v>
      </c>
      <c r="F288" s="40">
        <v>14.4</v>
      </c>
      <c r="G288" s="4">
        <v>0.2</v>
      </c>
      <c r="H288" s="3">
        <v>416.63</v>
      </c>
      <c r="I288" s="3">
        <v>416.58</v>
      </c>
    </row>
    <row r="289" spans="1:9" ht="12.75" x14ac:dyDescent="0.2">
      <c r="A289" s="38" t="s">
        <v>104</v>
      </c>
      <c r="B289" s="4">
        <v>23012017</v>
      </c>
      <c r="C289" s="4">
        <v>6</v>
      </c>
      <c r="D289" s="4">
        <v>1518</v>
      </c>
      <c r="E289" s="40">
        <v>30</v>
      </c>
      <c r="F289" s="40">
        <v>15.2</v>
      </c>
      <c r="G289" s="4">
        <v>0.4</v>
      </c>
      <c r="H289" s="3">
        <v>416.77</v>
      </c>
      <c r="I289" s="3">
        <v>416.72</v>
      </c>
    </row>
    <row r="290" spans="1:9" ht="12.75" x14ac:dyDescent="0.2">
      <c r="A290" s="38" t="s">
        <v>105</v>
      </c>
      <c r="B290" s="4">
        <v>23012017</v>
      </c>
      <c r="C290" s="4">
        <v>6</v>
      </c>
      <c r="D290" s="4">
        <v>1518</v>
      </c>
      <c r="E290" s="40">
        <v>35</v>
      </c>
      <c r="F290" s="40">
        <v>18.2</v>
      </c>
      <c r="G290" s="4">
        <v>0.5</v>
      </c>
      <c r="H290" s="3">
        <v>418.69</v>
      </c>
      <c r="I290" s="3">
        <v>418.65</v>
      </c>
    </row>
    <row r="291" spans="1:9" ht="12.75" x14ac:dyDescent="0.2">
      <c r="A291" s="38" t="s">
        <v>32</v>
      </c>
      <c r="B291" s="4">
        <v>23012017</v>
      </c>
      <c r="C291" s="4">
        <v>6</v>
      </c>
      <c r="D291" s="4">
        <v>1509</v>
      </c>
      <c r="E291" s="40">
        <f>136+28</f>
        <v>164</v>
      </c>
      <c r="F291" s="40">
        <v>70.7</v>
      </c>
      <c r="G291" s="4">
        <v>0.3</v>
      </c>
      <c r="H291" s="3">
        <v>360.3</v>
      </c>
      <c r="I291" s="3">
        <v>360.16</v>
      </c>
    </row>
    <row r="292" spans="1:9" ht="12.75" x14ac:dyDescent="0.2">
      <c r="A292" s="38" t="s">
        <v>33</v>
      </c>
      <c r="B292" s="4">
        <v>23012017</v>
      </c>
      <c r="C292" s="4">
        <v>6</v>
      </c>
      <c r="D292" s="4">
        <v>1509</v>
      </c>
      <c r="E292" s="40">
        <v>138</v>
      </c>
      <c r="F292" s="40">
        <v>58.8</v>
      </c>
      <c r="G292" s="4">
        <v>0.3</v>
      </c>
      <c r="H292" s="3">
        <v>357.06</v>
      </c>
      <c r="I292" s="3">
        <v>356.94</v>
      </c>
    </row>
    <row r="293" spans="1:9" ht="12.75" x14ac:dyDescent="0.2">
      <c r="A293" s="38" t="s">
        <v>34</v>
      </c>
      <c r="B293" s="4">
        <v>23012017</v>
      </c>
      <c r="C293" s="4">
        <v>6</v>
      </c>
      <c r="D293" s="4">
        <v>1509</v>
      </c>
      <c r="E293" s="40">
        <v>131</v>
      </c>
      <c r="F293" s="40">
        <v>56</v>
      </c>
      <c r="G293" s="4">
        <v>0.3</v>
      </c>
      <c r="H293" s="3">
        <v>356.82</v>
      </c>
      <c r="I293" s="3">
        <v>356.71</v>
      </c>
    </row>
    <row r="294" spans="1:9" ht="12.75" x14ac:dyDescent="0.2">
      <c r="A294" s="38" t="s">
        <v>35</v>
      </c>
      <c r="B294" s="4">
        <v>23012017</v>
      </c>
      <c r="C294" s="4">
        <v>6</v>
      </c>
      <c r="D294" s="4">
        <v>1513</v>
      </c>
      <c r="E294" s="40">
        <v>100</v>
      </c>
      <c r="F294" s="40">
        <v>42.6</v>
      </c>
      <c r="G294" s="4">
        <v>0.2</v>
      </c>
      <c r="H294" s="3">
        <v>348.07</v>
      </c>
      <c r="I294" s="3">
        <v>347.96</v>
      </c>
    </row>
    <row r="295" spans="1:9" ht="12.75" x14ac:dyDescent="0.2">
      <c r="A295" s="38" t="s">
        <v>36</v>
      </c>
      <c r="B295" s="4">
        <v>23012017</v>
      </c>
      <c r="C295" s="4">
        <v>6</v>
      </c>
      <c r="D295" s="4">
        <v>1513</v>
      </c>
      <c r="E295" s="40">
        <v>94</v>
      </c>
      <c r="F295" s="40">
        <v>40</v>
      </c>
      <c r="G295" s="4">
        <v>0.1</v>
      </c>
      <c r="H295" s="3">
        <v>356.69</v>
      </c>
      <c r="I295" s="3">
        <v>356.58</v>
      </c>
    </row>
    <row r="296" spans="1:9" ht="12.75" x14ac:dyDescent="0.2">
      <c r="A296" s="38" t="s">
        <v>37</v>
      </c>
      <c r="B296" s="4">
        <v>23012017</v>
      </c>
      <c r="C296" s="4">
        <v>6</v>
      </c>
      <c r="D296" s="4">
        <v>1513</v>
      </c>
      <c r="E296" s="40">
        <v>87</v>
      </c>
      <c r="F296" s="40">
        <v>37.6</v>
      </c>
      <c r="G296" s="4">
        <v>0.3</v>
      </c>
      <c r="H296" s="3">
        <v>356.97</v>
      </c>
      <c r="I296" s="3">
        <v>356.88</v>
      </c>
    </row>
    <row r="297" spans="1:9" ht="12.75" x14ac:dyDescent="0.2">
      <c r="A297" s="38" t="s">
        <v>29</v>
      </c>
      <c r="B297" s="4">
        <v>24012017</v>
      </c>
      <c r="C297" s="4">
        <v>7</v>
      </c>
      <c r="H297" s="3">
        <v>366.57</v>
      </c>
      <c r="I297" s="3">
        <v>366.57</v>
      </c>
    </row>
    <row r="298" spans="1:9" ht="12.75" x14ac:dyDescent="0.2">
      <c r="A298" s="38" t="s">
        <v>30</v>
      </c>
      <c r="B298" s="4">
        <v>24012017</v>
      </c>
      <c r="C298" s="4">
        <v>7</v>
      </c>
      <c r="H298" s="3">
        <v>358.44</v>
      </c>
      <c r="I298" s="3">
        <v>358.44</v>
      </c>
    </row>
    <row r="299" spans="1:9" ht="12.75" x14ac:dyDescent="0.2">
      <c r="A299" s="38" t="s">
        <v>31</v>
      </c>
      <c r="B299" s="4">
        <v>24012017</v>
      </c>
      <c r="C299" s="4">
        <v>7</v>
      </c>
      <c r="H299" s="3">
        <v>358.43</v>
      </c>
      <c r="I299" s="3">
        <v>358.43</v>
      </c>
    </row>
    <row r="300" spans="1:9" ht="12.75" x14ac:dyDescent="0.2">
      <c r="A300" s="38" t="s">
        <v>38</v>
      </c>
      <c r="B300" s="4">
        <v>24012017</v>
      </c>
      <c r="C300" s="4">
        <v>7</v>
      </c>
      <c r="D300" s="4">
        <v>1241</v>
      </c>
      <c r="E300" s="40">
        <v>10</v>
      </c>
      <c r="F300" s="40">
        <v>3.8</v>
      </c>
      <c r="G300" s="4">
        <v>0.1</v>
      </c>
      <c r="H300" s="3">
        <v>356.24</v>
      </c>
      <c r="I300" s="3">
        <v>356.23</v>
      </c>
    </row>
    <row r="301" spans="1:9" ht="12.75" x14ac:dyDescent="0.2">
      <c r="A301" s="38" t="s">
        <v>39</v>
      </c>
      <c r="B301" s="4">
        <v>24012017</v>
      </c>
      <c r="C301" s="4">
        <v>7</v>
      </c>
      <c r="D301" s="4">
        <v>1241</v>
      </c>
      <c r="E301" s="40">
        <v>8</v>
      </c>
      <c r="F301" s="40">
        <v>3.3</v>
      </c>
      <c r="G301" s="4">
        <v>0.1</v>
      </c>
      <c r="H301" s="3">
        <v>356.95</v>
      </c>
      <c r="I301" s="3">
        <v>356.93</v>
      </c>
    </row>
    <row r="302" spans="1:9" ht="12.75" x14ac:dyDescent="0.2">
      <c r="A302" s="38" t="s">
        <v>40</v>
      </c>
      <c r="B302" s="4">
        <v>24012017</v>
      </c>
      <c r="C302" s="4">
        <v>7</v>
      </c>
      <c r="D302" s="4">
        <v>1241</v>
      </c>
      <c r="E302" s="40">
        <v>8</v>
      </c>
      <c r="F302" s="40">
        <v>2.8</v>
      </c>
      <c r="G302" s="4">
        <v>0.1</v>
      </c>
      <c r="H302" s="3">
        <v>357.15</v>
      </c>
      <c r="I302" s="3">
        <v>357.15</v>
      </c>
    </row>
    <row r="303" spans="1:9" ht="12.75" x14ac:dyDescent="0.2">
      <c r="A303" s="38" t="s">
        <v>46</v>
      </c>
      <c r="B303" s="4">
        <v>24012017</v>
      </c>
      <c r="C303" s="4">
        <v>7</v>
      </c>
      <c r="D303" s="4">
        <v>1238</v>
      </c>
      <c r="E303" s="40">
        <v>133</v>
      </c>
      <c r="F303" s="40">
        <v>70.3</v>
      </c>
      <c r="G303" s="4">
        <v>0.3</v>
      </c>
      <c r="H303" s="3">
        <v>406.17</v>
      </c>
      <c r="I303" s="3">
        <v>406.05</v>
      </c>
    </row>
    <row r="304" spans="1:9" ht="12.75" x14ac:dyDescent="0.2">
      <c r="A304" s="38" t="s">
        <v>47</v>
      </c>
      <c r="B304" s="4">
        <v>24012017</v>
      </c>
      <c r="C304" s="4">
        <v>7</v>
      </c>
      <c r="D304" s="4">
        <v>1238</v>
      </c>
      <c r="E304" s="40">
        <v>130</v>
      </c>
      <c r="F304" s="40">
        <v>71.3</v>
      </c>
      <c r="G304" s="4">
        <v>0.4</v>
      </c>
      <c r="H304" s="3">
        <v>410.83</v>
      </c>
      <c r="I304" s="3">
        <v>410.71</v>
      </c>
    </row>
    <row r="305" spans="1:13" ht="12.75" x14ac:dyDescent="0.2">
      <c r="A305" s="38" t="s">
        <v>48</v>
      </c>
      <c r="B305" s="4">
        <v>24012017</v>
      </c>
      <c r="C305" s="4">
        <v>7</v>
      </c>
      <c r="D305" s="4">
        <v>1238</v>
      </c>
      <c r="E305" s="40">
        <v>135</v>
      </c>
      <c r="F305" s="40">
        <v>76.400000000000006</v>
      </c>
      <c r="G305" s="4">
        <v>0.2</v>
      </c>
      <c r="H305" s="3">
        <v>415.28</v>
      </c>
      <c r="I305" s="3">
        <v>415.14</v>
      </c>
    </row>
    <row r="306" spans="1:13" ht="12.75" x14ac:dyDescent="0.2">
      <c r="A306" s="38" t="s">
        <v>49</v>
      </c>
      <c r="B306" s="4">
        <v>24012017</v>
      </c>
      <c r="C306" s="4">
        <v>7</v>
      </c>
      <c r="D306" s="4">
        <v>1223</v>
      </c>
      <c r="E306" s="40">
        <f>100+40</f>
        <v>140</v>
      </c>
      <c r="F306" s="40">
        <v>78.5</v>
      </c>
      <c r="G306" s="4">
        <v>0.3</v>
      </c>
      <c r="H306" s="3">
        <v>421.17</v>
      </c>
      <c r="I306" s="3">
        <v>421.05</v>
      </c>
    </row>
    <row r="307" spans="1:13" ht="12.75" x14ac:dyDescent="0.2">
      <c r="A307" s="38" t="s">
        <v>50</v>
      </c>
      <c r="B307" s="4">
        <v>24012017</v>
      </c>
      <c r="C307" s="4">
        <v>7</v>
      </c>
      <c r="D307" s="4">
        <v>1223</v>
      </c>
      <c r="E307" s="40">
        <f>98+44</f>
        <v>142</v>
      </c>
      <c r="F307" s="40">
        <v>79.5</v>
      </c>
      <c r="G307" s="4">
        <v>0.4</v>
      </c>
      <c r="H307" s="3">
        <v>418.24</v>
      </c>
      <c r="I307" s="3">
        <v>418.09</v>
      </c>
    </row>
    <row r="308" spans="1:13" ht="12.75" x14ac:dyDescent="0.2">
      <c r="A308" s="38" t="s">
        <v>51</v>
      </c>
      <c r="B308" s="4">
        <v>24012017</v>
      </c>
      <c r="C308" s="4">
        <v>7</v>
      </c>
      <c r="D308" s="4">
        <v>1223</v>
      </c>
      <c r="E308" s="40">
        <v>108</v>
      </c>
      <c r="F308" s="40">
        <v>62.3</v>
      </c>
      <c r="G308" s="4">
        <v>0.4</v>
      </c>
      <c r="H308" s="3">
        <v>420.37</v>
      </c>
      <c r="I308" s="3">
        <v>420.29</v>
      </c>
    </row>
    <row r="309" spans="1:13" ht="12.75" x14ac:dyDescent="0.2">
      <c r="A309" s="38" t="s">
        <v>52</v>
      </c>
      <c r="B309" s="4">
        <v>24012017</v>
      </c>
      <c r="C309" s="4">
        <v>7</v>
      </c>
      <c r="D309" s="4">
        <v>1158</v>
      </c>
      <c r="E309" s="40">
        <f>121+57</f>
        <v>178</v>
      </c>
      <c r="F309" s="40">
        <v>97.9</v>
      </c>
      <c r="G309" s="4">
        <v>0.4</v>
      </c>
      <c r="H309" s="3">
        <v>407.41</v>
      </c>
      <c r="I309" s="3">
        <v>407.22</v>
      </c>
      <c r="M309" s="4" t="s">
        <v>116</v>
      </c>
    </row>
    <row r="310" spans="1:13" ht="12.75" x14ac:dyDescent="0.2">
      <c r="A310" s="38" t="s">
        <v>53</v>
      </c>
      <c r="B310" s="4">
        <v>24012017</v>
      </c>
      <c r="C310" s="4">
        <v>7</v>
      </c>
      <c r="D310" s="4">
        <v>1158</v>
      </c>
      <c r="E310" s="40">
        <f>106+80</f>
        <v>186</v>
      </c>
      <c r="F310" s="40">
        <v>103.2</v>
      </c>
      <c r="G310" s="4">
        <v>0.5</v>
      </c>
      <c r="H310" s="3">
        <v>413.01</v>
      </c>
      <c r="I310" s="3">
        <v>412.83</v>
      </c>
      <c r="M310" s="4" t="s">
        <v>116</v>
      </c>
    </row>
    <row r="311" spans="1:13" ht="12.75" x14ac:dyDescent="0.2">
      <c r="A311" s="38" t="s">
        <v>54</v>
      </c>
      <c r="B311" s="4">
        <v>24012017</v>
      </c>
      <c r="C311" s="4">
        <v>7</v>
      </c>
      <c r="D311" s="4">
        <v>1158</v>
      </c>
      <c r="E311" s="40">
        <f>111+65</f>
        <v>176</v>
      </c>
      <c r="F311" s="40">
        <v>104.4</v>
      </c>
      <c r="G311" s="4">
        <v>0.5</v>
      </c>
      <c r="H311" s="3">
        <v>419.56</v>
      </c>
      <c r="I311" s="3">
        <v>419.41</v>
      </c>
    </row>
    <row r="312" spans="1:13" ht="12.75" x14ac:dyDescent="0.2">
      <c r="A312" s="38" t="s">
        <v>55</v>
      </c>
      <c r="B312" s="4">
        <v>24012017</v>
      </c>
      <c r="C312" s="4">
        <v>7</v>
      </c>
      <c r="D312" s="4">
        <v>1203</v>
      </c>
      <c r="E312" s="40">
        <f>111+71</f>
        <v>182</v>
      </c>
      <c r="F312" s="40">
        <v>103.2</v>
      </c>
      <c r="G312" s="4">
        <v>0.2</v>
      </c>
      <c r="H312" s="3">
        <v>418.6</v>
      </c>
      <c r="I312" s="3">
        <v>418.42</v>
      </c>
    </row>
    <row r="313" spans="1:13" ht="12.75" x14ac:dyDescent="0.2">
      <c r="A313" s="38" t="s">
        <v>56</v>
      </c>
      <c r="B313" s="4">
        <v>24012017</v>
      </c>
      <c r="C313" s="4">
        <v>7</v>
      </c>
      <c r="D313" s="4">
        <v>1203</v>
      </c>
      <c r="E313" s="40">
        <f>125+64</f>
        <v>189</v>
      </c>
      <c r="F313" s="40">
        <v>103.2</v>
      </c>
      <c r="G313" s="4">
        <v>0.4</v>
      </c>
      <c r="H313" s="3">
        <v>413.47</v>
      </c>
      <c r="I313" s="3">
        <v>413.27</v>
      </c>
      <c r="M313" s="4" t="s">
        <v>116</v>
      </c>
    </row>
    <row r="314" spans="1:13" ht="12.75" x14ac:dyDescent="0.2">
      <c r="A314" s="38" t="s">
        <v>57</v>
      </c>
      <c r="B314" s="4">
        <v>24012017</v>
      </c>
      <c r="C314" s="4">
        <v>7</v>
      </c>
      <c r="D314" s="4">
        <v>1203</v>
      </c>
      <c r="E314" s="40">
        <f>122+70</f>
        <v>192</v>
      </c>
      <c r="F314" s="40">
        <v>105</v>
      </c>
      <c r="G314" s="4">
        <v>0.2</v>
      </c>
      <c r="H314" s="3">
        <v>417.49</v>
      </c>
      <c r="I314" s="3">
        <v>417.3</v>
      </c>
    </row>
    <row r="315" spans="1:13" ht="12.75" x14ac:dyDescent="0.2">
      <c r="A315" s="38" t="s">
        <v>58</v>
      </c>
      <c r="B315" s="4">
        <v>24012017</v>
      </c>
      <c r="C315" s="4">
        <v>7</v>
      </c>
      <c r="D315" s="4">
        <v>1232</v>
      </c>
      <c r="E315" s="40">
        <f>130+60</f>
        <v>190</v>
      </c>
      <c r="F315" s="40">
        <v>105.8</v>
      </c>
      <c r="G315" s="4">
        <v>0.3</v>
      </c>
      <c r="H315" s="3">
        <v>416.12</v>
      </c>
      <c r="I315" s="3">
        <v>415.95</v>
      </c>
    </row>
    <row r="316" spans="1:13" ht="12.75" x14ac:dyDescent="0.2">
      <c r="A316" s="38" t="s">
        <v>59</v>
      </c>
      <c r="B316" s="4">
        <v>24012017</v>
      </c>
      <c r="C316" s="4">
        <v>7</v>
      </c>
      <c r="D316" s="4">
        <v>1232</v>
      </c>
      <c r="E316" s="40">
        <f>124+65</f>
        <v>189</v>
      </c>
      <c r="F316" s="40">
        <v>106.3</v>
      </c>
      <c r="G316" s="4">
        <v>0.3</v>
      </c>
      <c r="H316" s="3">
        <v>420.03</v>
      </c>
      <c r="I316" s="3">
        <v>419.85</v>
      </c>
    </row>
    <row r="317" spans="1:13" ht="12.75" x14ac:dyDescent="0.2">
      <c r="A317" s="38" t="s">
        <v>60</v>
      </c>
      <c r="B317" s="4">
        <v>24012017</v>
      </c>
      <c r="C317" s="4">
        <v>7</v>
      </c>
      <c r="D317" s="4">
        <v>1232</v>
      </c>
      <c r="E317" s="40">
        <f>116+83</f>
        <v>199</v>
      </c>
      <c r="F317" s="40">
        <v>111.8</v>
      </c>
      <c r="G317" s="4">
        <v>0.2</v>
      </c>
      <c r="H317" s="3">
        <v>418.18</v>
      </c>
      <c r="I317" s="3">
        <v>417.99</v>
      </c>
    </row>
    <row r="318" spans="1:13" ht="12.75" x14ac:dyDescent="0.2">
      <c r="A318" s="38" t="s">
        <v>91</v>
      </c>
      <c r="B318" s="4">
        <v>24012017</v>
      </c>
      <c r="C318" s="4">
        <v>7</v>
      </c>
      <c r="D318" s="4">
        <v>1213</v>
      </c>
      <c r="E318" s="40">
        <v>62</v>
      </c>
      <c r="F318" s="40">
        <v>34.4</v>
      </c>
      <c r="G318" s="4">
        <v>0.3</v>
      </c>
      <c r="H318" s="3">
        <v>410.64</v>
      </c>
      <c r="I318" s="3">
        <v>410.55</v>
      </c>
      <c r="M318" s="4" t="s">
        <v>116</v>
      </c>
    </row>
    <row r="319" spans="1:13" ht="12.75" x14ac:dyDescent="0.2">
      <c r="A319" s="38" t="s">
        <v>92</v>
      </c>
      <c r="B319" s="4">
        <v>24012017</v>
      </c>
      <c r="C319" s="4">
        <v>7</v>
      </c>
      <c r="D319" s="4">
        <v>1213</v>
      </c>
      <c r="E319" s="40">
        <v>66</v>
      </c>
      <c r="F319" s="40">
        <v>37.4</v>
      </c>
      <c r="G319" s="4">
        <v>0.2</v>
      </c>
      <c r="H319" s="3">
        <v>422.39</v>
      </c>
      <c r="I319" s="3">
        <v>422.31</v>
      </c>
    </row>
    <row r="320" spans="1:13" ht="12.75" x14ac:dyDescent="0.2">
      <c r="A320" s="38" t="s">
        <v>93</v>
      </c>
      <c r="B320" s="4">
        <v>24012017</v>
      </c>
      <c r="C320" s="4">
        <v>7</v>
      </c>
      <c r="D320" s="4">
        <v>1213</v>
      </c>
      <c r="E320" s="40">
        <v>64</v>
      </c>
      <c r="F320" s="40">
        <v>35.200000000000003</v>
      </c>
      <c r="G320" s="4">
        <v>0.2</v>
      </c>
      <c r="H320" s="3">
        <v>418</v>
      </c>
      <c r="I320" s="3">
        <v>417.94</v>
      </c>
    </row>
    <row r="321" spans="1:13" ht="12.75" x14ac:dyDescent="0.2">
      <c r="A321" s="38" t="s">
        <v>94</v>
      </c>
      <c r="B321" s="4">
        <v>24012017</v>
      </c>
      <c r="C321" s="4">
        <v>7</v>
      </c>
      <c r="D321" s="4">
        <v>1209</v>
      </c>
      <c r="E321" s="40">
        <v>70</v>
      </c>
      <c r="F321" s="40">
        <v>38.4</v>
      </c>
      <c r="G321" s="4">
        <v>0.2</v>
      </c>
      <c r="H321" s="3">
        <v>411.87</v>
      </c>
      <c r="I321" s="3">
        <v>411.79</v>
      </c>
    </row>
    <row r="322" spans="1:13" ht="12.75" x14ac:dyDescent="0.2">
      <c r="A322" s="38" t="s">
        <v>95</v>
      </c>
      <c r="B322" s="4">
        <v>24012017</v>
      </c>
      <c r="C322" s="4">
        <v>7</v>
      </c>
      <c r="D322" s="4">
        <v>1209</v>
      </c>
      <c r="E322" s="40">
        <v>69</v>
      </c>
      <c r="F322" s="40">
        <v>35.799999999999997</v>
      </c>
      <c r="G322" s="4">
        <v>0.3</v>
      </c>
      <c r="H322" s="3">
        <v>402.1</v>
      </c>
      <c r="I322" s="3">
        <v>402.02</v>
      </c>
    </row>
    <row r="323" spans="1:13" ht="12.75" x14ac:dyDescent="0.2">
      <c r="A323" s="38" t="s">
        <v>96</v>
      </c>
      <c r="B323" s="4">
        <v>24012017</v>
      </c>
      <c r="C323" s="4">
        <v>7</v>
      </c>
      <c r="D323" s="4">
        <v>1209</v>
      </c>
      <c r="E323" s="40">
        <v>65</v>
      </c>
      <c r="F323" s="40">
        <v>34.9</v>
      </c>
      <c r="G323" s="4">
        <v>0.3</v>
      </c>
      <c r="H323" s="3">
        <v>410.25</v>
      </c>
      <c r="I323" s="3">
        <v>410.19</v>
      </c>
    </row>
    <row r="324" spans="1:13" ht="12.75" x14ac:dyDescent="0.2">
      <c r="A324" s="38" t="s">
        <v>97</v>
      </c>
      <c r="B324" s="4">
        <v>24012017</v>
      </c>
      <c r="C324" s="4">
        <v>7</v>
      </c>
      <c r="D324" s="4">
        <v>1219</v>
      </c>
      <c r="E324" s="40">
        <v>64</v>
      </c>
      <c r="F324" s="40">
        <v>33.299999999999997</v>
      </c>
      <c r="G324" s="4">
        <v>0.1</v>
      </c>
      <c r="H324" s="3">
        <v>402.48</v>
      </c>
      <c r="I324" s="3">
        <v>402.41</v>
      </c>
    </row>
    <row r="325" spans="1:13" ht="12.75" x14ac:dyDescent="0.2">
      <c r="A325" s="38" t="s">
        <v>98</v>
      </c>
      <c r="B325" s="4">
        <v>24012017</v>
      </c>
      <c r="C325" s="4">
        <v>7</v>
      </c>
      <c r="D325" s="4">
        <v>1219</v>
      </c>
      <c r="E325" s="40">
        <v>65</v>
      </c>
      <c r="F325" s="40">
        <v>33.9</v>
      </c>
      <c r="G325" s="4">
        <v>0.3</v>
      </c>
      <c r="H325" s="3">
        <v>402.43</v>
      </c>
      <c r="I325" s="3">
        <v>402.36</v>
      </c>
    </row>
    <row r="326" spans="1:13" ht="12.75" x14ac:dyDescent="0.2">
      <c r="A326" s="38" t="s">
        <v>99</v>
      </c>
      <c r="B326" s="4">
        <v>24012017</v>
      </c>
      <c r="C326" s="4">
        <v>7</v>
      </c>
      <c r="D326" s="4">
        <v>1219</v>
      </c>
      <c r="E326" s="40">
        <v>65</v>
      </c>
      <c r="F326" s="40">
        <v>33.6</v>
      </c>
      <c r="G326" s="4">
        <v>0.2</v>
      </c>
      <c r="H326" s="3">
        <v>403.65</v>
      </c>
      <c r="I326" s="3">
        <v>403.64</v>
      </c>
    </row>
    <row r="327" spans="1:13" ht="12.75" x14ac:dyDescent="0.2">
      <c r="A327" s="38" t="s">
        <v>100</v>
      </c>
      <c r="B327" s="4">
        <v>24012017</v>
      </c>
      <c r="C327" s="4">
        <v>7</v>
      </c>
      <c r="D327" s="4">
        <v>1245</v>
      </c>
      <c r="E327" s="40">
        <f>113+88</f>
        <v>201</v>
      </c>
      <c r="F327" s="40">
        <v>100.1</v>
      </c>
      <c r="G327" s="4">
        <v>0.3</v>
      </c>
      <c r="H327" s="3">
        <v>399.38</v>
      </c>
      <c r="I327" s="3">
        <v>399.19</v>
      </c>
    </row>
    <row r="328" spans="1:13" ht="12.75" x14ac:dyDescent="0.2">
      <c r="A328" s="38" t="s">
        <v>101</v>
      </c>
      <c r="B328" s="4">
        <v>24012017</v>
      </c>
      <c r="C328" s="4">
        <v>7</v>
      </c>
      <c r="D328" s="4">
        <v>1245</v>
      </c>
      <c r="E328" s="40">
        <f>111+77</f>
        <v>188</v>
      </c>
      <c r="F328" s="40">
        <v>97.1</v>
      </c>
      <c r="G328" s="4">
        <v>0.4</v>
      </c>
      <c r="H328" s="3">
        <v>401.26</v>
      </c>
      <c r="I328" s="3">
        <v>401.06</v>
      </c>
    </row>
    <row r="329" spans="1:13" ht="12.75" x14ac:dyDescent="0.2">
      <c r="A329" s="38" t="s">
        <v>102</v>
      </c>
      <c r="B329" s="4">
        <v>24012017</v>
      </c>
      <c r="C329" s="4">
        <v>7</v>
      </c>
      <c r="D329" s="4">
        <v>1245</v>
      </c>
      <c r="E329" s="40">
        <f>115+76</f>
        <v>191</v>
      </c>
      <c r="F329" s="40">
        <v>98.7</v>
      </c>
      <c r="G329" s="4">
        <v>0.2</v>
      </c>
      <c r="H329" s="3">
        <v>402.27</v>
      </c>
      <c r="I329" s="3">
        <v>402.07</v>
      </c>
    </row>
    <row r="330" spans="1:13" ht="12.75" x14ac:dyDescent="0.2">
      <c r="A330" s="38" t="s">
        <v>103</v>
      </c>
      <c r="B330" s="4">
        <v>24012017</v>
      </c>
      <c r="C330" s="4">
        <v>7</v>
      </c>
      <c r="D330" s="4">
        <v>1250</v>
      </c>
      <c r="E330" s="40">
        <v>18</v>
      </c>
      <c r="F330" s="40">
        <v>9.1</v>
      </c>
      <c r="G330" s="4">
        <v>0.3</v>
      </c>
      <c r="H330" s="3">
        <v>416.59</v>
      </c>
      <c r="I330" s="3">
        <v>416.57</v>
      </c>
    </row>
    <row r="331" spans="1:13" ht="12.75" x14ac:dyDescent="0.2">
      <c r="A331" s="38" t="s">
        <v>104</v>
      </c>
      <c r="B331" s="4">
        <v>24012017</v>
      </c>
      <c r="C331" s="4">
        <v>7</v>
      </c>
      <c r="D331" s="4">
        <v>1250</v>
      </c>
      <c r="E331" s="40">
        <v>22</v>
      </c>
      <c r="F331" s="40">
        <v>10.6</v>
      </c>
      <c r="G331" s="4">
        <v>0.2</v>
      </c>
      <c r="H331" s="3">
        <v>416.72</v>
      </c>
      <c r="I331" s="3">
        <v>416.69</v>
      </c>
    </row>
    <row r="332" spans="1:13" ht="12.75" x14ac:dyDescent="0.2">
      <c r="A332" s="38" t="s">
        <v>105</v>
      </c>
      <c r="B332" s="4">
        <v>24012017</v>
      </c>
      <c r="C332" s="4">
        <v>7</v>
      </c>
      <c r="D332" s="4">
        <v>1250</v>
      </c>
      <c r="E332" s="40">
        <v>28</v>
      </c>
      <c r="F332" s="40">
        <v>14.1</v>
      </c>
      <c r="G332" s="4">
        <v>0.4</v>
      </c>
      <c r="H332" s="3">
        <v>418.65</v>
      </c>
      <c r="I332" s="3">
        <v>418.62</v>
      </c>
    </row>
    <row r="333" spans="1:13" ht="12.75" x14ac:dyDescent="0.2">
      <c r="A333" s="38" t="s">
        <v>32</v>
      </c>
      <c r="B333" s="4">
        <v>24012017</v>
      </c>
      <c r="C333" s="4">
        <v>7</v>
      </c>
      <c r="D333" s="4">
        <v>1228</v>
      </c>
      <c r="E333" s="40">
        <v>126</v>
      </c>
      <c r="F333" s="40">
        <v>55.1</v>
      </c>
      <c r="G333" s="4">
        <v>0.1</v>
      </c>
      <c r="H333" s="3">
        <v>360.15</v>
      </c>
      <c r="I333" s="3">
        <v>360.04</v>
      </c>
      <c r="M333" s="4" t="s">
        <v>116</v>
      </c>
    </row>
    <row r="334" spans="1:13" ht="12.75" x14ac:dyDescent="0.2">
      <c r="A334" s="38" t="s">
        <v>33</v>
      </c>
      <c r="B334" s="4">
        <v>24012017</v>
      </c>
      <c r="C334" s="4">
        <v>7</v>
      </c>
      <c r="D334" s="4">
        <v>1228</v>
      </c>
      <c r="E334" s="40">
        <v>132</v>
      </c>
      <c r="F334" s="40">
        <v>56.9</v>
      </c>
      <c r="G334" s="4">
        <v>0.2</v>
      </c>
      <c r="H334" s="3">
        <v>356.95</v>
      </c>
      <c r="I334" s="3">
        <v>356.82</v>
      </c>
    </row>
    <row r="335" spans="1:13" ht="12.75" x14ac:dyDescent="0.2">
      <c r="A335" s="38" t="s">
        <v>34</v>
      </c>
      <c r="B335" s="4">
        <v>24012017</v>
      </c>
      <c r="C335" s="4">
        <v>7</v>
      </c>
      <c r="D335" s="4">
        <v>1228</v>
      </c>
      <c r="E335" s="40">
        <v>141</v>
      </c>
      <c r="F335" s="40">
        <v>60.4</v>
      </c>
      <c r="G335" s="4">
        <v>0.1</v>
      </c>
      <c r="H335" s="3">
        <v>356.7</v>
      </c>
      <c r="I335" s="3">
        <v>356.56</v>
      </c>
    </row>
    <row r="336" spans="1:13" ht="12.75" x14ac:dyDescent="0.2">
      <c r="A336" s="38" t="s">
        <v>35</v>
      </c>
      <c r="B336" s="4">
        <v>24012017</v>
      </c>
      <c r="C336" s="4">
        <v>7</v>
      </c>
      <c r="D336" s="4">
        <v>1253</v>
      </c>
      <c r="E336" s="40">
        <v>50</v>
      </c>
      <c r="F336" s="40">
        <v>20.5</v>
      </c>
      <c r="G336" s="4">
        <v>0</v>
      </c>
      <c r="H336" s="48">
        <v>347.96</v>
      </c>
      <c r="I336" s="3">
        <v>347.9</v>
      </c>
    </row>
    <row r="337" spans="1:9" ht="12.75" x14ac:dyDescent="0.2">
      <c r="A337" s="38" t="s">
        <v>36</v>
      </c>
      <c r="B337" s="4">
        <v>24012017</v>
      </c>
      <c r="C337" s="4">
        <v>7</v>
      </c>
      <c r="D337" s="4">
        <v>1253</v>
      </c>
      <c r="E337" s="40">
        <v>43</v>
      </c>
      <c r="F337" s="40">
        <v>18.100000000000001</v>
      </c>
      <c r="G337" s="4">
        <v>0.2</v>
      </c>
      <c r="H337" s="3">
        <v>356.59</v>
      </c>
      <c r="I337" s="3">
        <v>356.54</v>
      </c>
    </row>
    <row r="338" spans="1:9" ht="12.75" x14ac:dyDescent="0.2">
      <c r="A338" s="38" t="s">
        <v>37</v>
      </c>
      <c r="B338" s="4">
        <v>24012017</v>
      </c>
      <c r="C338" s="4">
        <v>7</v>
      </c>
      <c r="D338" s="4">
        <v>1253</v>
      </c>
      <c r="E338" s="40">
        <v>48</v>
      </c>
      <c r="F338" s="40">
        <v>19.8</v>
      </c>
      <c r="G338" s="4">
        <v>0.2</v>
      </c>
      <c r="H338" s="3">
        <v>356.88</v>
      </c>
      <c r="I338" s="3">
        <v>356.82</v>
      </c>
    </row>
    <row r="339" spans="1:9" ht="12.75" x14ac:dyDescent="0.2">
      <c r="A339" s="38" t="s">
        <v>29</v>
      </c>
      <c r="B339" s="4">
        <v>25012017</v>
      </c>
      <c r="C339" s="4" t="s">
        <v>507</v>
      </c>
      <c r="H339" s="3">
        <v>366.56</v>
      </c>
      <c r="I339" s="3">
        <v>366.56</v>
      </c>
    </row>
    <row r="340" spans="1:9" ht="12.75" x14ac:dyDescent="0.2">
      <c r="A340" s="38" t="s">
        <v>30</v>
      </c>
      <c r="B340" s="4">
        <v>25012017</v>
      </c>
      <c r="C340" s="4" t="s">
        <v>507</v>
      </c>
      <c r="H340" s="3">
        <v>358.46</v>
      </c>
      <c r="I340" s="3">
        <v>358.46</v>
      </c>
    </row>
    <row r="341" spans="1:9" ht="12.75" x14ac:dyDescent="0.2">
      <c r="A341" s="38" t="s">
        <v>31</v>
      </c>
      <c r="B341" s="4">
        <v>25012017</v>
      </c>
      <c r="C341" s="4" t="s">
        <v>507</v>
      </c>
      <c r="H341" s="3">
        <v>358.45</v>
      </c>
      <c r="I341" s="3">
        <v>358.45</v>
      </c>
    </row>
    <row r="342" spans="1:9" ht="12.75" x14ac:dyDescent="0.2">
      <c r="A342" s="22" t="s">
        <v>46</v>
      </c>
      <c r="B342" s="4">
        <v>25012017</v>
      </c>
      <c r="C342" s="4">
        <v>8</v>
      </c>
      <c r="D342" s="4">
        <v>1321</v>
      </c>
      <c r="E342" s="40">
        <v>115</v>
      </c>
      <c r="F342" s="40">
        <v>64</v>
      </c>
      <c r="G342" s="4">
        <v>0.2</v>
      </c>
      <c r="H342" s="3">
        <v>406.03</v>
      </c>
      <c r="I342" s="3">
        <v>405.93</v>
      </c>
    </row>
    <row r="343" spans="1:9" ht="12.75" x14ac:dyDescent="0.2">
      <c r="A343" s="22" t="s">
        <v>47</v>
      </c>
      <c r="B343" s="4">
        <v>25012017</v>
      </c>
      <c r="C343" s="4">
        <v>8</v>
      </c>
      <c r="D343" s="4">
        <v>1321</v>
      </c>
      <c r="E343" s="40">
        <v>135</v>
      </c>
      <c r="F343" s="40">
        <v>74.8</v>
      </c>
      <c r="G343" s="4">
        <v>0.2</v>
      </c>
      <c r="H343" s="3">
        <v>410.7</v>
      </c>
      <c r="I343" s="3">
        <v>410.57</v>
      </c>
    </row>
    <row r="344" spans="1:9" ht="12.75" x14ac:dyDescent="0.2">
      <c r="A344" s="22" t="s">
        <v>48</v>
      </c>
      <c r="B344" s="4">
        <v>25012017</v>
      </c>
      <c r="C344" s="4">
        <v>8</v>
      </c>
      <c r="D344" s="4">
        <v>1321</v>
      </c>
      <c r="E344" s="40">
        <v>90</v>
      </c>
      <c r="F344" s="40">
        <v>51.3</v>
      </c>
      <c r="G344" s="4">
        <v>0.2</v>
      </c>
      <c r="H344" s="3">
        <v>415.15</v>
      </c>
      <c r="I344" s="3">
        <v>415.08</v>
      </c>
    </row>
    <row r="345" spans="1:9" ht="12.75" x14ac:dyDescent="0.2">
      <c r="A345" s="22" t="s">
        <v>49</v>
      </c>
      <c r="B345" s="4">
        <v>25012017</v>
      </c>
      <c r="C345" s="4">
        <v>8</v>
      </c>
      <c r="D345" s="4">
        <v>1330</v>
      </c>
      <c r="E345" s="40">
        <v>96</v>
      </c>
      <c r="F345" s="40">
        <v>55.1</v>
      </c>
      <c r="G345" s="4">
        <v>0.5</v>
      </c>
      <c r="H345" s="3">
        <v>421.05</v>
      </c>
      <c r="I345" s="3">
        <v>420.96</v>
      </c>
    </row>
    <row r="346" spans="1:9" ht="12.75" x14ac:dyDescent="0.2">
      <c r="A346" s="22" t="s">
        <v>50</v>
      </c>
      <c r="B346" s="4">
        <v>25012017</v>
      </c>
      <c r="C346" s="4">
        <v>8</v>
      </c>
      <c r="D346" s="4">
        <v>1330</v>
      </c>
      <c r="E346" s="40">
        <v>72</v>
      </c>
      <c r="F346" s="40">
        <v>41.3</v>
      </c>
      <c r="G346" s="4">
        <v>0.3</v>
      </c>
      <c r="H346" s="3">
        <v>418.1</v>
      </c>
      <c r="I346" s="3">
        <v>418.02</v>
      </c>
    </row>
    <row r="347" spans="1:9" ht="12.75" x14ac:dyDescent="0.2">
      <c r="A347" s="22" t="s">
        <v>51</v>
      </c>
      <c r="B347" s="4">
        <v>25012017</v>
      </c>
      <c r="C347" s="4">
        <v>8</v>
      </c>
      <c r="D347" s="4">
        <v>1330</v>
      </c>
      <c r="E347" s="40">
        <v>86</v>
      </c>
      <c r="F347" s="40">
        <v>49.1</v>
      </c>
      <c r="G347" s="4">
        <v>0.2</v>
      </c>
      <c r="H347" s="3">
        <v>420.28</v>
      </c>
      <c r="I347" s="3">
        <v>420.19</v>
      </c>
    </row>
    <row r="348" spans="1:9" ht="12.75" x14ac:dyDescent="0.2">
      <c r="A348" s="22" t="s">
        <v>52</v>
      </c>
      <c r="B348" s="4">
        <v>25012017</v>
      </c>
      <c r="C348" s="4">
        <v>8</v>
      </c>
      <c r="D348" s="4">
        <v>1326</v>
      </c>
      <c r="E348" s="40">
        <f>120+40</f>
        <v>160</v>
      </c>
      <c r="F348" s="40">
        <v>84.8</v>
      </c>
      <c r="G348" s="4">
        <v>0.3</v>
      </c>
      <c r="H348" s="3">
        <v>407.21</v>
      </c>
      <c r="I348" s="3">
        <v>407.07</v>
      </c>
    </row>
    <row r="349" spans="1:9" ht="12.75" x14ac:dyDescent="0.2">
      <c r="A349" s="22" t="s">
        <v>53</v>
      </c>
      <c r="B349" s="4">
        <v>25012017</v>
      </c>
      <c r="C349" s="4">
        <v>8</v>
      </c>
      <c r="D349" s="4">
        <v>1326</v>
      </c>
      <c r="E349" s="40">
        <f>103+50</f>
        <v>153</v>
      </c>
      <c r="F349" s="40">
        <v>86.8</v>
      </c>
      <c r="G349" s="4">
        <v>0.3</v>
      </c>
      <c r="H349" s="3">
        <v>412.83</v>
      </c>
      <c r="I349" s="3">
        <v>412.66</v>
      </c>
    </row>
    <row r="350" spans="1:9" ht="12.75" x14ac:dyDescent="0.2">
      <c r="A350" s="22" t="s">
        <v>54</v>
      </c>
      <c r="B350" s="4">
        <v>25012017</v>
      </c>
      <c r="C350" s="4">
        <v>8</v>
      </c>
      <c r="D350" s="4">
        <v>1326</v>
      </c>
      <c r="E350" s="40">
        <v>106</v>
      </c>
      <c r="F350" s="40">
        <v>65.900000000000006</v>
      </c>
      <c r="G350" s="4">
        <v>0.5</v>
      </c>
      <c r="H350" s="3">
        <v>419.41</v>
      </c>
      <c r="I350" s="3">
        <v>419.27</v>
      </c>
    </row>
    <row r="351" spans="1:9" ht="12.75" x14ac:dyDescent="0.2">
      <c r="A351" s="22" t="s">
        <v>55</v>
      </c>
      <c r="B351" s="4">
        <v>25012017</v>
      </c>
      <c r="C351" s="4">
        <v>8</v>
      </c>
      <c r="D351" s="4">
        <v>1310</v>
      </c>
      <c r="E351" s="40">
        <f>120+46</f>
        <v>166</v>
      </c>
      <c r="F351" s="40">
        <v>91.3</v>
      </c>
      <c r="G351" s="4">
        <v>0.5</v>
      </c>
      <c r="H351" s="3">
        <v>418.41</v>
      </c>
      <c r="I351" s="3">
        <v>418.26</v>
      </c>
    </row>
    <row r="352" spans="1:9" ht="12.75" x14ac:dyDescent="0.2">
      <c r="A352" s="22" t="s">
        <v>56</v>
      </c>
      <c r="B352" s="4">
        <v>25012017</v>
      </c>
      <c r="C352" s="4">
        <v>8</v>
      </c>
      <c r="D352" s="4">
        <v>1310</v>
      </c>
      <c r="E352" s="40">
        <v>118</v>
      </c>
      <c r="F352" s="40">
        <v>66.7</v>
      </c>
      <c r="G352" s="4">
        <v>0.2</v>
      </c>
      <c r="H352" s="3">
        <v>413.27</v>
      </c>
      <c r="I352" s="3">
        <v>413.15</v>
      </c>
    </row>
    <row r="353" spans="1:9" ht="12.75" x14ac:dyDescent="0.2">
      <c r="A353" s="22" t="s">
        <v>57</v>
      </c>
      <c r="B353" s="4">
        <v>25012017</v>
      </c>
      <c r="C353" s="4">
        <v>8</v>
      </c>
      <c r="D353" s="4">
        <v>1310</v>
      </c>
      <c r="E353" s="40">
        <v>135</v>
      </c>
      <c r="F353" s="40">
        <v>77.2</v>
      </c>
      <c r="G353" s="4">
        <v>0.1</v>
      </c>
      <c r="H353" s="3">
        <v>417.3</v>
      </c>
      <c r="I353" s="3">
        <v>417.17</v>
      </c>
    </row>
    <row r="354" spans="1:9" ht="12.75" x14ac:dyDescent="0.2">
      <c r="A354" s="22" t="s">
        <v>58</v>
      </c>
      <c r="B354" s="4">
        <v>25012017</v>
      </c>
      <c r="C354" s="4">
        <v>8</v>
      </c>
      <c r="D354" s="4">
        <v>1303</v>
      </c>
      <c r="E354" s="40">
        <f>105+46</f>
        <v>151</v>
      </c>
      <c r="F354" s="40">
        <v>86.5</v>
      </c>
      <c r="G354" s="4">
        <v>0.5</v>
      </c>
      <c r="H354" s="3">
        <v>415.92</v>
      </c>
      <c r="I354" s="3">
        <v>415.8</v>
      </c>
    </row>
    <row r="355" spans="1:9" ht="12.75" x14ac:dyDescent="0.2">
      <c r="A355" s="22" t="s">
        <v>59</v>
      </c>
      <c r="B355" s="4">
        <v>25012017</v>
      </c>
      <c r="C355" s="4">
        <v>8</v>
      </c>
      <c r="D355" s="4">
        <v>1303</v>
      </c>
      <c r="E355" s="40">
        <f>103+39</f>
        <v>142</v>
      </c>
      <c r="F355" s="40">
        <v>82.2</v>
      </c>
      <c r="G355" s="4">
        <v>0.3</v>
      </c>
      <c r="H355" s="3">
        <v>419.84</v>
      </c>
      <c r="I355" s="3">
        <v>419.7</v>
      </c>
    </row>
    <row r="356" spans="1:9" ht="12.75" x14ac:dyDescent="0.2">
      <c r="A356" s="22" t="s">
        <v>60</v>
      </c>
      <c r="B356" s="4">
        <v>25012017</v>
      </c>
      <c r="C356" s="4">
        <v>8</v>
      </c>
      <c r="D356" s="4">
        <v>1303</v>
      </c>
      <c r="E356" s="41">
        <v>185</v>
      </c>
      <c r="F356" s="40">
        <v>112.9</v>
      </c>
      <c r="G356" s="4">
        <v>0.4</v>
      </c>
      <c r="H356" s="3">
        <v>417.97</v>
      </c>
      <c r="I356" s="3">
        <v>417.78</v>
      </c>
    </row>
    <row r="357" spans="1:9" ht="12.75" x14ac:dyDescent="0.2">
      <c r="A357" s="22" t="s">
        <v>100</v>
      </c>
      <c r="B357" s="4">
        <v>25012017</v>
      </c>
      <c r="C357" s="4">
        <v>8</v>
      </c>
      <c r="D357" s="4">
        <v>1316</v>
      </c>
      <c r="E357" s="40">
        <f>125+86</f>
        <v>211</v>
      </c>
      <c r="F357" s="40">
        <v>111.9</v>
      </c>
      <c r="G357" s="4">
        <v>0.5</v>
      </c>
      <c r="H357" s="3">
        <v>399.18</v>
      </c>
      <c r="I357" s="3">
        <v>398.98</v>
      </c>
    </row>
    <row r="358" spans="1:9" ht="12.75" x14ac:dyDescent="0.2">
      <c r="A358" s="22" t="s">
        <v>101</v>
      </c>
      <c r="B358" s="4">
        <v>25012017</v>
      </c>
      <c r="C358" s="4">
        <v>8</v>
      </c>
      <c r="D358" s="4">
        <v>1316</v>
      </c>
      <c r="E358" s="40">
        <f>124+70</f>
        <v>194</v>
      </c>
      <c r="F358" s="40">
        <v>102.2</v>
      </c>
      <c r="G358" s="4">
        <v>0.5</v>
      </c>
      <c r="H358" s="3">
        <v>401.05</v>
      </c>
      <c r="I358" s="3">
        <v>400.87</v>
      </c>
    </row>
    <row r="359" spans="1:9" ht="12.75" x14ac:dyDescent="0.2">
      <c r="A359" s="22" t="s">
        <v>102</v>
      </c>
      <c r="B359" s="4">
        <v>25012017</v>
      </c>
      <c r="C359" s="4">
        <v>8</v>
      </c>
      <c r="D359" s="4">
        <v>1316</v>
      </c>
      <c r="E359" s="40">
        <f>125+82</f>
        <v>207</v>
      </c>
      <c r="F359" s="40">
        <v>109.3</v>
      </c>
      <c r="G359" s="4">
        <v>0.4</v>
      </c>
      <c r="H359" s="3">
        <v>402.06</v>
      </c>
      <c r="I359" s="3">
        <v>401.86</v>
      </c>
    </row>
    <row r="360" spans="1:9" ht="12.75" x14ac:dyDescent="0.2">
      <c r="A360" s="22" t="s">
        <v>29</v>
      </c>
      <c r="B360" s="4">
        <v>26012017</v>
      </c>
      <c r="C360" s="4" t="s">
        <v>508</v>
      </c>
      <c r="H360" s="3">
        <v>366.59</v>
      </c>
      <c r="I360" s="3"/>
    </row>
    <row r="361" spans="1:9" ht="12.75" x14ac:dyDescent="0.2">
      <c r="A361" s="22" t="s">
        <v>30</v>
      </c>
      <c r="B361" s="4">
        <v>26012017</v>
      </c>
      <c r="C361" s="4" t="s">
        <v>508</v>
      </c>
      <c r="H361" s="3">
        <v>358.44</v>
      </c>
      <c r="I361" s="3"/>
    </row>
    <row r="362" spans="1:9" ht="12.75" x14ac:dyDescent="0.2">
      <c r="A362" s="22" t="s">
        <v>31</v>
      </c>
      <c r="B362" s="4">
        <v>26012017</v>
      </c>
      <c r="C362" s="4" t="s">
        <v>508</v>
      </c>
      <c r="H362" s="3">
        <v>358.44</v>
      </c>
      <c r="I362" s="3"/>
    </row>
    <row r="363" spans="1:9" ht="12.75" x14ac:dyDescent="0.2">
      <c r="A363" s="22" t="s">
        <v>49</v>
      </c>
      <c r="B363" s="4">
        <v>26012017</v>
      </c>
      <c r="C363" s="4">
        <v>9</v>
      </c>
      <c r="D363" s="4">
        <v>1419</v>
      </c>
      <c r="E363" s="40">
        <v>58</v>
      </c>
      <c r="F363" s="40">
        <v>32.9</v>
      </c>
      <c r="G363" s="4">
        <v>0.3</v>
      </c>
      <c r="H363" s="3">
        <v>420.95</v>
      </c>
      <c r="I363" s="3">
        <v>420.89</v>
      </c>
    </row>
    <row r="364" spans="1:9" ht="12.75" x14ac:dyDescent="0.2">
      <c r="A364" s="22" t="s">
        <v>50</v>
      </c>
      <c r="B364" s="4">
        <v>26012017</v>
      </c>
      <c r="C364" s="4">
        <v>9</v>
      </c>
      <c r="D364" s="4">
        <v>1419</v>
      </c>
      <c r="E364" s="40">
        <v>66</v>
      </c>
      <c r="F364" s="40">
        <v>37.700000000000003</v>
      </c>
      <c r="G364" s="4">
        <v>0</v>
      </c>
      <c r="H364" s="3">
        <v>418.03</v>
      </c>
      <c r="I364" s="3">
        <v>417.96</v>
      </c>
    </row>
    <row r="365" spans="1:9" ht="12.75" x14ac:dyDescent="0.2">
      <c r="A365" s="22" t="s">
        <v>51</v>
      </c>
      <c r="B365" s="4">
        <v>26012017</v>
      </c>
      <c r="C365" s="4">
        <v>9</v>
      </c>
      <c r="D365" s="4">
        <v>1419</v>
      </c>
      <c r="E365" s="40">
        <v>54</v>
      </c>
      <c r="F365" s="40">
        <v>30.8</v>
      </c>
      <c r="G365" s="4">
        <v>0.5</v>
      </c>
      <c r="H365" s="3">
        <v>420.19</v>
      </c>
      <c r="I365" s="3">
        <v>420.13</v>
      </c>
    </row>
    <row r="366" spans="1:9" ht="12.75" x14ac:dyDescent="0.2">
      <c r="A366" s="22" t="s">
        <v>55</v>
      </c>
      <c r="B366" s="4">
        <v>26012017</v>
      </c>
      <c r="C366" s="4">
        <v>9</v>
      </c>
      <c r="D366" s="4">
        <v>1401</v>
      </c>
      <c r="E366" s="40">
        <v>104</v>
      </c>
      <c r="F366" s="40">
        <v>59.5</v>
      </c>
      <c r="G366" s="4">
        <v>0.1</v>
      </c>
      <c r="H366" s="3">
        <v>418.27</v>
      </c>
      <c r="I366" s="3">
        <v>418.16</v>
      </c>
    </row>
    <row r="367" spans="1:9" ht="12.75" x14ac:dyDescent="0.2">
      <c r="A367" s="22" t="s">
        <v>56</v>
      </c>
      <c r="B367" s="4">
        <v>26012017</v>
      </c>
      <c r="C367" s="4">
        <v>9</v>
      </c>
      <c r="D367" s="4">
        <v>1401</v>
      </c>
      <c r="E367" s="40">
        <v>75</v>
      </c>
      <c r="F367" s="40">
        <v>41</v>
      </c>
      <c r="G367" s="4">
        <v>0.3</v>
      </c>
      <c r="H367" s="3">
        <v>413.14</v>
      </c>
      <c r="I367" s="3">
        <v>413.1</v>
      </c>
    </row>
    <row r="368" spans="1:9" ht="12.75" x14ac:dyDescent="0.2">
      <c r="A368" s="22" t="s">
        <v>57</v>
      </c>
      <c r="B368" s="4">
        <v>26012017</v>
      </c>
      <c r="C368" s="4">
        <v>9</v>
      </c>
      <c r="D368" s="4">
        <v>1401</v>
      </c>
      <c r="E368" s="40">
        <v>90</v>
      </c>
      <c r="F368" s="40">
        <v>50.2</v>
      </c>
      <c r="G368" s="4">
        <v>0.3</v>
      </c>
      <c r="H368" s="3">
        <v>417.17</v>
      </c>
      <c r="I368" s="3">
        <v>417.09</v>
      </c>
    </row>
    <row r="369" spans="1:9" ht="12.75" x14ac:dyDescent="0.2">
      <c r="A369" s="22" t="s">
        <v>58</v>
      </c>
      <c r="B369" s="4">
        <v>26012017</v>
      </c>
      <c r="C369" s="4">
        <v>9</v>
      </c>
      <c r="D369" s="4">
        <v>1424</v>
      </c>
      <c r="E369" s="40">
        <v>136</v>
      </c>
      <c r="F369" s="40">
        <v>73.5</v>
      </c>
      <c r="G369" s="4">
        <v>0.5</v>
      </c>
      <c r="H369" s="3">
        <v>415.78</v>
      </c>
      <c r="I369" s="3">
        <v>415.67</v>
      </c>
    </row>
    <row r="370" spans="1:9" ht="12.75" x14ac:dyDescent="0.2">
      <c r="A370" s="22" t="s">
        <v>59</v>
      </c>
      <c r="B370" s="4">
        <v>26012017</v>
      </c>
      <c r="C370" s="4">
        <v>9</v>
      </c>
      <c r="D370" s="4">
        <v>1424</v>
      </c>
      <c r="E370" s="40">
        <v>82</v>
      </c>
      <c r="F370" s="40">
        <v>44.8</v>
      </c>
      <c r="G370" s="4">
        <v>0.4</v>
      </c>
      <c r="H370" s="3">
        <v>419.71</v>
      </c>
      <c r="I370" s="3">
        <v>419.62</v>
      </c>
    </row>
    <row r="371" spans="1:9" ht="12.75" x14ac:dyDescent="0.2">
      <c r="A371" s="22" t="s">
        <v>60</v>
      </c>
      <c r="B371" s="4">
        <v>26012017</v>
      </c>
      <c r="C371" s="4">
        <v>9</v>
      </c>
      <c r="D371" s="4">
        <v>1424</v>
      </c>
      <c r="E371" s="40">
        <v>83</v>
      </c>
      <c r="F371" s="40">
        <v>45.1</v>
      </c>
      <c r="G371" s="4">
        <v>0.3</v>
      </c>
      <c r="H371" s="3">
        <v>417.79</v>
      </c>
      <c r="I371" s="3">
        <v>417.71</v>
      </c>
    </row>
    <row r="372" spans="1:9" ht="12.75" x14ac:dyDescent="0.2">
      <c r="A372" s="22" t="s">
        <v>91</v>
      </c>
      <c r="B372" s="4">
        <v>26012017</v>
      </c>
      <c r="C372" s="4">
        <v>9</v>
      </c>
      <c r="D372" s="4">
        <v>1410</v>
      </c>
      <c r="E372" s="40">
        <v>110</v>
      </c>
      <c r="F372" s="40">
        <v>62.6</v>
      </c>
      <c r="G372" s="4">
        <v>0.3</v>
      </c>
      <c r="H372" s="3">
        <v>410.55</v>
      </c>
      <c r="I372" s="3">
        <v>410.46</v>
      </c>
    </row>
    <row r="373" spans="1:9" ht="12.75" x14ac:dyDescent="0.2">
      <c r="A373" s="22" t="s">
        <v>92</v>
      </c>
      <c r="B373" s="4">
        <v>26012017</v>
      </c>
      <c r="C373" s="4">
        <v>9</v>
      </c>
      <c r="D373" s="4">
        <v>1410</v>
      </c>
      <c r="E373" s="40">
        <v>115</v>
      </c>
      <c r="F373" s="40">
        <v>68.3</v>
      </c>
      <c r="G373" s="4">
        <v>0.3</v>
      </c>
      <c r="H373" s="3">
        <v>422.31</v>
      </c>
      <c r="I373" s="3">
        <v>422.19</v>
      </c>
    </row>
    <row r="374" spans="1:9" ht="12.75" x14ac:dyDescent="0.2">
      <c r="A374" s="22" t="s">
        <v>93</v>
      </c>
      <c r="B374" s="4">
        <v>26012017</v>
      </c>
      <c r="C374" s="4">
        <v>9</v>
      </c>
      <c r="D374" s="4">
        <v>1410</v>
      </c>
      <c r="E374" s="40">
        <v>111</v>
      </c>
      <c r="F374" s="40">
        <v>63.5</v>
      </c>
      <c r="G374" s="4">
        <v>0.2</v>
      </c>
      <c r="H374" s="3">
        <v>417.92</v>
      </c>
      <c r="I374" s="3">
        <v>417.83</v>
      </c>
    </row>
    <row r="375" spans="1:9" ht="12.75" x14ac:dyDescent="0.2">
      <c r="A375" s="22" t="s">
        <v>94</v>
      </c>
      <c r="B375" s="4">
        <v>26012017</v>
      </c>
      <c r="C375" s="4">
        <v>9</v>
      </c>
      <c r="D375" s="4">
        <v>1406</v>
      </c>
      <c r="E375" s="40">
        <v>113</v>
      </c>
      <c r="F375" s="40">
        <v>63.4</v>
      </c>
      <c r="G375" s="4">
        <v>0.2</v>
      </c>
      <c r="H375" s="3">
        <v>411.77</v>
      </c>
      <c r="I375" s="3">
        <v>411.66</v>
      </c>
    </row>
    <row r="376" spans="1:9" ht="12.75" x14ac:dyDescent="0.2">
      <c r="A376" s="22" t="s">
        <v>95</v>
      </c>
      <c r="B376" s="4">
        <v>26012017</v>
      </c>
      <c r="C376" s="4">
        <v>9</v>
      </c>
      <c r="D376" s="4">
        <v>1406</v>
      </c>
      <c r="E376" s="40">
        <v>111</v>
      </c>
      <c r="F376" s="40">
        <v>60.5</v>
      </c>
      <c r="G376" s="4">
        <v>0.2</v>
      </c>
      <c r="H376" s="3">
        <v>402.01</v>
      </c>
      <c r="I376" s="3">
        <v>401.91</v>
      </c>
    </row>
    <row r="377" spans="1:9" ht="12.75" x14ac:dyDescent="0.2">
      <c r="A377" s="22" t="s">
        <v>96</v>
      </c>
      <c r="B377" s="4">
        <v>26012017</v>
      </c>
      <c r="C377" s="4">
        <v>9</v>
      </c>
      <c r="D377" s="4">
        <v>1406</v>
      </c>
      <c r="E377" s="40">
        <v>112</v>
      </c>
      <c r="F377" s="40">
        <v>61.8</v>
      </c>
      <c r="G377" s="4">
        <v>0.3</v>
      </c>
      <c r="H377" s="3">
        <v>410.19</v>
      </c>
      <c r="I377" s="3">
        <v>410.07</v>
      </c>
    </row>
    <row r="378" spans="1:9" ht="12.75" x14ac:dyDescent="0.2">
      <c r="A378" s="22" t="s">
        <v>97</v>
      </c>
      <c r="B378" s="4">
        <v>26012017</v>
      </c>
      <c r="C378" s="4">
        <v>9</v>
      </c>
      <c r="D378" s="4">
        <v>1415</v>
      </c>
      <c r="E378" s="40">
        <v>109</v>
      </c>
      <c r="F378" s="40">
        <v>57.8</v>
      </c>
      <c r="G378" s="4">
        <v>0.2</v>
      </c>
      <c r="H378" s="3">
        <v>402.41</v>
      </c>
      <c r="I378" s="3">
        <v>402.3</v>
      </c>
    </row>
    <row r="379" spans="1:9" ht="12.75" x14ac:dyDescent="0.2">
      <c r="A379" s="22" t="s">
        <v>98</v>
      </c>
      <c r="B379" s="4">
        <v>26012017</v>
      </c>
      <c r="C379" s="4">
        <v>9</v>
      </c>
      <c r="D379" s="4">
        <v>1415</v>
      </c>
      <c r="E379" s="40">
        <v>115</v>
      </c>
      <c r="F379" s="40">
        <v>61.1</v>
      </c>
      <c r="G379" s="4">
        <v>0.2</v>
      </c>
      <c r="H379" s="3">
        <v>402.36</v>
      </c>
      <c r="I379" s="3">
        <v>402.24</v>
      </c>
    </row>
    <row r="380" spans="1:9" ht="12.75" x14ac:dyDescent="0.2">
      <c r="A380" s="22" t="s">
        <v>99</v>
      </c>
      <c r="B380" s="4">
        <v>26012017</v>
      </c>
      <c r="C380" s="4">
        <v>9</v>
      </c>
      <c r="D380" s="4">
        <v>1415</v>
      </c>
      <c r="E380" s="40">
        <v>114</v>
      </c>
      <c r="F380" s="40">
        <v>59.9</v>
      </c>
      <c r="G380" s="4">
        <v>0.2</v>
      </c>
      <c r="H380" s="3">
        <v>403.64</v>
      </c>
      <c r="I380" s="3">
        <v>403.51</v>
      </c>
    </row>
    <row r="381" spans="1:9" ht="12.75" x14ac:dyDescent="0.2">
      <c r="A381" s="22" t="s">
        <v>100</v>
      </c>
      <c r="B381" s="4">
        <v>26012017</v>
      </c>
      <c r="C381" s="4">
        <v>9</v>
      </c>
      <c r="D381" s="4">
        <v>1428</v>
      </c>
      <c r="E381" s="40">
        <v>152</v>
      </c>
      <c r="F381" s="40">
        <v>78.8</v>
      </c>
      <c r="G381" s="4">
        <v>0.4</v>
      </c>
      <c r="H381" s="3">
        <v>398.96</v>
      </c>
      <c r="I381" s="3">
        <v>398.82</v>
      </c>
    </row>
    <row r="382" spans="1:9" ht="12.75" x14ac:dyDescent="0.2">
      <c r="A382" s="22" t="s">
        <v>101</v>
      </c>
      <c r="B382" s="4">
        <v>26012017</v>
      </c>
      <c r="C382" s="4">
        <v>9</v>
      </c>
      <c r="D382" s="4">
        <v>1428</v>
      </c>
      <c r="E382" s="40">
        <v>148</v>
      </c>
      <c r="F382" s="40">
        <v>77.3</v>
      </c>
      <c r="G382" s="4">
        <v>0.4</v>
      </c>
      <c r="H382" s="3">
        <v>400.87</v>
      </c>
      <c r="I382" s="3">
        <v>400.72</v>
      </c>
    </row>
    <row r="383" spans="1:9" ht="12.75" x14ac:dyDescent="0.2">
      <c r="A383" s="22" t="s">
        <v>102</v>
      </c>
      <c r="B383" s="4">
        <v>26012017</v>
      </c>
      <c r="C383" s="4">
        <v>9</v>
      </c>
      <c r="D383" s="4">
        <v>1428</v>
      </c>
      <c r="E383" s="40">
        <f>115+73</f>
        <v>188</v>
      </c>
      <c r="F383" s="40">
        <v>97.1</v>
      </c>
      <c r="G383" s="4">
        <v>0.3</v>
      </c>
      <c r="H383" s="3">
        <v>401.85</v>
      </c>
      <c r="I383" s="3">
        <v>401.7</v>
      </c>
    </row>
    <row r="384" spans="1:9" ht="12.75" x14ac:dyDescent="0.2">
      <c r="A384" s="22" t="s">
        <v>46</v>
      </c>
      <c r="B384" s="4">
        <v>27012017</v>
      </c>
      <c r="C384" s="4">
        <v>10</v>
      </c>
      <c r="D384" s="4">
        <v>1259</v>
      </c>
      <c r="E384" s="40">
        <v>122</v>
      </c>
      <c r="F384" s="40">
        <v>67</v>
      </c>
      <c r="G384" s="4">
        <v>0.4</v>
      </c>
      <c r="H384" s="3">
        <v>405.91</v>
      </c>
      <c r="I384" s="3">
        <v>405.81</v>
      </c>
    </row>
    <row r="385" spans="1:13" ht="12.75" x14ac:dyDescent="0.2">
      <c r="A385" s="22" t="s">
        <v>47</v>
      </c>
      <c r="B385" s="4">
        <v>27012017</v>
      </c>
      <c r="C385" s="4">
        <v>10</v>
      </c>
      <c r="D385" s="4">
        <v>1259</v>
      </c>
      <c r="E385" s="40">
        <v>147</v>
      </c>
      <c r="F385" s="40">
        <v>81</v>
      </c>
      <c r="G385" s="4">
        <v>0.5</v>
      </c>
      <c r="H385" s="3">
        <v>410.57</v>
      </c>
      <c r="I385" s="3">
        <v>410.44</v>
      </c>
    </row>
    <row r="386" spans="1:13" ht="12.75" x14ac:dyDescent="0.2">
      <c r="A386" s="22" t="s">
        <v>48</v>
      </c>
      <c r="B386" s="4">
        <v>27012017</v>
      </c>
      <c r="C386" s="4">
        <v>10</v>
      </c>
      <c r="D386" s="4">
        <v>1259</v>
      </c>
      <c r="E386" s="40">
        <v>103</v>
      </c>
      <c r="F386" s="40">
        <v>58</v>
      </c>
      <c r="G386" s="4">
        <v>0.1</v>
      </c>
      <c r="H386" s="3">
        <v>415.07</v>
      </c>
      <c r="I386" s="3">
        <v>414.96</v>
      </c>
    </row>
    <row r="387" spans="1:13" ht="12.75" x14ac:dyDescent="0.2">
      <c r="A387" s="22" t="s">
        <v>52</v>
      </c>
      <c r="B387" s="4">
        <v>27012017</v>
      </c>
      <c r="C387" s="4">
        <v>10</v>
      </c>
      <c r="D387" s="4">
        <v>1255</v>
      </c>
      <c r="E387" s="40">
        <v>126</v>
      </c>
      <c r="F387" s="40">
        <v>70.2</v>
      </c>
      <c r="G387" s="4">
        <v>0.2</v>
      </c>
      <c r="H387" s="3">
        <v>407.05</v>
      </c>
      <c r="I387" s="3">
        <v>406.93</v>
      </c>
    </row>
    <row r="388" spans="1:13" ht="12.75" x14ac:dyDescent="0.2">
      <c r="A388" s="22" t="s">
        <v>53</v>
      </c>
      <c r="B388" s="4">
        <v>27012017</v>
      </c>
      <c r="C388" s="4">
        <v>10</v>
      </c>
      <c r="D388" s="4">
        <v>1255</v>
      </c>
      <c r="E388" s="40">
        <v>93</v>
      </c>
      <c r="F388" s="40">
        <v>51.5</v>
      </c>
      <c r="G388" s="4">
        <v>0.2</v>
      </c>
      <c r="H388" s="3">
        <v>412.66</v>
      </c>
      <c r="I388" s="3">
        <v>412.58</v>
      </c>
    </row>
    <row r="389" spans="1:13" ht="12.75" x14ac:dyDescent="0.2">
      <c r="A389" s="22" t="s">
        <v>54</v>
      </c>
      <c r="B389" s="4">
        <v>27012017</v>
      </c>
      <c r="C389" s="4">
        <v>10</v>
      </c>
      <c r="D389" s="4">
        <v>1255</v>
      </c>
      <c r="E389" s="40">
        <v>116</v>
      </c>
      <c r="F389" s="40">
        <v>66</v>
      </c>
      <c r="G389" s="4">
        <v>0.2</v>
      </c>
      <c r="H389" s="3">
        <v>419.28</v>
      </c>
      <c r="I389" s="3">
        <v>419.17</v>
      </c>
    </row>
    <row r="390" spans="1:13" ht="12.75" x14ac:dyDescent="0.2">
      <c r="A390" s="22" t="s">
        <v>100</v>
      </c>
      <c r="B390" s="4">
        <v>27012017</v>
      </c>
      <c r="C390" s="4">
        <v>10</v>
      </c>
      <c r="D390" s="4">
        <v>1250</v>
      </c>
      <c r="E390" s="40">
        <v>76</v>
      </c>
      <c r="F390" s="40">
        <v>40.700000000000003</v>
      </c>
      <c r="G390" s="4">
        <v>0.2</v>
      </c>
      <c r="H390" s="3">
        <v>398.83</v>
      </c>
      <c r="I390" s="3">
        <v>398.74</v>
      </c>
    </row>
    <row r="391" spans="1:13" ht="12.75" x14ac:dyDescent="0.2">
      <c r="A391" s="22" t="s">
        <v>101</v>
      </c>
      <c r="B391" s="4">
        <v>27012017</v>
      </c>
      <c r="C391" s="4">
        <v>10</v>
      </c>
      <c r="D391" s="4">
        <v>1250</v>
      </c>
      <c r="E391" s="40">
        <v>106</v>
      </c>
      <c r="F391" s="40">
        <v>56.8</v>
      </c>
      <c r="G391" s="4">
        <v>0.2</v>
      </c>
      <c r="H391" s="3">
        <v>400.72</v>
      </c>
      <c r="I391" s="3">
        <v>400.62</v>
      </c>
    </row>
    <row r="392" spans="1:13" ht="12.75" x14ac:dyDescent="0.2">
      <c r="A392" s="22" t="s">
        <v>102</v>
      </c>
      <c r="B392" s="4">
        <v>27012017</v>
      </c>
      <c r="C392" s="4">
        <v>10</v>
      </c>
      <c r="D392" s="4">
        <v>1250</v>
      </c>
      <c r="E392" s="40">
        <v>81</v>
      </c>
      <c r="F392" s="40">
        <v>43.6</v>
      </c>
      <c r="G392" s="4">
        <v>0.2</v>
      </c>
      <c r="H392" s="3">
        <v>401.67</v>
      </c>
      <c r="I392" s="3">
        <v>401.61</v>
      </c>
    </row>
    <row r="393" spans="1:13" ht="12.75" x14ac:dyDescent="0.2">
      <c r="A393" s="22" t="s">
        <v>49</v>
      </c>
      <c r="B393" s="4">
        <v>28012017</v>
      </c>
      <c r="C393" s="4">
        <v>11</v>
      </c>
      <c r="D393" s="4">
        <v>1446</v>
      </c>
      <c r="E393" s="40">
        <v>81</v>
      </c>
      <c r="F393" s="40">
        <v>47.6</v>
      </c>
      <c r="G393" s="4">
        <v>0.2</v>
      </c>
      <c r="H393" s="3">
        <v>420.9</v>
      </c>
      <c r="I393" s="3">
        <v>420.82</v>
      </c>
    </row>
    <row r="394" spans="1:13" ht="12.75" x14ac:dyDescent="0.2">
      <c r="A394" s="22" t="s">
        <v>50</v>
      </c>
      <c r="B394" s="4">
        <v>28012017</v>
      </c>
      <c r="C394" s="4">
        <v>11</v>
      </c>
      <c r="D394" s="4">
        <v>1446</v>
      </c>
      <c r="E394" s="40">
        <v>97</v>
      </c>
      <c r="F394" s="40">
        <v>55.2</v>
      </c>
      <c r="G394" s="4">
        <v>0.2</v>
      </c>
      <c r="H394" s="3">
        <v>417.97</v>
      </c>
      <c r="I394" s="3">
        <v>417.88</v>
      </c>
    </row>
    <row r="395" spans="1:13" ht="12.75" x14ac:dyDescent="0.2">
      <c r="A395" s="22" t="s">
        <v>51</v>
      </c>
      <c r="B395" s="4">
        <v>28012017</v>
      </c>
      <c r="C395" s="4">
        <v>11</v>
      </c>
      <c r="D395" s="4">
        <v>1446</v>
      </c>
      <c r="E395" s="40">
        <v>80</v>
      </c>
      <c r="F395" s="40">
        <v>46.6</v>
      </c>
      <c r="G395" s="4">
        <v>0.3</v>
      </c>
      <c r="H395" s="3">
        <v>420.14</v>
      </c>
      <c r="I395" s="3">
        <v>420.05</v>
      </c>
    </row>
    <row r="396" spans="1:13" ht="12.75" x14ac:dyDescent="0.2">
      <c r="A396" s="22" t="s">
        <v>55</v>
      </c>
      <c r="B396" s="4">
        <v>28012017</v>
      </c>
      <c r="C396" s="4">
        <v>11</v>
      </c>
      <c r="D396" s="4">
        <v>1528</v>
      </c>
      <c r="E396" s="40">
        <v>124</v>
      </c>
      <c r="F396" s="40">
        <v>71.3</v>
      </c>
      <c r="G396" s="4">
        <v>0.3</v>
      </c>
      <c r="H396" s="3">
        <v>418.16</v>
      </c>
      <c r="I396" s="3">
        <v>418.04</v>
      </c>
    </row>
    <row r="397" spans="1:13" ht="12.75" x14ac:dyDescent="0.2">
      <c r="A397" s="22" t="s">
        <v>56</v>
      </c>
      <c r="B397" s="4">
        <v>28012017</v>
      </c>
      <c r="C397" s="4">
        <v>11</v>
      </c>
      <c r="D397" s="4">
        <v>1528</v>
      </c>
      <c r="E397" s="40">
        <v>92</v>
      </c>
      <c r="F397" s="40">
        <v>51.5</v>
      </c>
      <c r="G397" s="4">
        <v>0.1</v>
      </c>
      <c r="H397" s="3">
        <v>413.08</v>
      </c>
      <c r="I397" s="3">
        <v>412.99</v>
      </c>
    </row>
    <row r="398" spans="1:13" ht="12.75" x14ac:dyDescent="0.2">
      <c r="A398" s="22" t="s">
        <v>57</v>
      </c>
      <c r="B398" s="4">
        <v>28012017</v>
      </c>
      <c r="C398" s="4">
        <v>11</v>
      </c>
      <c r="D398" s="4">
        <v>1528</v>
      </c>
      <c r="E398" s="40">
        <v>81</v>
      </c>
      <c r="F398" s="40">
        <v>46</v>
      </c>
      <c r="G398" s="4">
        <v>0.3</v>
      </c>
      <c r="H398" s="3">
        <v>417.08</v>
      </c>
      <c r="I398" s="3">
        <v>417</v>
      </c>
    </row>
    <row r="399" spans="1:13" ht="12.75" x14ac:dyDescent="0.2">
      <c r="A399" s="22" t="s">
        <v>91</v>
      </c>
      <c r="B399" s="4">
        <v>28012017</v>
      </c>
      <c r="C399" s="4">
        <v>11</v>
      </c>
      <c r="D399" s="4">
        <v>1537</v>
      </c>
      <c r="E399" s="40">
        <v>110</v>
      </c>
      <c r="F399" s="40">
        <v>60.8</v>
      </c>
      <c r="G399" s="4">
        <v>0.2</v>
      </c>
      <c r="H399" s="3">
        <v>410.48</v>
      </c>
      <c r="I399" s="3">
        <v>410.32</v>
      </c>
      <c r="M399" s="4" t="s">
        <v>116</v>
      </c>
    </row>
    <row r="400" spans="1:13" ht="12.75" x14ac:dyDescent="0.2">
      <c r="A400" s="22" t="s">
        <v>92</v>
      </c>
      <c r="B400" s="4">
        <v>28012017</v>
      </c>
      <c r="C400" s="4">
        <v>11</v>
      </c>
      <c r="D400" s="4">
        <v>1537</v>
      </c>
      <c r="E400" s="40">
        <v>113</v>
      </c>
      <c r="F400" s="40">
        <v>64.7</v>
      </c>
      <c r="G400" s="4">
        <v>0.3</v>
      </c>
      <c r="H400" s="3">
        <v>422.19</v>
      </c>
      <c r="I400" s="3">
        <v>422.08</v>
      </c>
    </row>
    <row r="401" spans="1:9" ht="12.75" x14ac:dyDescent="0.2">
      <c r="A401" s="22" t="s">
        <v>93</v>
      </c>
      <c r="B401" s="4">
        <v>28012017</v>
      </c>
      <c r="C401" s="4">
        <v>11</v>
      </c>
      <c r="D401" s="4">
        <v>1537</v>
      </c>
      <c r="E401" s="40">
        <v>110</v>
      </c>
      <c r="F401" s="40">
        <v>61.3</v>
      </c>
      <c r="G401" s="4">
        <v>0.2</v>
      </c>
      <c r="H401" s="3">
        <v>417.83</v>
      </c>
      <c r="I401" s="3">
        <v>417.72</v>
      </c>
    </row>
    <row r="402" spans="1:9" ht="12.75" x14ac:dyDescent="0.2">
      <c r="A402" s="22" t="s">
        <v>94</v>
      </c>
      <c r="B402" s="4">
        <v>28012017</v>
      </c>
      <c r="C402" s="4">
        <v>11</v>
      </c>
      <c r="D402" s="4">
        <v>1532</v>
      </c>
      <c r="E402" s="40">
        <v>112</v>
      </c>
      <c r="F402" s="40">
        <v>61.7</v>
      </c>
      <c r="G402" s="4">
        <v>0.3</v>
      </c>
      <c r="H402" s="3">
        <v>411.6</v>
      </c>
      <c r="I402" s="3">
        <v>411.54</v>
      </c>
    </row>
    <row r="403" spans="1:9" ht="12.75" x14ac:dyDescent="0.2">
      <c r="A403" s="22" t="s">
        <v>95</v>
      </c>
      <c r="B403" s="4">
        <v>28012017</v>
      </c>
      <c r="C403" s="4">
        <v>11</v>
      </c>
      <c r="D403" s="4">
        <v>1532</v>
      </c>
      <c r="E403" s="40">
        <v>111</v>
      </c>
      <c r="F403" s="40">
        <v>58.9</v>
      </c>
      <c r="G403" s="4">
        <v>0.25</v>
      </c>
      <c r="H403" s="3">
        <v>401.91</v>
      </c>
      <c r="I403" s="3">
        <v>401.81</v>
      </c>
    </row>
    <row r="404" spans="1:9" ht="12.75" x14ac:dyDescent="0.2">
      <c r="A404" s="22" t="s">
        <v>96</v>
      </c>
      <c r="B404" s="4">
        <v>28012017</v>
      </c>
      <c r="C404" s="4">
        <v>11</v>
      </c>
      <c r="D404" s="4">
        <v>1532</v>
      </c>
      <c r="E404" s="40">
        <v>108</v>
      </c>
      <c r="F404" s="40">
        <v>58.4</v>
      </c>
      <c r="G404" s="4">
        <v>0.5</v>
      </c>
      <c r="H404" s="3">
        <v>410.06</v>
      </c>
      <c r="I404" s="3">
        <v>409.97</v>
      </c>
    </row>
    <row r="405" spans="1:9" ht="12.75" x14ac:dyDescent="0.2">
      <c r="A405" s="22" t="s">
        <v>97</v>
      </c>
      <c r="B405" s="4">
        <v>28012017</v>
      </c>
      <c r="C405" s="4">
        <v>11</v>
      </c>
      <c r="D405" s="4">
        <v>1542</v>
      </c>
      <c r="E405" s="40">
        <v>109</v>
      </c>
      <c r="F405" s="40">
        <v>56.2</v>
      </c>
      <c r="G405" s="4">
        <v>0.1</v>
      </c>
      <c r="H405" s="3">
        <v>402.3</v>
      </c>
      <c r="I405" s="3">
        <v>402.18</v>
      </c>
    </row>
    <row r="406" spans="1:9" ht="12.75" x14ac:dyDescent="0.2">
      <c r="A406" s="22" t="s">
        <v>98</v>
      </c>
      <c r="B406" s="4">
        <v>28012017</v>
      </c>
      <c r="C406" s="4">
        <v>11</v>
      </c>
      <c r="D406" s="4">
        <v>1542</v>
      </c>
      <c r="E406" s="40">
        <v>105</v>
      </c>
      <c r="F406" s="40">
        <v>55.3</v>
      </c>
      <c r="G406" s="4">
        <v>0.1</v>
      </c>
      <c r="H406" s="3">
        <v>402.25</v>
      </c>
      <c r="I406" s="3">
        <v>402.15</v>
      </c>
    </row>
    <row r="407" spans="1:9" ht="12.75" x14ac:dyDescent="0.2">
      <c r="A407" s="22" t="s">
        <v>99</v>
      </c>
      <c r="B407" s="4">
        <v>28012017</v>
      </c>
      <c r="C407" s="4">
        <v>11</v>
      </c>
      <c r="D407" s="4">
        <v>1542</v>
      </c>
      <c r="E407" s="40">
        <v>110</v>
      </c>
      <c r="F407" s="40">
        <v>56.6</v>
      </c>
      <c r="G407" s="4">
        <v>0.1</v>
      </c>
      <c r="H407" s="3">
        <v>403.52</v>
      </c>
      <c r="I407" s="3">
        <v>403.39</v>
      </c>
    </row>
    <row r="408" spans="1:9" ht="12.75" x14ac:dyDescent="0.2">
      <c r="A408" s="22" t="s">
        <v>103</v>
      </c>
      <c r="B408" s="4">
        <v>28012017</v>
      </c>
      <c r="C408" s="4">
        <v>11</v>
      </c>
      <c r="D408" s="4">
        <v>1550</v>
      </c>
      <c r="E408" s="40">
        <v>98</v>
      </c>
      <c r="F408" s="40">
        <v>56</v>
      </c>
      <c r="G408" s="4">
        <v>0.5</v>
      </c>
      <c r="H408" s="3">
        <v>416.57</v>
      </c>
      <c r="I408" s="3">
        <v>416.43</v>
      </c>
    </row>
    <row r="409" spans="1:9" ht="12.75" x14ac:dyDescent="0.2">
      <c r="A409" s="22" t="s">
        <v>104</v>
      </c>
      <c r="B409" s="4">
        <v>28012017</v>
      </c>
      <c r="C409" s="4">
        <v>11</v>
      </c>
      <c r="D409" s="4">
        <v>1550</v>
      </c>
      <c r="E409" s="40">
        <v>143</v>
      </c>
      <c r="F409" s="40">
        <v>72.599999999999994</v>
      </c>
      <c r="G409" s="4">
        <v>0.5</v>
      </c>
      <c r="H409" s="3">
        <v>416.69</v>
      </c>
      <c r="I409" s="3">
        <v>416.51</v>
      </c>
    </row>
    <row r="410" spans="1:9" ht="12.75" x14ac:dyDescent="0.2">
      <c r="A410" s="22" t="s">
        <v>105</v>
      </c>
      <c r="B410" s="4">
        <v>28012017</v>
      </c>
      <c r="C410" s="4">
        <v>11</v>
      </c>
      <c r="D410" s="4">
        <v>1550</v>
      </c>
      <c r="E410" s="40">
        <f>140+56</f>
        <v>196</v>
      </c>
      <c r="F410" s="40">
        <v>97.7</v>
      </c>
      <c r="G410" s="4">
        <v>0.2</v>
      </c>
      <c r="H410" s="3">
        <v>418.57</v>
      </c>
      <c r="I410" s="3">
        <v>418.36</v>
      </c>
    </row>
    <row r="411" spans="1:9" ht="12.75" x14ac:dyDescent="0.2">
      <c r="A411" s="22" t="s">
        <v>100</v>
      </c>
      <c r="B411" s="4">
        <v>28012017</v>
      </c>
      <c r="C411" s="4">
        <v>11</v>
      </c>
      <c r="D411" s="4">
        <v>1555</v>
      </c>
      <c r="E411" s="40">
        <v>70</v>
      </c>
      <c r="F411" s="40">
        <v>36.299999999999997</v>
      </c>
      <c r="G411" s="4">
        <v>0.1</v>
      </c>
      <c r="H411" s="3">
        <v>398.75</v>
      </c>
      <c r="I411" s="3">
        <v>398.67</v>
      </c>
    </row>
    <row r="412" spans="1:9" ht="12.75" x14ac:dyDescent="0.2">
      <c r="A412" s="22" t="s">
        <v>101</v>
      </c>
      <c r="B412" s="4">
        <v>28012017</v>
      </c>
      <c r="C412" s="4">
        <v>11</v>
      </c>
      <c r="D412" s="4">
        <v>1555</v>
      </c>
      <c r="E412" s="40">
        <v>76</v>
      </c>
      <c r="F412" s="40">
        <v>39.1</v>
      </c>
      <c r="G412" s="4">
        <v>0.2</v>
      </c>
      <c r="H412" s="3">
        <v>400.61</v>
      </c>
      <c r="I412" s="3">
        <v>400.54</v>
      </c>
    </row>
    <row r="413" spans="1:9" ht="12.75" x14ac:dyDescent="0.2">
      <c r="A413" s="22" t="s">
        <v>102</v>
      </c>
      <c r="B413" s="4">
        <v>28012017</v>
      </c>
      <c r="C413" s="4">
        <v>11</v>
      </c>
      <c r="D413" s="4">
        <v>1555</v>
      </c>
      <c r="E413" s="40">
        <v>70</v>
      </c>
      <c r="F413" s="40">
        <v>37.200000000000003</v>
      </c>
      <c r="G413" s="4">
        <v>0.2</v>
      </c>
      <c r="H413" s="3">
        <v>401.61</v>
      </c>
      <c r="I413" s="3">
        <v>401.53</v>
      </c>
    </row>
    <row r="414" spans="1:9" ht="12.75" x14ac:dyDescent="0.2">
      <c r="A414" s="22" t="s">
        <v>29</v>
      </c>
      <c r="B414" s="4">
        <v>28012017</v>
      </c>
      <c r="C414" s="4" t="s">
        <v>509</v>
      </c>
      <c r="H414" s="3">
        <v>366.58</v>
      </c>
      <c r="I414" s="3"/>
    </row>
    <row r="415" spans="1:9" ht="12.75" x14ac:dyDescent="0.2">
      <c r="A415" s="22" t="s">
        <v>30</v>
      </c>
      <c r="B415" s="4">
        <v>28012017</v>
      </c>
      <c r="C415" s="4" t="s">
        <v>509</v>
      </c>
      <c r="H415" s="3">
        <v>358.45</v>
      </c>
      <c r="I415" s="3"/>
    </row>
    <row r="416" spans="1:9" ht="12.75" x14ac:dyDescent="0.2">
      <c r="A416" s="22" t="s">
        <v>31</v>
      </c>
      <c r="B416" s="4">
        <v>28012017</v>
      </c>
      <c r="C416" s="4" t="s">
        <v>509</v>
      </c>
      <c r="H416" s="3">
        <v>358.44</v>
      </c>
      <c r="I416" s="3"/>
    </row>
    <row r="417" spans="1:9" ht="12.75" x14ac:dyDescent="0.2">
      <c r="A417" s="38" t="s">
        <v>38</v>
      </c>
      <c r="B417" s="4">
        <v>30012017</v>
      </c>
      <c r="C417" s="4">
        <v>13</v>
      </c>
      <c r="D417" s="4">
        <v>1319</v>
      </c>
      <c r="E417" s="40">
        <v>27</v>
      </c>
      <c r="F417" s="40">
        <v>11.3</v>
      </c>
      <c r="G417" s="4">
        <v>0</v>
      </c>
      <c r="H417" s="3">
        <v>356.22</v>
      </c>
      <c r="I417" s="3">
        <v>356.19</v>
      </c>
    </row>
    <row r="418" spans="1:9" ht="12.75" x14ac:dyDescent="0.2">
      <c r="A418" s="38" t="s">
        <v>39</v>
      </c>
      <c r="B418" s="4">
        <v>30012017</v>
      </c>
      <c r="C418" s="4">
        <v>13</v>
      </c>
      <c r="D418" s="4">
        <v>1319</v>
      </c>
      <c r="E418" s="40">
        <v>32</v>
      </c>
      <c r="F418" s="40">
        <v>13.4</v>
      </c>
      <c r="G418" s="4">
        <v>0.1</v>
      </c>
      <c r="H418" s="3">
        <v>356.93</v>
      </c>
      <c r="I418" s="3">
        <v>356.9</v>
      </c>
    </row>
    <row r="419" spans="1:9" ht="12.75" x14ac:dyDescent="0.2">
      <c r="A419" s="38" t="s">
        <v>40</v>
      </c>
      <c r="B419" s="4">
        <v>30012017</v>
      </c>
      <c r="C419" s="4">
        <v>13</v>
      </c>
      <c r="D419" s="4">
        <v>1319</v>
      </c>
      <c r="E419" s="40">
        <v>30</v>
      </c>
      <c r="F419" s="40">
        <v>12.6</v>
      </c>
      <c r="G419" s="4">
        <v>0.2</v>
      </c>
      <c r="H419" s="3">
        <v>357.16</v>
      </c>
      <c r="I419" s="3">
        <v>357.13</v>
      </c>
    </row>
    <row r="420" spans="1:9" ht="12.75" x14ac:dyDescent="0.2">
      <c r="A420" s="38" t="s">
        <v>46</v>
      </c>
      <c r="B420" s="4">
        <v>30012017</v>
      </c>
      <c r="C420" s="4">
        <v>13</v>
      </c>
      <c r="D420" s="4">
        <v>1300</v>
      </c>
      <c r="E420" s="40">
        <v>80</v>
      </c>
      <c r="F420" s="40">
        <v>43.1</v>
      </c>
      <c r="G420" s="4">
        <v>0.4</v>
      </c>
      <c r="H420" s="3">
        <v>405.81</v>
      </c>
      <c r="I420" s="3">
        <v>405.74</v>
      </c>
    </row>
    <row r="421" spans="1:9" ht="12.75" x14ac:dyDescent="0.2">
      <c r="A421" s="38" t="s">
        <v>47</v>
      </c>
      <c r="B421" s="4">
        <v>30012017</v>
      </c>
      <c r="C421" s="4">
        <v>13</v>
      </c>
      <c r="D421" s="4">
        <v>1300</v>
      </c>
      <c r="E421" s="40">
        <v>99</v>
      </c>
      <c r="F421" s="40">
        <v>54</v>
      </c>
      <c r="G421" s="4">
        <v>0.2</v>
      </c>
      <c r="H421" s="3">
        <v>410.44</v>
      </c>
      <c r="I421" s="3">
        <v>410.34</v>
      </c>
    </row>
    <row r="422" spans="1:9" ht="12.75" x14ac:dyDescent="0.2">
      <c r="A422" s="38" t="s">
        <v>48</v>
      </c>
      <c r="B422" s="4">
        <v>30012017</v>
      </c>
      <c r="C422" s="4">
        <v>13</v>
      </c>
      <c r="D422" s="4">
        <v>1300</v>
      </c>
      <c r="E422" s="40">
        <v>69</v>
      </c>
      <c r="F422" s="40">
        <v>38.5</v>
      </c>
      <c r="G422" s="4">
        <v>0.3</v>
      </c>
      <c r="H422" s="3">
        <v>414.96</v>
      </c>
      <c r="I422" s="3">
        <v>414.9</v>
      </c>
    </row>
    <row r="423" spans="1:9" ht="12.75" x14ac:dyDescent="0.2">
      <c r="A423" s="38" t="s">
        <v>49</v>
      </c>
      <c r="B423" s="4">
        <v>30012017</v>
      </c>
      <c r="C423" s="4">
        <v>13</v>
      </c>
      <c r="D423" s="4">
        <v>1240</v>
      </c>
      <c r="E423" s="40">
        <v>69</v>
      </c>
      <c r="F423" s="40">
        <v>39.700000000000003</v>
      </c>
      <c r="G423" s="4">
        <v>0.4</v>
      </c>
      <c r="H423" s="3">
        <v>420.82</v>
      </c>
      <c r="I423" s="3">
        <v>420.75</v>
      </c>
    </row>
    <row r="424" spans="1:9" ht="12.75" x14ac:dyDescent="0.2">
      <c r="A424" s="38" t="s">
        <v>50</v>
      </c>
      <c r="B424" s="4">
        <v>30012017</v>
      </c>
      <c r="C424" s="4">
        <v>13</v>
      </c>
      <c r="D424" s="4">
        <v>1240</v>
      </c>
      <c r="E424" s="40">
        <v>71</v>
      </c>
      <c r="F424" s="40">
        <v>40.200000000000003</v>
      </c>
      <c r="G424" s="4">
        <v>0.1</v>
      </c>
      <c r="H424" s="3">
        <v>417.86</v>
      </c>
      <c r="I424" s="3">
        <v>417.8</v>
      </c>
    </row>
    <row r="425" spans="1:9" ht="12.75" x14ac:dyDescent="0.2">
      <c r="A425" s="38" t="s">
        <v>51</v>
      </c>
      <c r="B425" s="4">
        <v>30012017</v>
      </c>
      <c r="C425" s="4">
        <v>13</v>
      </c>
      <c r="D425" s="4">
        <v>1240</v>
      </c>
      <c r="E425" s="40">
        <v>71</v>
      </c>
      <c r="F425" s="40">
        <v>40.700000000000003</v>
      </c>
      <c r="G425" s="4">
        <v>0.2</v>
      </c>
      <c r="H425" s="48">
        <v>420.07</v>
      </c>
      <c r="I425" s="3">
        <v>419.99</v>
      </c>
    </row>
    <row r="426" spans="1:9" ht="12.75" x14ac:dyDescent="0.2">
      <c r="A426" s="38" t="s">
        <v>52</v>
      </c>
      <c r="B426" s="4">
        <v>30012017</v>
      </c>
      <c r="C426" s="4">
        <v>13</v>
      </c>
      <c r="D426" s="4">
        <v>1256</v>
      </c>
      <c r="E426" s="40">
        <v>107</v>
      </c>
      <c r="F426" s="40">
        <v>59.2</v>
      </c>
      <c r="G426" s="4">
        <v>0.3</v>
      </c>
      <c r="H426" s="3">
        <v>406.94</v>
      </c>
      <c r="I426" s="3">
        <v>406.84</v>
      </c>
    </row>
    <row r="427" spans="1:9" ht="12.75" x14ac:dyDescent="0.2">
      <c r="A427" s="38" t="s">
        <v>53</v>
      </c>
      <c r="B427" s="4">
        <v>30012017</v>
      </c>
      <c r="C427" s="4">
        <v>13</v>
      </c>
      <c r="D427" s="4">
        <v>1256</v>
      </c>
      <c r="E427" s="40">
        <v>100</v>
      </c>
      <c r="F427" s="40">
        <v>55.5</v>
      </c>
      <c r="G427" s="4">
        <v>0</v>
      </c>
      <c r="H427" s="3">
        <v>412.57</v>
      </c>
      <c r="I427" s="3">
        <v>412.49</v>
      </c>
    </row>
    <row r="428" spans="1:9" ht="12.75" x14ac:dyDescent="0.2">
      <c r="A428" s="38" t="s">
        <v>54</v>
      </c>
      <c r="B428" s="4">
        <v>30012017</v>
      </c>
      <c r="C428" s="4">
        <v>13</v>
      </c>
      <c r="D428" s="4">
        <v>1256</v>
      </c>
      <c r="E428" s="40">
        <v>114</v>
      </c>
      <c r="F428" s="40">
        <v>65.900000000000006</v>
      </c>
      <c r="G428" s="4">
        <v>0.3</v>
      </c>
      <c r="H428" s="3">
        <v>419.17</v>
      </c>
      <c r="I428" s="3">
        <v>419.06</v>
      </c>
    </row>
    <row r="429" spans="1:9" ht="12.75" x14ac:dyDescent="0.2">
      <c r="A429" s="38" t="s">
        <v>55</v>
      </c>
      <c r="B429" s="4">
        <v>30012017</v>
      </c>
      <c r="C429" s="4">
        <v>13</v>
      </c>
      <c r="D429" s="4">
        <v>1230</v>
      </c>
      <c r="E429" s="40">
        <v>76</v>
      </c>
      <c r="F429" s="40">
        <v>43.4</v>
      </c>
      <c r="G429" s="4">
        <v>0.2</v>
      </c>
      <c r="H429" s="3">
        <v>418.05</v>
      </c>
      <c r="I429" s="3">
        <v>417.97</v>
      </c>
    </row>
    <row r="430" spans="1:9" ht="12.75" x14ac:dyDescent="0.2">
      <c r="A430" s="38" t="s">
        <v>56</v>
      </c>
      <c r="B430" s="4">
        <v>30012017</v>
      </c>
      <c r="C430" s="4">
        <v>13</v>
      </c>
      <c r="D430" s="4">
        <v>1230</v>
      </c>
      <c r="E430" s="40">
        <v>71</v>
      </c>
      <c r="F430" s="40">
        <v>39</v>
      </c>
      <c r="G430" s="4">
        <v>0</v>
      </c>
      <c r="H430" s="3">
        <v>412.99</v>
      </c>
      <c r="I430" s="3">
        <v>412.93</v>
      </c>
    </row>
    <row r="431" spans="1:9" ht="12.75" x14ac:dyDescent="0.2">
      <c r="A431" s="38" t="s">
        <v>57</v>
      </c>
      <c r="B431" s="4">
        <v>30012017</v>
      </c>
      <c r="C431" s="4">
        <v>13</v>
      </c>
      <c r="D431" s="4">
        <v>1230</v>
      </c>
      <c r="E431" s="40">
        <v>72</v>
      </c>
      <c r="F431" s="40">
        <v>38.299999999999997</v>
      </c>
      <c r="G431" s="4">
        <v>0.1</v>
      </c>
      <c r="H431" s="3">
        <v>417</v>
      </c>
      <c r="I431" s="3">
        <v>416.94</v>
      </c>
    </row>
    <row r="432" spans="1:9" ht="12.75" x14ac:dyDescent="0.2">
      <c r="A432" s="38" t="s">
        <v>58</v>
      </c>
      <c r="B432" s="4">
        <v>30012017</v>
      </c>
      <c r="C432" s="4">
        <v>13</v>
      </c>
      <c r="D432" s="4">
        <v>1251</v>
      </c>
      <c r="E432" s="40">
        <v>142</v>
      </c>
      <c r="F432" s="40">
        <v>79.7</v>
      </c>
      <c r="G432" s="4">
        <v>0.3</v>
      </c>
      <c r="H432" s="3">
        <v>415.67</v>
      </c>
      <c r="I432" s="3">
        <v>415.53</v>
      </c>
    </row>
    <row r="433" spans="1:13" ht="12.75" x14ac:dyDescent="0.2">
      <c r="A433" s="38" t="s">
        <v>59</v>
      </c>
      <c r="B433" s="4">
        <v>30012017</v>
      </c>
      <c r="C433" s="4">
        <v>13</v>
      </c>
      <c r="D433" s="4">
        <v>1251</v>
      </c>
      <c r="E433" s="40">
        <f>122+41</f>
        <v>163</v>
      </c>
      <c r="F433" s="40">
        <v>92.6</v>
      </c>
      <c r="G433" s="4">
        <v>0.3</v>
      </c>
      <c r="H433" s="3">
        <v>419.64</v>
      </c>
      <c r="I433" s="3">
        <v>419.48</v>
      </c>
    </row>
    <row r="434" spans="1:13" ht="12.75" x14ac:dyDescent="0.2">
      <c r="A434" s="38" t="s">
        <v>60</v>
      </c>
      <c r="B434" s="4">
        <v>30012017</v>
      </c>
      <c r="C434" s="4">
        <v>13</v>
      </c>
      <c r="D434" s="4">
        <v>1251</v>
      </c>
      <c r="E434" s="40">
        <v>135</v>
      </c>
      <c r="F434" s="40">
        <v>76.2</v>
      </c>
      <c r="G434" s="4">
        <v>0.1</v>
      </c>
      <c r="H434" s="3">
        <v>417.73</v>
      </c>
      <c r="I434" s="3">
        <v>417.59</v>
      </c>
    </row>
    <row r="435" spans="1:13" ht="12.75" x14ac:dyDescent="0.2">
      <c r="A435" s="38" t="s">
        <v>91</v>
      </c>
      <c r="B435" s="4">
        <v>30012017</v>
      </c>
      <c r="C435" s="4">
        <v>13</v>
      </c>
      <c r="D435" s="4">
        <v>1235</v>
      </c>
      <c r="E435" s="40">
        <v>87</v>
      </c>
      <c r="F435" s="40">
        <v>48.8</v>
      </c>
      <c r="G435" s="4">
        <v>0.4</v>
      </c>
      <c r="H435" s="3">
        <v>410.33</v>
      </c>
      <c r="I435" s="3">
        <v>410.23</v>
      </c>
    </row>
    <row r="436" spans="1:13" ht="12.75" x14ac:dyDescent="0.2">
      <c r="A436" s="38" t="s">
        <v>92</v>
      </c>
      <c r="B436" s="4">
        <v>30012017</v>
      </c>
      <c r="C436" s="4">
        <v>13</v>
      </c>
      <c r="D436" s="4">
        <v>1235</v>
      </c>
      <c r="E436" s="40">
        <v>91</v>
      </c>
      <c r="F436" s="40">
        <v>53</v>
      </c>
      <c r="G436" s="4">
        <v>0.3</v>
      </c>
      <c r="H436" s="3">
        <v>422.07</v>
      </c>
      <c r="I436" s="3">
        <v>421.99</v>
      </c>
    </row>
    <row r="437" spans="1:13" ht="12.75" x14ac:dyDescent="0.2">
      <c r="A437" s="38" t="s">
        <v>93</v>
      </c>
      <c r="B437" s="4">
        <v>30012017</v>
      </c>
      <c r="C437" s="4">
        <v>13</v>
      </c>
      <c r="D437" s="4">
        <v>1235</v>
      </c>
      <c r="E437" s="40">
        <v>88</v>
      </c>
      <c r="F437" s="40">
        <v>49.2</v>
      </c>
      <c r="G437" s="4">
        <v>0.1</v>
      </c>
      <c r="H437" s="48">
        <v>417.71</v>
      </c>
      <c r="I437" s="3">
        <v>417.63</v>
      </c>
    </row>
    <row r="438" spans="1:13" ht="12.75" x14ac:dyDescent="0.2">
      <c r="A438" s="38" t="s">
        <v>94</v>
      </c>
      <c r="B438" s="4">
        <v>30012017</v>
      </c>
      <c r="C438" s="4">
        <v>13</v>
      </c>
      <c r="D438" s="4">
        <v>1217</v>
      </c>
      <c r="E438" s="40">
        <v>87</v>
      </c>
      <c r="F438" s="40">
        <v>48.3</v>
      </c>
      <c r="G438" s="4">
        <v>0.3</v>
      </c>
      <c r="H438" s="3">
        <v>411.54</v>
      </c>
      <c r="I438" s="3">
        <v>411.45</v>
      </c>
    </row>
    <row r="439" spans="1:13" ht="12.75" x14ac:dyDescent="0.2">
      <c r="A439" s="38" t="s">
        <v>95</v>
      </c>
      <c r="B439" s="4">
        <v>30012017</v>
      </c>
      <c r="C439" s="4">
        <v>13</v>
      </c>
      <c r="D439" s="4">
        <v>1217</v>
      </c>
      <c r="E439" s="40">
        <v>88</v>
      </c>
      <c r="F439" s="40">
        <v>46.7</v>
      </c>
      <c r="G439" s="4">
        <v>0.3</v>
      </c>
      <c r="H439" s="3">
        <v>401.82</v>
      </c>
      <c r="I439" s="3">
        <v>401.73</v>
      </c>
    </row>
    <row r="440" spans="1:13" ht="12.75" x14ac:dyDescent="0.2">
      <c r="A440" s="38" t="s">
        <v>96</v>
      </c>
      <c r="B440" s="4">
        <v>30012017</v>
      </c>
      <c r="C440" s="4">
        <v>13</v>
      </c>
      <c r="D440" s="4">
        <v>1217</v>
      </c>
      <c r="E440" s="40">
        <v>86</v>
      </c>
      <c r="F440" s="40">
        <v>46.4</v>
      </c>
      <c r="G440" s="4">
        <v>0.3</v>
      </c>
      <c r="H440" s="3">
        <v>409.96</v>
      </c>
      <c r="I440" s="3">
        <v>409.88</v>
      </c>
    </row>
    <row r="441" spans="1:13" ht="12.75" x14ac:dyDescent="0.2">
      <c r="A441" s="38" t="s">
        <v>97</v>
      </c>
      <c r="B441" s="4">
        <v>30012017</v>
      </c>
      <c r="C441" s="4">
        <v>13</v>
      </c>
      <c r="D441" s="4">
        <v>1224</v>
      </c>
      <c r="E441" s="40">
        <v>86</v>
      </c>
      <c r="F441" s="40">
        <v>44.8</v>
      </c>
      <c r="G441" s="4">
        <v>0.3</v>
      </c>
      <c r="H441" s="3">
        <v>402.2</v>
      </c>
      <c r="I441" s="3">
        <v>402.09</v>
      </c>
    </row>
    <row r="442" spans="1:13" ht="12.75" x14ac:dyDescent="0.2">
      <c r="A442" s="38" t="s">
        <v>98</v>
      </c>
      <c r="B442" s="4">
        <v>30012017</v>
      </c>
      <c r="C442" s="4">
        <v>13</v>
      </c>
      <c r="D442" s="4">
        <v>1224</v>
      </c>
      <c r="E442" s="40">
        <v>85</v>
      </c>
      <c r="F442" s="40">
        <v>44.5</v>
      </c>
      <c r="G442" s="4">
        <v>0.3</v>
      </c>
      <c r="H442" s="3">
        <v>402.14</v>
      </c>
      <c r="I442" s="3">
        <v>402.06</v>
      </c>
    </row>
    <row r="443" spans="1:13" ht="12.75" x14ac:dyDescent="0.2">
      <c r="A443" s="38" t="s">
        <v>99</v>
      </c>
      <c r="B443" s="4">
        <v>30012017</v>
      </c>
      <c r="C443" s="4">
        <v>13</v>
      </c>
      <c r="D443" s="4">
        <v>1224</v>
      </c>
      <c r="E443" s="40">
        <v>88</v>
      </c>
      <c r="F443" s="40">
        <v>45.7</v>
      </c>
      <c r="G443" s="4">
        <v>0.4</v>
      </c>
      <c r="H443" s="3">
        <v>403.41</v>
      </c>
      <c r="I443" s="3">
        <v>403.31</v>
      </c>
      <c r="M443" s="4" t="s">
        <v>116</v>
      </c>
    </row>
    <row r="444" spans="1:13" ht="12.75" x14ac:dyDescent="0.2">
      <c r="A444" s="38" t="s">
        <v>100</v>
      </c>
      <c r="B444" s="4">
        <v>30012017</v>
      </c>
      <c r="C444" s="4">
        <v>13</v>
      </c>
      <c r="D444" s="4">
        <v>1315</v>
      </c>
      <c r="E444" s="40">
        <v>87</v>
      </c>
      <c r="F444" s="40">
        <v>45.4</v>
      </c>
      <c r="G444" s="4">
        <v>0.1</v>
      </c>
      <c r="H444" s="3">
        <v>398.68</v>
      </c>
      <c r="I444" s="3">
        <v>398.58</v>
      </c>
    </row>
    <row r="445" spans="1:13" ht="12.75" x14ac:dyDescent="0.2">
      <c r="A445" s="38" t="s">
        <v>101</v>
      </c>
      <c r="B445" s="4">
        <v>30012017</v>
      </c>
      <c r="C445" s="4">
        <v>13</v>
      </c>
      <c r="D445" s="4">
        <v>1315</v>
      </c>
      <c r="E445" s="40">
        <v>85</v>
      </c>
      <c r="F445" s="40">
        <v>44.4</v>
      </c>
      <c r="G445" s="4">
        <v>0.2</v>
      </c>
      <c r="H445" s="3">
        <v>400.53</v>
      </c>
      <c r="I445" s="3">
        <v>400.45</v>
      </c>
    </row>
    <row r="446" spans="1:13" ht="12.75" x14ac:dyDescent="0.2">
      <c r="A446" s="38" t="s">
        <v>102</v>
      </c>
      <c r="B446" s="4">
        <v>30012017</v>
      </c>
      <c r="C446" s="4">
        <v>13</v>
      </c>
      <c r="D446" s="4">
        <v>1315</v>
      </c>
      <c r="E446" s="40">
        <v>85</v>
      </c>
      <c r="F446" s="40">
        <v>44</v>
      </c>
      <c r="G446" s="4">
        <v>0.1</v>
      </c>
      <c r="H446" s="3">
        <v>401.53</v>
      </c>
      <c r="I446" s="3">
        <v>401.45</v>
      </c>
    </row>
    <row r="447" spans="1:13" ht="12.75" x14ac:dyDescent="0.2">
      <c r="A447" s="38" t="s">
        <v>103</v>
      </c>
      <c r="B447" s="4">
        <v>30012017</v>
      </c>
      <c r="C447" s="4">
        <v>13</v>
      </c>
      <c r="D447" s="4">
        <v>1305</v>
      </c>
      <c r="E447" s="40">
        <v>150</v>
      </c>
      <c r="F447" s="40">
        <v>75.2</v>
      </c>
      <c r="G447" s="4">
        <v>0.3</v>
      </c>
      <c r="H447" s="3">
        <v>416.43</v>
      </c>
      <c r="I447" s="3">
        <v>416.23</v>
      </c>
    </row>
    <row r="448" spans="1:13" ht="12.75" x14ac:dyDescent="0.2">
      <c r="A448" s="38" t="s">
        <v>104</v>
      </c>
      <c r="B448" s="4">
        <v>30012017</v>
      </c>
      <c r="C448" s="4">
        <v>13</v>
      </c>
      <c r="D448" s="4">
        <v>1305</v>
      </c>
      <c r="E448" s="40">
        <f>132+80</f>
        <v>212</v>
      </c>
      <c r="F448" s="40">
        <v>105.4</v>
      </c>
      <c r="G448" s="4">
        <v>0.3</v>
      </c>
      <c r="H448" s="3">
        <v>416.5</v>
      </c>
      <c r="I448" s="3">
        <v>416.25</v>
      </c>
    </row>
    <row r="449" spans="1:9" ht="12.75" x14ac:dyDescent="0.2">
      <c r="A449" s="38" t="s">
        <v>105</v>
      </c>
      <c r="B449" s="4">
        <v>30012017</v>
      </c>
      <c r="C449" s="4">
        <v>13</v>
      </c>
      <c r="D449" s="4">
        <v>1305</v>
      </c>
      <c r="E449" s="40">
        <f>140+84</f>
        <v>224</v>
      </c>
      <c r="F449" s="40">
        <v>112.8</v>
      </c>
      <c r="G449" s="4">
        <v>0.3</v>
      </c>
      <c r="H449" s="3">
        <v>418.36</v>
      </c>
      <c r="I449" s="3">
        <v>418.1</v>
      </c>
    </row>
    <row r="450" spans="1:9" ht="12.75" x14ac:dyDescent="0.2">
      <c r="A450" s="38" t="s">
        <v>32</v>
      </c>
      <c r="B450" s="4">
        <v>30012017</v>
      </c>
      <c r="C450" s="4">
        <v>13</v>
      </c>
      <c r="D450" s="4">
        <v>1246</v>
      </c>
      <c r="E450" s="40">
        <v>59</v>
      </c>
      <c r="F450" s="40">
        <v>25.2</v>
      </c>
      <c r="G450" s="4">
        <v>0.1</v>
      </c>
      <c r="H450" s="3">
        <v>360.03</v>
      </c>
      <c r="I450" s="3">
        <v>359.98</v>
      </c>
    </row>
    <row r="451" spans="1:9" ht="12.75" x14ac:dyDescent="0.2">
      <c r="A451" s="38" t="s">
        <v>33</v>
      </c>
      <c r="B451" s="4">
        <v>30012017</v>
      </c>
      <c r="C451" s="4">
        <v>13</v>
      </c>
      <c r="D451" s="4">
        <v>1246</v>
      </c>
      <c r="E451" s="40">
        <v>73</v>
      </c>
      <c r="F451" s="40">
        <v>31.2</v>
      </c>
      <c r="G451" s="4">
        <v>0.2</v>
      </c>
      <c r="H451" s="3">
        <v>356.83</v>
      </c>
      <c r="I451" s="3">
        <v>356.75</v>
      </c>
    </row>
    <row r="452" spans="1:9" ht="12.75" x14ac:dyDescent="0.2">
      <c r="A452" s="38" t="s">
        <v>34</v>
      </c>
      <c r="B452" s="4">
        <v>30012017</v>
      </c>
      <c r="C452" s="4">
        <v>13</v>
      </c>
      <c r="D452" s="4">
        <v>1246</v>
      </c>
      <c r="E452" s="40">
        <v>90</v>
      </c>
      <c r="F452" s="40">
        <v>38.4</v>
      </c>
      <c r="G452" s="4">
        <v>0.3</v>
      </c>
      <c r="H452" s="3">
        <v>356.58</v>
      </c>
      <c r="I452" s="3">
        <v>356.5</v>
      </c>
    </row>
    <row r="453" spans="1:9" ht="12.75" x14ac:dyDescent="0.2">
      <c r="A453" s="38" t="s">
        <v>35</v>
      </c>
      <c r="B453" s="4">
        <v>30012017</v>
      </c>
      <c r="C453" s="4">
        <v>13</v>
      </c>
      <c r="D453" s="4">
        <v>1310</v>
      </c>
      <c r="E453" s="40">
        <v>125</v>
      </c>
      <c r="F453" s="40">
        <v>53</v>
      </c>
      <c r="G453" s="4">
        <v>0.2</v>
      </c>
      <c r="H453" s="3">
        <v>347.89</v>
      </c>
      <c r="I453" s="3">
        <v>347.75</v>
      </c>
    </row>
    <row r="454" spans="1:9" ht="12.75" x14ac:dyDescent="0.2">
      <c r="A454" s="38" t="s">
        <v>36</v>
      </c>
      <c r="B454" s="4">
        <v>30012017</v>
      </c>
      <c r="C454" s="4">
        <v>13</v>
      </c>
      <c r="D454" s="4">
        <v>1310</v>
      </c>
      <c r="E454" s="40">
        <v>129</v>
      </c>
      <c r="F454" s="40">
        <v>54.9</v>
      </c>
      <c r="G454" s="4">
        <v>0.3</v>
      </c>
      <c r="H454" s="3">
        <v>356.53</v>
      </c>
      <c r="I454" s="3">
        <v>356.4</v>
      </c>
    </row>
    <row r="455" spans="1:9" ht="12.75" x14ac:dyDescent="0.2">
      <c r="A455" s="38" t="s">
        <v>37</v>
      </c>
      <c r="B455" s="4">
        <v>30012017</v>
      </c>
      <c r="C455" s="4">
        <v>13</v>
      </c>
      <c r="D455" s="4">
        <v>1310</v>
      </c>
      <c r="E455" s="40">
        <v>125</v>
      </c>
      <c r="F455" s="40">
        <v>53.1</v>
      </c>
      <c r="G455" s="4">
        <v>0.2</v>
      </c>
      <c r="H455" s="3">
        <v>356.82</v>
      </c>
      <c r="I455" s="3">
        <v>356.68</v>
      </c>
    </row>
    <row r="456" spans="1:9" ht="12.75" x14ac:dyDescent="0.2">
      <c r="A456" s="38" t="s">
        <v>29</v>
      </c>
      <c r="B456" s="4">
        <v>30012017</v>
      </c>
      <c r="C456" s="4" t="s">
        <v>510</v>
      </c>
      <c r="H456" s="3">
        <v>366.56</v>
      </c>
      <c r="I456" s="3"/>
    </row>
    <row r="457" spans="1:9" ht="12.75" x14ac:dyDescent="0.2">
      <c r="A457" s="38" t="s">
        <v>30</v>
      </c>
      <c r="B457" s="4">
        <v>30012017</v>
      </c>
      <c r="C457" s="4" t="s">
        <v>510</v>
      </c>
      <c r="H457" s="3">
        <v>358.47</v>
      </c>
      <c r="I457" s="3"/>
    </row>
    <row r="458" spans="1:9" ht="12.75" x14ac:dyDescent="0.2">
      <c r="A458" s="38" t="s">
        <v>31</v>
      </c>
      <c r="B458" s="4">
        <v>30012017</v>
      </c>
      <c r="C458" s="4" t="s">
        <v>510</v>
      </c>
      <c r="H458" s="3">
        <v>358.45</v>
      </c>
      <c r="I458" s="3"/>
    </row>
    <row r="459" spans="1:9" ht="12.75" x14ac:dyDescent="0.2">
      <c r="A459" s="22" t="s">
        <v>103</v>
      </c>
      <c r="B459" s="4">
        <v>31012017</v>
      </c>
      <c r="C459" s="4">
        <v>14</v>
      </c>
      <c r="D459" s="4">
        <v>1222</v>
      </c>
      <c r="E459" s="40">
        <v>135</v>
      </c>
      <c r="F459" s="40">
        <v>69.3</v>
      </c>
      <c r="G459" s="4">
        <v>0.3</v>
      </c>
      <c r="H459" s="3">
        <v>416.23</v>
      </c>
      <c r="I459" s="3">
        <v>416.06</v>
      </c>
    </row>
    <row r="460" spans="1:9" ht="12.75" x14ac:dyDescent="0.2">
      <c r="A460" s="22" t="s">
        <v>104</v>
      </c>
      <c r="B460" s="4">
        <v>31012017</v>
      </c>
      <c r="C460" s="4">
        <v>14</v>
      </c>
      <c r="D460" s="4">
        <v>1222</v>
      </c>
      <c r="E460" s="40">
        <v>129</v>
      </c>
      <c r="F460" s="40">
        <v>66</v>
      </c>
      <c r="G460" s="4">
        <v>0.2</v>
      </c>
      <c r="H460" s="3">
        <v>416.24</v>
      </c>
      <c r="I460" s="3">
        <v>416.09</v>
      </c>
    </row>
    <row r="461" spans="1:9" ht="12.75" x14ac:dyDescent="0.2">
      <c r="A461" s="22" t="s">
        <v>105</v>
      </c>
      <c r="B461" s="4">
        <v>31012017</v>
      </c>
      <c r="C461" s="4">
        <v>14</v>
      </c>
      <c r="D461" s="4">
        <v>1222</v>
      </c>
      <c r="E461" s="40">
        <v>81</v>
      </c>
      <c r="F461" s="40">
        <v>42.2</v>
      </c>
      <c r="G461" s="4">
        <v>0.3</v>
      </c>
      <c r="H461" s="3">
        <v>418.1</v>
      </c>
      <c r="I461" s="3">
        <v>418</v>
      </c>
    </row>
    <row r="462" spans="1:9" ht="12.75" x14ac:dyDescent="0.2">
      <c r="A462" s="22" t="s">
        <v>52</v>
      </c>
      <c r="B462" s="4">
        <v>2022017</v>
      </c>
      <c r="C462" s="4">
        <v>16</v>
      </c>
      <c r="D462" s="4">
        <v>1101</v>
      </c>
      <c r="E462" s="40">
        <v>101</v>
      </c>
      <c r="F462" s="40">
        <v>56.2</v>
      </c>
      <c r="G462" s="4">
        <v>0</v>
      </c>
      <c r="H462" s="3">
        <v>406.82</v>
      </c>
      <c r="I462" s="3">
        <v>406.72</v>
      </c>
    </row>
    <row r="463" spans="1:9" ht="12.75" x14ac:dyDescent="0.2">
      <c r="A463" s="22" t="s">
        <v>53</v>
      </c>
      <c r="B463" s="4">
        <v>2022017</v>
      </c>
      <c r="C463" s="4">
        <v>16</v>
      </c>
      <c r="D463" s="4">
        <v>1101</v>
      </c>
      <c r="E463" s="40">
        <v>103</v>
      </c>
      <c r="F463" s="40">
        <v>57.5</v>
      </c>
      <c r="G463" s="4">
        <v>0.1</v>
      </c>
      <c r="H463" s="3">
        <v>412.46</v>
      </c>
      <c r="I463" s="3">
        <v>412.36</v>
      </c>
    </row>
    <row r="464" spans="1:9" ht="12.75" x14ac:dyDescent="0.2">
      <c r="A464" s="22" t="s">
        <v>54</v>
      </c>
      <c r="B464" s="4">
        <v>2022017</v>
      </c>
      <c r="C464" s="4">
        <v>16</v>
      </c>
      <c r="D464" s="4">
        <v>1101</v>
      </c>
      <c r="E464" s="40">
        <v>101</v>
      </c>
      <c r="F464" s="40">
        <v>57.7</v>
      </c>
      <c r="G464" s="4">
        <v>0.1</v>
      </c>
      <c r="H464" s="3">
        <v>419.05</v>
      </c>
      <c r="I464" s="3">
        <v>418.95</v>
      </c>
    </row>
    <row r="465" spans="1:9" ht="12.75" x14ac:dyDescent="0.2">
      <c r="A465" s="22" t="s">
        <v>58</v>
      </c>
      <c r="B465" s="4">
        <v>2022017</v>
      </c>
      <c r="C465" s="4">
        <v>16</v>
      </c>
      <c r="D465" s="4">
        <v>1106</v>
      </c>
      <c r="E465" s="40">
        <v>103</v>
      </c>
      <c r="F465" s="40">
        <v>57.9</v>
      </c>
      <c r="G465" s="4">
        <v>0.2</v>
      </c>
      <c r="H465" s="3">
        <v>415.51</v>
      </c>
      <c r="I465" s="3">
        <v>415.41</v>
      </c>
    </row>
    <row r="466" spans="1:9" ht="12.75" x14ac:dyDescent="0.2">
      <c r="A466" s="22" t="s">
        <v>59</v>
      </c>
      <c r="B466" s="4">
        <v>2022017</v>
      </c>
      <c r="C466" s="4">
        <v>16</v>
      </c>
      <c r="D466" s="4">
        <v>1106</v>
      </c>
      <c r="E466" s="40">
        <v>111</v>
      </c>
      <c r="F466" s="40">
        <v>63.8</v>
      </c>
      <c r="G466" s="4">
        <v>0.3</v>
      </c>
      <c r="H466" s="3">
        <v>419.48</v>
      </c>
      <c r="I466" s="3">
        <v>419.36</v>
      </c>
    </row>
    <row r="467" spans="1:9" ht="12.75" x14ac:dyDescent="0.2">
      <c r="A467" s="22" t="s">
        <v>60</v>
      </c>
      <c r="B467" s="4">
        <v>2022017</v>
      </c>
      <c r="C467" s="4">
        <v>16</v>
      </c>
      <c r="D467" s="4">
        <v>1106</v>
      </c>
      <c r="E467" s="40">
        <v>108</v>
      </c>
      <c r="F467" s="40">
        <v>61.6</v>
      </c>
      <c r="G467" s="4">
        <v>0.3</v>
      </c>
      <c r="H467" s="3">
        <v>417.58</v>
      </c>
      <c r="I467" s="3">
        <v>417.48</v>
      </c>
    </row>
    <row r="468" spans="1:9" ht="12.75" x14ac:dyDescent="0.2">
      <c r="A468" s="22" t="s">
        <v>94</v>
      </c>
      <c r="B468" s="4">
        <v>2022017</v>
      </c>
      <c r="C468" s="4">
        <v>16</v>
      </c>
      <c r="D468" s="4">
        <v>1110</v>
      </c>
      <c r="E468" s="40">
        <v>118</v>
      </c>
      <c r="F468" s="40">
        <v>64.400000000000006</v>
      </c>
      <c r="G468" s="4">
        <v>0.2</v>
      </c>
      <c r="H468" s="3">
        <v>411.43</v>
      </c>
      <c r="I468" s="3">
        <v>411.32</v>
      </c>
    </row>
    <row r="469" spans="1:9" ht="12.75" x14ac:dyDescent="0.2">
      <c r="A469" s="22" t="s">
        <v>95</v>
      </c>
      <c r="B469" s="4">
        <v>2022017</v>
      </c>
      <c r="C469" s="4">
        <v>16</v>
      </c>
      <c r="D469" s="4">
        <v>1110</v>
      </c>
      <c r="E469" s="40">
        <v>110</v>
      </c>
      <c r="F469" s="40">
        <v>58.4</v>
      </c>
      <c r="G469" s="4">
        <v>0.4</v>
      </c>
      <c r="H469" s="3">
        <v>401.71</v>
      </c>
      <c r="I469" s="3">
        <v>401.61</v>
      </c>
    </row>
    <row r="470" spans="1:9" ht="12.75" x14ac:dyDescent="0.2">
      <c r="A470" s="22" t="s">
        <v>96</v>
      </c>
      <c r="B470" s="4">
        <v>2022017</v>
      </c>
      <c r="C470" s="4">
        <v>16</v>
      </c>
      <c r="D470" s="4">
        <v>1110</v>
      </c>
      <c r="E470" s="40">
        <v>114</v>
      </c>
      <c r="F470" s="40">
        <v>61.5</v>
      </c>
      <c r="G470" s="4">
        <v>0.4</v>
      </c>
      <c r="H470" s="3">
        <v>409.89</v>
      </c>
      <c r="I470" s="3">
        <v>409.77</v>
      </c>
    </row>
    <row r="471" spans="1:9" ht="12.75" x14ac:dyDescent="0.2">
      <c r="A471" s="22" t="s">
        <v>103</v>
      </c>
      <c r="B471" s="4">
        <v>2022017</v>
      </c>
      <c r="C471" s="4">
        <v>16</v>
      </c>
      <c r="D471" s="4">
        <v>1114</v>
      </c>
      <c r="E471" s="40">
        <v>136</v>
      </c>
      <c r="F471" s="40">
        <v>70.900000000000006</v>
      </c>
      <c r="G471" s="4">
        <v>0.4</v>
      </c>
      <c r="H471" s="3">
        <v>416.05</v>
      </c>
      <c r="I471" s="3">
        <v>415.91</v>
      </c>
    </row>
    <row r="472" spans="1:9" ht="12.75" x14ac:dyDescent="0.2">
      <c r="A472" s="22" t="s">
        <v>104</v>
      </c>
      <c r="B472" s="4">
        <v>2022017</v>
      </c>
      <c r="C472" s="4">
        <v>16</v>
      </c>
      <c r="D472" s="4">
        <v>1114</v>
      </c>
      <c r="E472" s="40">
        <v>66</v>
      </c>
      <c r="F472" s="40">
        <v>34.4</v>
      </c>
      <c r="G472" s="4">
        <v>0.4</v>
      </c>
      <c r="H472" s="3">
        <v>416.09</v>
      </c>
      <c r="I472" s="3">
        <v>416.01</v>
      </c>
    </row>
    <row r="473" spans="1:9" ht="12.75" x14ac:dyDescent="0.2">
      <c r="A473" s="22" t="s">
        <v>105</v>
      </c>
      <c r="B473" s="4">
        <v>2022017</v>
      </c>
      <c r="C473" s="4">
        <v>16</v>
      </c>
      <c r="D473" s="4">
        <v>1114</v>
      </c>
      <c r="E473" s="40">
        <v>60</v>
      </c>
      <c r="F473" s="40">
        <v>31</v>
      </c>
      <c r="G473" s="4">
        <v>0.3</v>
      </c>
      <c r="H473" s="3">
        <v>417.99</v>
      </c>
      <c r="I473" s="3">
        <v>417.93</v>
      </c>
    </row>
    <row r="474" spans="1:9" ht="12.75" x14ac:dyDescent="0.2">
      <c r="A474" s="22" t="s">
        <v>100</v>
      </c>
      <c r="B474" s="4">
        <v>2022017</v>
      </c>
      <c r="C474" s="4">
        <v>16</v>
      </c>
      <c r="D474" s="4">
        <v>1118</v>
      </c>
      <c r="E474" s="40">
        <v>102</v>
      </c>
      <c r="F474" s="40">
        <v>53.7</v>
      </c>
      <c r="G474" s="4">
        <v>0.2</v>
      </c>
      <c r="H474" s="3">
        <v>398.58</v>
      </c>
      <c r="I474" s="3">
        <v>398.48</v>
      </c>
    </row>
    <row r="475" spans="1:9" ht="12.75" x14ac:dyDescent="0.2">
      <c r="A475" s="22" t="s">
        <v>101</v>
      </c>
      <c r="B475" s="4">
        <v>2022017</v>
      </c>
      <c r="C475" s="4">
        <v>16</v>
      </c>
      <c r="D475" s="4">
        <v>1118</v>
      </c>
      <c r="E475" s="40">
        <v>94</v>
      </c>
      <c r="F475" s="40">
        <v>48.6</v>
      </c>
      <c r="G475" s="4">
        <v>0.2</v>
      </c>
      <c r="H475" s="3">
        <v>400.44</v>
      </c>
      <c r="I475" s="3">
        <v>400.36</v>
      </c>
    </row>
    <row r="476" spans="1:9" ht="12.75" x14ac:dyDescent="0.2">
      <c r="A476" s="22" t="s">
        <v>102</v>
      </c>
      <c r="B476" s="4">
        <v>2022017</v>
      </c>
      <c r="C476" s="4">
        <v>16</v>
      </c>
      <c r="D476" s="4">
        <v>1118</v>
      </c>
      <c r="E476" s="40">
        <v>96</v>
      </c>
      <c r="F476" s="40">
        <v>50.7</v>
      </c>
      <c r="G476" s="4">
        <v>0.3</v>
      </c>
      <c r="H476" s="3">
        <v>401.44</v>
      </c>
      <c r="I476" s="3">
        <v>401.35</v>
      </c>
    </row>
    <row r="477" spans="1:9" ht="12.75" x14ac:dyDescent="0.2">
      <c r="A477" s="22" t="s">
        <v>49</v>
      </c>
      <c r="B477" s="4">
        <v>2022017</v>
      </c>
      <c r="C477" s="4">
        <v>16</v>
      </c>
      <c r="D477" s="4">
        <v>1122</v>
      </c>
      <c r="E477" s="40">
        <v>78</v>
      </c>
      <c r="F477" s="40">
        <v>44.4</v>
      </c>
      <c r="G477" s="4">
        <v>0.3</v>
      </c>
      <c r="H477" s="3">
        <v>420.73</v>
      </c>
      <c r="I477" s="3">
        <v>420.66</v>
      </c>
    </row>
    <row r="478" spans="1:9" ht="12.75" x14ac:dyDescent="0.2">
      <c r="A478" s="22" t="s">
        <v>50</v>
      </c>
      <c r="B478" s="4">
        <v>2022017</v>
      </c>
      <c r="C478" s="4">
        <v>16</v>
      </c>
      <c r="D478" s="4">
        <v>1122</v>
      </c>
      <c r="E478" s="40">
        <v>85</v>
      </c>
      <c r="F478" s="40">
        <v>48.3</v>
      </c>
      <c r="G478" s="4">
        <v>0.2</v>
      </c>
      <c r="H478" s="3">
        <v>417.77</v>
      </c>
      <c r="I478" s="3">
        <v>417.7</v>
      </c>
    </row>
    <row r="479" spans="1:9" ht="12.75" x14ac:dyDescent="0.2">
      <c r="A479" s="22" t="s">
        <v>51</v>
      </c>
      <c r="B479" s="4">
        <v>2022017</v>
      </c>
      <c r="C479" s="4">
        <v>16</v>
      </c>
      <c r="D479" s="4">
        <v>1122</v>
      </c>
      <c r="E479" s="40">
        <v>85</v>
      </c>
      <c r="F479" s="40">
        <v>48.9</v>
      </c>
      <c r="G479" s="4">
        <v>0.2</v>
      </c>
      <c r="H479" s="3">
        <v>419.99</v>
      </c>
      <c r="I479" s="3">
        <v>419.88</v>
      </c>
    </row>
    <row r="480" spans="1:9" ht="12.75" x14ac:dyDescent="0.2">
      <c r="A480" s="22" t="s">
        <v>91</v>
      </c>
      <c r="B480" s="4">
        <v>2022017</v>
      </c>
      <c r="C480" s="4">
        <v>16</v>
      </c>
      <c r="D480" s="4">
        <v>1127</v>
      </c>
      <c r="E480" s="40">
        <v>102</v>
      </c>
      <c r="F480" s="40">
        <v>56.8</v>
      </c>
      <c r="G480" s="4">
        <v>0.4</v>
      </c>
      <c r="H480" s="3">
        <v>410.22</v>
      </c>
      <c r="I480" s="3">
        <v>410.12</v>
      </c>
    </row>
    <row r="481" spans="1:9" ht="12.75" x14ac:dyDescent="0.2">
      <c r="A481" s="22" t="s">
        <v>92</v>
      </c>
      <c r="B481" s="4">
        <v>2022017</v>
      </c>
      <c r="C481" s="4">
        <v>16</v>
      </c>
      <c r="D481" s="4">
        <v>1127</v>
      </c>
      <c r="E481" s="40">
        <v>108</v>
      </c>
      <c r="F481" s="40">
        <v>61.9</v>
      </c>
      <c r="G481" s="4">
        <v>0.4</v>
      </c>
      <c r="H481" s="3">
        <v>421.99</v>
      </c>
      <c r="I481" s="3">
        <v>421.88</v>
      </c>
    </row>
    <row r="482" spans="1:9" ht="12.75" x14ac:dyDescent="0.2">
      <c r="A482" s="22" t="s">
        <v>93</v>
      </c>
      <c r="B482" s="4">
        <v>2022017</v>
      </c>
      <c r="C482" s="4">
        <v>16</v>
      </c>
      <c r="D482" s="4">
        <v>1127</v>
      </c>
      <c r="E482" s="40">
        <v>101</v>
      </c>
      <c r="F482" s="40">
        <v>56.6</v>
      </c>
      <c r="G482" s="4">
        <v>0.3</v>
      </c>
      <c r="H482" s="3">
        <v>417.61</v>
      </c>
      <c r="I482" s="3">
        <v>417.52</v>
      </c>
    </row>
    <row r="483" spans="1:9" ht="12.75" x14ac:dyDescent="0.2">
      <c r="A483" s="22" t="s">
        <v>55</v>
      </c>
      <c r="B483" s="4">
        <v>2022017</v>
      </c>
      <c r="C483" s="4">
        <v>16</v>
      </c>
      <c r="D483" s="4">
        <v>1132</v>
      </c>
      <c r="E483" s="40">
        <v>101</v>
      </c>
      <c r="F483" s="40">
        <v>57.1</v>
      </c>
      <c r="G483" s="4">
        <v>0</v>
      </c>
      <c r="H483" s="3">
        <v>417.94</v>
      </c>
      <c r="I483" s="3">
        <v>417.85</v>
      </c>
    </row>
    <row r="484" spans="1:9" ht="12.75" x14ac:dyDescent="0.2">
      <c r="A484" s="22" t="s">
        <v>56</v>
      </c>
      <c r="B484" s="4">
        <v>2022017</v>
      </c>
      <c r="C484" s="4">
        <v>16</v>
      </c>
      <c r="D484" s="4">
        <v>1132</v>
      </c>
      <c r="E484" s="40">
        <v>96</v>
      </c>
      <c r="F484" s="40">
        <v>53.2</v>
      </c>
      <c r="G484" s="4">
        <v>0.2</v>
      </c>
      <c r="H484" s="3">
        <v>412.92</v>
      </c>
      <c r="I484" s="3">
        <v>412.81</v>
      </c>
    </row>
    <row r="485" spans="1:9" ht="12.75" x14ac:dyDescent="0.2">
      <c r="A485" s="22" t="s">
        <v>57</v>
      </c>
      <c r="B485" s="4">
        <v>2022017</v>
      </c>
      <c r="C485" s="4">
        <v>16</v>
      </c>
      <c r="D485" s="4">
        <v>1132</v>
      </c>
      <c r="E485" s="40">
        <v>100</v>
      </c>
      <c r="F485" s="40">
        <v>55.5</v>
      </c>
      <c r="G485" s="4">
        <v>0.1</v>
      </c>
      <c r="H485" s="3">
        <v>416.92</v>
      </c>
      <c r="I485" s="3">
        <v>416.82</v>
      </c>
    </row>
    <row r="486" spans="1:9" ht="12.75" x14ac:dyDescent="0.2">
      <c r="A486" s="22" t="s">
        <v>29</v>
      </c>
      <c r="B486" s="4">
        <v>5022017</v>
      </c>
      <c r="C486" s="4" t="s">
        <v>511</v>
      </c>
      <c r="H486" s="3">
        <v>366.57</v>
      </c>
      <c r="I486" s="3"/>
    </row>
    <row r="487" spans="1:9" ht="12.75" x14ac:dyDescent="0.2">
      <c r="A487" s="22" t="s">
        <v>30</v>
      </c>
      <c r="B487" s="4">
        <v>5022017</v>
      </c>
      <c r="C487" s="4" t="s">
        <v>511</v>
      </c>
      <c r="H487" s="3">
        <v>358.46</v>
      </c>
      <c r="I487" s="3"/>
    </row>
    <row r="488" spans="1:9" ht="12.75" x14ac:dyDescent="0.2">
      <c r="A488" s="22" t="s">
        <v>31</v>
      </c>
      <c r="B488" s="4">
        <v>5022017</v>
      </c>
      <c r="C488" s="4" t="s">
        <v>511</v>
      </c>
      <c r="H488" s="3">
        <v>358.46</v>
      </c>
      <c r="I488" s="3"/>
    </row>
    <row r="489" spans="1:9" ht="12.75" x14ac:dyDescent="0.2">
      <c r="A489" s="22" t="s">
        <v>97</v>
      </c>
      <c r="B489" s="4">
        <v>5022017</v>
      </c>
      <c r="C489" s="4">
        <v>19</v>
      </c>
      <c r="D489" s="4">
        <v>1112</v>
      </c>
      <c r="E489" s="40">
        <f>126+58</f>
        <v>184</v>
      </c>
      <c r="F489" s="40">
        <v>94.9</v>
      </c>
      <c r="G489" s="4">
        <v>0.2</v>
      </c>
      <c r="H489" s="3">
        <v>402.1</v>
      </c>
      <c r="I489" s="3">
        <v>401.92</v>
      </c>
    </row>
    <row r="490" spans="1:9" ht="12.75" x14ac:dyDescent="0.2">
      <c r="A490" s="22" t="s">
        <v>98</v>
      </c>
      <c r="B490" s="4">
        <v>5022017</v>
      </c>
      <c r="C490" s="4">
        <v>19</v>
      </c>
      <c r="D490" s="4">
        <v>1112</v>
      </c>
      <c r="E490" s="40">
        <f>123+56</f>
        <v>179</v>
      </c>
      <c r="F490" s="40">
        <v>92.4</v>
      </c>
      <c r="G490" s="4">
        <v>0.1</v>
      </c>
      <c r="H490" s="3">
        <v>402.06</v>
      </c>
      <c r="I490" s="3">
        <v>401.89</v>
      </c>
    </row>
    <row r="491" spans="1:9" ht="12.75" x14ac:dyDescent="0.2">
      <c r="A491" s="22" t="s">
        <v>99</v>
      </c>
      <c r="B491" s="4">
        <v>5022017</v>
      </c>
      <c r="C491" s="4">
        <v>19</v>
      </c>
      <c r="D491" s="4">
        <v>1112</v>
      </c>
      <c r="E491" s="40">
        <f>126+60</f>
        <v>186</v>
      </c>
      <c r="F491" s="40">
        <v>95.9</v>
      </c>
      <c r="G491" s="4">
        <v>0.2</v>
      </c>
      <c r="H491" s="48">
        <v>403.29</v>
      </c>
      <c r="I491" s="3">
        <v>403.05</v>
      </c>
    </row>
    <row r="492" spans="1:9" ht="12.75" x14ac:dyDescent="0.2">
      <c r="A492" s="22" t="s">
        <v>55</v>
      </c>
      <c r="B492" s="4">
        <v>5022017</v>
      </c>
      <c r="C492" s="4">
        <v>19</v>
      </c>
      <c r="D492" s="4">
        <v>1118</v>
      </c>
      <c r="E492" s="40">
        <v>94</v>
      </c>
      <c r="F492" s="40">
        <v>53</v>
      </c>
      <c r="G492" s="4">
        <v>0.1</v>
      </c>
      <c r="H492" s="3">
        <v>417.84</v>
      </c>
      <c r="I492" s="3">
        <v>417.77</v>
      </c>
    </row>
    <row r="493" spans="1:9" ht="12.75" x14ac:dyDescent="0.2">
      <c r="A493" s="22" t="s">
        <v>56</v>
      </c>
      <c r="B493" s="4">
        <v>5022017</v>
      </c>
      <c r="C493" s="4">
        <v>19</v>
      </c>
      <c r="D493" s="4">
        <v>1118</v>
      </c>
      <c r="E493" s="40">
        <v>76</v>
      </c>
      <c r="F493" s="40">
        <v>41.4</v>
      </c>
      <c r="G493" s="4">
        <v>0.2</v>
      </c>
      <c r="H493" s="3">
        <v>412.82</v>
      </c>
      <c r="I493" s="3">
        <v>412.75</v>
      </c>
    </row>
    <row r="494" spans="1:9" ht="12.75" x14ac:dyDescent="0.2">
      <c r="A494" s="22" t="s">
        <v>57</v>
      </c>
      <c r="B494" s="4">
        <v>5022017</v>
      </c>
      <c r="C494" s="4">
        <v>19</v>
      </c>
      <c r="D494" s="4">
        <v>1118</v>
      </c>
      <c r="E494" s="40">
        <v>79</v>
      </c>
      <c r="F494" s="40">
        <v>42.9</v>
      </c>
      <c r="G494" s="4">
        <v>0.3</v>
      </c>
      <c r="H494" s="3">
        <v>416.84</v>
      </c>
      <c r="I494" s="3">
        <v>416.76</v>
      </c>
    </row>
    <row r="495" spans="1:9" ht="12.75" x14ac:dyDescent="0.2">
      <c r="A495" s="22" t="s">
        <v>91</v>
      </c>
      <c r="B495" s="4">
        <v>5022017</v>
      </c>
      <c r="C495" s="4">
        <v>19</v>
      </c>
      <c r="D495" s="4">
        <v>1122</v>
      </c>
      <c r="E495" s="40">
        <v>89</v>
      </c>
      <c r="F495" s="40">
        <v>48.9</v>
      </c>
      <c r="G495" s="4">
        <v>0.2</v>
      </c>
      <c r="H495" s="3">
        <v>410.12</v>
      </c>
      <c r="I495" s="3">
        <v>410.04</v>
      </c>
    </row>
    <row r="496" spans="1:9" ht="12.75" x14ac:dyDescent="0.2">
      <c r="A496" s="22" t="s">
        <v>92</v>
      </c>
      <c r="B496" s="4">
        <v>5022017</v>
      </c>
      <c r="C496" s="4">
        <v>19</v>
      </c>
      <c r="D496" s="4">
        <v>1122</v>
      </c>
      <c r="E496" s="40">
        <v>93</v>
      </c>
      <c r="F496" s="40">
        <v>53.5</v>
      </c>
      <c r="G496" s="4">
        <v>0.2</v>
      </c>
      <c r="H496" s="3">
        <v>421.89</v>
      </c>
      <c r="I496" s="3">
        <v>421.8</v>
      </c>
    </row>
    <row r="497" spans="1:9" ht="12.75" x14ac:dyDescent="0.2">
      <c r="A497" s="22" t="s">
        <v>93</v>
      </c>
      <c r="B497" s="4">
        <v>5022017</v>
      </c>
      <c r="C497" s="4">
        <v>19</v>
      </c>
      <c r="D497" s="4">
        <v>1122</v>
      </c>
      <c r="E497" s="40">
        <v>91</v>
      </c>
      <c r="F497" s="40">
        <v>50.7</v>
      </c>
      <c r="G497" s="4">
        <v>0.1</v>
      </c>
      <c r="H497" s="3">
        <v>417.53</v>
      </c>
      <c r="I497" s="3">
        <v>417.44</v>
      </c>
    </row>
    <row r="498" spans="1:9" ht="12.75" x14ac:dyDescent="0.2">
      <c r="A498" s="22" t="s">
        <v>49</v>
      </c>
      <c r="B498" s="4">
        <v>5022017</v>
      </c>
      <c r="C498" s="4">
        <v>19</v>
      </c>
      <c r="D498" s="4">
        <v>1126</v>
      </c>
      <c r="E498" s="40">
        <v>67</v>
      </c>
      <c r="F498" s="40">
        <v>37.799999999999997</v>
      </c>
      <c r="G498" s="4">
        <v>0.2</v>
      </c>
      <c r="H498" s="3">
        <v>420.65</v>
      </c>
      <c r="I498" s="3">
        <v>420.6</v>
      </c>
    </row>
    <row r="499" spans="1:9" ht="12.75" x14ac:dyDescent="0.2">
      <c r="A499" s="22" t="s">
        <v>50</v>
      </c>
      <c r="B499" s="4">
        <v>5022017</v>
      </c>
      <c r="C499" s="4">
        <v>19</v>
      </c>
      <c r="D499" s="4">
        <v>1126</v>
      </c>
      <c r="E499" s="40">
        <v>67</v>
      </c>
      <c r="F499" s="40">
        <v>37.200000000000003</v>
      </c>
      <c r="G499" s="4">
        <v>0.1</v>
      </c>
      <c r="H499" s="3">
        <v>417.7</v>
      </c>
      <c r="I499" s="3">
        <v>417.63</v>
      </c>
    </row>
    <row r="500" spans="1:9" ht="12.75" x14ac:dyDescent="0.2">
      <c r="A500" s="22" t="s">
        <v>51</v>
      </c>
      <c r="B500" s="4">
        <v>5022017</v>
      </c>
      <c r="C500" s="4">
        <v>19</v>
      </c>
      <c r="D500" s="4">
        <v>1126</v>
      </c>
      <c r="E500" s="40">
        <v>65</v>
      </c>
      <c r="F500" s="40">
        <v>37.1</v>
      </c>
      <c r="G500" s="4">
        <v>0</v>
      </c>
      <c r="H500" s="3">
        <v>419.9</v>
      </c>
      <c r="I500" s="3">
        <v>419.84</v>
      </c>
    </row>
    <row r="501" spans="1:9" ht="12.75" x14ac:dyDescent="0.2">
      <c r="A501" s="22" t="s">
        <v>58</v>
      </c>
      <c r="B501" s="4">
        <v>5022017</v>
      </c>
      <c r="C501" s="4">
        <v>19</v>
      </c>
      <c r="D501" s="4">
        <v>1130</v>
      </c>
      <c r="E501" s="40">
        <v>86</v>
      </c>
      <c r="F501" s="40">
        <v>47.8</v>
      </c>
      <c r="G501" s="4">
        <v>0.1</v>
      </c>
      <c r="H501" s="3">
        <v>415.42</v>
      </c>
      <c r="I501" s="3">
        <v>415.34</v>
      </c>
    </row>
    <row r="502" spans="1:9" ht="12.75" x14ac:dyDescent="0.2">
      <c r="A502" s="22" t="s">
        <v>59</v>
      </c>
      <c r="B502" s="4">
        <v>5022017</v>
      </c>
      <c r="C502" s="4">
        <v>19</v>
      </c>
      <c r="D502" s="4">
        <v>1130</v>
      </c>
      <c r="E502" s="40">
        <v>80</v>
      </c>
      <c r="F502" s="40">
        <v>45.7</v>
      </c>
      <c r="G502" s="4">
        <v>0.3</v>
      </c>
      <c r="H502" s="3">
        <v>419.36</v>
      </c>
      <c r="I502" s="3">
        <v>419.28</v>
      </c>
    </row>
    <row r="503" spans="1:9" ht="12.75" x14ac:dyDescent="0.2">
      <c r="A503" s="22" t="s">
        <v>60</v>
      </c>
      <c r="B503" s="4">
        <v>5022017</v>
      </c>
      <c r="C503" s="4">
        <v>19</v>
      </c>
      <c r="D503" s="4">
        <v>1130</v>
      </c>
      <c r="E503" s="40">
        <v>87</v>
      </c>
      <c r="F503" s="40">
        <v>48.5</v>
      </c>
      <c r="G503" s="4">
        <v>0.3</v>
      </c>
      <c r="H503" s="3">
        <v>417.49</v>
      </c>
      <c r="I503" s="3">
        <v>417.41</v>
      </c>
    </row>
    <row r="504" spans="1:9" ht="12.75" x14ac:dyDescent="0.2">
      <c r="A504" s="22" t="s">
        <v>52</v>
      </c>
      <c r="B504" s="4">
        <v>5022017</v>
      </c>
      <c r="C504" s="4">
        <v>19</v>
      </c>
      <c r="D504" s="4">
        <v>1134</v>
      </c>
      <c r="E504" s="40">
        <v>79</v>
      </c>
      <c r="F504" s="40">
        <v>42.9</v>
      </c>
      <c r="G504" s="4">
        <v>0.1</v>
      </c>
      <c r="H504" s="3">
        <v>406.74</v>
      </c>
      <c r="I504" s="3">
        <v>406.66</v>
      </c>
    </row>
    <row r="505" spans="1:9" ht="12.75" x14ac:dyDescent="0.2">
      <c r="A505" s="22" t="s">
        <v>53</v>
      </c>
      <c r="B505" s="4">
        <v>5022017</v>
      </c>
      <c r="C505" s="4">
        <v>19</v>
      </c>
      <c r="D505" s="4">
        <v>1134</v>
      </c>
      <c r="E505" s="40">
        <v>75</v>
      </c>
      <c r="F505" s="40">
        <v>40.799999999999997</v>
      </c>
      <c r="G505" s="4">
        <v>0.1</v>
      </c>
      <c r="H505" s="3">
        <v>412.38</v>
      </c>
      <c r="I505" s="3">
        <v>412.29</v>
      </c>
    </row>
    <row r="506" spans="1:9" ht="12.75" x14ac:dyDescent="0.2">
      <c r="A506" s="22" t="s">
        <v>54</v>
      </c>
      <c r="B506" s="4">
        <v>5022017</v>
      </c>
      <c r="C506" s="4">
        <v>19</v>
      </c>
      <c r="D506" s="4">
        <v>1134</v>
      </c>
      <c r="E506" s="40">
        <v>79</v>
      </c>
      <c r="F506" s="40">
        <v>43.9</v>
      </c>
      <c r="G506" s="4">
        <v>0.1</v>
      </c>
      <c r="H506" s="3">
        <v>418.95</v>
      </c>
      <c r="I506" s="3">
        <v>418.88</v>
      </c>
    </row>
    <row r="507" spans="1:9" ht="12.75" x14ac:dyDescent="0.2">
      <c r="A507" s="22" t="s">
        <v>46</v>
      </c>
      <c r="B507" s="4">
        <v>5022017</v>
      </c>
      <c r="C507" s="4">
        <v>19</v>
      </c>
      <c r="D507" s="4">
        <v>1137</v>
      </c>
      <c r="E507" s="40">
        <v>85</v>
      </c>
      <c r="F507" s="40">
        <v>45.9</v>
      </c>
      <c r="G507" s="4">
        <v>0.2</v>
      </c>
      <c r="H507" s="3">
        <v>405.74</v>
      </c>
      <c r="I507" s="3">
        <v>405.65</v>
      </c>
    </row>
    <row r="508" spans="1:9" ht="12.75" x14ac:dyDescent="0.2">
      <c r="A508" s="22" t="s">
        <v>47</v>
      </c>
      <c r="B508" s="4">
        <v>5022017</v>
      </c>
      <c r="C508" s="4">
        <v>19</v>
      </c>
      <c r="D508" s="4">
        <v>1137</v>
      </c>
      <c r="E508" s="40">
        <v>85</v>
      </c>
      <c r="F508" s="40">
        <v>46.6</v>
      </c>
      <c r="G508" s="4">
        <v>0.4</v>
      </c>
      <c r="H508" s="3">
        <v>410.35</v>
      </c>
      <c r="I508" s="3">
        <v>410.27</v>
      </c>
    </row>
    <row r="509" spans="1:9" ht="12.75" x14ac:dyDescent="0.2">
      <c r="A509" s="22" t="s">
        <v>48</v>
      </c>
      <c r="B509" s="4">
        <v>5022017</v>
      </c>
      <c r="C509" s="4">
        <v>19</v>
      </c>
      <c r="D509" s="4">
        <v>1137</v>
      </c>
      <c r="E509" s="40">
        <v>92</v>
      </c>
      <c r="F509" s="40">
        <v>51.2</v>
      </c>
      <c r="G509" s="4">
        <v>0</v>
      </c>
      <c r="H509" s="3">
        <v>414.9</v>
      </c>
      <c r="I509" s="3">
        <v>414.82</v>
      </c>
    </row>
    <row r="510" spans="1:9" ht="12.75" x14ac:dyDescent="0.2">
      <c r="A510" s="22" t="s">
        <v>100</v>
      </c>
      <c r="B510" s="4">
        <v>5022017</v>
      </c>
      <c r="C510" s="4">
        <v>19</v>
      </c>
      <c r="D510" s="4">
        <v>1141</v>
      </c>
      <c r="E510" s="40">
        <v>88</v>
      </c>
      <c r="F510" s="40">
        <v>45.7</v>
      </c>
      <c r="G510" s="4">
        <v>0.2</v>
      </c>
      <c r="H510" s="3">
        <v>398.49</v>
      </c>
      <c r="I510" s="3">
        <v>398.4</v>
      </c>
    </row>
    <row r="511" spans="1:9" ht="12.75" x14ac:dyDescent="0.2">
      <c r="A511" s="22" t="s">
        <v>101</v>
      </c>
      <c r="B511" s="4">
        <v>5022017</v>
      </c>
      <c r="C511" s="4">
        <v>19</v>
      </c>
      <c r="D511" s="4">
        <v>1141</v>
      </c>
      <c r="E511" s="40">
        <v>85</v>
      </c>
      <c r="F511" s="40">
        <v>43.8</v>
      </c>
      <c r="G511" s="4">
        <v>0.4</v>
      </c>
      <c r="H511" s="3">
        <v>400.36</v>
      </c>
      <c r="I511" s="3">
        <v>400.28</v>
      </c>
    </row>
    <row r="512" spans="1:9" ht="12.75" x14ac:dyDescent="0.2">
      <c r="A512" s="22" t="s">
        <v>102</v>
      </c>
      <c r="B512" s="4">
        <v>5022017</v>
      </c>
      <c r="C512" s="4">
        <v>19</v>
      </c>
      <c r="D512" s="4">
        <v>1141</v>
      </c>
      <c r="E512" s="40">
        <v>88</v>
      </c>
      <c r="F512" s="40">
        <v>45.6</v>
      </c>
      <c r="G512" s="4">
        <v>0.1</v>
      </c>
      <c r="H512" s="3">
        <v>401.38</v>
      </c>
      <c r="I512" s="3">
        <v>401.27</v>
      </c>
    </row>
    <row r="513" spans="1:9" ht="12.75" x14ac:dyDescent="0.2">
      <c r="A513" s="22" t="s">
        <v>94</v>
      </c>
      <c r="B513" s="4">
        <v>5022017</v>
      </c>
      <c r="C513" s="4">
        <v>19</v>
      </c>
      <c r="D513" s="4">
        <v>1145</v>
      </c>
      <c r="E513" s="40">
        <v>91</v>
      </c>
      <c r="F513" s="40">
        <v>49</v>
      </c>
      <c r="G513" s="4">
        <v>0.1</v>
      </c>
      <c r="H513" s="3">
        <v>411.33</v>
      </c>
      <c r="I513" s="3">
        <v>411.27</v>
      </c>
    </row>
    <row r="514" spans="1:9" ht="12.75" x14ac:dyDescent="0.2">
      <c r="A514" s="22" t="s">
        <v>95</v>
      </c>
      <c r="B514" s="4">
        <v>5022017</v>
      </c>
      <c r="C514" s="4">
        <v>19</v>
      </c>
      <c r="D514" s="4">
        <v>1145</v>
      </c>
      <c r="E514" s="40">
        <v>95</v>
      </c>
      <c r="F514" s="40">
        <v>49.4</v>
      </c>
      <c r="G514" s="4">
        <v>0.2</v>
      </c>
      <c r="H514" s="3">
        <v>401.59</v>
      </c>
      <c r="I514" s="3">
        <v>401.5</v>
      </c>
    </row>
    <row r="515" spans="1:9" ht="12.75" x14ac:dyDescent="0.2">
      <c r="A515" s="22" t="s">
        <v>96</v>
      </c>
      <c r="B515" s="4">
        <v>5022017</v>
      </c>
      <c r="C515" s="4">
        <v>19</v>
      </c>
      <c r="D515" s="4">
        <v>1145</v>
      </c>
      <c r="E515" s="40">
        <v>94</v>
      </c>
      <c r="F515" s="40">
        <v>49.5</v>
      </c>
      <c r="G515" s="4">
        <v>0.3</v>
      </c>
      <c r="H515" s="3">
        <v>409.75</v>
      </c>
      <c r="I515" s="3">
        <v>409.68</v>
      </c>
    </row>
    <row r="516" spans="1:9" ht="12.75" x14ac:dyDescent="0.2">
      <c r="A516" s="22" t="s">
        <v>103</v>
      </c>
      <c r="B516" s="4">
        <v>5022017</v>
      </c>
      <c r="C516" s="4">
        <v>19</v>
      </c>
      <c r="D516" s="4">
        <v>1148</v>
      </c>
      <c r="E516" s="40">
        <v>49</v>
      </c>
      <c r="F516" s="40">
        <v>24.5</v>
      </c>
      <c r="G516" s="4">
        <v>0.2</v>
      </c>
      <c r="H516" s="3">
        <v>415.92</v>
      </c>
      <c r="I516" s="3">
        <v>415.85</v>
      </c>
    </row>
    <row r="517" spans="1:9" ht="12.75" x14ac:dyDescent="0.2">
      <c r="A517" s="22" t="s">
        <v>104</v>
      </c>
      <c r="B517" s="4">
        <v>5022017</v>
      </c>
      <c r="C517" s="4">
        <v>19</v>
      </c>
      <c r="D517" s="4">
        <v>1148</v>
      </c>
      <c r="E517" s="40">
        <v>35</v>
      </c>
      <c r="F517" s="40">
        <v>18.100000000000001</v>
      </c>
      <c r="G517" s="4">
        <v>0.1</v>
      </c>
      <c r="H517" s="3">
        <v>416.01</v>
      </c>
      <c r="I517" s="3">
        <v>415.98</v>
      </c>
    </row>
    <row r="518" spans="1:9" ht="12.75" x14ac:dyDescent="0.2">
      <c r="A518" s="22" t="s">
        <v>105</v>
      </c>
      <c r="B518" s="4">
        <v>5022017</v>
      </c>
      <c r="C518" s="4">
        <v>19</v>
      </c>
      <c r="D518" s="4">
        <v>1148</v>
      </c>
      <c r="E518" s="40">
        <v>30</v>
      </c>
      <c r="F518" s="40">
        <v>15.8</v>
      </c>
      <c r="G518" s="4">
        <v>0.3</v>
      </c>
      <c r="H518" s="3">
        <v>417.93</v>
      </c>
      <c r="I518" s="3">
        <v>417.9</v>
      </c>
    </row>
    <row r="519" spans="1:9" ht="12.75" x14ac:dyDescent="0.2">
      <c r="A519" s="22" t="s">
        <v>29</v>
      </c>
      <c r="B519" s="4">
        <v>5022017</v>
      </c>
      <c r="C519" s="4" t="s">
        <v>512</v>
      </c>
      <c r="H519" s="3">
        <v>366.56</v>
      </c>
      <c r="I519" s="3"/>
    </row>
    <row r="520" spans="1:9" ht="12.75" x14ac:dyDescent="0.2">
      <c r="A520" s="22" t="s">
        <v>30</v>
      </c>
      <c r="B520" s="4">
        <v>5022017</v>
      </c>
      <c r="C520" s="4" t="s">
        <v>512</v>
      </c>
      <c r="H520" s="3">
        <v>358.45</v>
      </c>
      <c r="I520" s="3"/>
    </row>
    <row r="521" spans="1:9" ht="12.75" x14ac:dyDescent="0.2">
      <c r="A521" s="22" t="s">
        <v>30</v>
      </c>
      <c r="B521" s="4">
        <v>5022017</v>
      </c>
      <c r="C521" s="4" t="s">
        <v>512</v>
      </c>
      <c r="H521" s="3">
        <v>358.46</v>
      </c>
      <c r="I521" s="3"/>
    </row>
    <row r="522" spans="1:9" ht="12.75" x14ac:dyDescent="0.2">
      <c r="A522" s="22" t="s">
        <v>103</v>
      </c>
      <c r="B522" s="4">
        <v>7022017</v>
      </c>
      <c r="C522" s="4">
        <v>21</v>
      </c>
      <c r="D522" s="4">
        <v>1930</v>
      </c>
      <c r="E522" s="40">
        <v>19</v>
      </c>
      <c r="F522" s="40">
        <v>9.1999999999999993</v>
      </c>
      <c r="G522" s="4">
        <v>0.1</v>
      </c>
      <c r="H522" s="3">
        <v>415.84</v>
      </c>
      <c r="I522" s="3">
        <v>415.81</v>
      </c>
    </row>
    <row r="523" spans="1:9" ht="12.75" x14ac:dyDescent="0.2">
      <c r="A523" s="22" t="s">
        <v>104</v>
      </c>
      <c r="B523" s="4">
        <v>7022017</v>
      </c>
      <c r="C523" s="4">
        <v>21</v>
      </c>
      <c r="D523" s="4">
        <v>1930</v>
      </c>
      <c r="E523" s="40">
        <v>14</v>
      </c>
      <c r="F523" s="40">
        <v>7.4</v>
      </c>
      <c r="G523" s="4">
        <v>0</v>
      </c>
      <c r="H523" s="3">
        <v>415.96</v>
      </c>
      <c r="I523" s="3">
        <v>415.95</v>
      </c>
    </row>
    <row r="524" spans="1:9" ht="12.75" x14ac:dyDescent="0.2">
      <c r="A524" s="22" t="s">
        <v>105</v>
      </c>
      <c r="B524" s="4">
        <v>7022017</v>
      </c>
      <c r="C524" s="4">
        <v>21</v>
      </c>
      <c r="D524" s="4">
        <v>1930</v>
      </c>
      <c r="E524" s="40">
        <v>12</v>
      </c>
      <c r="F524" s="40">
        <v>6.5</v>
      </c>
      <c r="G524" s="4">
        <v>0.1</v>
      </c>
      <c r="H524" s="3">
        <v>417.88</v>
      </c>
      <c r="I524" s="3">
        <v>417.87</v>
      </c>
    </row>
    <row r="525" spans="1:9" ht="12.75" x14ac:dyDescent="0.2">
      <c r="A525" s="22" t="s">
        <v>97</v>
      </c>
      <c r="B525" s="4">
        <v>7022017</v>
      </c>
      <c r="C525" s="4">
        <v>21</v>
      </c>
      <c r="D525" s="4">
        <v>1934</v>
      </c>
      <c r="E525" s="40">
        <v>60</v>
      </c>
      <c r="F525" s="40">
        <v>31.5</v>
      </c>
      <c r="G525" s="4">
        <v>0.1</v>
      </c>
      <c r="H525" s="3">
        <v>401.88</v>
      </c>
      <c r="I525" s="3">
        <v>401.83</v>
      </c>
    </row>
    <row r="526" spans="1:9" ht="12.75" x14ac:dyDescent="0.2">
      <c r="A526" s="22" t="s">
        <v>98</v>
      </c>
      <c r="B526" s="4">
        <v>7022017</v>
      </c>
      <c r="C526" s="4">
        <v>21</v>
      </c>
      <c r="D526" s="4">
        <v>1934</v>
      </c>
      <c r="E526" s="40">
        <v>62</v>
      </c>
      <c r="F526" s="40">
        <v>33</v>
      </c>
      <c r="G526" s="4">
        <v>0</v>
      </c>
      <c r="H526" s="3">
        <v>401.86</v>
      </c>
      <c r="I526" s="3">
        <v>401.8</v>
      </c>
    </row>
    <row r="527" spans="1:9" ht="12.75" x14ac:dyDescent="0.2">
      <c r="A527" s="22" t="s">
        <v>99</v>
      </c>
      <c r="B527" s="4">
        <v>7022017</v>
      </c>
      <c r="C527" s="4">
        <v>21</v>
      </c>
      <c r="D527" s="4">
        <v>1934</v>
      </c>
      <c r="E527" s="40">
        <v>63</v>
      </c>
      <c r="F527" s="40">
        <v>33</v>
      </c>
      <c r="G527" s="4">
        <v>0.2</v>
      </c>
      <c r="H527" s="3">
        <v>403.01</v>
      </c>
      <c r="I527" s="3">
        <v>402.94</v>
      </c>
    </row>
    <row r="528" spans="1:9" ht="12.75" x14ac:dyDescent="0.2">
      <c r="A528" s="22" t="s">
        <v>58</v>
      </c>
      <c r="B528" s="4">
        <v>7022017</v>
      </c>
      <c r="C528" s="4">
        <v>21</v>
      </c>
      <c r="D528" s="4">
        <v>1938</v>
      </c>
      <c r="E528" s="40">
        <v>37</v>
      </c>
      <c r="F528" s="40">
        <v>21.1</v>
      </c>
      <c r="G528" s="4">
        <v>0.1</v>
      </c>
      <c r="H528" s="3">
        <v>415.32</v>
      </c>
      <c r="I528" s="3">
        <v>415.29</v>
      </c>
    </row>
    <row r="529" spans="1:9" ht="12.75" x14ac:dyDescent="0.2">
      <c r="A529" s="22" t="s">
        <v>59</v>
      </c>
      <c r="B529" s="4">
        <v>7022017</v>
      </c>
      <c r="C529" s="4">
        <v>21</v>
      </c>
      <c r="D529" s="4">
        <v>1938</v>
      </c>
      <c r="E529" s="40">
        <v>40</v>
      </c>
      <c r="F529" s="40">
        <v>23</v>
      </c>
      <c r="G529" s="4">
        <v>0.1</v>
      </c>
      <c r="H529" s="3">
        <v>419.26</v>
      </c>
      <c r="I529" s="3">
        <v>419.23</v>
      </c>
    </row>
    <row r="530" spans="1:9" ht="12.75" x14ac:dyDescent="0.2">
      <c r="A530" s="22" t="s">
        <v>60</v>
      </c>
      <c r="B530" s="4">
        <v>7022017</v>
      </c>
      <c r="C530" s="4">
        <v>21</v>
      </c>
      <c r="D530" s="4">
        <v>1938</v>
      </c>
      <c r="E530" s="40">
        <v>40</v>
      </c>
      <c r="F530" s="40">
        <v>22.6</v>
      </c>
      <c r="G530" s="4">
        <v>0.1</v>
      </c>
      <c r="H530" s="3">
        <v>417.38</v>
      </c>
      <c r="I530" s="3">
        <v>417.35</v>
      </c>
    </row>
    <row r="531" spans="1:9" ht="12.75" x14ac:dyDescent="0.2">
      <c r="A531" s="22" t="s">
        <v>46</v>
      </c>
      <c r="B531" s="4">
        <v>7022017</v>
      </c>
      <c r="C531" s="4">
        <v>21</v>
      </c>
      <c r="D531" s="4">
        <v>1942</v>
      </c>
      <c r="E531" s="40">
        <v>37</v>
      </c>
      <c r="F531" s="40">
        <v>20.2</v>
      </c>
      <c r="G531" s="4">
        <v>0.1</v>
      </c>
      <c r="H531" s="3">
        <v>405.63</v>
      </c>
      <c r="I531" s="3">
        <v>405.6</v>
      </c>
    </row>
    <row r="532" spans="1:9" ht="12.75" x14ac:dyDescent="0.2">
      <c r="A532" s="22" t="s">
        <v>47</v>
      </c>
      <c r="B532" s="4">
        <v>7022017</v>
      </c>
      <c r="C532" s="4">
        <v>21</v>
      </c>
      <c r="D532" s="4">
        <v>1942</v>
      </c>
      <c r="E532" s="40">
        <v>40</v>
      </c>
      <c r="F532" s="40">
        <v>22.2</v>
      </c>
      <c r="G532" s="4">
        <v>0.1</v>
      </c>
      <c r="H532" s="3">
        <v>410.25</v>
      </c>
      <c r="I532" s="3">
        <v>410.23</v>
      </c>
    </row>
    <row r="533" spans="1:9" ht="12.75" x14ac:dyDescent="0.2">
      <c r="A533" s="22" t="s">
        <v>48</v>
      </c>
      <c r="B533" s="4">
        <v>7022017</v>
      </c>
      <c r="C533" s="4">
        <v>21</v>
      </c>
      <c r="D533" s="4">
        <v>1942</v>
      </c>
      <c r="E533" s="40">
        <v>36</v>
      </c>
      <c r="F533" s="40">
        <v>21</v>
      </c>
      <c r="G533" s="4">
        <v>0.2</v>
      </c>
      <c r="H533" s="3">
        <v>414.8</v>
      </c>
      <c r="I533" s="3">
        <v>414.77</v>
      </c>
    </row>
    <row r="534" spans="1:9" ht="12.75" x14ac:dyDescent="0.2">
      <c r="A534" s="22" t="s">
        <v>91</v>
      </c>
      <c r="B534" s="4">
        <v>7022017</v>
      </c>
      <c r="C534" s="4">
        <v>21</v>
      </c>
      <c r="D534" s="4">
        <v>1947</v>
      </c>
      <c r="E534" s="40">
        <v>59</v>
      </c>
      <c r="F534" s="40">
        <v>32.6</v>
      </c>
      <c r="G534" s="4">
        <v>0.1</v>
      </c>
      <c r="H534" s="3">
        <v>410.02</v>
      </c>
      <c r="I534" s="3">
        <v>409.96</v>
      </c>
    </row>
    <row r="535" spans="1:9" ht="12.75" x14ac:dyDescent="0.2">
      <c r="A535" s="22" t="s">
        <v>92</v>
      </c>
      <c r="B535" s="4">
        <v>7022017</v>
      </c>
      <c r="C535" s="4">
        <v>21</v>
      </c>
      <c r="D535" s="4">
        <v>1947</v>
      </c>
      <c r="E535" s="40">
        <v>62</v>
      </c>
      <c r="F535" s="40">
        <v>36.5</v>
      </c>
      <c r="G535" s="4">
        <v>0.3</v>
      </c>
      <c r="H535" s="3">
        <v>421.77</v>
      </c>
      <c r="I535" s="3">
        <v>421.7</v>
      </c>
    </row>
    <row r="536" spans="1:9" ht="12.75" x14ac:dyDescent="0.2">
      <c r="A536" s="22" t="s">
        <v>93</v>
      </c>
      <c r="B536" s="4">
        <v>7022017</v>
      </c>
      <c r="C536" s="4">
        <v>21</v>
      </c>
      <c r="D536" s="4">
        <v>1947</v>
      </c>
      <c r="E536" s="40">
        <v>59</v>
      </c>
      <c r="F536" s="40">
        <v>33.5</v>
      </c>
      <c r="G536" s="4">
        <v>0.2</v>
      </c>
      <c r="H536" s="3">
        <v>417.43</v>
      </c>
      <c r="I536" s="3">
        <v>417.36</v>
      </c>
    </row>
    <row r="537" spans="1:9" ht="12.75" x14ac:dyDescent="0.2">
      <c r="A537" s="22" t="s">
        <v>32</v>
      </c>
      <c r="B537" s="4">
        <v>7022017</v>
      </c>
      <c r="C537" s="4">
        <v>21</v>
      </c>
      <c r="D537" s="4">
        <v>1951</v>
      </c>
      <c r="E537" s="40">
        <v>41</v>
      </c>
      <c r="F537" s="40">
        <v>18.3</v>
      </c>
      <c r="G537" s="4">
        <v>0.1</v>
      </c>
      <c r="H537" s="3">
        <v>359.99</v>
      </c>
      <c r="I537" s="3">
        <v>359.93</v>
      </c>
    </row>
    <row r="538" spans="1:9" ht="12.75" x14ac:dyDescent="0.2">
      <c r="A538" s="22" t="s">
        <v>33</v>
      </c>
      <c r="B538" s="4">
        <v>7022017</v>
      </c>
      <c r="C538" s="4">
        <v>21</v>
      </c>
      <c r="D538" s="4">
        <v>1951</v>
      </c>
      <c r="E538" s="40">
        <v>40</v>
      </c>
      <c r="F538" s="40">
        <v>17.2</v>
      </c>
      <c r="G538" s="4">
        <v>0.1</v>
      </c>
      <c r="H538" s="3">
        <v>356.74</v>
      </c>
      <c r="I538" s="3">
        <v>356.7</v>
      </c>
    </row>
    <row r="539" spans="1:9" ht="12.75" x14ac:dyDescent="0.2">
      <c r="A539" s="22" t="s">
        <v>34</v>
      </c>
      <c r="B539" s="4">
        <v>7022017</v>
      </c>
      <c r="C539" s="4">
        <v>21</v>
      </c>
      <c r="D539" s="4">
        <v>1951</v>
      </c>
      <c r="E539" s="40">
        <v>43</v>
      </c>
      <c r="F539" s="40">
        <v>19.3</v>
      </c>
      <c r="G539" s="4">
        <v>0</v>
      </c>
      <c r="H539" s="3">
        <v>356.46</v>
      </c>
      <c r="I539" s="3">
        <v>356.43</v>
      </c>
    </row>
    <row r="540" spans="1:9" ht="12.75" x14ac:dyDescent="0.2">
      <c r="A540" s="22" t="s">
        <v>94</v>
      </c>
      <c r="B540" s="4">
        <v>7022017</v>
      </c>
      <c r="C540" s="4">
        <v>21</v>
      </c>
      <c r="D540" s="4">
        <v>1956</v>
      </c>
      <c r="E540" s="40">
        <v>51</v>
      </c>
      <c r="F540" s="40">
        <v>27.9</v>
      </c>
      <c r="G540" s="4">
        <v>0</v>
      </c>
      <c r="H540" s="3">
        <v>411.21</v>
      </c>
      <c r="I540" s="3">
        <v>411.17</v>
      </c>
    </row>
    <row r="541" spans="1:9" ht="12.75" x14ac:dyDescent="0.2">
      <c r="A541" s="22" t="s">
        <v>95</v>
      </c>
      <c r="B541" s="4">
        <v>7022017</v>
      </c>
      <c r="C541" s="4">
        <v>21</v>
      </c>
      <c r="D541" s="4">
        <v>1956</v>
      </c>
      <c r="E541" s="40">
        <v>51</v>
      </c>
      <c r="F541" s="40">
        <v>27.7</v>
      </c>
      <c r="G541" s="4">
        <v>0.1</v>
      </c>
      <c r="H541" s="3">
        <v>401.49</v>
      </c>
      <c r="I541" s="3">
        <v>401.43</v>
      </c>
    </row>
    <row r="542" spans="1:9" ht="12.75" x14ac:dyDescent="0.2">
      <c r="A542" s="22" t="s">
        <v>96</v>
      </c>
      <c r="B542" s="4">
        <v>7022017</v>
      </c>
      <c r="C542" s="4">
        <v>21</v>
      </c>
      <c r="D542" s="4">
        <v>1956</v>
      </c>
      <c r="E542" s="40">
        <v>53</v>
      </c>
      <c r="F542" s="40">
        <v>28.5</v>
      </c>
      <c r="G542" s="4">
        <v>0.1</v>
      </c>
      <c r="H542" s="3">
        <v>409.65</v>
      </c>
      <c r="I542" s="3">
        <v>409.59</v>
      </c>
    </row>
    <row r="543" spans="1:9" ht="12.75" x14ac:dyDescent="0.2">
      <c r="A543" s="22" t="s">
        <v>35</v>
      </c>
      <c r="B543" s="4">
        <v>7022017</v>
      </c>
      <c r="C543" s="4">
        <v>21</v>
      </c>
      <c r="D543" s="4">
        <v>1959</v>
      </c>
      <c r="E543" s="40">
        <v>57</v>
      </c>
      <c r="F543" s="40">
        <v>24.7</v>
      </c>
      <c r="G543" s="4">
        <v>0.1</v>
      </c>
      <c r="H543" s="3">
        <v>347.75</v>
      </c>
      <c r="I543" s="3">
        <v>347.7</v>
      </c>
    </row>
    <row r="544" spans="1:9" ht="12.75" x14ac:dyDescent="0.2">
      <c r="A544" s="22" t="s">
        <v>36</v>
      </c>
      <c r="B544" s="4">
        <v>7022017</v>
      </c>
      <c r="C544" s="4">
        <v>21</v>
      </c>
      <c r="D544" s="4">
        <v>1959</v>
      </c>
      <c r="E544" s="40">
        <v>60</v>
      </c>
      <c r="F544" s="40">
        <v>26.1</v>
      </c>
      <c r="G544" s="4">
        <v>0.1</v>
      </c>
      <c r="H544" s="3">
        <v>356.39</v>
      </c>
      <c r="I544" s="3">
        <v>356.34</v>
      </c>
    </row>
    <row r="545" spans="1:9" ht="12.75" x14ac:dyDescent="0.2">
      <c r="A545" s="22" t="s">
        <v>37</v>
      </c>
      <c r="B545" s="4">
        <v>7022017</v>
      </c>
      <c r="C545" s="4">
        <v>21</v>
      </c>
      <c r="D545" s="4">
        <v>1959</v>
      </c>
      <c r="E545" s="40">
        <v>60</v>
      </c>
      <c r="F545" s="40">
        <v>26.3</v>
      </c>
      <c r="G545" s="4">
        <v>0.2</v>
      </c>
      <c r="H545" s="3">
        <v>356.67</v>
      </c>
      <c r="I545" s="3">
        <v>356.61</v>
      </c>
    </row>
    <row r="546" spans="1:9" ht="12.75" x14ac:dyDescent="0.2">
      <c r="A546" s="22" t="s">
        <v>29</v>
      </c>
      <c r="B546" s="4">
        <v>7022017</v>
      </c>
      <c r="C546" s="4" t="s">
        <v>513</v>
      </c>
      <c r="H546" s="3">
        <v>366.58</v>
      </c>
      <c r="I546" s="3"/>
    </row>
    <row r="547" spans="1:9" ht="12.75" x14ac:dyDescent="0.2">
      <c r="A547" s="22" t="s">
        <v>30</v>
      </c>
      <c r="B547" s="4">
        <v>7022017</v>
      </c>
      <c r="C547" s="4" t="s">
        <v>513</v>
      </c>
      <c r="H547" s="3">
        <v>358.45</v>
      </c>
      <c r="I547" s="3"/>
    </row>
    <row r="548" spans="1:9" ht="12.75" x14ac:dyDescent="0.2">
      <c r="A548" s="22" t="s">
        <v>31</v>
      </c>
      <c r="B548" s="4">
        <v>7022017</v>
      </c>
      <c r="C548" s="4" t="s">
        <v>513</v>
      </c>
      <c r="H548" s="3">
        <v>358.46</v>
      </c>
      <c r="I548" s="3"/>
    </row>
    <row r="549" spans="1:9" ht="12.75" x14ac:dyDescent="0.2">
      <c r="A549" s="22" t="s">
        <v>100</v>
      </c>
      <c r="B549" s="4">
        <v>10022017</v>
      </c>
      <c r="C549" s="4">
        <v>24</v>
      </c>
      <c r="D549" s="4">
        <v>1407</v>
      </c>
      <c r="E549" s="40">
        <v>100</v>
      </c>
      <c r="F549" s="40">
        <v>53.8</v>
      </c>
      <c r="G549" s="4">
        <v>0.1</v>
      </c>
      <c r="H549" s="3">
        <v>398.37</v>
      </c>
      <c r="I549" s="3">
        <v>398.28</v>
      </c>
    </row>
    <row r="550" spans="1:9" ht="12.75" x14ac:dyDescent="0.2">
      <c r="A550" s="22" t="s">
        <v>101</v>
      </c>
      <c r="B550" s="4">
        <v>10022017</v>
      </c>
      <c r="C550" s="4">
        <v>24</v>
      </c>
      <c r="D550" s="4">
        <v>1407</v>
      </c>
      <c r="E550" s="40">
        <v>104</v>
      </c>
      <c r="F550" s="40">
        <v>55.6</v>
      </c>
      <c r="G550" s="4">
        <v>0.1</v>
      </c>
      <c r="H550" s="3">
        <v>400.25</v>
      </c>
      <c r="I550" s="3">
        <v>400.14</v>
      </c>
    </row>
    <row r="551" spans="1:9" ht="12.75" x14ac:dyDescent="0.2">
      <c r="A551" s="22" t="s">
        <v>102</v>
      </c>
      <c r="B551" s="4">
        <v>10022017</v>
      </c>
      <c r="C551" s="4">
        <v>24</v>
      </c>
      <c r="D551" s="4">
        <v>1407</v>
      </c>
      <c r="E551" s="40">
        <v>105</v>
      </c>
      <c r="F551" s="40">
        <v>56.4</v>
      </c>
      <c r="G551" s="4">
        <v>0.1</v>
      </c>
      <c r="H551" s="3">
        <v>401.25</v>
      </c>
      <c r="I551" s="3">
        <v>401.13</v>
      </c>
    </row>
    <row r="552" spans="1:9" ht="12.75" x14ac:dyDescent="0.2">
      <c r="A552" s="22" t="s">
        <v>49</v>
      </c>
      <c r="B552" s="4">
        <v>10022017</v>
      </c>
      <c r="C552" s="4">
        <v>24</v>
      </c>
      <c r="D552" s="4">
        <v>1412</v>
      </c>
      <c r="E552" s="40">
        <v>64</v>
      </c>
      <c r="F552" s="40">
        <v>37.6</v>
      </c>
      <c r="G552" s="4">
        <v>0.2</v>
      </c>
      <c r="H552" s="3">
        <v>420.58</v>
      </c>
      <c r="I552" s="3">
        <v>420.51</v>
      </c>
    </row>
    <row r="553" spans="1:9" ht="12.75" x14ac:dyDescent="0.2">
      <c r="A553" s="22" t="s">
        <v>50</v>
      </c>
      <c r="B553" s="4">
        <v>10022017</v>
      </c>
      <c r="C553" s="4">
        <v>24</v>
      </c>
      <c r="D553" s="4">
        <v>1412</v>
      </c>
      <c r="E553" s="40">
        <v>61</v>
      </c>
      <c r="F553" s="40">
        <v>35.299999999999997</v>
      </c>
      <c r="G553" s="4">
        <v>0.2</v>
      </c>
      <c r="H553" s="3">
        <v>417.62</v>
      </c>
      <c r="I553" s="3">
        <v>417.56</v>
      </c>
    </row>
    <row r="554" spans="1:9" ht="12.75" x14ac:dyDescent="0.2">
      <c r="A554" s="22" t="s">
        <v>51</v>
      </c>
      <c r="B554" s="4">
        <v>10022017</v>
      </c>
      <c r="C554" s="4">
        <v>24</v>
      </c>
      <c r="D554" s="4">
        <v>1412</v>
      </c>
      <c r="E554" s="40">
        <v>64</v>
      </c>
      <c r="F554" s="40">
        <v>37.299999999999997</v>
      </c>
      <c r="G554" s="4">
        <v>0.1</v>
      </c>
      <c r="H554" s="3">
        <v>419.82</v>
      </c>
      <c r="I554" s="3">
        <v>419.76</v>
      </c>
    </row>
    <row r="555" spans="1:9" ht="12.75" x14ac:dyDescent="0.2">
      <c r="A555" s="22" t="s">
        <v>58</v>
      </c>
      <c r="B555" s="4">
        <v>10022017</v>
      </c>
      <c r="C555" s="4">
        <v>24</v>
      </c>
      <c r="D555" s="4">
        <v>1419</v>
      </c>
      <c r="E555" s="40">
        <v>37</v>
      </c>
      <c r="F555" s="40">
        <v>21</v>
      </c>
      <c r="G555" s="4">
        <v>0.2</v>
      </c>
      <c r="H555" s="3">
        <v>415.28</v>
      </c>
      <c r="I555" s="3">
        <v>415.24</v>
      </c>
    </row>
    <row r="556" spans="1:9" ht="12.75" x14ac:dyDescent="0.2">
      <c r="A556" s="22" t="s">
        <v>59</v>
      </c>
      <c r="B556" s="4">
        <v>10022017</v>
      </c>
      <c r="C556" s="4">
        <v>24</v>
      </c>
      <c r="D556" s="4">
        <v>1419</v>
      </c>
      <c r="E556" s="40">
        <v>35</v>
      </c>
      <c r="F556" s="40">
        <v>19.8</v>
      </c>
      <c r="G556" s="4">
        <v>0.1</v>
      </c>
      <c r="H556" s="3">
        <v>419.25</v>
      </c>
      <c r="I556" s="3">
        <v>419.2</v>
      </c>
    </row>
    <row r="557" spans="1:9" ht="12.75" x14ac:dyDescent="0.2">
      <c r="A557" s="22" t="s">
        <v>60</v>
      </c>
      <c r="B557" s="4">
        <v>10022017</v>
      </c>
      <c r="C557" s="4">
        <v>24</v>
      </c>
      <c r="D557" s="4">
        <v>1419</v>
      </c>
      <c r="E557" s="40">
        <v>34</v>
      </c>
      <c r="F557" s="40">
        <v>19.3</v>
      </c>
      <c r="G557" s="4">
        <v>0.1</v>
      </c>
      <c r="H557" s="3">
        <v>417.33</v>
      </c>
      <c r="I557" s="3">
        <v>417.31</v>
      </c>
    </row>
    <row r="558" spans="1:9" ht="12.75" x14ac:dyDescent="0.2">
      <c r="A558" s="22" t="s">
        <v>55</v>
      </c>
      <c r="B558" s="4">
        <v>10022017</v>
      </c>
      <c r="C558" s="4">
        <v>24</v>
      </c>
      <c r="D558" s="4">
        <v>1424</v>
      </c>
      <c r="E558" s="40">
        <v>71</v>
      </c>
      <c r="F558" s="40">
        <v>40.700000000000003</v>
      </c>
      <c r="G558" s="4">
        <v>0.1</v>
      </c>
      <c r="H558" s="3">
        <v>417.74</v>
      </c>
      <c r="I558" s="3">
        <v>417.68</v>
      </c>
    </row>
    <row r="559" spans="1:9" ht="12.75" x14ac:dyDescent="0.2">
      <c r="A559" s="22" t="s">
        <v>56</v>
      </c>
      <c r="B559" s="4">
        <v>10022017</v>
      </c>
      <c r="C559" s="4">
        <v>24</v>
      </c>
      <c r="D559" s="4">
        <v>1424</v>
      </c>
      <c r="E559" s="40">
        <v>60</v>
      </c>
      <c r="F559" s="40">
        <v>33.299999999999997</v>
      </c>
      <c r="G559" s="4">
        <v>0.2</v>
      </c>
      <c r="H559" s="3">
        <v>412.73</v>
      </c>
      <c r="I559" s="3">
        <v>412.66</v>
      </c>
    </row>
    <row r="560" spans="1:9" ht="12.75" x14ac:dyDescent="0.2">
      <c r="A560" s="22" t="s">
        <v>57</v>
      </c>
      <c r="B560" s="4">
        <v>10022017</v>
      </c>
      <c r="C560" s="4">
        <v>24</v>
      </c>
      <c r="D560" s="4">
        <v>1424</v>
      </c>
      <c r="E560" s="40">
        <v>64</v>
      </c>
      <c r="F560" s="40">
        <v>35.799999999999997</v>
      </c>
      <c r="G560" s="4">
        <v>0.2</v>
      </c>
      <c r="H560" s="3">
        <v>416.74</v>
      </c>
      <c r="I560" s="3">
        <v>416.67</v>
      </c>
    </row>
    <row r="561" spans="1:9" ht="12.75" x14ac:dyDescent="0.2">
      <c r="A561" s="22" t="s">
        <v>91</v>
      </c>
      <c r="B561" s="4">
        <v>10022017</v>
      </c>
      <c r="C561" s="4">
        <v>24</v>
      </c>
      <c r="D561" s="4">
        <v>1429</v>
      </c>
      <c r="E561" s="40">
        <v>60</v>
      </c>
      <c r="F561" s="40">
        <v>33.299999999999997</v>
      </c>
      <c r="G561" s="4">
        <v>0</v>
      </c>
      <c r="H561" s="3">
        <v>409.96</v>
      </c>
      <c r="I561" s="3">
        <v>409.9</v>
      </c>
    </row>
    <row r="562" spans="1:9" ht="12.75" x14ac:dyDescent="0.2">
      <c r="A562" s="22" t="s">
        <v>92</v>
      </c>
      <c r="B562" s="4">
        <v>10022017</v>
      </c>
      <c r="C562" s="4">
        <v>24</v>
      </c>
      <c r="D562" s="4">
        <v>1429</v>
      </c>
      <c r="E562" s="40">
        <v>55</v>
      </c>
      <c r="F562" s="40">
        <v>33.200000000000003</v>
      </c>
      <c r="G562" s="4">
        <v>0.1</v>
      </c>
      <c r="H562" s="3">
        <v>421.7</v>
      </c>
      <c r="I562" s="3">
        <v>421.65</v>
      </c>
    </row>
    <row r="563" spans="1:9" ht="12.75" x14ac:dyDescent="0.2">
      <c r="A563" s="22" t="s">
        <v>93</v>
      </c>
      <c r="B563" s="4">
        <v>10022017</v>
      </c>
      <c r="C563" s="4">
        <v>24</v>
      </c>
      <c r="D563" s="4">
        <v>1429</v>
      </c>
      <c r="E563" s="40">
        <v>52</v>
      </c>
      <c r="F563" s="40">
        <v>29.4</v>
      </c>
      <c r="G563" s="4">
        <v>0.2</v>
      </c>
      <c r="H563" s="3">
        <v>417.34</v>
      </c>
      <c r="I563" s="3">
        <v>417.3</v>
      </c>
    </row>
    <row r="564" spans="1:9" ht="12.75" x14ac:dyDescent="0.2">
      <c r="A564" s="22" t="s">
        <v>52</v>
      </c>
      <c r="B564" s="4">
        <v>10022017</v>
      </c>
      <c r="C564" s="4">
        <v>24</v>
      </c>
      <c r="D564" s="4">
        <v>1436</v>
      </c>
      <c r="E564" s="40">
        <v>60</v>
      </c>
      <c r="F564" s="40">
        <v>34.1</v>
      </c>
      <c r="G564" s="4">
        <v>0.1</v>
      </c>
      <c r="H564" s="3">
        <v>406.63</v>
      </c>
      <c r="I564" s="3">
        <v>406.58</v>
      </c>
    </row>
    <row r="565" spans="1:9" ht="12.75" x14ac:dyDescent="0.2">
      <c r="A565" s="22" t="s">
        <v>53</v>
      </c>
      <c r="B565" s="4">
        <v>10022017</v>
      </c>
      <c r="C565" s="4">
        <v>24</v>
      </c>
      <c r="D565" s="4">
        <v>1436</v>
      </c>
      <c r="E565" s="40">
        <v>62</v>
      </c>
      <c r="F565" s="40">
        <v>35</v>
      </c>
      <c r="G565" s="4">
        <v>0.25</v>
      </c>
      <c r="H565" s="3">
        <v>412.28</v>
      </c>
      <c r="I565" s="3">
        <v>412.21</v>
      </c>
    </row>
    <row r="566" spans="1:9" ht="12.75" x14ac:dyDescent="0.2">
      <c r="A566" s="22" t="s">
        <v>54</v>
      </c>
      <c r="B566" s="4">
        <v>10022017</v>
      </c>
      <c r="C566" s="4">
        <v>24</v>
      </c>
      <c r="D566" s="4">
        <v>1436</v>
      </c>
      <c r="E566" s="40">
        <v>62</v>
      </c>
      <c r="F566" s="40">
        <v>35.9</v>
      </c>
      <c r="G566" s="4">
        <v>0.3</v>
      </c>
      <c r="H566" s="3">
        <v>418.85</v>
      </c>
      <c r="I566" s="3">
        <v>418.8</v>
      </c>
    </row>
    <row r="567" spans="1:9" ht="12.75" x14ac:dyDescent="0.2">
      <c r="A567" s="22" t="s">
        <v>97</v>
      </c>
      <c r="B567" s="4">
        <v>10022017</v>
      </c>
      <c r="C567" s="4">
        <v>24</v>
      </c>
      <c r="D567" s="4">
        <v>1440</v>
      </c>
      <c r="E567" s="40">
        <v>60</v>
      </c>
      <c r="F567" s="40">
        <v>31.6</v>
      </c>
      <c r="G567" s="4">
        <v>0.1</v>
      </c>
      <c r="H567" s="3">
        <v>401.83</v>
      </c>
      <c r="I567" s="3">
        <v>401.76</v>
      </c>
    </row>
    <row r="568" spans="1:9" ht="12.75" x14ac:dyDescent="0.2">
      <c r="A568" s="22" t="s">
        <v>98</v>
      </c>
      <c r="B568" s="4">
        <v>10022017</v>
      </c>
      <c r="C568" s="4">
        <v>24</v>
      </c>
      <c r="D568" s="4">
        <v>1440</v>
      </c>
      <c r="E568" s="40">
        <v>59</v>
      </c>
      <c r="F568" s="40">
        <v>30.8</v>
      </c>
      <c r="G568" s="4">
        <v>0</v>
      </c>
      <c r="H568" s="3">
        <v>401.79</v>
      </c>
      <c r="I568" s="3">
        <v>401.73</v>
      </c>
    </row>
    <row r="569" spans="1:9" ht="12.75" x14ac:dyDescent="0.2">
      <c r="A569" s="22" t="s">
        <v>99</v>
      </c>
      <c r="B569" s="4">
        <v>10022017</v>
      </c>
      <c r="C569" s="4">
        <v>24</v>
      </c>
      <c r="D569" s="4">
        <v>1440</v>
      </c>
      <c r="E569" s="40">
        <v>62</v>
      </c>
      <c r="F569" s="40">
        <v>32.4</v>
      </c>
      <c r="G569" s="4">
        <v>0.2</v>
      </c>
      <c r="H569" s="3">
        <v>402.94</v>
      </c>
      <c r="I569" s="3">
        <v>402.89</v>
      </c>
    </row>
    <row r="570" spans="1:9" ht="12.75" x14ac:dyDescent="0.2">
      <c r="A570" s="22" t="s">
        <v>94</v>
      </c>
      <c r="B570" s="4">
        <v>10022017</v>
      </c>
      <c r="C570" s="4">
        <v>24</v>
      </c>
      <c r="D570" s="4">
        <v>1445</v>
      </c>
      <c r="E570" s="40">
        <v>55</v>
      </c>
      <c r="F570" s="40">
        <v>30.2</v>
      </c>
      <c r="G570" s="4">
        <v>0.2</v>
      </c>
      <c r="H570" s="3">
        <v>411.15</v>
      </c>
      <c r="I570" s="3">
        <v>411.1</v>
      </c>
    </row>
    <row r="571" spans="1:9" ht="12.75" x14ac:dyDescent="0.2">
      <c r="A571" s="22" t="s">
        <v>95</v>
      </c>
      <c r="B571" s="4">
        <v>10022017</v>
      </c>
      <c r="C571" s="4">
        <v>24</v>
      </c>
      <c r="D571" s="4">
        <v>1445</v>
      </c>
      <c r="E571" s="40">
        <v>56</v>
      </c>
      <c r="F571" s="40">
        <v>30</v>
      </c>
      <c r="G571" s="4">
        <v>0.2</v>
      </c>
      <c r="H571" s="3">
        <v>401.43</v>
      </c>
      <c r="I571" s="3">
        <v>401.38</v>
      </c>
    </row>
    <row r="572" spans="1:9" ht="12.75" x14ac:dyDescent="0.2">
      <c r="A572" s="22" t="s">
        <v>96</v>
      </c>
      <c r="B572" s="4">
        <v>10022017</v>
      </c>
      <c r="C572" s="4">
        <v>24</v>
      </c>
      <c r="D572" s="4">
        <v>1445</v>
      </c>
      <c r="E572" s="40">
        <v>56</v>
      </c>
      <c r="F572" s="40">
        <v>31</v>
      </c>
      <c r="G572" s="4">
        <v>0.2</v>
      </c>
      <c r="H572" s="3">
        <v>409.6</v>
      </c>
      <c r="I572" s="3">
        <v>409.55</v>
      </c>
    </row>
    <row r="573" spans="1:9" ht="12.75" x14ac:dyDescent="0.2">
      <c r="A573" s="22" t="s">
        <v>29</v>
      </c>
      <c r="B573" s="4">
        <v>10022017</v>
      </c>
      <c r="C573" s="4" t="s">
        <v>514</v>
      </c>
      <c r="H573" s="3">
        <v>366.56</v>
      </c>
      <c r="I573" s="3"/>
    </row>
    <row r="574" spans="1:9" ht="12.75" x14ac:dyDescent="0.2">
      <c r="A574" s="22" t="s">
        <v>30</v>
      </c>
      <c r="B574" s="4">
        <v>10022017</v>
      </c>
      <c r="C574" s="4" t="s">
        <v>514</v>
      </c>
      <c r="H574" s="3">
        <v>358.46</v>
      </c>
      <c r="I574" s="3"/>
    </row>
    <row r="575" spans="1:9" ht="12.75" x14ac:dyDescent="0.2">
      <c r="A575" s="22" t="s">
        <v>31</v>
      </c>
      <c r="B575" s="4">
        <v>10022017</v>
      </c>
      <c r="C575" s="4" t="s">
        <v>514</v>
      </c>
      <c r="H575" s="3">
        <v>358.47</v>
      </c>
      <c r="I575" s="3"/>
    </row>
    <row r="576" spans="1:9" x14ac:dyDescent="0.25">
      <c r="A576" s="35" t="s">
        <v>100</v>
      </c>
      <c r="B576" s="4" t="s">
        <v>457</v>
      </c>
      <c r="C576" s="4" t="s">
        <v>458</v>
      </c>
      <c r="D576" s="40">
        <v>854</v>
      </c>
      <c r="E576" s="40">
        <v>111</v>
      </c>
      <c r="F576" s="40">
        <v>61</v>
      </c>
      <c r="G576" s="40">
        <v>0.1</v>
      </c>
      <c r="H576" s="3">
        <v>398.26</v>
      </c>
      <c r="I576" s="3">
        <v>398.13</v>
      </c>
    </row>
    <row r="577" spans="1:9" x14ac:dyDescent="0.25">
      <c r="A577" s="35" t="s">
        <v>101</v>
      </c>
      <c r="B577" s="4" t="s">
        <v>457</v>
      </c>
      <c r="C577" s="4" t="s">
        <v>458</v>
      </c>
      <c r="D577" s="40">
        <v>854</v>
      </c>
      <c r="E577" s="40">
        <v>120</v>
      </c>
      <c r="F577" s="40">
        <v>65.5</v>
      </c>
      <c r="G577" s="40">
        <v>0.1</v>
      </c>
      <c r="H577" s="3">
        <v>400.14</v>
      </c>
      <c r="I577" s="3">
        <v>400</v>
      </c>
    </row>
    <row r="578" spans="1:9" x14ac:dyDescent="0.25">
      <c r="A578" s="35" t="s">
        <v>102</v>
      </c>
      <c r="B578" s="4" t="s">
        <v>457</v>
      </c>
      <c r="C578" s="4" t="s">
        <v>458</v>
      </c>
      <c r="D578" s="40">
        <v>854</v>
      </c>
      <c r="E578" s="40">
        <v>120</v>
      </c>
      <c r="F578" s="40">
        <v>65.8</v>
      </c>
      <c r="G578" s="40">
        <v>0.2</v>
      </c>
      <c r="H578" s="3">
        <v>401.12</v>
      </c>
      <c r="I578" s="3">
        <v>401.01</v>
      </c>
    </row>
    <row r="579" spans="1:9" x14ac:dyDescent="0.25">
      <c r="A579" s="35" t="s">
        <v>55</v>
      </c>
      <c r="B579" s="4" t="s">
        <v>457</v>
      </c>
      <c r="C579" s="4" t="s">
        <v>458</v>
      </c>
      <c r="D579" s="40">
        <v>859</v>
      </c>
      <c r="E579" s="34">
        <v>57</v>
      </c>
      <c r="F579" s="40">
        <v>33.200000000000003</v>
      </c>
      <c r="G579" s="40">
        <v>0</v>
      </c>
      <c r="H579" s="3">
        <v>417.66</v>
      </c>
      <c r="I579" s="3">
        <v>417.62</v>
      </c>
    </row>
    <row r="580" spans="1:9" x14ac:dyDescent="0.25">
      <c r="A580" s="35" t="s">
        <v>56</v>
      </c>
      <c r="B580" s="4" t="s">
        <v>457</v>
      </c>
      <c r="C580" s="4" t="s">
        <v>458</v>
      </c>
      <c r="D580" s="40">
        <v>859</v>
      </c>
      <c r="E580" s="40">
        <v>55</v>
      </c>
      <c r="F580" s="40">
        <v>31</v>
      </c>
      <c r="G580" s="40">
        <v>0.1</v>
      </c>
      <c r="H580" s="3">
        <v>412.67</v>
      </c>
      <c r="I580" s="3">
        <v>412.6</v>
      </c>
    </row>
    <row r="581" spans="1:9" x14ac:dyDescent="0.25">
      <c r="A581" s="35" t="s">
        <v>57</v>
      </c>
      <c r="B581" s="4" t="s">
        <v>457</v>
      </c>
      <c r="C581" s="4" t="s">
        <v>458</v>
      </c>
      <c r="D581" s="40">
        <v>859</v>
      </c>
      <c r="E581" s="40">
        <v>59</v>
      </c>
      <c r="F581" s="40">
        <v>33.299999999999997</v>
      </c>
      <c r="G581" s="40">
        <v>0.2</v>
      </c>
      <c r="H581" s="3">
        <v>416.66</v>
      </c>
      <c r="I581" s="3">
        <v>416.61</v>
      </c>
    </row>
    <row r="582" spans="1:9" x14ac:dyDescent="0.25">
      <c r="A582" s="35" t="s">
        <v>46</v>
      </c>
      <c r="B582" s="4" t="s">
        <v>457</v>
      </c>
      <c r="C582" s="4" t="s">
        <v>458</v>
      </c>
      <c r="D582" s="40">
        <v>903</v>
      </c>
      <c r="E582" s="40">
        <v>85</v>
      </c>
      <c r="F582" s="40">
        <v>47.8</v>
      </c>
      <c r="G582" s="40">
        <v>0</v>
      </c>
      <c r="H582" s="3">
        <v>405.6</v>
      </c>
      <c r="I582" s="3">
        <v>405.51</v>
      </c>
    </row>
    <row r="583" spans="1:9" x14ac:dyDescent="0.25">
      <c r="A583" s="35" t="s">
        <v>47</v>
      </c>
      <c r="B583" s="4" t="s">
        <v>457</v>
      </c>
      <c r="C583" s="4" t="s">
        <v>458</v>
      </c>
      <c r="D583" s="40">
        <v>903</v>
      </c>
      <c r="E583" s="40">
        <v>78</v>
      </c>
      <c r="F583" s="40">
        <v>48.5</v>
      </c>
      <c r="G583" s="40">
        <v>0.1</v>
      </c>
      <c r="H583" s="3">
        <v>410.21</v>
      </c>
      <c r="I583" s="3">
        <v>410.13</v>
      </c>
    </row>
    <row r="584" spans="1:9" x14ac:dyDescent="0.25">
      <c r="A584" s="35" t="s">
        <v>48</v>
      </c>
      <c r="B584" s="4" t="s">
        <v>457</v>
      </c>
      <c r="C584" s="4" t="s">
        <v>458</v>
      </c>
      <c r="D584" s="40">
        <v>903</v>
      </c>
      <c r="E584" s="40">
        <v>90</v>
      </c>
      <c r="F584" s="40">
        <v>51.4</v>
      </c>
      <c r="G584" s="40">
        <v>0.2</v>
      </c>
      <c r="H584" s="3">
        <v>414.76</v>
      </c>
      <c r="I584" s="3">
        <v>414.66</v>
      </c>
    </row>
    <row r="585" spans="1:9" x14ac:dyDescent="0.25">
      <c r="A585" s="35" t="s">
        <v>49</v>
      </c>
      <c r="B585" s="4" t="s">
        <v>457</v>
      </c>
      <c r="C585" s="4" t="s">
        <v>458</v>
      </c>
      <c r="D585" s="40">
        <v>908</v>
      </c>
      <c r="E585" s="40">
        <v>52</v>
      </c>
      <c r="F585" s="40">
        <v>30.6</v>
      </c>
      <c r="G585" s="40">
        <v>0</v>
      </c>
      <c r="H585" s="3">
        <v>420.49</v>
      </c>
      <c r="I585" s="3">
        <v>420.45</v>
      </c>
    </row>
    <row r="586" spans="1:9" x14ac:dyDescent="0.25">
      <c r="A586" s="35" t="s">
        <v>50</v>
      </c>
      <c r="B586" s="4" t="s">
        <v>457</v>
      </c>
      <c r="C586" s="4" t="s">
        <v>458</v>
      </c>
      <c r="D586" s="40">
        <v>908</v>
      </c>
      <c r="E586" s="40">
        <v>53</v>
      </c>
      <c r="F586" s="40">
        <v>31</v>
      </c>
      <c r="G586" s="40">
        <v>0.1</v>
      </c>
      <c r="H586" s="3">
        <v>417.54</v>
      </c>
      <c r="I586" s="3">
        <v>417.49</v>
      </c>
    </row>
    <row r="587" spans="1:9" x14ac:dyDescent="0.25">
      <c r="A587" s="35" t="s">
        <v>51</v>
      </c>
      <c r="B587" s="4" t="s">
        <v>457</v>
      </c>
      <c r="C587" s="4" t="s">
        <v>458</v>
      </c>
      <c r="D587" s="40">
        <v>908</v>
      </c>
      <c r="E587" s="40">
        <v>56</v>
      </c>
      <c r="F587" s="40">
        <v>32.1</v>
      </c>
      <c r="G587" s="40">
        <v>0</v>
      </c>
      <c r="H587" s="3">
        <v>419.75</v>
      </c>
      <c r="I587" s="3">
        <v>419.69</v>
      </c>
    </row>
    <row r="588" spans="1:9" x14ac:dyDescent="0.25">
      <c r="A588" s="35" t="s">
        <v>91</v>
      </c>
      <c r="B588" s="4" t="s">
        <v>457</v>
      </c>
      <c r="C588" s="4" t="s">
        <v>458</v>
      </c>
      <c r="D588" s="40">
        <v>911</v>
      </c>
      <c r="E588" s="40">
        <v>68</v>
      </c>
      <c r="F588" s="40">
        <v>38.6</v>
      </c>
      <c r="G588" s="40">
        <v>0.1</v>
      </c>
      <c r="H588" s="3">
        <v>409.89</v>
      </c>
      <c r="I588" s="3">
        <v>409.83</v>
      </c>
    </row>
    <row r="589" spans="1:9" x14ac:dyDescent="0.25">
      <c r="A589" s="35" t="s">
        <v>92</v>
      </c>
      <c r="B589" s="4" t="s">
        <v>457</v>
      </c>
      <c r="C589" s="4" t="s">
        <v>458</v>
      </c>
      <c r="D589" s="40">
        <v>911</v>
      </c>
      <c r="E589" s="40">
        <v>71</v>
      </c>
      <c r="F589" s="40">
        <v>41.7</v>
      </c>
      <c r="G589" s="40">
        <v>0.1</v>
      </c>
      <c r="H589" s="3">
        <v>421.64</v>
      </c>
      <c r="I589" s="3">
        <v>421.56</v>
      </c>
    </row>
    <row r="590" spans="1:9" x14ac:dyDescent="0.25">
      <c r="A590" s="35" t="s">
        <v>93</v>
      </c>
      <c r="B590" s="4" t="s">
        <v>457</v>
      </c>
      <c r="C590" s="4" t="s">
        <v>458</v>
      </c>
      <c r="D590" s="40">
        <v>911</v>
      </c>
      <c r="E590" s="40">
        <v>70</v>
      </c>
      <c r="F590" s="40">
        <v>39.6</v>
      </c>
      <c r="G590" s="40">
        <v>0</v>
      </c>
      <c r="H590" s="3">
        <v>417.3</v>
      </c>
      <c r="I590" s="3">
        <v>417.23</v>
      </c>
    </row>
    <row r="591" spans="1:9" x14ac:dyDescent="0.25">
      <c r="A591" s="35" t="s">
        <v>94</v>
      </c>
      <c r="B591" s="4" t="s">
        <v>457</v>
      </c>
      <c r="C591" s="4" t="s">
        <v>458</v>
      </c>
      <c r="D591" s="40">
        <v>915</v>
      </c>
      <c r="E591" s="40">
        <v>80</v>
      </c>
      <c r="F591" s="40">
        <v>44.4</v>
      </c>
      <c r="G591" s="40">
        <v>0.1</v>
      </c>
      <c r="H591" s="3">
        <v>411.09</v>
      </c>
      <c r="I591" s="3">
        <v>411</v>
      </c>
    </row>
    <row r="592" spans="1:9" x14ac:dyDescent="0.25">
      <c r="A592" s="35" t="s">
        <v>95</v>
      </c>
      <c r="B592" s="4" t="s">
        <v>457</v>
      </c>
      <c r="C592" s="4" t="s">
        <v>458</v>
      </c>
      <c r="D592" s="40">
        <v>915</v>
      </c>
      <c r="E592" s="40">
        <v>80</v>
      </c>
      <c r="F592" s="40">
        <v>43.5</v>
      </c>
      <c r="G592" s="40">
        <v>0.1</v>
      </c>
      <c r="H592" s="3">
        <v>401.37</v>
      </c>
      <c r="I592" s="3">
        <v>401.27</v>
      </c>
    </row>
    <row r="593" spans="1:9" x14ac:dyDescent="0.25">
      <c r="A593" s="35" t="s">
        <v>96</v>
      </c>
      <c r="B593" s="4" t="s">
        <v>457</v>
      </c>
      <c r="C593" s="4" t="s">
        <v>458</v>
      </c>
      <c r="D593" s="40">
        <v>915</v>
      </c>
      <c r="E593" s="40">
        <v>77</v>
      </c>
      <c r="F593" s="40">
        <v>42</v>
      </c>
      <c r="G593" s="40">
        <v>0</v>
      </c>
      <c r="H593" s="3">
        <v>409.53</v>
      </c>
      <c r="I593" s="3">
        <v>409.44</v>
      </c>
    </row>
    <row r="594" spans="1:9" x14ac:dyDescent="0.25">
      <c r="A594" s="35" t="s">
        <v>29</v>
      </c>
      <c r="B594" s="4" t="s">
        <v>457</v>
      </c>
      <c r="C594" s="4" t="s">
        <v>458</v>
      </c>
      <c r="D594" s="40"/>
      <c r="G594" s="40"/>
      <c r="H594" s="3">
        <v>366.58</v>
      </c>
      <c r="I594" s="3"/>
    </row>
    <row r="595" spans="1:9" x14ac:dyDescent="0.25">
      <c r="A595" s="35" t="s">
        <v>30</v>
      </c>
      <c r="B595" s="4" t="s">
        <v>457</v>
      </c>
      <c r="C595" s="4" t="s">
        <v>458</v>
      </c>
      <c r="D595" s="40"/>
      <c r="G595" s="40"/>
      <c r="H595" s="3">
        <v>358.47</v>
      </c>
      <c r="I595" s="3"/>
    </row>
    <row r="596" spans="1:9" x14ac:dyDescent="0.25">
      <c r="A596" s="35" t="s">
        <v>31</v>
      </c>
      <c r="B596" s="4" t="s">
        <v>457</v>
      </c>
      <c r="C596" s="4" t="s">
        <v>458</v>
      </c>
      <c r="D596" s="40"/>
      <c r="G596" s="40"/>
      <c r="H596" s="40">
        <v>358.47</v>
      </c>
      <c r="I596" s="3"/>
    </row>
    <row r="597" spans="1:9" x14ac:dyDescent="0.25">
      <c r="A597" s="35" t="s">
        <v>58</v>
      </c>
      <c r="B597" s="4" t="s">
        <v>459</v>
      </c>
      <c r="C597" s="4" t="s">
        <v>460</v>
      </c>
      <c r="D597" s="4" t="s">
        <v>461</v>
      </c>
      <c r="E597" s="40" t="s">
        <v>478</v>
      </c>
      <c r="F597" s="34">
        <v>55.9</v>
      </c>
      <c r="G597" s="22">
        <v>0.2</v>
      </c>
      <c r="H597" s="34">
        <v>415.27</v>
      </c>
      <c r="I597" s="3">
        <v>415.17</v>
      </c>
    </row>
    <row r="598" spans="1:9" x14ac:dyDescent="0.25">
      <c r="A598" s="35" t="s">
        <v>59</v>
      </c>
      <c r="B598" s="4" t="s">
        <v>459</v>
      </c>
      <c r="C598" s="4" t="s">
        <v>460</v>
      </c>
      <c r="D598" s="4" t="s">
        <v>462</v>
      </c>
      <c r="E598" s="40" t="s">
        <v>479</v>
      </c>
      <c r="F598" s="34">
        <v>61.5</v>
      </c>
      <c r="G598" s="22">
        <v>0.2</v>
      </c>
      <c r="H598" s="34">
        <v>419.2</v>
      </c>
      <c r="I598" s="3">
        <v>419.11</v>
      </c>
    </row>
    <row r="599" spans="1:9" x14ac:dyDescent="0.25">
      <c r="A599" s="35" t="s">
        <v>60</v>
      </c>
      <c r="B599" s="4" t="s">
        <v>459</v>
      </c>
      <c r="C599" s="4" t="s">
        <v>460</v>
      </c>
      <c r="D599" s="4" t="s">
        <v>463</v>
      </c>
      <c r="E599" s="40" t="s">
        <v>480</v>
      </c>
      <c r="F599" s="34">
        <v>61.1</v>
      </c>
      <c r="G599" s="22">
        <v>0.2</v>
      </c>
      <c r="H599" s="34">
        <v>417.33</v>
      </c>
      <c r="I599" s="3">
        <v>417.22</v>
      </c>
    </row>
    <row r="600" spans="1:9" x14ac:dyDescent="0.25">
      <c r="A600" s="35" t="s">
        <v>49</v>
      </c>
      <c r="B600" s="4" t="s">
        <v>459</v>
      </c>
      <c r="C600" s="4" t="s">
        <v>460</v>
      </c>
      <c r="D600" s="4" t="s">
        <v>464</v>
      </c>
      <c r="E600" s="40" t="s">
        <v>481</v>
      </c>
      <c r="F600" s="34">
        <v>43.5</v>
      </c>
      <c r="G600" s="22">
        <v>0.1</v>
      </c>
      <c r="H600" s="34">
        <v>420.46</v>
      </c>
      <c r="I600" s="3">
        <v>420.39</v>
      </c>
    </row>
    <row r="601" spans="1:9" x14ac:dyDescent="0.25">
      <c r="A601" s="35" t="s">
        <v>50</v>
      </c>
      <c r="B601" s="4" t="s">
        <v>459</v>
      </c>
      <c r="C601" s="4" t="s">
        <v>460</v>
      </c>
      <c r="D601" s="4" t="s">
        <v>465</v>
      </c>
      <c r="E601" s="40" t="s">
        <v>481</v>
      </c>
      <c r="F601" s="34">
        <v>43.6</v>
      </c>
      <c r="G601" s="22">
        <v>0.3</v>
      </c>
      <c r="H601" s="34">
        <v>417.51</v>
      </c>
      <c r="I601" s="3">
        <v>417.43</v>
      </c>
    </row>
    <row r="602" spans="1:9" x14ac:dyDescent="0.25">
      <c r="A602" s="35" t="s">
        <v>51</v>
      </c>
      <c r="B602" s="4" t="s">
        <v>459</v>
      </c>
      <c r="C602" s="4" t="s">
        <v>460</v>
      </c>
      <c r="D602" s="4" t="s">
        <v>466</v>
      </c>
      <c r="E602" s="40" t="s">
        <v>482</v>
      </c>
      <c r="F602" s="34">
        <v>46.4</v>
      </c>
      <c r="G602" s="22">
        <v>0.1</v>
      </c>
      <c r="H602" s="34">
        <v>419.72</v>
      </c>
      <c r="I602" s="3">
        <v>419.63</v>
      </c>
    </row>
    <row r="603" spans="1:9" x14ac:dyDescent="0.25">
      <c r="A603" s="35" t="s">
        <v>100</v>
      </c>
      <c r="B603" s="4" t="s">
        <v>459</v>
      </c>
      <c r="C603" s="4" t="s">
        <v>460</v>
      </c>
      <c r="D603" s="4" t="s">
        <v>467</v>
      </c>
      <c r="E603" s="40" t="s">
        <v>483</v>
      </c>
      <c r="F603" s="34">
        <v>43.9</v>
      </c>
      <c r="G603" s="22">
        <v>0.2</v>
      </c>
      <c r="H603" s="34">
        <v>398.17</v>
      </c>
      <c r="I603" s="3">
        <v>398.08</v>
      </c>
    </row>
    <row r="604" spans="1:9" x14ac:dyDescent="0.25">
      <c r="A604" s="35" t="s">
        <v>101</v>
      </c>
      <c r="B604" s="4" t="s">
        <v>459</v>
      </c>
      <c r="C604" s="4" t="s">
        <v>460</v>
      </c>
      <c r="D604" s="4" t="s">
        <v>468</v>
      </c>
      <c r="E604" s="40" t="s">
        <v>483</v>
      </c>
      <c r="F604" s="34">
        <v>43.9</v>
      </c>
      <c r="G604" s="22">
        <v>0.2</v>
      </c>
      <c r="H604" s="34">
        <v>400.03</v>
      </c>
      <c r="I604" s="3">
        <v>399.94</v>
      </c>
    </row>
    <row r="605" spans="1:9" x14ac:dyDescent="0.25">
      <c r="A605" s="35" t="s">
        <v>102</v>
      </c>
      <c r="B605" s="4" t="s">
        <v>459</v>
      </c>
      <c r="C605" s="4" t="s">
        <v>460</v>
      </c>
      <c r="D605" s="4" t="s">
        <v>469</v>
      </c>
      <c r="E605" s="40">
        <v>87</v>
      </c>
      <c r="F605" s="34">
        <v>44.8</v>
      </c>
      <c r="G605" s="22">
        <v>0.1</v>
      </c>
      <c r="H605" s="34">
        <v>401.02</v>
      </c>
      <c r="I605" s="3">
        <v>400.94</v>
      </c>
    </row>
    <row r="606" spans="1:9" x14ac:dyDescent="0.25">
      <c r="A606" s="35" t="s">
        <v>97</v>
      </c>
      <c r="B606" s="4" t="s">
        <v>459</v>
      </c>
      <c r="C606" s="4" t="s">
        <v>460</v>
      </c>
      <c r="D606" s="4" t="s">
        <v>470</v>
      </c>
      <c r="E606" s="40">
        <f>121+35</f>
        <v>156</v>
      </c>
      <c r="F606" s="34">
        <v>79.2</v>
      </c>
      <c r="G606" s="22">
        <v>0.3</v>
      </c>
      <c r="H606" s="34">
        <v>401.79</v>
      </c>
      <c r="I606" s="3">
        <v>401.63</v>
      </c>
    </row>
    <row r="607" spans="1:9" x14ac:dyDescent="0.25">
      <c r="A607" s="35" t="s">
        <v>98</v>
      </c>
      <c r="B607" s="4" t="s">
        <v>459</v>
      </c>
      <c r="C607" s="4" t="s">
        <v>460</v>
      </c>
      <c r="D607" s="4" t="s">
        <v>518</v>
      </c>
      <c r="E607" s="40">
        <f>122+29</f>
        <v>151</v>
      </c>
      <c r="F607" s="34">
        <v>76.400000000000006</v>
      </c>
      <c r="G607" s="22">
        <v>0.2</v>
      </c>
      <c r="H607" s="34">
        <v>401.76</v>
      </c>
      <c r="I607" s="3">
        <v>401.61</v>
      </c>
    </row>
    <row r="608" spans="1:9" x14ac:dyDescent="0.25">
      <c r="A608" s="35" t="s">
        <v>99</v>
      </c>
      <c r="B608" s="4" t="s">
        <v>459</v>
      </c>
      <c r="C608" s="4" t="s">
        <v>460</v>
      </c>
      <c r="D608" s="4" t="s">
        <v>471</v>
      </c>
      <c r="E608" s="40">
        <f>131+25</f>
        <v>156</v>
      </c>
      <c r="F608" s="34">
        <v>78.8</v>
      </c>
      <c r="G608" s="22">
        <v>0.2</v>
      </c>
      <c r="H608" s="34">
        <v>402.91</v>
      </c>
      <c r="I608" s="3">
        <v>402.75</v>
      </c>
    </row>
    <row r="609" spans="1:9" x14ac:dyDescent="0.25">
      <c r="A609" s="35" t="s">
        <v>52</v>
      </c>
      <c r="B609" s="4" t="s">
        <v>459</v>
      </c>
      <c r="C609" s="4" t="s">
        <v>460</v>
      </c>
      <c r="D609" s="4" t="s">
        <v>472</v>
      </c>
      <c r="E609" s="40">
        <v>116</v>
      </c>
      <c r="F609" s="34">
        <v>63.2</v>
      </c>
      <c r="G609" s="22">
        <v>0.3</v>
      </c>
      <c r="H609" s="34">
        <v>406.61</v>
      </c>
      <c r="I609" s="3">
        <v>406.48</v>
      </c>
    </row>
    <row r="610" spans="1:9" x14ac:dyDescent="0.25">
      <c r="A610" s="35" t="s">
        <v>53</v>
      </c>
      <c r="B610" s="4" t="s">
        <v>459</v>
      </c>
      <c r="C610" s="4" t="s">
        <v>460</v>
      </c>
      <c r="D610" s="4" t="s">
        <v>473</v>
      </c>
      <c r="E610" s="40">
        <v>125</v>
      </c>
      <c r="F610" s="34">
        <v>68.7</v>
      </c>
      <c r="G610" s="22">
        <v>0.2</v>
      </c>
      <c r="H610" s="34">
        <v>412.22</v>
      </c>
      <c r="I610" s="3">
        <v>412.1</v>
      </c>
    </row>
    <row r="611" spans="1:9" x14ac:dyDescent="0.25">
      <c r="A611" s="35" t="s">
        <v>54</v>
      </c>
      <c r="B611" s="4" t="s">
        <v>459</v>
      </c>
      <c r="C611" s="4" t="s">
        <v>460</v>
      </c>
      <c r="D611" s="4" t="s">
        <v>474</v>
      </c>
      <c r="E611" s="40">
        <v>120</v>
      </c>
      <c r="F611" s="34">
        <v>67.099999999999994</v>
      </c>
      <c r="G611" s="22">
        <v>0.3</v>
      </c>
      <c r="H611" s="34">
        <v>418.83</v>
      </c>
      <c r="I611" s="3">
        <v>418.69</v>
      </c>
    </row>
    <row r="612" spans="1:9" x14ac:dyDescent="0.25">
      <c r="A612" s="35" t="s">
        <v>46</v>
      </c>
      <c r="B612" s="4" t="s">
        <v>459</v>
      </c>
      <c r="C612" s="4" t="s">
        <v>460</v>
      </c>
      <c r="D612" s="4" t="s">
        <v>475</v>
      </c>
      <c r="E612" s="40">
        <v>60</v>
      </c>
      <c r="F612" s="34">
        <v>31.1</v>
      </c>
      <c r="G612" s="22">
        <v>0.1</v>
      </c>
      <c r="H612" s="34">
        <v>405.54</v>
      </c>
      <c r="I612" s="3">
        <v>405.48</v>
      </c>
    </row>
    <row r="613" spans="1:9" x14ac:dyDescent="0.25">
      <c r="A613" s="35" t="s">
        <v>47</v>
      </c>
      <c r="B613" s="4" t="s">
        <v>459</v>
      </c>
      <c r="C613" s="4" t="s">
        <v>460</v>
      </c>
      <c r="D613" s="4" t="s">
        <v>476</v>
      </c>
      <c r="E613" s="40">
        <v>60</v>
      </c>
      <c r="F613" s="34">
        <v>32.5</v>
      </c>
      <c r="G613" s="22">
        <v>0.3</v>
      </c>
      <c r="H613" s="34">
        <v>410.15</v>
      </c>
      <c r="I613" s="3">
        <v>410.08</v>
      </c>
    </row>
    <row r="614" spans="1:9" x14ac:dyDescent="0.25">
      <c r="A614" s="35" t="s">
        <v>48</v>
      </c>
      <c r="B614" s="4" t="s">
        <v>459</v>
      </c>
      <c r="C614" s="4" t="s">
        <v>460</v>
      </c>
      <c r="D614" s="4" t="s">
        <v>477</v>
      </c>
      <c r="E614" s="40">
        <v>63</v>
      </c>
      <c r="F614" s="34">
        <v>34.799999999999997</v>
      </c>
      <c r="G614" s="22">
        <v>0.3</v>
      </c>
      <c r="H614" s="34">
        <v>414.66</v>
      </c>
      <c r="I614" s="3">
        <v>414.61</v>
      </c>
    </row>
    <row r="615" spans="1:9" x14ac:dyDescent="0.25">
      <c r="A615" s="35" t="s">
        <v>29</v>
      </c>
      <c r="B615" s="4" t="s">
        <v>459</v>
      </c>
      <c r="C615" s="4" t="s">
        <v>460</v>
      </c>
      <c r="H615" s="34">
        <v>366.6</v>
      </c>
      <c r="I615" s="3"/>
    </row>
    <row r="616" spans="1:9" x14ac:dyDescent="0.25">
      <c r="A616" s="35" t="s">
        <v>30</v>
      </c>
      <c r="B616" s="4" t="s">
        <v>459</v>
      </c>
      <c r="C616" s="4" t="s">
        <v>460</v>
      </c>
      <c r="H616" s="34">
        <v>358.48</v>
      </c>
      <c r="I616" s="3"/>
    </row>
    <row r="617" spans="1:9" x14ac:dyDescent="0.25">
      <c r="A617" s="35" t="s">
        <v>31</v>
      </c>
      <c r="B617" s="4" t="s">
        <v>459</v>
      </c>
      <c r="C617" s="4" t="s">
        <v>460</v>
      </c>
      <c r="H617" s="34">
        <v>358.47</v>
      </c>
      <c r="I617" s="3"/>
    </row>
    <row r="618" spans="1:9" x14ac:dyDescent="0.25">
      <c r="A618" s="35" t="s">
        <v>58</v>
      </c>
      <c r="B618" s="4" t="s">
        <v>484</v>
      </c>
      <c r="C618" s="4" t="s">
        <v>485</v>
      </c>
      <c r="D618" s="4" t="s">
        <v>486</v>
      </c>
      <c r="E618" s="40">
        <v>91</v>
      </c>
      <c r="F618" s="40">
        <v>50.3</v>
      </c>
      <c r="G618" s="4">
        <v>0.1</v>
      </c>
      <c r="H618" s="40">
        <v>415.16</v>
      </c>
      <c r="I618" s="3">
        <v>415.06</v>
      </c>
    </row>
    <row r="619" spans="1:9" x14ac:dyDescent="0.25">
      <c r="A619" s="35" t="s">
        <v>59</v>
      </c>
      <c r="B619" s="4" t="s">
        <v>484</v>
      </c>
      <c r="C619" s="4" t="s">
        <v>485</v>
      </c>
      <c r="D619" s="4" t="s">
        <v>487</v>
      </c>
      <c r="E619" s="40">
        <v>89</v>
      </c>
      <c r="F619" s="40">
        <v>49.9</v>
      </c>
      <c r="G619" s="4">
        <v>0.3</v>
      </c>
      <c r="H619" s="40">
        <v>419.09</v>
      </c>
      <c r="I619" s="3">
        <v>419.01</v>
      </c>
    </row>
    <row r="620" spans="1:9" x14ac:dyDescent="0.25">
      <c r="A620" s="35" t="s">
        <v>60</v>
      </c>
      <c r="B620" s="4" t="s">
        <v>484</v>
      </c>
      <c r="C620" s="4" t="s">
        <v>485</v>
      </c>
      <c r="D620" s="4" t="s">
        <v>488</v>
      </c>
      <c r="E620" s="40">
        <v>87</v>
      </c>
      <c r="F620" s="40">
        <v>49.2</v>
      </c>
      <c r="G620" s="4">
        <v>0.3</v>
      </c>
      <c r="H620" s="40">
        <v>417.21</v>
      </c>
      <c r="I620" s="3">
        <v>417.12</v>
      </c>
    </row>
    <row r="621" spans="1:9" x14ac:dyDescent="0.25">
      <c r="A621" s="35" t="s">
        <v>94</v>
      </c>
      <c r="B621" s="4" t="s">
        <v>484</v>
      </c>
      <c r="C621" s="4" t="s">
        <v>485</v>
      </c>
      <c r="D621" s="4" t="s">
        <v>489</v>
      </c>
      <c r="E621" s="40">
        <f>20+127</f>
        <v>147</v>
      </c>
      <c r="F621" s="40">
        <v>79.2</v>
      </c>
      <c r="G621" s="4">
        <v>0.4</v>
      </c>
      <c r="H621" s="40">
        <v>411.03</v>
      </c>
      <c r="I621" s="3">
        <v>410.88</v>
      </c>
    </row>
    <row r="622" spans="1:9" x14ac:dyDescent="0.25">
      <c r="A622" s="35" t="s">
        <v>95</v>
      </c>
      <c r="B622" s="4" t="s">
        <v>484</v>
      </c>
      <c r="C622" s="4" t="s">
        <v>485</v>
      </c>
      <c r="D622" s="4" t="s">
        <v>519</v>
      </c>
      <c r="E622" s="40">
        <v>147</v>
      </c>
      <c r="F622" s="40">
        <v>75.900000000000006</v>
      </c>
      <c r="G622" s="4">
        <v>0.2</v>
      </c>
      <c r="H622" s="40">
        <v>401.29</v>
      </c>
      <c r="I622" s="3">
        <v>401.15</v>
      </c>
    </row>
    <row r="623" spans="1:9" x14ac:dyDescent="0.25">
      <c r="A623" s="35" t="s">
        <v>96</v>
      </c>
      <c r="B623" s="4" t="s">
        <v>484</v>
      </c>
      <c r="C623" s="4" t="s">
        <v>485</v>
      </c>
      <c r="D623" s="4" t="s">
        <v>520</v>
      </c>
      <c r="E623" s="40">
        <v>145</v>
      </c>
      <c r="F623" s="40">
        <v>76.2</v>
      </c>
      <c r="G623" s="4">
        <v>0.3</v>
      </c>
      <c r="H623" s="40">
        <v>409.46</v>
      </c>
      <c r="I623" s="3">
        <v>409.34</v>
      </c>
    </row>
    <row r="624" spans="1:9" x14ac:dyDescent="0.25">
      <c r="A624" s="35" t="s">
        <v>55</v>
      </c>
      <c r="B624" s="4" t="s">
        <v>484</v>
      </c>
      <c r="C624" s="4" t="s">
        <v>485</v>
      </c>
      <c r="D624" s="4" t="s">
        <v>491</v>
      </c>
      <c r="E624" s="40">
        <v>141</v>
      </c>
      <c r="F624" s="40">
        <v>78.3</v>
      </c>
      <c r="G624" s="4">
        <v>0.2</v>
      </c>
      <c r="H624" s="40">
        <v>417.64</v>
      </c>
      <c r="I624" s="3">
        <v>417.5</v>
      </c>
    </row>
    <row r="625" spans="1:9" x14ac:dyDescent="0.25">
      <c r="A625" s="35" t="s">
        <v>56</v>
      </c>
      <c r="B625" s="4" t="s">
        <v>484</v>
      </c>
      <c r="C625" s="4" t="s">
        <v>485</v>
      </c>
      <c r="D625" s="4" t="s">
        <v>492</v>
      </c>
      <c r="E625" s="40">
        <v>132</v>
      </c>
      <c r="F625" s="40">
        <v>71.7</v>
      </c>
      <c r="G625" s="4">
        <v>0.3</v>
      </c>
      <c r="H625" s="40">
        <v>412.62</v>
      </c>
      <c r="I625" s="3">
        <v>412.49</v>
      </c>
    </row>
    <row r="626" spans="1:9" x14ac:dyDescent="0.25">
      <c r="A626" s="35" t="s">
        <v>57</v>
      </c>
      <c r="B626" s="4" t="s">
        <v>484</v>
      </c>
      <c r="C626" s="4" t="s">
        <v>485</v>
      </c>
      <c r="D626" s="4" t="s">
        <v>493</v>
      </c>
      <c r="E626" s="40">
        <v>131</v>
      </c>
      <c r="F626" s="40">
        <v>71.8</v>
      </c>
      <c r="G626" s="4">
        <v>0.2</v>
      </c>
      <c r="H626" s="40">
        <v>416.63</v>
      </c>
      <c r="I626" s="3">
        <v>416.48</v>
      </c>
    </row>
    <row r="627" spans="1:9" x14ac:dyDescent="0.25">
      <c r="A627" s="35" t="s">
        <v>52</v>
      </c>
      <c r="B627" s="4" t="s">
        <v>484</v>
      </c>
      <c r="C627" s="4" t="s">
        <v>485</v>
      </c>
      <c r="D627" s="4" t="s">
        <v>494</v>
      </c>
      <c r="E627" s="40">
        <v>91</v>
      </c>
      <c r="F627" s="40">
        <v>49.1</v>
      </c>
      <c r="G627" s="4">
        <v>0.1</v>
      </c>
      <c r="H627" s="40">
        <v>406.45</v>
      </c>
      <c r="I627" s="3">
        <v>406.38</v>
      </c>
    </row>
    <row r="628" spans="1:9" x14ac:dyDescent="0.25">
      <c r="A628" s="35" t="s">
        <v>53</v>
      </c>
      <c r="B628" s="4" t="s">
        <v>484</v>
      </c>
      <c r="C628" s="4" t="s">
        <v>485</v>
      </c>
      <c r="D628" s="4" t="s">
        <v>495</v>
      </c>
      <c r="E628" s="40">
        <v>81</v>
      </c>
      <c r="F628" s="40">
        <v>44.1</v>
      </c>
      <c r="G628" s="4">
        <v>0.2</v>
      </c>
      <c r="H628" s="40">
        <v>412.09</v>
      </c>
      <c r="I628" s="3">
        <v>412.02</v>
      </c>
    </row>
    <row r="629" spans="1:9" x14ac:dyDescent="0.25">
      <c r="A629" s="35" t="s">
        <v>54</v>
      </c>
      <c r="B629" s="4" t="s">
        <v>484</v>
      </c>
      <c r="C629" s="4" t="s">
        <v>485</v>
      </c>
      <c r="D629" s="4" t="s">
        <v>496</v>
      </c>
      <c r="E629" s="40">
        <v>90</v>
      </c>
      <c r="F629" s="40">
        <v>49.9</v>
      </c>
      <c r="G629" s="4">
        <v>0.2</v>
      </c>
      <c r="H629" s="40">
        <v>418.63</v>
      </c>
      <c r="I629" s="3">
        <v>418.56</v>
      </c>
    </row>
    <row r="630" spans="1:9" x14ac:dyDescent="0.25">
      <c r="A630" s="35" t="s">
        <v>97</v>
      </c>
      <c r="B630" s="4" t="s">
        <v>484</v>
      </c>
      <c r="C630" s="4" t="s">
        <v>485</v>
      </c>
      <c r="D630" s="4" t="s">
        <v>490</v>
      </c>
      <c r="E630" s="40">
        <v>105</v>
      </c>
      <c r="F630" s="40">
        <v>53.3</v>
      </c>
      <c r="G630" s="4">
        <v>0.3</v>
      </c>
      <c r="H630" s="40">
        <v>401.63</v>
      </c>
      <c r="I630" s="3">
        <v>401.53</v>
      </c>
    </row>
    <row r="631" spans="1:9" x14ac:dyDescent="0.25">
      <c r="A631" s="35" t="s">
        <v>98</v>
      </c>
      <c r="B631" s="4" t="s">
        <v>484</v>
      </c>
      <c r="C631" s="4" t="s">
        <v>485</v>
      </c>
      <c r="D631" s="4" t="s">
        <v>497</v>
      </c>
      <c r="E631" s="40">
        <v>104</v>
      </c>
      <c r="F631" s="40">
        <v>52.6</v>
      </c>
      <c r="G631" s="4">
        <v>0.1</v>
      </c>
      <c r="H631" s="40">
        <v>401.61</v>
      </c>
      <c r="I631" s="3">
        <v>401.5</v>
      </c>
    </row>
    <row r="632" spans="1:9" x14ac:dyDescent="0.25">
      <c r="A632" s="35" t="s">
        <v>99</v>
      </c>
      <c r="B632" s="4" t="s">
        <v>484</v>
      </c>
      <c r="C632" s="4" t="s">
        <v>485</v>
      </c>
      <c r="D632" s="4" t="s">
        <v>498</v>
      </c>
      <c r="E632" s="40">
        <v>105</v>
      </c>
      <c r="F632" s="40">
        <v>53.4</v>
      </c>
      <c r="G632" s="4">
        <v>0.4</v>
      </c>
      <c r="H632" s="40">
        <v>402.75</v>
      </c>
      <c r="I632" s="3">
        <v>402.64</v>
      </c>
    </row>
    <row r="633" spans="1:9" x14ac:dyDescent="0.25">
      <c r="A633" s="35" t="s">
        <v>100</v>
      </c>
      <c r="B633" s="4" t="s">
        <v>484</v>
      </c>
      <c r="C633" s="4" t="s">
        <v>485</v>
      </c>
      <c r="D633" s="4" t="s">
        <v>499</v>
      </c>
      <c r="E633" s="40">
        <v>69</v>
      </c>
      <c r="F633" s="40">
        <v>35.1</v>
      </c>
      <c r="G633" s="4">
        <v>0.1</v>
      </c>
      <c r="H633" s="40">
        <v>398.07</v>
      </c>
      <c r="I633" s="3">
        <v>397.94</v>
      </c>
    </row>
    <row r="634" spans="1:9" x14ac:dyDescent="0.25">
      <c r="A634" s="35" t="s">
        <v>101</v>
      </c>
      <c r="B634" s="4" t="s">
        <v>484</v>
      </c>
      <c r="C634" s="4" t="s">
        <v>485</v>
      </c>
      <c r="D634" s="4" t="s">
        <v>521</v>
      </c>
      <c r="E634" s="40">
        <v>69</v>
      </c>
      <c r="F634" s="40">
        <v>35.1</v>
      </c>
      <c r="G634" s="4">
        <v>0.2</v>
      </c>
      <c r="H634" s="40">
        <v>399.92</v>
      </c>
      <c r="I634" s="3">
        <v>399.86</v>
      </c>
    </row>
    <row r="635" spans="1:9" x14ac:dyDescent="0.25">
      <c r="A635" s="35" t="s">
        <v>102</v>
      </c>
      <c r="B635" s="4" t="s">
        <v>484</v>
      </c>
      <c r="C635" s="4" t="s">
        <v>485</v>
      </c>
      <c r="D635" s="4" t="s">
        <v>500</v>
      </c>
      <c r="E635" s="40">
        <v>70</v>
      </c>
      <c r="F635" s="40">
        <v>35.700000000000003</v>
      </c>
      <c r="G635" s="4">
        <v>0</v>
      </c>
      <c r="H635" s="40">
        <v>400.92</v>
      </c>
      <c r="I635" s="3">
        <v>400.85</v>
      </c>
    </row>
    <row r="636" spans="1:9" x14ac:dyDescent="0.25">
      <c r="A636" s="35" t="s">
        <v>91</v>
      </c>
      <c r="B636" s="4" t="s">
        <v>484</v>
      </c>
      <c r="C636" s="4" t="s">
        <v>485</v>
      </c>
      <c r="D636" s="4" t="s">
        <v>501</v>
      </c>
      <c r="E636" s="40">
        <f>22+128</f>
        <v>150</v>
      </c>
      <c r="F636" s="40">
        <v>81.2</v>
      </c>
      <c r="G636" s="4">
        <v>0.4</v>
      </c>
      <c r="H636" s="40">
        <v>409.84</v>
      </c>
      <c r="I636" s="3">
        <v>409.69</v>
      </c>
    </row>
    <row r="637" spans="1:9" x14ac:dyDescent="0.25">
      <c r="A637" s="35" t="s">
        <v>92</v>
      </c>
      <c r="B637" s="4" t="s">
        <v>484</v>
      </c>
      <c r="C637" s="4" t="s">
        <v>485</v>
      </c>
      <c r="D637" s="4" t="s">
        <v>502</v>
      </c>
      <c r="E637" s="40">
        <f>24+127</f>
        <v>151</v>
      </c>
      <c r="F637" s="40">
        <v>84.9</v>
      </c>
      <c r="G637" s="4">
        <v>0.2</v>
      </c>
      <c r="H637" s="40">
        <v>421.58</v>
      </c>
      <c r="I637" s="3">
        <v>421.44</v>
      </c>
    </row>
    <row r="638" spans="1:9" x14ac:dyDescent="0.25">
      <c r="A638" s="35" t="s">
        <v>93</v>
      </c>
      <c r="B638" s="4" t="s">
        <v>484</v>
      </c>
      <c r="C638" s="4" t="s">
        <v>485</v>
      </c>
      <c r="D638" s="4" t="s">
        <v>522</v>
      </c>
      <c r="E638" s="40">
        <f>50+98</f>
        <v>148</v>
      </c>
      <c r="F638" s="40">
        <v>81.2</v>
      </c>
      <c r="G638" s="4">
        <v>0.2</v>
      </c>
      <c r="H638" s="40">
        <v>417.23</v>
      </c>
      <c r="I638" s="3">
        <v>417.12</v>
      </c>
    </row>
    <row r="639" spans="1:9" x14ac:dyDescent="0.25">
      <c r="A639" s="35" t="s">
        <v>49</v>
      </c>
      <c r="B639" s="4" t="s">
        <v>484</v>
      </c>
      <c r="C639" s="4" t="s">
        <v>485</v>
      </c>
      <c r="D639" s="4" t="s">
        <v>503</v>
      </c>
      <c r="E639" s="40">
        <v>81</v>
      </c>
      <c r="F639" s="40">
        <v>45.9</v>
      </c>
      <c r="G639" s="4">
        <v>0.1</v>
      </c>
      <c r="H639" s="40">
        <v>420.39</v>
      </c>
      <c r="I639" s="3">
        <v>420.3</v>
      </c>
    </row>
    <row r="640" spans="1:9" x14ac:dyDescent="0.25">
      <c r="A640" s="35" t="s">
        <v>50</v>
      </c>
      <c r="B640" s="4" t="s">
        <v>484</v>
      </c>
      <c r="C640" s="4" t="s">
        <v>485</v>
      </c>
      <c r="D640" s="4" t="s">
        <v>504</v>
      </c>
      <c r="E640" s="40">
        <v>82</v>
      </c>
      <c r="F640" s="40">
        <v>45.9</v>
      </c>
      <c r="G640" s="4">
        <v>0.3</v>
      </c>
      <c r="H640" s="40">
        <v>417.43</v>
      </c>
      <c r="I640" s="3">
        <v>417.35</v>
      </c>
    </row>
    <row r="641" spans="1:9" x14ac:dyDescent="0.25">
      <c r="A641" s="35" t="s">
        <v>51</v>
      </c>
      <c r="B641" s="4" t="s">
        <v>484</v>
      </c>
      <c r="C641" s="4" t="s">
        <v>485</v>
      </c>
      <c r="D641" s="4" t="s">
        <v>505</v>
      </c>
      <c r="E641" s="40">
        <v>70</v>
      </c>
      <c r="F641" s="40">
        <v>40</v>
      </c>
      <c r="G641" s="4">
        <v>0.4</v>
      </c>
      <c r="H641" s="40">
        <v>419.63</v>
      </c>
      <c r="I641" s="3">
        <v>419.55</v>
      </c>
    </row>
    <row r="642" spans="1:9" x14ac:dyDescent="0.25">
      <c r="A642" s="35" t="s">
        <v>29</v>
      </c>
      <c r="B642" s="4" t="s">
        <v>484</v>
      </c>
      <c r="C642" s="4" t="s">
        <v>485</v>
      </c>
      <c r="H642" s="40">
        <v>366.59</v>
      </c>
      <c r="I642" s="3"/>
    </row>
    <row r="643" spans="1:9" x14ac:dyDescent="0.25">
      <c r="A643" s="35" t="s">
        <v>30</v>
      </c>
      <c r="B643" s="4" t="s">
        <v>484</v>
      </c>
      <c r="C643" s="4" t="s">
        <v>485</v>
      </c>
      <c r="H643" s="40">
        <v>358.46</v>
      </c>
      <c r="I643" s="3"/>
    </row>
    <row r="644" spans="1:9" x14ac:dyDescent="0.25">
      <c r="A644" s="35" t="s">
        <v>31</v>
      </c>
      <c r="B644" s="4" t="s">
        <v>484</v>
      </c>
      <c r="C644" s="4" t="s">
        <v>485</v>
      </c>
      <c r="H644" s="40">
        <v>358.45</v>
      </c>
      <c r="I644" s="3"/>
    </row>
    <row r="645" spans="1:9" x14ac:dyDescent="0.25">
      <c r="A645" s="35" t="s">
        <v>38</v>
      </c>
      <c r="B645" s="4" t="s">
        <v>523</v>
      </c>
      <c r="C645" s="4" t="s">
        <v>524</v>
      </c>
      <c r="D645" s="4" t="s">
        <v>525</v>
      </c>
      <c r="E645" s="40">
        <v>100</v>
      </c>
      <c r="F645" s="40">
        <v>43.6</v>
      </c>
      <c r="G645" s="4" t="s">
        <v>531</v>
      </c>
      <c r="H645" s="40">
        <v>356.2</v>
      </c>
      <c r="I645" s="3">
        <v>356.09</v>
      </c>
    </row>
    <row r="646" spans="1:9" x14ac:dyDescent="0.25">
      <c r="A646" s="35" t="s">
        <v>39</v>
      </c>
      <c r="B646" s="4" t="s">
        <v>523</v>
      </c>
      <c r="C646" s="4" t="s">
        <v>524</v>
      </c>
      <c r="D646" s="4" t="s">
        <v>525</v>
      </c>
      <c r="E646" s="40">
        <v>100</v>
      </c>
      <c r="F646" s="40">
        <v>44</v>
      </c>
      <c r="G646" s="4" t="s">
        <v>531</v>
      </c>
      <c r="H646" s="40">
        <v>356.89</v>
      </c>
      <c r="I646" s="3">
        <v>356.79</v>
      </c>
    </row>
    <row r="647" spans="1:9" x14ac:dyDescent="0.25">
      <c r="A647" s="35" t="s">
        <v>40</v>
      </c>
      <c r="B647" s="4" t="s">
        <v>523</v>
      </c>
      <c r="C647" s="4" t="s">
        <v>524</v>
      </c>
      <c r="D647" s="4" t="s">
        <v>525</v>
      </c>
      <c r="E647" s="40">
        <v>101</v>
      </c>
      <c r="F647" s="40">
        <v>44.6</v>
      </c>
      <c r="G647" s="4" t="s">
        <v>531</v>
      </c>
      <c r="H647" s="40">
        <v>357.11</v>
      </c>
      <c r="I647" s="3">
        <v>357.01</v>
      </c>
    </row>
    <row r="648" spans="1:9" x14ac:dyDescent="0.25">
      <c r="A648" s="35" t="s">
        <v>46</v>
      </c>
      <c r="B648" s="4" t="s">
        <v>523</v>
      </c>
      <c r="C648" s="4" t="s">
        <v>524</v>
      </c>
      <c r="D648" s="4" t="s">
        <v>526</v>
      </c>
      <c r="E648" s="40">
        <v>82</v>
      </c>
      <c r="F648" s="40">
        <v>45.5</v>
      </c>
      <c r="G648" s="4" t="s">
        <v>531</v>
      </c>
      <c r="H648" s="40">
        <v>405.48</v>
      </c>
      <c r="I648" s="3">
        <v>405.39</v>
      </c>
    </row>
    <row r="649" spans="1:9" x14ac:dyDescent="0.25">
      <c r="A649" s="35" t="s">
        <v>47</v>
      </c>
      <c r="B649" s="4" t="s">
        <v>523</v>
      </c>
      <c r="C649" s="4" t="s">
        <v>524</v>
      </c>
      <c r="D649" s="4" t="s">
        <v>526</v>
      </c>
      <c r="E649" s="40">
        <v>86</v>
      </c>
      <c r="F649" s="40">
        <v>48.1</v>
      </c>
      <c r="G649" s="4" t="s">
        <v>531</v>
      </c>
      <c r="H649" s="40">
        <v>410.07</v>
      </c>
      <c r="I649" s="3">
        <v>409.99</v>
      </c>
    </row>
    <row r="650" spans="1:9" x14ac:dyDescent="0.25">
      <c r="A650" s="35" t="s">
        <v>48</v>
      </c>
      <c r="B650" s="4" t="s">
        <v>523</v>
      </c>
      <c r="C650" s="4" t="s">
        <v>524</v>
      </c>
      <c r="D650" s="4" t="s">
        <v>526</v>
      </c>
      <c r="E650" s="40">
        <v>88</v>
      </c>
      <c r="F650" s="40">
        <v>49.7</v>
      </c>
      <c r="G650" s="4" t="s">
        <v>531</v>
      </c>
      <c r="H650" s="40">
        <v>414.58</v>
      </c>
      <c r="I650" s="3">
        <v>414.5</v>
      </c>
    </row>
    <row r="651" spans="1:9" x14ac:dyDescent="0.25">
      <c r="A651" s="35" t="s">
        <v>55</v>
      </c>
      <c r="B651" s="4" t="s">
        <v>523</v>
      </c>
      <c r="C651" s="4" t="s">
        <v>524</v>
      </c>
      <c r="D651" s="4" t="s">
        <v>527</v>
      </c>
      <c r="E651" s="40">
        <v>90</v>
      </c>
      <c r="F651" s="40">
        <v>51.7</v>
      </c>
      <c r="G651" s="4" t="s">
        <v>531</v>
      </c>
      <c r="H651" s="40">
        <v>417.46</v>
      </c>
      <c r="I651" s="3">
        <v>417.39</v>
      </c>
    </row>
    <row r="652" spans="1:9" x14ac:dyDescent="0.25">
      <c r="A652" s="35" t="s">
        <v>56</v>
      </c>
      <c r="B652" s="4" t="s">
        <v>523</v>
      </c>
      <c r="C652" s="4" t="s">
        <v>524</v>
      </c>
      <c r="D652" s="4" t="s">
        <v>527</v>
      </c>
      <c r="E652" s="40">
        <v>89</v>
      </c>
      <c r="F652" s="40">
        <v>50</v>
      </c>
      <c r="G652" s="4" t="s">
        <v>531</v>
      </c>
      <c r="H652" s="40">
        <v>412.47</v>
      </c>
      <c r="I652" s="3">
        <v>412.38</v>
      </c>
    </row>
    <row r="653" spans="1:9" x14ac:dyDescent="0.25">
      <c r="A653" s="35" t="s">
        <v>57</v>
      </c>
      <c r="B653" s="4" t="s">
        <v>523</v>
      </c>
      <c r="C653" s="4" t="s">
        <v>524</v>
      </c>
      <c r="D653" s="4" t="s">
        <v>527</v>
      </c>
      <c r="E653" s="40">
        <v>90</v>
      </c>
      <c r="F653" s="40">
        <v>51.2</v>
      </c>
      <c r="G653" s="4" t="s">
        <v>531</v>
      </c>
      <c r="H653" s="40">
        <v>416.49</v>
      </c>
      <c r="I653" s="3">
        <v>416.38</v>
      </c>
    </row>
    <row r="654" spans="1:9" x14ac:dyDescent="0.25">
      <c r="A654" s="35" t="s">
        <v>32</v>
      </c>
      <c r="B654" s="4" t="s">
        <v>523</v>
      </c>
      <c r="C654" s="4" t="s">
        <v>524</v>
      </c>
      <c r="D654" s="4" t="s">
        <v>528</v>
      </c>
      <c r="E654" s="40">
        <v>95</v>
      </c>
      <c r="F654" s="40">
        <v>43.8</v>
      </c>
      <c r="G654" s="4" t="s">
        <v>531</v>
      </c>
      <c r="H654" s="40">
        <v>359.93</v>
      </c>
      <c r="I654" s="3">
        <v>359.85</v>
      </c>
    </row>
    <row r="655" spans="1:9" x14ac:dyDescent="0.25">
      <c r="A655" s="35" t="s">
        <v>33</v>
      </c>
      <c r="B655" s="4" t="s">
        <v>523</v>
      </c>
      <c r="C655" s="4" t="s">
        <v>524</v>
      </c>
      <c r="D655" s="4" t="s">
        <v>528</v>
      </c>
      <c r="E655" s="40">
        <v>85</v>
      </c>
      <c r="F655" s="40">
        <v>38.299999999999997</v>
      </c>
      <c r="G655" s="4" t="s">
        <v>531</v>
      </c>
      <c r="H655" s="40">
        <v>356.71</v>
      </c>
      <c r="I655" s="3">
        <v>356.64</v>
      </c>
    </row>
    <row r="656" spans="1:9" x14ac:dyDescent="0.25">
      <c r="A656" s="35" t="s">
        <v>34</v>
      </c>
      <c r="B656" s="4" t="s">
        <v>523</v>
      </c>
      <c r="C656" s="4" t="s">
        <v>524</v>
      </c>
      <c r="D656" s="4" t="s">
        <v>528</v>
      </c>
      <c r="E656" s="40">
        <v>87</v>
      </c>
      <c r="F656" s="40">
        <v>37.9</v>
      </c>
      <c r="G656" s="4" t="s">
        <v>531</v>
      </c>
      <c r="H656" s="40">
        <v>356.43</v>
      </c>
      <c r="I656" s="3">
        <v>356.33</v>
      </c>
    </row>
    <row r="657" spans="1:9" x14ac:dyDescent="0.25">
      <c r="A657" s="35" t="s">
        <v>91</v>
      </c>
      <c r="B657" s="4" t="s">
        <v>523</v>
      </c>
      <c r="C657" s="4" t="s">
        <v>524</v>
      </c>
      <c r="D657" s="4" t="s">
        <v>529</v>
      </c>
      <c r="E657" s="40">
        <v>120</v>
      </c>
      <c r="F657" s="40">
        <v>67.900000000000006</v>
      </c>
      <c r="G657" s="4" t="s">
        <v>531</v>
      </c>
      <c r="H657" s="40">
        <v>409.67</v>
      </c>
      <c r="I657" s="3">
        <v>409.54</v>
      </c>
    </row>
    <row r="658" spans="1:9" x14ac:dyDescent="0.25">
      <c r="A658" s="35" t="s">
        <v>92</v>
      </c>
      <c r="B658" s="4" t="s">
        <v>523</v>
      </c>
      <c r="C658" s="4" t="s">
        <v>524</v>
      </c>
      <c r="D658" s="4" t="s">
        <v>529</v>
      </c>
      <c r="E658" s="40">
        <v>121</v>
      </c>
      <c r="F658" s="40">
        <v>70.3</v>
      </c>
      <c r="G658" s="4" t="s">
        <v>531</v>
      </c>
      <c r="H658" s="40">
        <v>421.41</v>
      </c>
      <c r="I658" s="3">
        <v>421.29</v>
      </c>
    </row>
    <row r="659" spans="1:9" x14ac:dyDescent="0.25">
      <c r="A659" s="35" t="s">
        <v>93</v>
      </c>
      <c r="B659" s="4" t="s">
        <v>523</v>
      </c>
      <c r="C659" s="4" t="s">
        <v>524</v>
      </c>
      <c r="D659" s="4" t="s">
        <v>529</v>
      </c>
      <c r="E659" s="40">
        <v>120</v>
      </c>
      <c r="F659" s="40">
        <v>68.099999999999994</v>
      </c>
      <c r="G659" s="4" t="s">
        <v>531</v>
      </c>
      <c r="H659" s="40">
        <v>417.09</v>
      </c>
      <c r="I659" s="3">
        <v>416.95</v>
      </c>
    </row>
    <row r="660" spans="1:9" x14ac:dyDescent="0.25">
      <c r="A660" s="35" t="s">
        <v>49</v>
      </c>
      <c r="B660" s="4" t="s">
        <v>523</v>
      </c>
      <c r="C660" s="4" t="s">
        <v>524</v>
      </c>
      <c r="D660" s="4" t="s">
        <v>530</v>
      </c>
      <c r="E660" s="40">
        <v>91</v>
      </c>
      <c r="F660" s="40">
        <v>52.9</v>
      </c>
      <c r="G660" s="4" t="s">
        <v>531</v>
      </c>
      <c r="H660" s="40">
        <v>420.28</v>
      </c>
      <c r="I660" s="3">
        <v>420.18</v>
      </c>
    </row>
    <row r="661" spans="1:9" x14ac:dyDescent="0.25">
      <c r="A661" s="35" t="s">
        <v>50</v>
      </c>
      <c r="B661" s="4" t="s">
        <v>523</v>
      </c>
      <c r="C661" s="4" t="s">
        <v>524</v>
      </c>
      <c r="D661" s="4" t="s">
        <v>530</v>
      </c>
      <c r="E661" s="40">
        <v>93</v>
      </c>
      <c r="F661" s="40">
        <v>53.3</v>
      </c>
      <c r="G661" s="4" t="s">
        <v>531</v>
      </c>
      <c r="H661" s="40">
        <v>417.32</v>
      </c>
      <c r="I661" s="3">
        <v>417.22</v>
      </c>
    </row>
    <row r="662" spans="1:9" x14ac:dyDescent="0.25">
      <c r="A662" s="35" t="s">
        <v>51</v>
      </c>
      <c r="B662" s="4" t="s">
        <v>523</v>
      </c>
      <c r="C662" s="4" t="s">
        <v>524</v>
      </c>
      <c r="D662" s="4" t="s">
        <v>530</v>
      </c>
      <c r="E662" s="40">
        <v>90</v>
      </c>
      <c r="F662" s="40">
        <v>51.8</v>
      </c>
      <c r="G662" s="4" t="s">
        <v>531</v>
      </c>
      <c r="H662" s="40">
        <v>419.52</v>
      </c>
      <c r="I662" s="3">
        <v>419.45</v>
      </c>
    </row>
    <row r="663" spans="1:9" x14ac:dyDescent="0.25">
      <c r="A663" s="35" t="s">
        <v>100</v>
      </c>
      <c r="B663" s="4" t="s">
        <v>523</v>
      </c>
      <c r="C663" s="4" t="s">
        <v>524</v>
      </c>
      <c r="D663" s="4" t="s">
        <v>532</v>
      </c>
      <c r="E663" s="40">
        <v>72</v>
      </c>
      <c r="F663" s="40">
        <v>38.700000000000003</v>
      </c>
      <c r="G663" s="4" t="s">
        <v>531</v>
      </c>
      <c r="H663" s="40">
        <v>398</v>
      </c>
      <c r="I663" s="3">
        <v>397.83</v>
      </c>
    </row>
    <row r="664" spans="1:9" x14ac:dyDescent="0.25">
      <c r="A664" s="35" t="s">
        <v>101</v>
      </c>
      <c r="B664" s="4" t="s">
        <v>523</v>
      </c>
      <c r="C664" s="4" t="s">
        <v>524</v>
      </c>
      <c r="D664" s="4" t="s">
        <v>532</v>
      </c>
      <c r="E664" s="40">
        <v>69</v>
      </c>
      <c r="F664" s="40">
        <v>36.4</v>
      </c>
      <c r="G664" s="4" t="s">
        <v>531</v>
      </c>
      <c r="H664" s="40">
        <v>399.85</v>
      </c>
      <c r="I664" s="3">
        <v>399.8</v>
      </c>
    </row>
    <row r="665" spans="1:9" x14ac:dyDescent="0.25">
      <c r="A665" s="35" t="s">
        <v>102</v>
      </c>
      <c r="B665" s="4" t="s">
        <v>523</v>
      </c>
      <c r="C665" s="4" t="s">
        <v>524</v>
      </c>
      <c r="D665" s="4" t="s">
        <v>532</v>
      </c>
      <c r="E665" s="40">
        <v>73</v>
      </c>
      <c r="F665" s="40">
        <v>38.700000000000003</v>
      </c>
      <c r="G665" s="4" t="s">
        <v>531</v>
      </c>
      <c r="H665" s="40">
        <v>400.85</v>
      </c>
      <c r="I665" s="3">
        <v>400.72</v>
      </c>
    </row>
    <row r="666" spans="1:9" x14ac:dyDescent="0.25">
      <c r="A666" s="35" t="s">
        <v>97</v>
      </c>
      <c r="B666" s="4" t="s">
        <v>523</v>
      </c>
      <c r="C666" s="4" t="s">
        <v>524</v>
      </c>
      <c r="D666" s="4" t="s">
        <v>533</v>
      </c>
      <c r="E666" s="40">
        <v>127</v>
      </c>
      <c r="F666" s="40">
        <v>66.599999999999994</v>
      </c>
      <c r="G666" s="4" t="s">
        <v>531</v>
      </c>
      <c r="H666" s="40">
        <v>401.5</v>
      </c>
      <c r="I666" s="3">
        <v>401.36</v>
      </c>
    </row>
    <row r="667" spans="1:9" x14ac:dyDescent="0.25">
      <c r="A667" s="35" t="s">
        <v>98</v>
      </c>
      <c r="B667" s="4" t="s">
        <v>523</v>
      </c>
      <c r="C667" s="4" t="s">
        <v>524</v>
      </c>
      <c r="D667" s="4" t="s">
        <v>533</v>
      </c>
      <c r="E667" s="40">
        <v>120</v>
      </c>
      <c r="F667" s="40">
        <v>63.1</v>
      </c>
      <c r="G667" s="4" t="s">
        <v>531</v>
      </c>
      <c r="H667" s="40">
        <v>401.51</v>
      </c>
      <c r="I667" s="3">
        <v>401.37</v>
      </c>
    </row>
    <row r="668" spans="1:9" x14ac:dyDescent="0.25">
      <c r="A668" s="35" t="s">
        <v>99</v>
      </c>
      <c r="B668" s="4" t="s">
        <v>523</v>
      </c>
      <c r="C668" s="4" t="s">
        <v>524</v>
      </c>
      <c r="D668" s="4" t="s">
        <v>533</v>
      </c>
      <c r="E668" s="40">
        <v>130</v>
      </c>
      <c r="F668" s="40">
        <v>67.8</v>
      </c>
      <c r="G668" s="4" t="s">
        <v>531</v>
      </c>
      <c r="H668" s="40">
        <v>402.64</v>
      </c>
      <c r="I668" s="3">
        <v>402.49</v>
      </c>
    </row>
    <row r="669" spans="1:9" x14ac:dyDescent="0.25">
      <c r="A669" s="35" t="s">
        <v>52</v>
      </c>
      <c r="B669" s="4" t="s">
        <v>523</v>
      </c>
      <c r="C669" s="4" t="s">
        <v>524</v>
      </c>
      <c r="D669" s="4" t="s">
        <v>176</v>
      </c>
      <c r="E669" s="40">
        <v>80</v>
      </c>
      <c r="F669" s="40">
        <v>44.9</v>
      </c>
      <c r="G669" s="4" t="s">
        <v>531</v>
      </c>
      <c r="H669" s="40">
        <v>406.36</v>
      </c>
      <c r="I669" s="3">
        <v>406.27</v>
      </c>
    </row>
    <row r="670" spans="1:9" x14ac:dyDescent="0.25">
      <c r="A670" s="35" t="s">
        <v>53</v>
      </c>
      <c r="B670" s="4" t="s">
        <v>523</v>
      </c>
      <c r="C670" s="4" t="s">
        <v>524</v>
      </c>
      <c r="D670" s="4" t="s">
        <v>176</v>
      </c>
      <c r="E670" s="40">
        <v>75</v>
      </c>
      <c r="F670" s="40">
        <v>42.6</v>
      </c>
      <c r="G670" s="4" t="s">
        <v>531</v>
      </c>
      <c r="H670" s="40">
        <v>412</v>
      </c>
      <c r="I670" s="3">
        <v>411.93</v>
      </c>
    </row>
    <row r="671" spans="1:9" x14ac:dyDescent="0.25">
      <c r="A671" s="35" t="s">
        <v>54</v>
      </c>
      <c r="B671" s="4" t="s">
        <v>523</v>
      </c>
      <c r="C671" s="4" t="s">
        <v>524</v>
      </c>
      <c r="D671" s="4" t="s">
        <v>176</v>
      </c>
      <c r="E671" s="40">
        <v>80</v>
      </c>
      <c r="F671" s="40">
        <v>46</v>
      </c>
      <c r="G671" s="4" t="s">
        <v>531</v>
      </c>
      <c r="H671" s="40">
        <v>418.56</v>
      </c>
      <c r="I671" s="3">
        <v>418.5</v>
      </c>
    </row>
    <row r="672" spans="1:9" x14ac:dyDescent="0.25">
      <c r="A672" s="35" t="s">
        <v>58</v>
      </c>
      <c r="B672" s="4" t="s">
        <v>523</v>
      </c>
      <c r="C672" s="4" t="s">
        <v>524</v>
      </c>
      <c r="D672" s="4" t="s">
        <v>534</v>
      </c>
      <c r="E672" s="40">
        <v>82</v>
      </c>
      <c r="F672" s="40">
        <v>46.6</v>
      </c>
      <c r="G672" s="4" t="s">
        <v>531</v>
      </c>
      <c r="H672" s="40">
        <v>415.06</v>
      </c>
      <c r="I672" s="3">
        <v>414.97</v>
      </c>
    </row>
    <row r="673" spans="1:10" x14ac:dyDescent="0.25">
      <c r="A673" s="35" t="s">
        <v>59</v>
      </c>
      <c r="B673" s="4" t="s">
        <v>523</v>
      </c>
      <c r="C673" s="4" t="s">
        <v>524</v>
      </c>
      <c r="D673" s="4" t="s">
        <v>534</v>
      </c>
      <c r="E673" s="40">
        <v>94</v>
      </c>
      <c r="F673" s="40">
        <v>53.8</v>
      </c>
      <c r="G673" s="4" t="s">
        <v>531</v>
      </c>
      <c r="H673" s="40">
        <v>418.99</v>
      </c>
      <c r="I673" s="3">
        <v>418.91</v>
      </c>
    </row>
    <row r="674" spans="1:10" x14ac:dyDescent="0.25">
      <c r="A674" s="35" t="s">
        <v>60</v>
      </c>
      <c r="B674" s="4" t="s">
        <v>523</v>
      </c>
      <c r="C674" s="4" t="s">
        <v>524</v>
      </c>
      <c r="D674" s="4" t="s">
        <v>534</v>
      </c>
      <c r="E674" s="40">
        <v>84</v>
      </c>
      <c r="F674" s="40">
        <v>48.5</v>
      </c>
      <c r="G674" s="4" t="s">
        <v>531</v>
      </c>
      <c r="H674" s="40">
        <v>417.11</v>
      </c>
      <c r="I674" s="3">
        <v>417.03</v>
      </c>
    </row>
    <row r="675" spans="1:10" x14ac:dyDescent="0.25">
      <c r="A675" s="35" t="s">
        <v>35</v>
      </c>
      <c r="B675" s="4" t="s">
        <v>523</v>
      </c>
      <c r="C675" s="4" t="s">
        <v>524</v>
      </c>
      <c r="D675" s="4" t="s">
        <v>535</v>
      </c>
      <c r="E675" s="40">
        <v>100</v>
      </c>
      <c r="F675" s="40">
        <v>42.9</v>
      </c>
      <c r="G675" s="4" t="s">
        <v>531</v>
      </c>
      <c r="H675" s="40">
        <v>347.68</v>
      </c>
      <c r="I675" s="3">
        <v>347.57</v>
      </c>
    </row>
    <row r="676" spans="1:10" x14ac:dyDescent="0.25">
      <c r="A676" s="35" t="s">
        <v>36</v>
      </c>
      <c r="B676" s="4" t="s">
        <v>523</v>
      </c>
      <c r="C676" s="4" t="s">
        <v>524</v>
      </c>
      <c r="D676" s="4" t="s">
        <v>535</v>
      </c>
      <c r="E676" s="40">
        <v>99</v>
      </c>
      <c r="F676" s="40">
        <v>43.4</v>
      </c>
      <c r="G676" s="4" t="s">
        <v>531</v>
      </c>
      <c r="H676" s="40">
        <v>356.34</v>
      </c>
      <c r="I676" s="3">
        <v>356.24</v>
      </c>
    </row>
    <row r="677" spans="1:10" x14ac:dyDescent="0.25">
      <c r="A677" s="35" t="s">
        <v>37</v>
      </c>
      <c r="B677" s="4" t="s">
        <v>523</v>
      </c>
      <c r="C677" s="4" t="s">
        <v>524</v>
      </c>
      <c r="D677" s="4" t="s">
        <v>535</v>
      </c>
      <c r="E677" s="40">
        <v>97</v>
      </c>
      <c r="F677" s="40">
        <v>43.1</v>
      </c>
      <c r="G677" s="4" t="s">
        <v>531</v>
      </c>
      <c r="H677" s="40">
        <v>356.61</v>
      </c>
      <c r="I677" s="3">
        <v>356.51</v>
      </c>
    </row>
    <row r="678" spans="1:10" x14ac:dyDescent="0.25">
      <c r="A678" s="35" t="s">
        <v>94</v>
      </c>
      <c r="B678" s="4" t="s">
        <v>523</v>
      </c>
      <c r="C678" s="4" t="s">
        <v>524</v>
      </c>
      <c r="D678" s="4" t="s">
        <v>536</v>
      </c>
      <c r="E678" s="40">
        <v>122</v>
      </c>
      <c r="F678" s="40">
        <v>67.900000000000006</v>
      </c>
      <c r="G678" s="4" t="s">
        <v>531</v>
      </c>
      <c r="H678" s="40">
        <v>410.88</v>
      </c>
      <c r="I678" s="3">
        <v>410.75</v>
      </c>
    </row>
    <row r="679" spans="1:10" x14ac:dyDescent="0.25">
      <c r="A679" s="35" t="s">
        <v>95</v>
      </c>
      <c r="B679" s="4" t="s">
        <v>523</v>
      </c>
      <c r="C679" s="4" t="s">
        <v>524</v>
      </c>
      <c r="D679" s="4" t="s">
        <v>536</v>
      </c>
      <c r="E679" s="40">
        <v>110</v>
      </c>
      <c r="F679" s="40">
        <v>60.1</v>
      </c>
      <c r="G679" s="4" t="s">
        <v>531</v>
      </c>
      <c r="H679" s="40">
        <v>401.15</v>
      </c>
      <c r="I679" s="3">
        <v>401.04</v>
      </c>
      <c r="J679" s="3"/>
    </row>
    <row r="680" spans="1:10" x14ac:dyDescent="0.25">
      <c r="A680" s="35" t="s">
        <v>96</v>
      </c>
      <c r="B680" s="4" t="s">
        <v>523</v>
      </c>
      <c r="C680" s="4" t="s">
        <v>524</v>
      </c>
      <c r="D680" s="4" t="s">
        <v>536</v>
      </c>
      <c r="E680" s="40">
        <v>118</v>
      </c>
      <c r="F680" s="40">
        <v>63.4</v>
      </c>
      <c r="G680" s="4" t="s">
        <v>531</v>
      </c>
      <c r="H680" s="40">
        <v>409.34</v>
      </c>
      <c r="I680" s="3">
        <v>409.2</v>
      </c>
    </row>
    <row r="681" spans="1:10" x14ac:dyDescent="0.25">
      <c r="A681" s="35" t="s">
        <v>103</v>
      </c>
      <c r="B681" s="4" t="s">
        <v>523</v>
      </c>
      <c r="C681" s="4" t="s">
        <v>524</v>
      </c>
      <c r="D681" s="4" t="s">
        <v>537</v>
      </c>
      <c r="E681" s="40">
        <v>125</v>
      </c>
      <c r="F681" s="40">
        <v>66.900000000000006</v>
      </c>
      <c r="G681" s="4" t="s">
        <v>531</v>
      </c>
      <c r="H681" s="40">
        <v>415.82</v>
      </c>
      <c r="I681" s="3">
        <v>415.68</v>
      </c>
    </row>
    <row r="682" spans="1:10" x14ac:dyDescent="0.25">
      <c r="A682" s="35" t="s">
        <v>104</v>
      </c>
      <c r="B682" s="4" t="s">
        <v>523</v>
      </c>
      <c r="C682" s="4" t="s">
        <v>524</v>
      </c>
      <c r="D682" s="4" t="s">
        <v>537</v>
      </c>
      <c r="E682" s="40">
        <v>109</v>
      </c>
      <c r="F682" s="40">
        <v>58</v>
      </c>
      <c r="G682" s="4" t="s">
        <v>531</v>
      </c>
      <c r="H682" s="40">
        <v>415.95</v>
      </c>
      <c r="I682" s="3">
        <v>415.82</v>
      </c>
    </row>
    <row r="683" spans="1:10" x14ac:dyDescent="0.25">
      <c r="A683" s="35" t="s">
        <v>105</v>
      </c>
      <c r="B683" s="4" t="s">
        <v>523</v>
      </c>
      <c r="C683" s="4" t="s">
        <v>524</v>
      </c>
      <c r="D683" s="4" t="s">
        <v>537</v>
      </c>
      <c r="E683" s="40">
        <v>101</v>
      </c>
      <c r="F683" s="40">
        <v>54.3</v>
      </c>
      <c r="G683" s="4" t="s">
        <v>531</v>
      </c>
      <c r="H683" s="40">
        <v>417.86</v>
      </c>
      <c r="I683" s="3">
        <v>417.75</v>
      </c>
    </row>
    <row r="684" spans="1:10" x14ac:dyDescent="0.25">
      <c r="A684" s="35" t="s">
        <v>29</v>
      </c>
      <c r="B684" s="4" t="s">
        <v>523</v>
      </c>
      <c r="C684" s="4" t="s">
        <v>524</v>
      </c>
      <c r="H684" s="40">
        <v>366.58</v>
      </c>
      <c r="I684" s="3"/>
    </row>
    <row r="685" spans="1:10" x14ac:dyDescent="0.25">
      <c r="A685" s="35" t="s">
        <v>30</v>
      </c>
      <c r="B685" s="4" t="s">
        <v>523</v>
      </c>
      <c r="C685" s="4" t="s">
        <v>524</v>
      </c>
      <c r="H685" s="40">
        <v>358.47</v>
      </c>
      <c r="I685" s="3"/>
    </row>
    <row r="686" spans="1:10" x14ac:dyDescent="0.25">
      <c r="A686" s="35" t="s">
        <v>31</v>
      </c>
      <c r="B686" s="4" t="s">
        <v>523</v>
      </c>
      <c r="C686" s="4" t="s">
        <v>524</v>
      </c>
      <c r="H686" s="40">
        <v>358.46</v>
      </c>
      <c r="I686" s="3"/>
    </row>
  </sheetData>
  <phoneticPr fontId="2" type="noConversion"/>
  <pageMargins left="0.75" right="0.75" top="1" bottom="1" header="0.51180555555555496" footer="0.51180555555555496"/>
  <pageSetup orientation="portrait" horizontalDpi="4294967292" verticalDpi="4294967292"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G318"/>
  <sheetViews>
    <sheetView topLeftCell="A187" workbookViewId="0">
      <selection activeCell="F209" sqref="F209"/>
    </sheetView>
  </sheetViews>
  <sheetFormatPr defaultColWidth="8.75" defaultRowHeight="12.75" x14ac:dyDescent="0.2"/>
  <cols>
    <col min="2" max="2" width="15.25" customWidth="1"/>
    <col min="3" max="3" width="9.875" style="1" bestFit="1" customWidth="1"/>
    <col min="5" max="5" width="11.125" style="4" bestFit="1" customWidth="1"/>
  </cols>
  <sheetData>
    <row r="1" spans="1:5" x14ac:dyDescent="0.2">
      <c r="C1" s="1" t="s">
        <v>15</v>
      </c>
      <c r="D1" s="8" t="s">
        <v>344</v>
      </c>
      <c r="E1" s="4" t="s">
        <v>16</v>
      </c>
    </row>
    <row r="2" spans="1:5" x14ac:dyDescent="0.2">
      <c r="A2" s="8" t="s">
        <v>8</v>
      </c>
      <c r="B2" t="s">
        <v>9</v>
      </c>
      <c r="C2" s="1" t="s">
        <v>15</v>
      </c>
      <c r="D2" t="s">
        <v>346</v>
      </c>
      <c r="E2" s="4" t="s">
        <v>16</v>
      </c>
    </row>
    <row r="3" spans="1:5" ht="15" x14ac:dyDescent="0.2">
      <c r="A3" s="11" t="s">
        <v>38</v>
      </c>
      <c r="B3" s="11" t="s">
        <v>161</v>
      </c>
      <c r="C3" s="2" t="s">
        <v>89</v>
      </c>
      <c r="D3" t="s">
        <v>180</v>
      </c>
      <c r="E3" s="22" t="s">
        <v>139</v>
      </c>
    </row>
    <row r="4" spans="1:5" ht="15" x14ac:dyDescent="0.2">
      <c r="A4" s="11" t="s">
        <v>39</v>
      </c>
      <c r="B4" s="11" t="s">
        <v>161</v>
      </c>
      <c r="C4" s="2" t="s">
        <v>89</v>
      </c>
      <c r="D4" t="s">
        <v>181</v>
      </c>
      <c r="E4" s="22" t="s">
        <v>139</v>
      </c>
    </row>
    <row r="5" spans="1:5" ht="15" x14ac:dyDescent="0.2">
      <c r="A5" s="11" t="s">
        <v>40</v>
      </c>
      <c r="B5" s="11" t="s">
        <v>161</v>
      </c>
      <c r="C5" s="2" t="s">
        <v>89</v>
      </c>
      <c r="D5" t="s">
        <v>182</v>
      </c>
      <c r="E5" s="22" t="s">
        <v>139</v>
      </c>
    </row>
    <row r="6" spans="1:5" ht="15" x14ac:dyDescent="0.2">
      <c r="A6" s="11" t="s">
        <v>46</v>
      </c>
      <c r="B6" s="11" t="s">
        <v>162</v>
      </c>
      <c r="C6" s="2" t="s">
        <v>89</v>
      </c>
      <c r="D6" t="s">
        <v>183</v>
      </c>
      <c r="E6" s="22" t="s">
        <v>140</v>
      </c>
    </row>
    <row r="7" spans="1:5" ht="15" x14ac:dyDescent="0.2">
      <c r="A7" s="11" t="s">
        <v>47</v>
      </c>
      <c r="B7" s="11" t="s">
        <v>162</v>
      </c>
      <c r="C7" s="2" t="s">
        <v>89</v>
      </c>
      <c r="D7" t="s">
        <v>184</v>
      </c>
      <c r="E7" s="22" t="s">
        <v>140</v>
      </c>
    </row>
    <row r="8" spans="1:5" ht="15" x14ac:dyDescent="0.2">
      <c r="A8" s="11" t="s">
        <v>48</v>
      </c>
      <c r="B8" s="11" t="s">
        <v>162</v>
      </c>
      <c r="C8" s="2" t="s">
        <v>89</v>
      </c>
      <c r="D8" t="s">
        <v>185</v>
      </c>
      <c r="E8" s="22" t="s">
        <v>140</v>
      </c>
    </row>
    <row r="9" spans="1:5" ht="15" x14ac:dyDescent="0.2">
      <c r="A9" s="11" t="s">
        <v>49</v>
      </c>
      <c r="B9" s="11" t="s">
        <v>163</v>
      </c>
      <c r="C9" s="2" t="s">
        <v>89</v>
      </c>
      <c r="D9" t="s">
        <v>186</v>
      </c>
      <c r="E9" s="22" t="s">
        <v>141</v>
      </c>
    </row>
    <row r="10" spans="1:5" ht="15" x14ac:dyDescent="0.2">
      <c r="A10" s="11" t="s">
        <v>50</v>
      </c>
      <c r="B10" s="11" t="s">
        <v>163</v>
      </c>
      <c r="C10" s="2" t="s">
        <v>89</v>
      </c>
      <c r="D10" t="s">
        <v>187</v>
      </c>
      <c r="E10" s="22" t="s">
        <v>141</v>
      </c>
    </row>
    <row r="11" spans="1:5" ht="15" x14ac:dyDescent="0.2">
      <c r="A11" s="11" t="s">
        <v>51</v>
      </c>
      <c r="B11" s="11" t="s">
        <v>163</v>
      </c>
      <c r="C11" s="2" t="s">
        <v>89</v>
      </c>
      <c r="D11" t="s">
        <v>188</v>
      </c>
      <c r="E11" s="22" t="s">
        <v>141</v>
      </c>
    </row>
    <row r="12" spans="1:5" ht="15" x14ac:dyDescent="0.2">
      <c r="A12" s="11" t="s">
        <v>52</v>
      </c>
      <c r="B12" s="11" t="s">
        <v>164</v>
      </c>
      <c r="C12" s="2" t="s">
        <v>89</v>
      </c>
      <c r="D12" t="s">
        <v>189</v>
      </c>
      <c r="E12" s="22" t="s">
        <v>142</v>
      </c>
    </row>
    <row r="13" spans="1:5" ht="15" x14ac:dyDescent="0.2">
      <c r="A13" s="11" t="s">
        <v>53</v>
      </c>
      <c r="B13" s="11" t="s">
        <v>164</v>
      </c>
      <c r="C13" s="2" t="s">
        <v>89</v>
      </c>
      <c r="D13" t="s">
        <v>190</v>
      </c>
      <c r="E13" s="22" t="s">
        <v>142</v>
      </c>
    </row>
    <row r="14" spans="1:5" ht="15" x14ac:dyDescent="0.2">
      <c r="A14" s="11" t="s">
        <v>54</v>
      </c>
      <c r="B14" s="11" t="s">
        <v>164</v>
      </c>
      <c r="C14" s="2" t="s">
        <v>89</v>
      </c>
      <c r="D14" t="s">
        <v>191</v>
      </c>
      <c r="E14" s="22" t="s">
        <v>142</v>
      </c>
    </row>
    <row r="15" spans="1:5" ht="15" x14ac:dyDescent="0.2">
      <c r="A15" s="11" t="s">
        <v>55</v>
      </c>
      <c r="B15" s="11" t="s">
        <v>165</v>
      </c>
      <c r="C15" s="2" t="s">
        <v>89</v>
      </c>
      <c r="D15" t="s">
        <v>192</v>
      </c>
      <c r="E15" s="22" t="s">
        <v>143</v>
      </c>
    </row>
    <row r="16" spans="1:5" ht="15" x14ac:dyDescent="0.2">
      <c r="A16" s="11" t="s">
        <v>56</v>
      </c>
      <c r="B16" s="11" t="s">
        <v>165</v>
      </c>
      <c r="C16" s="2" t="s">
        <v>89</v>
      </c>
      <c r="D16" t="s">
        <v>193</v>
      </c>
      <c r="E16" s="22" t="s">
        <v>143</v>
      </c>
    </row>
    <row r="17" spans="1:5" ht="15" x14ac:dyDescent="0.2">
      <c r="A17" s="11" t="s">
        <v>57</v>
      </c>
      <c r="B17" s="11" t="s">
        <v>165</v>
      </c>
      <c r="C17" s="2" t="s">
        <v>89</v>
      </c>
      <c r="D17" t="s">
        <v>194</v>
      </c>
      <c r="E17" s="22" t="s">
        <v>143</v>
      </c>
    </row>
    <row r="18" spans="1:5" ht="15" x14ac:dyDescent="0.2">
      <c r="A18" s="11" t="s">
        <v>58</v>
      </c>
      <c r="B18" s="11" t="s">
        <v>166</v>
      </c>
      <c r="C18" s="2" t="s">
        <v>89</v>
      </c>
      <c r="D18" t="s">
        <v>195</v>
      </c>
      <c r="E18" s="22" t="s">
        <v>144</v>
      </c>
    </row>
    <row r="19" spans="1:5" ht="15" x14ac:dyDescent="0.2">
      <c r="A19" s="11" t="s">
        <v>59</v>
      </c>
      <c r="B19" s="11" t="s">
        <v>166</v>
      </c>
      <c r="C19" s="2" t="s">
        <v>89</v>
      </c>
      <c r="D19" t="s">
        <v>196</v>
      </c>
      <c r="E19" s="22" t="s">
        <v>144</v>
      </c>
    </row>
    <row r="20" spans="1:5" ht="15" x14ac:dyDescent="0.2">
      <c r="A20" s="11" t="s">
        <v>60</v>
      </c>
      <c r="B20" s="11" t="s">
        <v>166</v>
      </c>
      <c r="C20" s="2" t="s">
        <v>89</v>
      </c>
      <c r="D20" t="s">
        <v>197</v>
      </c>
      <c r="E20" s="22" t="s">
        <v>144</v>
      </c>
    </row>
    <row r="21" spans="1:5" ht="15" x14ac:dyDescent="0.2">
      <c r="A21" s="11" t="s">
        <v>91</v>
      </c>
      <c r="B21" s="11" t="s">
        <v>130</v>
      </c>
      <c r="C21" s="2" t="s">
        <v>89</v>
      </c>
      <c r="D21" t="s">
        <v>198</v>
      </c>
      <c r="E21" s="22" t="s">
        <v>146</v>
      </c>
    </row>
    <row r="22" spans="1:5" ht="15" x14ac:dyDescent="0.2">
      <c r="A22" s="11" t="s">
        <v>92</v>
      </c>
      <c r="B22" s="11" t="s">
        <v>130</v>
      </c>
      <c r="C22" s="2" t="s">
        <v>89</v>
      </c>
      <c r="D22" t="s">
        <v>199</v>
      </c>
      <c r="E22" s="22" t="s">
        <v>146</v>
      </c>
    </row>
    <row r="23" spans="1:5" ht="15" x14ac:dyDescent="0.2">
      <c r="A23" s="11" t="s">
        <v>93</v>
      </c>
      <c r="B23" s="11" t="s">
        <v>130</v>
      </c>
      <c r="C23" s="2" t="s">
        <v>89</v>
      </c>
      <c r="D23" t="s">
        <v>200</v>
      </c>
      <c r="E23" s="22" t="s">
        <v>146</v>
      </c>
    </row>
    <row r="24" spans="1:5" ht="15" x14ac:dyDescent="0.2">
      <c r="A24" s="11" t="s">
        <v>94</v>
      </c>
      <c r="B24" s="11" t="s">
        <v>131</v>
      </c>
      <c r="C24" s="2" t="s">
        <v>89</v>
      </c>
      <c r="D24" t="s">
        <v>201</v>
      </c>
      <c r="E24" s="22" t="s">
        <v>147</v>
      </c>
    </row>
    <row r="25" spans="1:5" ht="15" x14ac:dyDescent="0.2">
      <c r="A25" s="11" t="s">
        <v>95</v>
      </c>
      <c r="B25" s="11" t="s">
        <v>131</v>
      </c>
      <c r="C25" s="2" t="s">
        <v>89</v>
      </c>
      <c r="D25" t="s">
        <v>202</v>
      </c>
      <c r="E25" s="22" t="s">
        <v>147</v>
      </c>
    </row>
    <row r="26" spans="1:5" ht="15" x14ac:dyDescent="0.2">
      <c r="A26" s="11" t="s">
        <v>96</v>
      </c>
      <c r="B26" s="11" t="s">
        <v>131</v>
      </c>
      <c r="C26" s="2" t="s">
        <v>89</v>
      </c>
      <c r="D26" t="s">
        <v>203</v>
      </c>
      <c r="E26" s="22" t="s">
        <v>147</v>
      </c>
    </row>
    <row r="27" spans="1:5" ht="15" x14ac:dyDescent="0.2">
      <c r="A27" s="11" t="s">
        <v>97</v>
      </c>
      <c r="B27" s="11" t="s">
        <v>167</v>
      </c>
      <c r="C27" s="2" t="s">
        <v>89</v>
      </c>
      <c r="D27" t="s">
        <v>204</v>
      </c>
      <c r="E27" s="22" t="s">
        <v>148</v>
      </c>
    </row>
    <row r="28" spans="1:5" ht="15" x14ac:dyDescent="0.2">
      <c r="A28" s="11" t="s">
        <v>98</v>
      </c>
      <c r="B28" s="11" t="s">
        <v>167</v>
      </c>
      <c r="C28" s="2" t="s">
        <v>89</v>
      </c>
      <c r="D28" t="s">
        <v>205</v>
      </c>
      <c r="E28" s="22" t="s">
        <v>148</v>
      </c>
    </row>
    <row r="29" spans="1:5" ht="15" x14ac:dyDescent="0.2">
      <c r="A29" s="11" t="s">
        <v>99</v>
      </c>
      <c r="B29" s="11" t="s">
        <v>167</v>
      </c>
      <c r="C29" s="2" t="s">
        <v>89</v>
      </c>
      <c r="D29" t="s">
        <v>206</v>
      </c>
      <c r="E29" s="22" t="s">
        <v>148</v>
      </c>
    </row>
    <row r="30" spans="1:5" ht="15" x14ac:dyDescent="0.2">
      <c r="A30" s="11" t="s">
        <v>100</v>
      </c>
      <c r="B30" s="11" t="s">
        <v>168</v>
      </c>
      <c r="C30" s="2" t="s">
        <v>89</v>
      </c>
      <c r="D30" t="s">
        <v>207</v>
      </c>
      <c r="E30" s="22" t="s">
        <v>149</v>
      </c>
    </row>
    <row r="31" spans="1:5" ht="15" x14ac:dyDescent="0.2">
      <c r="A31" s="11" t="s">
        <v>101</v>
      </c>
      <c r="B31" s="11" t="s">
        <v>168</v>
      </c>
      <c r="C31" s="2" t="s">
        <v>89</v>
      </c>
      <c r="D31" t="s">
        <v>208</v>
      </c>
      <c r="E31" s="22" t="s">
        <v>149</v>
      </c>
    </row>
    <row r="32" spans="1:5" ht="15" x14ac:dyDescent="0.2">
      <c r="A32" s="11" t="s">
        <v>102</v>
      </c>
      <c r="B32" s="11" t="s">
        <v>168</v>
      </c>
      <c r="C32" s="2" t="s">
        <v>89</v>
      </c>
      <c r="D32" t="s">
        <v>209</v>
      </c>
      <c r="E32" s="22" t="s">
        <v>149</v>
      </c>
    </row>
    <row r="33" spans="1:5" ht="15" x14ac:dyDescent="0.2">
      <c r="A33" s="11" t="s">
        <v>103</v>
      </c>
      <c r="B33" s="11" t="s">
        <v>134</v>
      </c>
      <c r="C33" s="2" t="s">
        <v>89</v>
      </c>
      <c r="D33" t="s">
        <v>210</v>
      </c>
      <c r="E33" s="4">
        <v>1002</v>
      </c>
    </row>
    <row r="34" spans="1:5" ht="15" x14ac:dyDescent="0.2">
      <c r="A34" s="11" t="s">
        <v>104</v>
      </c>
      <c r="B34" s="11" t="s">
        <v>134</v>
      </c>
      <c r="C34" s="2" t="s">
        <v>89</v>
      </c>
      <c r="D34" t="s">
        <v>211</v>
      </c>
      <c r="E34" s="4">
        <v>1002</v>
      </c>
    </row>
    <row r="35" spans="1:5" ht="15" x14ac:dyDescent="0.2">
      <c r="A35" s="11" t="s">
        <v>105</v>
      </c>
      <c r="B35" s="11" t="s">
        <v>134</v>
      </c>
      <c r="C35" s="2" t="s">
        <v>89</v>
      </c>
      <c r="D35" t="s">
        <v>212</v>
      </c>
      <c r="E35" s="4">
        <v>1002</v>
      </c>
    </row>
    <row r="36" spans="1:5" ht="15" x14ac:dyDescent="0.2">
      <c r="A36" s="11" t="s">
        <v>32</v>
      </c>
      <c r="B36" s="11" t="s">
        <v>169</v>
      </c>
      <c r="C36" s="2" t="s">
        <v>89</v>
      </c>
      <c r="D36" t="s">
        <v>213</v>
      </c>
      <c r="E36" s="4">
        <v>1008</v>
      </c>
    </row>
    <row r="37" spans="1:5" ht="15" x14ac:dyDescent="0.2">
      <c r="A37" s="11" t="s">
        <v>33</v>
      </c>
      <c r="B37" s="11" t="s">
        <v>169</v>
      </c>
      <c r="C37" s="2" t="s">
        <v>89</v>
      </c>
      <c r="D37" t="s">
        <v>214</v>
      </c>
      <c r="E37" s="4">
        <v>1008</v>
      </c>
    </row>
    <row r="38" spans="1:5" ht="15" x14ac:dyDescent="0.2">
      <c r="A38" s="11" t="s">
        <v>34</v>
      </c>
      <c r="B38" s="11" t="s">
        <v>169</v>
      </c>
      <c r="C38" s="2" t="s">
        <v>89</v>
      </c>
      <c r="D38" t="s">
        <v>215</v>
      </c>
      <c r="E38" s="4">
        <v>1008</v>
      </c>
    </row>
    <row r="39" spans="1:5" ht="15" x14ac:dyDescent="0.2">
      <c r="A39" s="11" t="s">
        <v>35</v>
      </c>
      <c r="B39" s="11" t="s">
        <v>84</v>
      </c>
      <c r="C39" s="2" t="s">
        <v>89</v>
      </c>
      <c r="D39" t="s">
        <v>216</v>
      </c>
      <c r="E39" s="4">
        <v>1014</v>
      </c>
    </row>
    <row r="40" spans="1:5" ht="15" x14ac:dyDescent="0.2">
      <c r="A40" s="11" t="s">
        <v>36</v>
      </c>
      <c r="B40" s="11" t="s">
        <v>84</v>
      </c>
      <c r="C40" s="2" t="s">
        <v>89</v>
      </c>
      <c r="D40" t="s">
        <v>217</v>
      </c>
      <c r="E40" s="4">
        <v>1014</v>
      </c>
    </row>
    <row r="41" spans="1:5" ht="15" x14ac:dyDescent="0.2">
      <c r="A41" s="11" t="s">
        <v>37</v>
      </c>
      <c r="B41" s="11" t="s">
        <v>84</v>
      </c>
      <c r="C41" s="2" t="s">
        <v>89</v>
      </c>
      <c r="D41" t="s">
        <v>218</v>
      </c>
      <c r="E41" s="4">
        <v>1014</v>
      </c>
    </row>
    <row r="42" spans="1:5" ht="15" x14ac:dyDescent="0.2">
      <c r="A42" s="11" t="s">
        <v>38</v>
      </c>
      <c r="B42" s="11" t="s">
        <v>161</v>
      </c>
      <c r="C42" s="4" t="s">
        <v>113</v>
      </c>
      <c r="D42" t="s">
        <v>219</v>
      </c>
      <c r="E42" s="22" t="s">
        <v>141</v>
      </c>
    </row>
    <row r="43" spans="1:5" ht="15" x14ac:dyDescent="0.2">
      <c r="A43" s="11" t="s">
        <v>39</v>
      </c>
      <c r="B43" s="11" t="s">
        <v>161</v>
      </c>
      <c r="C43" s="4" t="s">
        <v>113</v>
      </c>
      <c r="D43" t="s">
        <v>220</v>
      </c>
      <c r="E43" s="22" t="s">
        <v>141</v>
      </c>
    </row>
    <row r="44" spans="1:5" ht="15" x14ac:dyDescent="0.2">
      <c r="A44" s="11" t="s">
        <v>40</v>
      </c>
      <c r="B44" s="11" t="s">
        <v>161</v>
      </c>
      <c r="C44" s="4" t="s">
        <v>113</v>
      </c>
      <c r="D44" t="s">
        <v>221</v>
      </c>
      <c r="E44" s="22" t="s">
        <v>141</v>
      </c>
    </row>
    <row r="45" spans="1:5" ht="15" x14ac:dyDescent="0.2">
      <c r="A45" s="11" t="s">
        <v>46</v>
      </c>
      <c r="B45" s="11" t="s">
        <v>162</v>
      </c>
      <c r="C45" s="4" t="s">
        <v>113</v>
      </c>
      <c r="D45" t="s">
        <v>222</v>
      </c>
      <c r="E45" s="22" t="s">
        <v>150</v>
      </c>
    </row>
    <row r="46" spans="1:5" ht="15" x14ac:dyDescent="0.2">
      <c r="A46" s="11" t="s">
        <v>47</v>
      </c>
      <c r="B46" s="11" t="s">
        <v>162</v>
      </c>
      <c r="C46" s="4" t="s">
        <v>113</v>
      </c>
      <c r="D46" t="s">
        <v>223</v>
      </c>
      <c r="E46" s="22" t="s">
        <v>150</v>
      </c>
    </row>
    <row r="47" spans="1:5" ht="15" x14ac:dyDescent="0.2">
      <c r="A47" s="11" t="s">
        <v>48</v>
      </c>
      <c r="B47" s="11" t="s">
        <v>162</v>
      </c>
      <c r="C47" s="4" t="s">
        <v>113</v>
      </c>
      <c r="D47" t="s">
        <v>224</v>
      </c>
      <c r="E47" s="22" t="s">
        <v>150</v>
      </c>
    </row>
    <row r="48" spans="1:5" ht="15" x14ac:dyDescent="0.2">
      <c r="A48" s="11" t="s">
        <v>49</v>
      </c>
      <c r="B48" s="11" t="s">
        <v>163</v>
      </c>
      <c r="C48" s="4" t="s">
        <v>113</v>
      </c>
      <c r="D48" t="s">
        <v>225</v>
      </c>
      <c r="E48" s="22" t="s">
        <v>151</v>
      </c>
    </row>
    <row r="49" spans="1:5" ht="15" x14ac:dyDescent="0.2">
      <c r="A49" s="11" t="s">
        <v>50</v>
      </c>
      <c r="B49" s="11" t="s">
        <v>163</v>
      </c>
      <c r="C49" s="4" t="s">
        <v>113</v>
      </c>
      <c r="D49" t="s">
        <v>226</v>
      </c>
      <c r="E49" s="22" t="s">
        <v>151</v>
      </c>
    </row>
    <row r="50" spans="1:5" ht="15" x14ac:dyDescent="0.2">
      <c r="A50" s="11" t="s">
        <v>51</v>
      </c>
      <c r="B50" s="11" t="s">
        <v>163</v>
      </c>
      <c r="C50" s="4" t="s">
        <v>113</v>
      </c>
      <c r="D50" t="s">
        <v>227</v>
      </c>
      <c r="E50" s="22" t="s">
        <v>151</v>
      </c>
    </row>
    <row r="51" spans="1:5" ht="15" x14ac:dyDescent="0.2">
      <c r="A51" s="11" t="s">
        <v>52</v>
      </c>
      <c r="B51" s="11" t="s">
        <v>164</v>
      </c>
      <c r="C51" s="4" t="s">
        <v>113</v>
      </c>
      <c r="D51" t="s">
        <v>228</v>
      </c>
      <c r="E51" s="4">
        <v>1012</v>
      </c>
    </row>
    <row r="52" spans="1:5" ht="15" x14ac:dyDescent="0.2">
      <c r="A52" s="11" t="s">
        <v>53</v>
      </c>
      <c r="B52" s="11" t="s">
        <v>164</v>
      </c>
      <c r="C52" s="4" t="s">
        <v>113</v>
      </c>
      <c r="D52" t="s">
        <v>229</v>
      </c>
      <c r="E52" s="4">
        <v>1012</v>
      </c>
    </row>
    <row r="53" spans="1:5" ht="15" x14ac:dyDescent="0.2">
      <c r="A53" s="11" t="s">
        <v>54</v>
      </c>
      <c r="B53" s="11" t="s">
        <v>164</v>
      </c>
      <c r="C53" s="4" t="s">
        <v>113</v>
      </c>
      <c r="D53" t="s">
        <v>230</v>
      </c>
      <c r="E53" s="4">
        <v>1012</v>
      </c>
    </row>
    <row r="54" spans="1:5" ht="15" x14ac:dyDescent="0.2">
      <c r="A54" s="11" t="s">
        <v>55</v>
      </c>
      <c r="B54" s="11" t="s">
        <v>165</v>
      </c>
      <c r="C54" s="4" t="s">
        <v>113</v>
      </c>
      <c r="D54" t="s">
        <v>231</v>
      </c>
      <c r="E54" s="4">
        <v>1041</v>
      </c>
    </row>
    <row r="55" spans="1:5" ht="15" x14ac:dyDescent="0.2">
      <c r="A55" s="11" t="s">
        <v>56</v>
      </c>
      <c r="B55" s="11" t="s">
        <v>165</v>
      </c>
      <c r="C55" s="4" t="s">
        <v>113</v>
      </c>
      <c r="D55" t="s">
        <v>232</v>
      </c>
      <c r="E55" s="4">
        <v>1041</v>
      </c>
    </row>
    <row r="56" spans="1:5" ht="15" x14ac:dyDescent="0.2">
      <c r="A56" s="11" t="s">
        <v>57</v>
      </c>
      <c r="B56" s="11" t="s">
        <v>165</v>
      </c>
      <c r="C56" s="4" t="s">
        <v>113</v>
      </c>
      <c r="D56" t="s">
        <v>233</v>
      </c>
      <c r="E56" s="4">
        <v>1041</v>
      </c>
    </row>
    <row r="57" spans="1:5" ht="15" x14ac:dyDescent="0.2">
      <c r="A57" s="11" t="s">
        <v>58</v>
      </c>
      <c r="B57" s="11" t="s">
        <v>166</v>
      </c>
      <c r="C57" s="4" t="s">
        <v>113</v>
      </c>
      <c r="D57" t="s">
        <v>234</v>
      </c>
      <c r="E57" s="4">
        <v>1028</v>
      </c>
    </row>
    <row r="58" spans="1:5" ht="15" x14ac:dyDescent="0.2">
      <c r="A58" s="11" t="s">
        <v>59</v>
      </c>
      <c r="B58" s="11" t="s">
        <v>166</v>
      </c>
      <c r="C58" s="4" t="s">
        <v>113</v>
      </c>
      <c r="D58" t="s">
        <v>235</v>
      </c>
      <c r="E58" s="4">
        <v>1028</v>
      </c>
    </row>
    <row r="59" spans="1:5" ht="15" x14ac:dyDescent="0.2">
      <c r="A59" s="11" t="s">
        <v>60</v>
      </c>
      <c r="B59" s="11" t="s">
        <v>166</v>
      </c>
      <c r="C59" s="4" t="s">
        <v>113</v>
      </c>
      <c r="D59" t="s">
        <v>236</v>
      </c>
      <c r="E59" s="4">
        <v>1028</v>
      </c>
    </row>
    <row r="60" spans="1:5" ht="15" x14ac:dyDescent="0.2">
      <c r="A60" s="11" t="s">
        <v>91</v>
      </c>
      <c r="B60" s="11" t="s">
        <v>130</v>
      </c>
      <c r="C60" s="4" t="s">
        <v>113</v>
      </c>
      <c r="D60" t="s">
        <v>237</v>
      </c>
      <c r="E60" s="4">
        <v>1024</v>
      </c>
    </row>
    <row r="61" spans="1:5" ht="15" x14ac:dyDescent="0.2">
      <c r="A61" s="11" t="s">
        <v>92</v>
      </c>
      <c r="B61" s="11" t="s">
        <v>130</v>
      </c>
      <c r="C61" s="4" t="s">
        <v>113</v>
      </c>
      <c r="D61" t="s">
        <v>238</v>
      </c>
      <c r="E61" s="4">
        <v>1024</v>
      </c>
    </row>
    <row r="62" spans="1:5" ht="15" x14ac:dyDescent="0.2">
      <c r="A62" s="11" t="s">
        <v>93</v>
      </c>
      <c r="B62" s="11" t="s">
        <v>130</v>
      </c>
      <c r="C62" s="4" t="s">
        <v>113</v>
      </c>
      <c r="D62" t="s">
        <v>239</v>
      </c>
      <c r="E62" s="4">
        <v>1024</v>
      </c>
    </row>
    <row r="63" spans="1:5" ht="15" x14ac:dyDescent="0.2">
      <c r="A63" s="11" t="s">
        <v>94</v>
      </c>
      <c r="B63" s="11" t="s">
        <v>131</v>
      </c>
      <c r="C63" s="4" t="s">
        <v>113</v>
      </c>
      <c r="D63" t="s">
        <v>240</v>
      </c>
      <c r="E63" s="4">
        <v>1004</v>
      </c>
    </row>
    <row r="64" spans="1:5" ht="15" x14ac:dyDescent="0.2">
      <c r="A64" s="11" t="s">
        <v>95</v>
      </c>
      <c r="B64" s="11" t="s">
        <v>131</v>
      </c>
      <c r="C64" s="4" t="s">
        <v>113</v>
      </c>
      <c r="D64" t="s">
        <v>241</v>
      </c>
      <c r="E64" s="4">
        <v>1004</v>
      </c>
    </row>
    <row r="65" spans="1:5" ht="15" x14ac:dyDescent="0.2">
      <c r="A65" s="11" t="s">
        <v>96</v>
      </c>
      <c r="B65" s="11" t="s">
        <v>131</v>
      </c>
      <c r="C65" s="4" t="s">
        <v>113</v>
      </c>
      <c r="D65" t="s">
        <v>242</v>
      </c>
      <c r="E65" s="4">
        <v>1004</v>
      </c>
    </row>
    <row r="66" spans="1:5" ht="15" x14ac:dyDescent="0.2">
      <c r="A66" s="11" t="s">
        <v>97</v>
      </c>
      <c r="B66" s="11" t="s">
        <v>167</v>
      </c>
      <c r="C66" s="4" t="s">
        <v>113</v>
      </c>
      <c r="D66" t="s">
        <v>243</v>
      </c>
      <c r="E66" s="22" t="s">
        <v>152</v>
      </c>
    </row>
    <row r="67" spans="1:5" ht="15" x14ac:dyDescent="0.2">
      <c r="A67" s="11" t="s">
        <v>98</v>
      </c>
      <c r="B67" s="11" t="s">
        <v>167</v>
      </c>
      <c r="C67" s="4" t="s">
        <v>113</v>
      </c>
      <c r="D67" t="s">
        <v>244</v>
      </c>
      <c r="E67" s="22" t="s">
        <v>152</v>
      </c>
    </row>
    <row r="68" spans="1:5" ht="15" x14ac:dyDescent="0.2">
      <c r="A68" s="11" t="s">
        <v>99</v>
      </c>
      <c r="B68" s="11" t="s">
        <v>167</v>
      </c>
      <c r="C68" s="4" t="s">
        <v>113</v>
      </c>
      <c r="D68" t="s">
        <v>245</v>
      </c>
      <c r="E68" s="22" t="s">
        <v>152</v>
      </c>
    </row>
    <row r="69" spans="1:5" ht="15" x14ac:dyDescent="0.2">
      <c r="A69" s="11" t="s">
        <v>100</v>
      </c>
      <c r="B69" s="11" t="s">
        <v>168</v>
      </c>
      <c r="C69" s="4" t="s">
        <v>113</v>
      </c>
      <c r="D69" t="s">
        <v>246</v>
      </c>
      <c r="E69" s="22" t="s">
        <v>153</v>
      </c>
    </row>
    <row r="70" spans="1:5" ht="15" x14ac:dyDescent="0.2">
      <c r="A70" s="11" t="s">
        <v>101</v>
      </c>
      <c r="B70" s="11" t="s">
        <v>168</v>
      </c>
      <c r="C70" s="4" t="s">
        <v>113</v>
      </c>
      <c r="D70" t="s">
        <v>247</v>
      </c>
      <c r="E70" s="22" t="s">
        <v>153</v>
      </c>
    </row>
    <row r="71" spans="1:5" ht="15" x14ac:dyDescent="0.2">
      <c r="A71" s="11" t="s">
        <v>102</v>
      </c>
      <c r="B71" s="11" t="s">
        <v>168</v>
      </c>
      <c r="C71" s="4" t="s">
        <v>113</v>
      </c>
      <c r="D71" t="s">
        <v>248</v>
      </c>
      <c r="E71" s="22" t="s">
        <v>153</v>
      </c>
    </row>
    <row r="72" spans="1:5" ht="15" x14ac:dyDescent="0.2">
      <c r="A72" s="11" t="s">
        <v>103</v>
      </c>
      <c r="B72" s="11" t="s">
        <v>134</v>
      </c>
      <c r="C72" s="4" t="s">
        <v>113</v>
      </c>
      <c r="D72" t="s">
        <v>249</v>
      </c>
      <c r="E72" s="22" t="s">
        <v>154</v>
      </c>
    </row>
    <row r="73" spans="1:5" ht="15" x14ac:dyDescent="0.2">
      <c r="A73" s="11" t="s">
        <v>104</v>
      </c>
      <c r="B73" s="11" t="s">
        <v>134</v>
      </c>
      <c r="C73" s="4" t="s">
        <v>113</v>
      </c>
      <c r="D73" t="s">
        <v>250</v>
      </c>
      <c r="E73" s="22" t="s">
        <v>154</v>
      </c>
    </row>
    <row r="74" spans="1:5" ht="15" x14ac:dyDescent="0.2">
      <c r="A74" s="11" t="s">
        <v>105</v>
      </c>
      <c r="B74" s="11" t="s">
        <v>134</v>
      </c>
      <c r="C74" s="4" t="s">
        <v>113</v>
      </c>
      <c r="D74" t="s">
        <v>251</v>
      </c>
      <c r="E74" s="22" t="s">
        <v>154</v>
      </c>
    </row>
    <row r="75" spans="1:5" ht="15" x14ac:dyDescent="0.2">
      <c r="A75" s="11" t="s">
        <v>32</v>
      </c>
      <c r="B75" s="11" t="s">
        <v>169</v>
      </c>
      <c r="C75" s="4" t="s">
        <v>113</v>
      </c>
      <c r="D75" t="s">
        <v>252</v>
      </c>
      <c r="E75" s="22" t="s">
        <v>145</v>
      </c>
    </row>
    <row r="76" spans="1:5" ht="15" x14ac:dyDescent="0.2">
      <c r="A76" s="11" t="s">
        <v>33</v>
      </c>
      <c r="B76" s="11" t="s">
        <v>169</v>
      </c>
      <c r="C76" s="4" t="s">
        <v>113</v>
      </c>
      <c r="D76" t="s">
        <v>253</v>
      </c>
      <c r="E76" s="22" t="s">
        <v>145</v>
      </c>
    </row>
    <row r="77" spans="1:5" ht="15" x14ac:dyDescent="0.2">
      <c r="A77" s="11" t="s">
        <v>34</v>
      </c>
      <c r="B77" s="11" t="s">
        <v>169</v>
      </c>
      <c r="C77" s="4" t="s">
        <v>113</v>
      </c>
      <c r="D77" t="s">
        <v>254</v>
      </c>
      <c r="E77" s="22" t="s">
        <v>145</v>
      </c>
    </row>
    <row r="78" spans="1:5" ht="15" x14ac:dyDescent="0.2">
      <c r="A78" s="11" t="s">
        <v>35</v>
      </c>
      <c r="B78" s="11" t="s">
        <v>84</v>
      </c>
      <c r="C78" s="4" t="s">
        <v>113</v>
      </c>
      <c r="D78" t="s">
        <v>255</v>
      </c>
      <c r="E78" s="4">
        <v>1035</v>
      </c>
    </row>
    <row r="79" spans="1:5" ht="15" x14ac:dyDescent="0.2">
      <c r="A79" s="11" t="s">
        <v>36</v>
      </c>
      <c r="B79" s="11" t="s">
        <v>84</v>
      </c>
      <c r="C79" s="4" t="s">
        <v>113</v>
      </c>
      <c r="D79" t="s">
        <v>202</v>
      </c>
      <c r="E79" s="4">
        <v>1035</v>
      </c>
    </row>
    <row r="80" spans="1:5" ht="15" x14ac:dyDescent="0.2">
      <c r="A80" s="11" t="s">
        <v>37</v>
      </c>
      <c r="B80" s="11" t="s">
        <v>84</v>
      </c>
      <c r="C80" s="4" t="s">
        <v>113</v>
      </c>
      <c r="D80" t="s">
        <v>202</v>
      </c>
      <c r="E80" s="4">
        <v>1035</v>
      </c>
    </row>
    <row r="81" spans="1:5" ht="15" x14ac:dyDescent="0.2">
      <c r="A81" s="11" t="s">
        <v>38</v>
      </c>
      <c r="B81" s="11" t="s">
        <v>161</v>
      </c>
      <c r="C81" s="2" t="s">
        <v>117</v>
      </c>
      <c r="D81" t="s">
        <v>256</v>
      </c>
      <c r="E81" s="4">
        <v>1231</v>
      </c>
    </row>
    <row r="82" spans="1:5" ht="15" x14ac:dyDescent="0.2">
      <c r="A82" s="11" t="s">
        <v>39</v>
      </c>
      <c r="B82" s="11" t="s">
        <v>161</v>
      </c>
      <c r="C82" s="2" t="s">
        <v>117</v>
      </c>
      <c r="D82" t="s">
        <v>257</v>
      </c>
      <c r="E82" s="4">
        <v>1231</v>
      </c>
    </row>
    <row r="83" spans="1:5" ht="15" x14ac:dyDescent="0.2">
      <c r="A83" s="11" t="s">
        <v>40</v>
      </c>
      <c r="B83" s="11" t="s">
        <v>161</v>
      </c>
      <c r="C83" s="2" t="s">
        <v>117</v>
      </c>
      <c r="D83" t="s">
        <v>258</v>
      </c>
      <c r="E83" s="4">
        <v>1231</v>
      </c>
    </row>
    <row r="84" spans="1:5" ht="15" x14ac:dyDescent="0.2">
      <c r="A84" s="11" t="s">
        <v>46</v>
      </c>
      <c r="B84" s="11" t="s">
        <v>162</v>
      </c>
      <c r="C84" s="2" t="s">
        <v>117</v>
      </c>
      <c r="D84" t="s">
        <v>259</v>
      </c>
      <c r="E84" s="4">
        <v>1237</v>
      </c>
    </row>
    <row r="85" spans="1:5" ht="15" x14ac:dyDescent="0.2">
      <c r="A85" s="11" t="s">
        <v>47</v>
      </c>
      <c r="B85" s="11" t="s">
        <v>162</v>
      </c>
      <c r="C85" s="2" t="s">
        <v>117</v>
      </c>
      <c r="D85" t="s">
        <v>260</v>
      </c>
      <c r="E85" s="4">
        <v>1237</v>
      </c>
    </row>
    <row r="86" spans="1:5" ht="15" x14ac:dyDescent="0.2">
      <c r="A86" s="11" t="s">
        <v>48</v>
      </c>
      <c r="B86" s="11" t="s">
        <v>162</v>
      </c>
      <c r="C86" s="2" t="s">
        <v>117</v>
      </c>
      <c r="D86" t="s">
        <v>261</v>
      </c>
      <c r="E86" s="4">
        <v>1237</v>
      </c>
    </row>
    <row r="87" spans="1:5" ht="15" x14ac:dyDescent="0.2">
      <c r="A87" s="11" t="s">
        <v>49</v>
      </c>
      <c r="B87" s="11" t="s">
        <v>163</v>
      </c>
      <c r="C87" s="2" t="s">
        <v>117</v>
      </c>
      <c r="D87" t="s">
        <v>262</v>
      </c>
      <c r="E87" s="4">
        <v>1248</v>
      </c>
    </row>
    <row r="88" spans="1:5" ht="15" x14ac:dyDescent="0.2">
      <c r="A88" s="11" t="s">
        <v>50</v>
      </c>
      <c r="B88" s="11" t="s">
        <v>163</v>
      </c>
      <c r="C88" s="2" t="s">
        <v>117</v>
      </c>
      <c r="D88" t="s">
        <v>263</v>
      </c>
      <c r="E88" s="4">
        <v>1248</v>
      </c>
    </row>
    <row r="89" spans="1:5" ht="15" x14ac:dyDescent="0.2">
      <c r="A89" s="11" t="s">
        <v>51</v>
      </c>
      <c r="B89" s="11" t="s">
        <v>163</v>
      </c>
      <c r="C89" s="2" t="s">
        <v>117</v>
      </c>
      <c r="D89" t="s">
        <v>264</v>
      </c>
      <c r="E89" s="4">
        <v>1248</v>
      </c>
    </row>
    <row r="90" spans="1:5" ht="15" x14ac:dyDescent="0.2">
      <c r="A90" s="11" t="s">
        <v>52</v>
      </c>
      <c r="B90" s="11" t="s">
        <v>164</v>
      </c>
      <c r="C90" s="2" t="s">
        <v>117</v>
      </c>
      <c r="D90" t="s">
        <v>265</v>
      </c>
      <c r="E90" s="4">
        <v>1304</v>
      </c>
    </row>
    <row r="91" spans="1:5" ht="15" x14ac:dyDescent="0.2">
      <c r="A91" s="11" t="s">
        <v>53</v>
      </c>
      <c r="B91" s="11" t="s">
        <v>164</v>
      </c>
      <c r="C91" s="2" t="s">
        <v>117</v>
      </c>
      <c r="D91" t="s">
        <v>266</v>
      </c>
      <c r="E91" s="4">
        <v>1304</v>
      </c>
    </row>
    <row r="92" spans="1:5" ht="15" x14ac:dyDescent="0.2">
      <c r="A92" s="11" t="s">
        <v>54</v>
      </c>
      <c r="B92" s="11" t="s">
        <v>164</v>
      </c>
      <c r="C92" s="2" t="s">
        <v>117</v>
      </c>
      <c r="D92" t="s">
        <v>267</v>
      </c>
      <c r="E92" s="4">
        <v>1304</v>
      </c>
    </row>
    <row r="93" spans="1:5" ht="15" x14ac:dyDescent="0.2">
      <c r="A93" s="11" t="s">
        <v>55</v>
      </c>
      <c r="B93" s="11" t="s">
        <v>165</v>
      </c>
      <c r="C93" s="2" t="s">
        <v>117</v>
      </c>
      <c r="D93" t="s">
        <v>268</v>
      </c>
      <c r="E93" s="4">
        <v>1325</v>
      </c>
    </row>
    <row r="94" spans="1:5" ht="15" x14ac:dyDescent="0.2">
      <c r="A94" s="11" t="s">
        <v>56</v>
      </c>
      <c r="B94" s="11" t="s">
        <v>165</v>
      </c>
      <c r="C94" s="2" t="s">
        <v>117</v>
      </c>
      <c r="D94" t="s">
        <v>269</v>
      </c>
      <c r="E94" s="4">
        <v>1325</v>
      </c>
    </row>
    <row r="95" spans="1:5" ht="15" x14ac:dyDescent="0.2">
      <c r="A95" s="11" t="s">
        <v>57</v>
      </c>
      <c r="B95" s="11" t="s">
        <v>165</v>
      </c>
      <c r="C95" s="2" t="s">
        <v>117</v>
      </c>
      <c r="D95" t="s">
        <v>270</v>
      </c>
      <c r="E95" s="4">
        <v>1325</v>
      </c>
    </row>
    <row r="96" spans="1:5" ht="15" x14ac:dyDescent="0.2">
      <c r="A96" s="11" t="s">
        <v>58</v>
      </c>
      <c r="B96" s="11" t="s">
        <v>166</v>
      </c>
      <c r="C96" s="2" t="s">
        <v>117</v>
      </c>
      <c r="D96" t="s">
        <v>271</v>
      </c>
      <c r="E96" s="4">
        <v>1410</v>
      </c>
    </row>
    <row r="97" spans="1:5" ht="15" x14ac:dyDescent="0.2">
      <c r="A97" s="11" t="s">
        <v>59</v>
      </c>
      <c r="B97" s="11" t="s">
        <v>166</v>
      </c>
      <c r="C97" s="2" t="s">
        <v>117</v>
      </c>
      <c r="D97" t="s">
        <v>272</v>
      </c>
      <c r="E97" s="4">
        <v>1410</v>
      </c>
    </row>
    <row r="98" spans="1:5" ht="15" x14ac:dyDescent="0.2">
      <c r="A98" s="11" t="s">
        <v>60</v>
      </c>
      <c r="B98" s="11" t="s">
        <v>166</v>
      </c>
      <c r="C98" s="2" t="s">
        <v>117</v>
      </c>
      <c r="D98" t="s">
        <v>273</v>
      </c>
      <c r="E98" s="4">
        <v>1410</v>
      </c>
    </row>
    <row r="99" spans="1:5" ht="15" x14ac:dyDescent="0.2">
      <c r="A99" s="11" t="s">
        <v>91</v>
      </c>
      <c r="B99" s="11" t="s">
        <v>130</v>
      </c>
      <c r="C99" s="2" t="s">
        <v>117</v>
      </c>
      <c r="D99" t="s">
        <v>274</v>
      </c>
      <c r="E99" s="4">
        <v>1420</v>
      </c>
    </row>
    <row r="100" spans="1:5" ht="15" x14ac:dyDescent="0.2">
      <c r="A100" s="11" t="s">
        <v>92</v>
      </c>
      <c r="B100" s="11" t="s">
        <v>130</v>
      </c>
      <c r="C100" s="2" t="s">
        <v>117</v>
      </c>
      <c r="D100" t="s">
        <v>275</v>
      </c>
      <c r="E100" s="4">
        <v>1420</v>
      </c>
    </row>
    <row r="101" spans="1:5" ht="15" x14ac:dyDescent="0.2">
      <c r="A101" s="11" t="s">
        <v>93</v>
      </c>
      <c r="B101" s="11" t="s">
        <v>130</v>
      </c>
      <c r="C101" s="2" t="s">
        <v>117</v>
      </c>
      <c r="D101" t="s">
        <v>276</v>
      </c>
      <c r="E101" s="4">
        <v>1420</v>
      </c>
    </row>
    <row r="102" spans="1:5" ht="15" x14ac:dyDescent="0.2">
      <c r="A102" s="11" t="s">
        <v>94</v>
      </c>
      <c r="B102" s="11" t="s">
        <v>131</v>
      </c>
      <c r="C102" s="2" t="s">
        <v>117</v>
      </c>
      <c r="D102" t="s">
        <v>277</v>
      </c>
      <c r="E102" s="4">
        <v>1428</v>
      </c>
    </row>
    <row r="103" spans="1:5" ht="15" x14ac:dyDescent="0.2">
      <c r="A103" s="11" t="s">
        <v>95</v>
      </c>
      <c r="B103" s="11" t="s">
        <v>131</v>
      </c>
      <c r="C103" s="2" t="s">
        <v>117</v>
      </c>
      <c r="D103" t="s">
        <v>278</v>
      </c>
      <c r="E103" s="4">
        <v>1428</v>
      </c>
    </row>
    <row r="104" spans="1:5" ht="15" x14ac:dyDescent="0.2">
      <c r="A104" s="11" t="s">
        <v>96</v>
      </c>
      <c r="B104" s="11" t="s">
        <v>131</v>
      </c>
      <c r="C104" s="2" t="s">
        <v>117</v>
      </c>
      <c r="D104" t="s">
        <v>279</v>
      </c>
      <c r="E104" s="4">
        <v>1428</v>
      </c>
    </row>
    <row r="105" spans="1:5" ht="15" x14ac:dyDescent="0.2">
      <c r="A105" s="11" t="s">
        <v>97</v>
      </c>
      <c r="B105" s="11" t="s">
        <v>167</v>
      </c>
      <c r="C105" s="2" t="s">
        <v>117</v>
      </c>
      <c r="D105" t="s">
        <v>280</v>
      </c>
      <c r="E105" s="4">
        <v>1436</v>
      </c>
    </row>
    <row r="106" spans="1:5" ht="15" x14ac:dyDescent="0.2">
      <c r="A106" s="11" t="s">
        <v>98</v>
      </c>
      <c r="B106" s="11" t="s">
        <v>167</v>
      </c>
      <c r="C106" s="2" t="s">
        <v>117</v>
      </c>
      <c r="D106" t="s">
        <v>281</v>
      </c>
      <c r="E106" s="4">
        <v>1436</v>
      </c>
    </row>
    <row r="107" spans="1:5" ht="15" x14ac:dyDescent="0.2">
      <c r="A107" s="11" t="s">
        <v>99</v>
      </c>
      <c r="B107" s="11" t="s">
        <v>167</v>
      </c>
      <c r="C107" s="2" t="s">
        <v>117</v>
      </c>
      <c r="D107" t="s">
        <v>282</v>
      </c>
      <c r="E107" s="4">
        <v>1436</v>
      </c>
    </row>
    <row r="108" spans="1:5" ht="15" x14ac:dyDescent="0.2">
      <c r="A108" s="11" t="s">
        <v>100</v>
      </c>
      <c r="B108" s="11" t="s">
        <v>168</v>
      </c>
      <c r="C108" s="2" t="s">
        <v>117</v>
      </c>
      <c r="D108" t="s">
        <v>283</v>
      </c>
      <c r="E108" s="4">
        <v>1339</v>
      </c>
    </row>
    <row r="109" spans="1:5" ht="15" x14ac:dyDescent="0.2">
      <c r="A109" s="11" t="s">
        <v>101</v>
      </c>
      <c r="B109" s="11" t="s">
        <v>168</v>
      </c>
      <c r="C109" s="2" t="s">
        <v>117</v>
      </c>
      <c r="D109" t="s">
        <v>284</v>
      </c>
      <c r="E109" s="4">
        <v>1339</v>
      </c>
    </row>
    <row r="110" spans="1:5" ht="15" x14ac:dyDescent="0.2">
      <c r="A110" s="11" t="s">
        <v>102</v>
      </c>
      <c r="B110" s="11" t="s">
        <v>168</v>
      </c>
      <c r="C110" s="2" t="s">
        <v>117</v>
      </c>
      <c r="D110" t="s">
        <v>285</v>
      </c>
      <c r="E110" s="4">
        <v>1339</v>
      </c>
    </row>
    <row r="111" spans="1:5" ht="15" x14ac:dyDescent="0.2">
      <c r="A111" s="11" t="s">
        <v>103</v>
      </c>
      <c r="B111" s="11" t="s">
        <v>134</v>
      </c>
      <c r="C111" s="2" t="s">
        <v>117</v>
      </c>
      <c r="D111" t="s">
        <v>286</v>
      </c>
      <c r="E111" s="4">
        <v>1330</v>
      </c>
    </row>
    <row r="112" spans="1:5" ht="15" x14ac:dyDescent="0.2">
      <c r="A112" s="11" t="s">
        <v>104</v>
      </c>
      <c r="B112" s="11" t="s">
        <v>134</v>
      </c>
      <c r="C112" s="2" t="s">
        <v>117</v>
      </c>
      <c r="D112" t="s">
        <v>287</v>
      </c>
      <c r="E112" s="4">
        <v>1330</v>
      </c>
    </row>
    <row r="113" spans="1:5" ht="15" x14ac:dyDescent="0.2">
      <c r="A113" s="11" t="s">
        <v>105</v>
      </c>
      <c r="B113" s="11" t="s">
        <v>134</v>
      </c>
      <c r="C113" s="2" t="s">
        <v>117</v>
      </c>
      <c r="D113" t="s">
        <v>288</v>
      </c>
      <c r="E113" s="4">
        <v>1330</v>
      </c>
    </row>
    <row r="114" spans="1:5" ht="15" x14ac:dyDescent="0.2">
      <c r="A114" s="11" t="s">
        <v>32</v>
      </c>
      <c r="B114" s="11" t="s">
        <v>169</v>
      </c>
      <c r="C114" s="2" t="s">
        <v>117</v>
      </c>
      <c r="D114" t="s">
        <v>289</v>
      </c>
      <c r="E114" s="4">
        <v>1353</v>
      </c>
    </row>
    <row r="115" spans="1:5" ht="15" x14ac:dyDescent="0.2">
      <c r="A115" s="11" t="s">
        <v>33</v>
      </c>
      <c r="B115" s="11" t="s">
        <v>169</v>
      </c>
      <c r="C115" s="2" t="s">
        <v>117</v>
      </c>
      <c r="D115" t="s">
        <v>290</v>
      </c>
      <c r="E115" s="4">
        <v>1353</v>
      </c>
    </row>
    <row r="116" spans="1:5" ht="15" x14ac:dyDescent="0.2">
      <c r="A116" s="11" t="s">
        <v>34</v>
      </c>
      <c r="B116" s="11" t="s">
        <v>169</v>
      </c>
      <c r="C116" s="2" t="s">
        <v>117</v>
      </c>
      <c r="D116" t="s">
        <v>291</v>
      </c>
      <c r="E116" s="4">
        <v>1353</v>
      </c>
    </row>
    <row r="117" spans="1:5" ht="15" x14ac:dyDescent="0.2">
      <c r="A117" s="11" t="s">
        <v>35</v>
      </c>
      <c r="B117" s="11" t="s">
        <v>84</v>
      </c>
      <c r="C117" s="2" t="s">
        <v>117</v>
      </c>
      <c r="D117" t="s">
        <v>292</v>
      </c>
      <c r="E117" s="4">
        <v>1346</v>
      </c>
    </row>
    <row r="118" spans="1:5" ht="15" x14ac:dyDescent="0.2">
      <c r="A118" s="11" t="s">
        <v>36</v>
      </c>
      <c r="B118" s="11" t="s">
        <v>84</v>
      </c>
      <c r="C118" s="2" t="s">
        <v>117</v>
      </c>
      <c r="D118" t="s">
        <v>293</v>
      </c>
      <c r="E118" s="4">
        <v>1346</v>
      </c>
    </row>
    <row r="119" spans="1:5" ht="15" x14ac:dyDescent="0.2">
      <c r="A119" s="11" t="s">
        <v>37</v>
      </c>
      <c r="B119" s="11" t="s">
        <v>84</v>
      </c>
      <c r="C119" s="2" t="s">
        <v>117</v>
      </c>
      <c r="D119" t="s">
        <v>294</v>
      </c>
      <c r="E119" s="4">
        <v>1346</v>
      </c>
    </row>
    <row r="120" spans="1:5" ht="15" x14ac:dyDescent="0.2">
      <c r="A120" s="11" t="s">
        <v>38</v>
      </c>
      <c r="B120" s="11" t="s">
        <v>161</v>
      </c>
      <c r="C120" s="1">
        <v>21012017</v>
      </c>
      <c r="D120" t="s">
        <v>295</v>
      </c>
      <c r="E120" s="4">
        <v>1641</v>
      </c>
    </row>
    <row r="121" spans="1:5" ht="15" x14ac:dyDescent="0.2">
      <c r="A121" s="11" t="s">
        <v>39</v>
      </c>
      <c r="B121" s="11" t="s">
        <v>161</v>
      </c>
      <c r="C121" s="1">
        <v>21012017</v>
      </c>
      <c r="D121" t="s">
        <v>296</v>
      </c>
      <c r="E121" s="4">
        <v>1641</v>
      </c>
    </row>
    <row r="122" spans="1:5" ht="15" x14ac:dyDescent="0.2">
      <c r="A122" s="11" t="s">
        <v>40</v>
      </c>
      <c r="B122" s="11" t="s">
        <v>161</v>
      </c>
      <c r="C122" s="1">
        <v>21012017</v>
      </c>
      <c r="D122" t="s">
        <v>297</v>
      </c>
      <c r="E122" s="4">
        <v>1641</v>
      </c>
    </row>
    <row r="123" spans="1:5" ht="15" x14ac:dyDescent="0.2">
      <c r="A123" s="11" t="s">
        <v>46</v>
      </c>
      <c r="B123" s="11" t="s">
        <v>162</v>
      </c>
      <c r="C123" s="1">
        <v>21012017</v>
      </c>
      <c r="D123" t="s">
        <v>298</v>
      </c>
      <c r="E123" s="4">
        <v>1647</v>
      </c>
    </row>
    <row r="124" spans="1:5" ht="15" x14ac:dyDescent="0.2">
      <c r="A124" s="11" t="s">
        <v>47</v>
      </c>
      <c r="B124" s="11" t="s">
        <v>162</v>
      </c>
      <c r="C124" s="1">
        <v>21012017</v>
      </c>
      <c r="D124" t="s">
        <v>299</v>
      </c>
      <c r="E124" s="4">
        <v>1647</v>
      </c>
    </row>
    <row r="125" spans="1:5" ht="15" x14ac:dyDescent="0.2">
      <c r="A125" s="11" t="s">
        <v>48</v>
      </c>
      <c r="B125" s="11" t="s">
        <v>162</v>
      </c>
      <c r="C125" s="1">
        <v>21012017</v>
      </c>
      <c r="D125" t="s">
        <v>300</v>
      </c>
      <c r="E125" s="4">
        <v>1647</v>
      </c>
    </row>
    <row r="126" spans="1:5" ht="15" x14ac:dyDescent="0.2">
      <c r="A126" s="11" t="s">
        <v>49</v>
      </c>
      <c r="B126" s="11" t="s">
        <v>163</v>
      </c>
      <c r="C126" s="1">
        <v>21012017</v>
      </c>
      <c r="D126" t="s">
        <v>301</v>
      </c>
      <c r="E126" s="4">
        <v>1653</v>
      </c>
    </row>
    <row r="127" spans="1:5" ht="15" x14ac:dyDescent="0.2">
      <c r="A127" s="11" t="s">
        <v>50</v>
      </c>
      <c r="B127" s="11" t="s">
        <v>163</v>
      </c>
      <c r="C127" s="1">
        <v>21012017</v>
      </c>
      <c r="D127" t="s">
        <v>302</v>
      </c>
      <c r="E127" s="4">
        <v>1653</v>
      </c>
    </row>
    <row r="128" spans="1:5" ht="15" x14ac:dyDescent="0.2">
      <c r="A128" s="11" t="s">
        <v>51</v>
      </c>
      <c r="B128" s="11" t="s">
        <v>163</v>
      </c>
      <c r="C128" s="1">
        <v>21012017</v>
      </c>
      <c r="D128" t="s">
        <v>303</v>
      </c>
      <c r="E128" s="4">
        <v>1653</v>
      </c>
    </row>
    <row r="129" spans="1:5" ht="15" x14ac:dyDescent="0.2">
      <c r="A129" s="11" t="s">
        <v>52</v>
      </c>
      <c r="B129" s="11" t="s">
        <v>164</v>
      </c>
      <c r="C129" s="1">
        <v>21012017</v>
      </c>
      <c r="D129" t="s">
        <v>304</v>
      </c>
      <c r="E129" s="4">
        <v>1700</v>
      </c>
    </row>
    <row r="130" spans="1:5" ht="15" x14ac:dyDescent="0.2">
      <c r="A130" s="11" t="s">
        <v>53</v>
      </c>
      <c r="B130" s="11" t="s">
        <v>164</v>
      </c>
      <c r="C130" s="1">
        <v>21012017</v>
      </c>
      <c r="D130" t="s">
        <v>305</v>
      </c>
      <c r="E130" s="4">
        <v>1700</v>
      </c>
    </row>
    <row r="131" spans="1:5" ht="15" x14ac:dyDescent="0.2">
      <c r="A131" s="11" t="s">
        <v>54</v>
      </c>
      <c r="B131" s="11" t="s">
        <v>164</v>
      </c>
      <c r="C131" s="1">
        <v>21012017</v>
      </c>
      <c r="D131" t="s">
        <v>306</v>
      </c>
      <c r="E131" s="4">
        <v>1700</v>
      </c>
    </row>
    <row r="132" spans="1:5" ht="15" x14ac:dyDescent="0.2">
      <c r="A132" s="11" t="s">
        <v>55</v>
      </c>
      <c r="B132" s="11" t="s">
        <v>165</v>
      </c>
      <c r="C132" s="1">
        <v>21012017</v>
      </c>
      <c r="D132" t="s">
        <v>307</v>
      </c>
      <c r="E132" s="4">
        <v>1707</v>
      </c>
    </row>
    <row r="133" spans="1:5" ht="15" x14ac:dyDescent="0.2">
      <c r="A133" s="11" t="s">
        <v>56</v>
      </c>
      <c r="B133" s="11" t="s">
        <v>165</v>
      </c>
      <c r="C133" s="1">
        <v>21012017</v>
      </c>
      <c r="D133" t="s">
        <v>308</v>
      </c>
      <c r="E133" s="4">
        <v>1707</v>
      </c>
    </row>
    <row r="134" spans="1:5" ht="15" x14ac:dyDescent="0.2">
      <c r="A134" s="11" t="s">
        <v>57</v>
      </c>
      <c r="B134" s="11" t="s">
        <v>165</v>
      </c>
      <c r="C134" s="1">
        <v>21012017</v>
      </c>
      <c r="D134" t="s">
        <v>309</v>
      </c>
      <c r="E134" s="4">
        <v>1707</v>
      </c>
    </row>
    <row r="135" spans="1:5" ht="15" x14ac:dyDescent="0.2">
      <c r="A135" s="11" t="s">
        <v>58</v>
      </c>
      <c r="B135" s="11" t="s">
        <v>166</v>
      </c>
      <c r="C135" s="1">
        <v>21012017</v>
      </c>
      <c r="D135" t="s">
        <v>310</v>
      </c>
      <c r="E135" s="4">
        <v>1716</v>
      </c>
    </row>
    <row r="136" spans="1:5" ht="15" x14ac:dyDescent="0.2">
      <c r="A136" s="11" t="s">
        <v>59</v>
      </c>
      <c r="B136" s="11" t="s">
        <v>166</v>
      </c>
      <c r="C136" s="1">
        <v>21012017</v>
      </c>
      <c r="D136" t="s">
        <v>311</v>
      </c>
      <c r="E136" s="4">
        <v>1716</v>
      </c>
    </row>
    <row r="137" spans="1:5" ht="15" x14ac:dyDescent="0.2">
      <c r="A137" s="11" t="s">
        <v>60</v>
      </c>
      <c r="B137" s="11" t="s">
        <v>166</v>
      </c>
      <c r="C137" s="1">
        <v>21012017</v>
      </c>
      <c r="D137" t="s">
        <v>312</v>
      </c>
      <c r="E137" s="4">
        <v>1716</v>
      </c>
    </row>
    <row r="138" spans="1:5" ht="15" x14ac:dyDescent="0.2">
      <c r="A138" s="11" t="s">
        <v>91</v>
      </c>
      <c r="B138" s="11" t="s">
        <v>130</v>
      </c>
      <c r="C138" s="1">
        <v>21012017</v>
      </c>
      <c r="D138" t="s">
        <v>313</v>
      </c>
      <c r="E138" s="4">
        <v>1723</v>
      </c>
    </row>
    <row r="139" spans="1:5" ht="15" x14ac:dyDescent="0.2">
      <c r="A139" s="11" t="s">
        <v>92</v>
      </c>
      <c r="B139" s="11" t="s">
        <v>130</v>
      </c>
      <c r="C139" s="1">
        <v>21012017</v>
      </c>
      <c r="D139" t="s">
        <v>314</v>
      </c>
      <c r="E139" s="4">
        <v>1723</v>
      </c>
    </row>
    <row r="140" spans="1:5" ht="15" x14ac:dyDescent="0.2">
      <c r="A140" s="11" t="s">
        <v>93</v>
      </c>
      <c r="B140" s="11" t="s">
        <v>130</v>
      </c>
      <c r="C140" s="1">
        <v>21012017</v>
      </c>
      <c r="D140" t="s">
        <v>315</v>
      </c>
      <c r="E140" s="4">
        <v>1723</v>
      </c>
    </row>
    <row r="141" spans="1:5" ht="15" x14ac:dyDescent="0.2">
      <c r="A141" s="11" t="s">
        <v>94</v>
      </c>
      <c r="B141" s="11" t="s">
        <v>131</v>
      </c>
      <c r="C141" s="1">
        <v>21012017</v>
      </c>
      <c r="D141" t="s">
        <v>316</v>
      </c>
      <c r="E141" s="4">
        <v>1730</v>
      </c>
    </row>
    <row r="142" spans="1:5" ht="15" x14ac:dyDescent="0.2">
      <c r="A142" s="11" t="s">
        <v>95</v>
      </c>
      <c r="B142" s="11" t="s">
        <v>131</v>
      </c>
      <c r="C142" s="1">
        <v>21012017</v>
      </c>
      <c r="D142" t="s">
        <v>317</v>
      </c>
      <c r="E142" s="4">
        <v>1730</v>
      </c>
    </row>
    <row r="143" spans="1:5" ht="15" x14ac:dyDescent="0.2">
      <c r="A143" s="11" t="s">
        <v>96</v>
      </c>
      <c r="B143" s="11" t="s">
        <v>131</v>
      </c>
      <c r="C143" s="1">
        <v>21012017</v>
      </c>
      <c r="D143" t="s">
        <v>318</v>
      </c>
      <c r="E143" s="4">
        <v>1730</v>
      </c>
    </row>
    <row r="144" spans="1:5" ht="15" x14ac:dyDescent="0.2">
      <c r="A144" s="11" t="s">
        <v>97</v>
      </c>
      <c r="B144" s="11" t="s">
        <v>167</v>
      </c>
      <c r="C144" s="1">
        <v>21012017</v>
      </c>
      <c r="D144" t="s">
        <v>319</v>
      </c>
      <c r="E144" s="4">
        <v>1740</v>
      </c>
    </row>
    <row r="145" spans="1:5" ht="15" x14ac:dyDescent="0.2">
      <c r="A145" s="11" t="s">
        <v>98</v>
      </c>
      <c r="B145" s="11" t="s">
        <v>167</v>
      </c>
      <c r="C145" s="1">
        <v>21012017</v>
      </c>
      <c r="D145" t="s">
        <v>320</v>
      </c>
      <c r="E145" s="4">
        <v>1740</v>
      </c>
    </row>
    <row r="146" spans="1:5" ht="15" x14ac:dyDescent="0.2">
      <c r="A146" s="11" t="s">
        <v>99</v>
      </c>
      <c r="B146" s="11" t="s">
        <v>167</v>
      </c>
      <c r="C146" s="1">
        <v>21012017</v>
      </c>
      <c r="D146" t="s">
        <v>321</v>
      </c>
      <c r="E146" s="4">
        <v>1740</v>
      </c>
    </row>
    <row r="147" spans="1:5" ht="15" x14ac:dyDescent="0.2">
      <c r="A147" s="11" t="s">
        <v>100</v>
      </c>
      <c r="B147" s="11" t="s">
        <v>168</v>
      </c>
      <c r="C147" s="1">
        <v>21012017</v>
      </c>
      <c r="D147" t="s">
        <v>322</v>
      </c>
      <c r="E147" s="4">
        <v>1746</v>
      </c>
    </row>
    <row r="148" spans="1:5" ht="15" x14ac:dyDescent="0.2">
      <c r="A148" s="11" t="s">
        <v>101</v>
      </c>
      <c r="B148" s="11" t="s">
        <v>168</v>
      </c>
      <c r="C148" s="1">
        <v>21012017</v>
      </c>
      <c r="D148" t="s">
        <v>323</v>
      </c>
      <c r="E148" s="4">
        <v>1746</v>
      </c>
    </row>
    <row r="149" spans="1:5" ht="15" x14ac:dyDescent="0.2">
      <c r="A149" s="11" t="s">
        <v>102</v>
      </c>
      <c r="B149" s="11" t="s">
        <v>168</v>
      </c>
      <c r="C149" s="1">
        <v>21012017</v>
      </c>
      <c r="D149" t="s">
        <v>324</v>
      </c>
      <c r="E149" s="4">
        <v>1746</v>
      </c>
    </row>
    <row r="150" spans="1:5" ht="15" x14ac:dyDescent="0.2">
      <c r="A150" s="11" t="s">
        <v>103</v>
      </c>
      <c r="B150" s="11" t="s">
        <v>134</v>
      </c>
      <c r="C150" s="1">
        <v>21012017</v>
      </c>
      <c r="D150" t="s">
        <v>325</v>
      </c>
      <c r="E150" s="4">
        <v>1753</v>
      </c>
    </row>
    <row r="151" spans="1:5" ht="15" x14ac:dyDescent="0.2">
      <c r="A151" s="11" t="s">
        <v>104</v>
      </c>
      <c r="B151" s="11" t="s">
        <v>134</v>
      </c>
      <c r="C151" s="1">
        <v>21012017</v>
      </c>
      <c r="D151" t="s">
        <v>326</v>
      </c>
      <c r="E151" s="4">
        <v>1753</v>
      </c>
    </row>
    <row r="152" spans="1:5" ht="15" x14ac:dyDescent="0.2">
      <c r="A152" s="11" t="s">
        <v>105</v>
      </c>
      <c r="B152" s="11" t="s">
        <v>134</v>
      </c>
      <c r="C152" s="1">
        <v>21012017</v>
      </c>
      <c r="D152" t="s">
        <v>327</v>
      </c>
      <c r="E152" s="4">
        <v>1753</v>
      </c>
    </row>
    <row r="153" spans="1:5" ht="15" x14ac:dyDescent="0.2">
      <c r="A153" s="11" t="s">
        <v>32</v>
      </c>
      <c r="B153" s="11" t="s">
        <v>169</v>
      </c>
      <c r="C153" s="1">
        <v>21012017</v>
      </c>
      <c r="D153" t="s">
        <v>328</v>
      </c>
      <c r="E153" s="4">
        <v>1758</v>
      </c>
    </row>
    <row r="154" spans="1:5" ht="15" x14ac:dyDescent="0.2">
      <c r="A154" s="11" t="s">
        <v>33</v>
      </c>
      <c r="B154" s="11" t="s">
        <v>169</v>
      </c>
      <c r="C154" s="1">
        <v>21012017</v>
      </c>
      <c r="D154" t="s">
        <v>329</v>
      </c>
      <c r="E154" s="4">
        <v>1758</v>
      </c>
    </row>
    <row r="155" spans="1:5" ht="15" x14ac:dyDescent="0.2">
      <c r="A155" s="11" t="s">
        <v>34</v>
      </c>
      <c r="B155" s="11" t="s">
        <v>169</v>
      </c>
      <c r="C155" s="1">
        <v>21012017</v>
      </c>
      <c r="D155" t="s">
        <v>330</v>
      </c>
      <c r="E155" s="4">
        <v>1758</v>
      </c>
    </row>
    <row r="156" spans="1:5" ht="15" x14ac:dyDescent="0.2">
      <c r="A156" s="11" t="s">
        <v>35</v>
      </c>
      <c r="B156" s="11" t="s">
        <v>84</v>
      </c>
      <c r="C156" s="1">
        <v>21012017</v>
      </c>
      <c r="D156" t="s">
        <v>331</v>
      </c>
      <c r="E156" s="4">
        <v>1804</v>
      </c>
    </row>
    <row r="157" spans="1:5" ht="15" x14ac:dyDescent="0.2">
      <c r="A157" s="11" t="s">
        <v>36</v>
      </c>
      <c r="B157" s="11" t="s">
        <v>84</v>
      </c>
      <c r="C157" s="1">
        <v>21012017</v>
      </c>
      <c r="D157" t="s">
        <v>332</v>
      </c>
      <c r="E157" s="4">
        <v>1804</v>
      </c>
    </row>
    <row r="158" spans="1:5" ht="15" x14ac:dyDescent="0.2">
      <c r="A158" s="11" t="s">
        <v>37</v>
      </c>
      <c r="B158" s="11" t="s">
        <v>84</v>
      </c>
      <c r="C158" s="1">
        <v>21012017</v>
      </c>
      <c r="D158" t="s">
        <v>333</v>
      </c>
      <c r="E158" s="4">
        <v>1804</v>
      </c>
    </row>
    <row r="159" spans="1:5" ht="15" x14ac:dyDescent="0.2">
      <c r="A159" s="11" t="s">
        <v>38</v>
      </c>
      <c r="B159" s="11" t="s">
        <v>161</v>
      </c>
      <c r="C159" s="1">
        <v>22012017</v>
      </c>
      <c r="D159" t="s">
        <v>334</v>
      </c>
      <c r="E159" s="4">
        <v>1320</v>
      </c>
    </row>
    <row r="160" spans="1:5" ht="15" x14ac:dyDescent="0.2">
      <c r="A160" s="11" t="s">
        <v>39</v>
      </c>
      <c r="B160" s="11" t="s">
        <v>161</v>
      </c>
      <c r="C160" s="1">
        <v>22012017</v>
      </c>
      <c r="D160" t="s">
        <v>335</v>
      </c>
      <c r="E160" s="4">
        <v>1320</v>
      </c>
    </row>
    <row r="161" spans="1:5" ht="15" x14ac:dyDescent="0.2">
      <c r="A161" s="11" t="s">
        <v>40</v>
      </c>
      <c r="B161" s="11" t="s">
        <v>161</v>
      </c>
      <c r="C161" s="1">
        <v>22012017</v>
      </c>
      <c r="D161" t="s">
        <v>336</v>
      </c>
      <c r="E161" s="4">
        <v>1320</v>
      </c>
    </row>
    <row r="162" spans="1:5" ht="15" x14ac:dyDescent="0.2">
      <c r="A162" s="11" t="s">
        <v>46</v>
      </c>
      <c r="B162" s="11" t="s">
        <v>162</v>
      </c>
      <c r="C162" s="1">
        <v>22012017</v>
      </c>
      <c r="D162" s="8" t="s">
        <v>337</v>
      </c>
      <c r="E162" s="4">
        <v>1310</v>
      </c>
    </row>
    <row r="163" spans="1:5" ht="15" x14ac:dyDescent="0.2">
      <c r="A163" s="11" t="s">
        <v>47</v>
      </c>
      <c r="B163" s="11" t="s">
        <v>162</v>
      </c>
      <c r="C163" s="1">
        <v>22012017</v>
      </c>
      <c r="D163" s="8" t="s">
        <v>337</v>
      </c>
      <c r="E163" s="4">
        <v>1310</v>
      </c>
    </row>
    <row r="164" spans="1:5" ht="15" x14ac:dyDescent="0.2">
      <c r="A164" s="11" t="s">
        <v>48</v>
      </c>
      <c r="B164" s="11" t="s">
        <v>162</v>
      </c>
      <c r="C164" s="1">
        <v>22012017</v>
      </c>
      <c r="D164" t="s">
        <v>338</v>
      </c>
      <c r="E164" s="4">
        <v>1310</v>
      </c>
    </row>
    <row r="165" spans="1:5" ht="15" x14ac:dyDescent="0.2">
      <c r="A165" s="11" t="s">
        <v>49</v>
      </c>
      <c r="B165" s="11" t="s">
        <v>163</v>
      </c>
      <c r="C165" s="1">
        <v>22012017</v>
      </c>
      <c r="D165" t="s">
        <v>339</v>
      </c>
      <c r="E165" s="4">
        <v>1301</v>
      </c>
    </row>
    <row r="166" spans="1:5" ht="15" x14ac:dyDescent="0.2">
      <c r="A166" s="11" t="s">
        <v>50</v>
      </c>
      <c r="B166" s="11" t="s">
        <v>163</v>
      </c>
      <c r="C166" s="1">
        <v>22012017</v>
      </c>
      <c r="D166" t="s">
        <v>340</v>
      </c>
      <c r="E166" s="4">
        <v>1301</v>
      </c>
    </row>
    <row r="167" spans="1:5" ht="15" x14ac:dyDescent="0.2">
      <c r="A167" s="11" t="s">
        <v>51</v>
      </c>
      <c r="B167" s="11" t="s">
        <v>163</v>
      </c>
      <c r="C167" s="1">
        <v>22012017</v>
      </c>
      <c r="D167" t="s">
        <v>341</v>
      </c>
      <c r="E167" s="4">
        <v>1301</v>
      </c>
    </row>
    <row r="168" spans="1:5" ht="15" x14ac:dyDescent="0.2">
      <c r="A168" s="11" t="s">
        <v>52</v>
      </c>
      <c r="B168" s="11" t="s">
        <v>164</v>
      </c>
      <c r="C168" s="1">
        <v>22012017</v>
      </c>
      <c r="D168" t="s">
        <v>342</v>
      </c>
      <c r="E168" s="4">
        <v>1238</v>
      </c>
    </row>
    <row r="169" spans="1:5" ht="15" x14ac:dyDescent="0.2">
      <c r="A169" s="11" t="s">
        <v>53</v>
      </c>
      <c r="B169" s="11" t="s">
        <v>164</v>
      </c>
      <c r="C169" s="1">
        <v>22012017</v>
      </c>
      <c r="D169" t="s">
        <v>343</v>
      </c>
      <c r="E169" s="4">
        <v>1238</v>
      </c>
    </row>
    <row r="170" spans="1:5" ht="15" x14ac:dyDescent="0.2">
      <c r="A170" t="s">
        <v>54</v>
      </c>
      <c r="B170" s="20" t="s">
        <v>164</v>
      </c>
      <c r="C170" s="1">
        <v>22012017</v>
      </c>
      <c r="D170" t="s">
        <v>450</v>
      </c>
      <c r="E170" s="4">
        <v>1238</v>
      </c>
    </row>
    <row r="171" spans="1:5" ht="15" x14ac:dyDescent="0.2">
      <c r="A171" t="s">
        <v>55</v>
      </c>
      <c r="B171" s="11" t="s">
        <v>165</v>
      </c>
      <c r="C171" s="1">
        <v>22012017</v>
      </c>
      <c r="D171" t="s">
        <v>347</v>
      </c>
      <c r="E171" s="4">
        <v>1247</v>
      </c>
    </row>
    <row r="172" spans="1:5" ht="15" x14ac:dyDescent="0.2">
      <c r="A172" t="s">
        <v>56</v>
      </c>
      <c r="B172" s="11" t="s">
        <v>165</v>
      </c>
      <c r="C172" s="1">
        <v>22012017</v>
      </c>
      <c r="D172" t="s">
        <v>348</v>
      </c>
      <c r="E172" s="4">
        <v>1247</v>
      </c>
    </row>
    <row r="173" spans="1:5" ht="15" x14ac:dyDescent="0.2">
      <c r="A173" t="s">
        <v>57</v>
      </c>
      <c r="B173" s="11" t="s">
        <v>165</v>
      </c>
      <c r="C173" s="1">
        <v>22012017</v>
      </c>
      <c r="D173" t="s">
        <v>349</v>
      </c>
      <c r="E173" s="4">
        <v>1247</v>
      </c>
    </row>
    <row r="174" spans="1:5" ht="15" x14ac:dyDescent="0.2">
      <c r="A174" t="s">
        <v>58</v>
      </c>
      <c r="B174" s="11" t="s">
        <v>166</v>
      </c>
      <c r="C174" s="1">
        <v>22012017</v>
      </c>
      <c r="D174" t="s">
        <v>348</v>
      </c>
      <c r="E174" s="4">
        <v>1254</v>
      </c>
    </row>
    <row r="175" spans="1:5" ht="15" x14ac:dyDescent="0.2">
      <c r="A175" t="s">
        <v>59</v>
      </c>
      <c r="B175" s="11" t="s">
        <v>166</v>
      </c>
      <c r="C175" s="1">
        <v>22012017</v>
      </c>
      <c r="D175" t="s">
        <v>350</v>
      </c>
      <c r="E175" s="4">
        <v>1254</v>
      </c>
    </row>
    <row r="176" spans="1:5" ht="15" x14ac:dyDescent="0.2">
      <c r="A176" t="s">
        <v>60</v>
      </c>
      <c r="B176" s="11" t="s">
        <v>166</v>
      </c>
      <c r="C176" s="1">
        <v>22012017</v>
      </c>
      <c r="D176" t="s">
        <v>350</v>
      </c>
      <c r="E176" s="4">
        <v>1254</v>
      </c>
    </row>
    <row r="177" spans="1:5" ht="15" x14ac:dyDescent="0.2">
      <c r="A177" t="s">
        <v>91</v>
      </c>
      <c r="B177" s="11" t="s">
        <v>130</v>
      </c>
      <c r="C177" s="1">
        <v>22012017</v>
      </c>
      <c r="D177" t="s">
        <v>351</v>
      </c>
      <c r="E177" s="4">
        <v>1234</v>
      </c>
    </row>
    <row r="178" spans="1:5" ht="15" x14ac:dyDescent="0.2">
      <c r="A178" t="s">
        <v>92</v>
      </c>
      <c r="B178" s="11" t="s">
        <v>130</v>
      </c>
      <c r="C178" s="1">
        <v>22012017</v>
      </c>
      <c r="D178" t="s">
        <v>352</v>
      </c>
      <c r="E178" s="4">
        <v>1234</v>
      </c>
    </row>
    <row r="179" spans="1:5" ht="15" x14ac:dyDescent="0.2">
      <c r="A179" t="s">
        <v>93</v>
      </c>
      <c r="B179" s="11" t="s">
        <v>130</v>
      </c>
      <c r="C179" s="1">
        <v>22012017</v>
      </c>
      <c r="D179" t="s">
        <v>353</v>
      </c>
      <c r="E179" s="4">
        <v>1234</v>
      </c>
    </row>
    <row r="180" spans="1:5" ht="15" x14ac:dyDescent="0.2">
      <c r="A180" t="s">
        <v>94</v>
      </c>
      <c r="B180" s="11" t="s">
        <v>131</v>
      </c>
      <c r="C180" s="1">
        <v>22012017</v>
      </c>
      <c r="D180" t="s">
        <v>354</v>
      </c>
      <c r="E180" s="4">
        <v>1227</v>
      </c>
    </row>
    <row r="181" spans="1:5" ht="15" x14ac:dyDescent="0.2">
      <c r="A181" t="s">
        <v>94</v>
      </c>
      <c r="B181" s="11" t="s">
        <v>131</v>
      </c>
      <c r="C181" s="1">
        <v>22012017</v>
      </c>
      <c r="D181" t="s">
        <v>355</v>
      </c>
      <c r="E181" s="4">
        <v>1227</v>
      </c>
    </row>
    <row r="182" spans="1:5" ht="15" x14ac:dyDescent="0.2">
      <c r="A182" t="s">
        <v>96</v>
      </c>
      <c r="B182" s="11" t="s">
        <v>131</v>
      </c>
      <c r="C182" s="1">
        <v>22012017</v>
      </c>
      <c r="D182" t="s">
        <v>356</v>
      </c>
      <c r="E182" s="4">
        <v>1227</v>
      </c>
    </row>
    <row r="183" spans="1:5" ht="15" x14ac:dyDescent="0.2">
      <c r="A183" t="s">
        <v>97</v>
      </c>
      <c r="B183" s="11" t="s">
        <v>167</v>
      </c>
      <c r="C183" s="1">
        <v>22012017</v>
      </c>
      <c r="D183" t="s">
        <v>357</v>
      </c>
      <c r="E183" s="4">
        <v>1223</v>
      </c>
    </row>
    <row r="184" spans="1:5" ht="15" x14ac:dyDescent="0.2">
      <c r="A184" t="s">
        <v>98</v>
      </c>
      <c r="B184" s="11" t="s">
        <v>167</v>
      </c>
      <c r="C184" s="1">
        <v>22012017</v>
      </c>
      <c r="D184" t="s">
        <v>357</v>
      </c>
      <c r="E184" s="4">
        <v>1223</v>
      </c>
    </row>
    <row r="185" spans="1:5" ht="15" x14ac:dyDescent="0.2">
      <c r="A185" t="s">
        <v>99</v>
      </c>
      <c r="B185" s="11" t="s">
        <v>167</v>
      </c>
      <c r="C185" s="1">
        <v>22012017</v>
      </c>
      <c r="D185" t="s">
        <v>358</v>
      </c>
      <c r="E185" s="4">
        <v>1223</v>
      </c>
    </row>
    <row r="186" spans="1:5" ht="15" x14ac:dyDescent="0.2">
      <c r="A186" t="s">
        <v>100</v>
      </c>
      <c r="B186" s="11" t="s">
        <v>168</v>
      </c>
      <c r="C186" s="1">
        <v>22012017</v>
      </c>
      <c r="D186" t="s">
        <v>359</v>
      </c>
      <c r="E186" s="4">
        <v>1329</v>
      </c>
    </row>
    <row r="187" spans="1:5" ht="15" x14ac:dyDescent="0.2">
      <c r="A187" t="s">
        <v>101</v>
      </c>
      <c r="B187" s="11" t="s">
        <v>168</v>
      </c>
      <c r="C187" s="1">
        <v>22012017</v>
      </c>
      <c r="D187" t="s">
        <v>360</v>
      </c>
      <c r="E187" s="4">
        <v>1329</v>
      </c>
    </row>
    <row r="188" spans="1:5" ht="15" x14ac:dyDescent="0.2">
      <c r="A188" t="s">
        <v>102</v>
      </c>
      <c r="B188" s="11" t="s">
        <v>168</v>
      </c>
      <c r="C188" s="1">
        <v>22012017</v>
      </c>
      <c r="D188" t="s">
        <v>361</v>
      </c>
      <c r="E188" s="4">
        <v>1329</v>
      </c>
    </row>
    <row r="189" spans="1:5" ht="15" x14ac:dyDescent="0.2">
      <c r="A189" t="s">
        <v>103</v>
      </c>
      <c r="B189" s="11" t="s">
        <v>134</v>
      </c>
      <c r="C189" s="1">
        <v>22012017</v>
      </c>
      <c r="D189" t="s">
        <v>362</v>
      </c>
      <c r="E189" s="4">
        <v>1334</v>
      </c>
    </row>
    <row r="190" spans="1:5" ht="15" x14ac:dyDescent="0.2">
      <c r="A190" t="s">
        <v>104</v>
      </c>
      <c r="B190" s="11" t="s">
        <v>134</v>
      </c>
      <c r="C190" s="1">
        <v>22012017</v>
      </c>
      <c r="D190" t="s">
        <v>363</v>
      </c>
      <c r="E190" s="4">
        <v>1334</v>
      </c>
    </row>
    <row r="191" spans="1:5" ht="15" x14ac:dyDescent="0.2">
      <c r="A191" t="s">
        <v>105</v>
      </c>
      <c r="B191" s="11" t="s">
        <v>134</v>
      </c>
      <c r="C191" s="1">
        <v>22012017</v>
      </c>
      <c r="D191" t="s">
        <v>364</v>
      </c>
      <c r="E191" s="4">
        <v>1334</v>
      </c>
    </row>
    <row r="192" spans="1:5" ht="15" x14ac:dyDescent="0.2">
      <c r="A192" t="s">
        <v>32</v>
      </c>
      <c r="B192" s="11" t="s">
        <v>169</v>
      </c>
      <c r="C192" s="1">
        <v>22012017</v>
      </c>
      <c r="D192" t="s">
        <v>365</v>
      </c>
      <c r="E192" s="4">
        <v>1319</v>
      </c>
    </row>
    <row r="193" spans="1:5" ht="15" x14ac:dyDescent="0.2">
      <c r="A193" t="s">
        <v>33</v>
      </c>
      <c r="B193" s="11" t="s">
        <v>169</v>
      </c>
      <c r="C193" s="1">
        <v>22012017</v>
      </c>
      <c r="D193" t="s">
        <v>366</v>
      </c>
      <c r="E193" s="4">
        <v>1319</v>
      </c>
    </row>
    <row r="194" spans="1:5" ht="15" x14ac:dyDescent="0.2">
      <c r="A194" t="s">
        <v>34</v>
      </c>
      <c r="B194" s="11" t="s">
        <v>169</v>
      </c>
      <c r="C194" s="1">
        <v>22012017</v>
      </c>
      <c r="D194" t="s">
        <v>367</v>
      </c>
      <c r="E194" s="4">
        <v>1319</v>
      </c>
    </row>
    <row r="195" spans="1:5" ht="15" x14ac:dyDescent="0.2">
      <c r="A195" t="s">
        <v>35</v>
      </c>
      <c r="B195" s="11" t="s">
        <v>84</v>
      </c>
      <c r="C195" s="1">
        <v>22012017</v>
      </c>
      <c r="D195" t="s">
        <v>368</v>
      </c>
      <c r="E195" s="4">
        <v>1340</v>
      </c>
    </row>
    <row r="196" spans="1:5" ht="15" x14ac:dyDescent="0.2">
      <c r="A196" t="s">
        <v>36</v>
      </c>
      <c r="B196" s="11" t="s">
        <v>84</v>
      </c>
      <c r="C196" s="1">
        <v>22012017</v>
      </c>
      <c r="D196" t="s">
        <v>369</v>
      </c>
      <c r="E196" s="4">
        <v>1340</v>
      </c>
    </row>
    <row r="197" spans="1:5" ht="15" x14ac:dyDescent="0.2">
      <c r="A197" t="s">
        <v>37</v>
      </c>
      <c r="B197" s="11" t="s">
        <v>84</v>
      </c>
      <c r="C197" s="1">
        <v>22012017</v>
      </c>
      <c r="D197" t="s">
        <v>370</v>
      </c>
      <c r="E197" s="4">
        <v>1340</v>
      </c>
    </row>
    <row r="198" spans="1:5" ht="15" x14ac:dyDescent="0.2">
      <c r="A198" s="11" t="s">
        <v>38</v>
      </c>
      <c r="B198" s="11" t="s">
        <v>161</v>
      </c>
      <c r="C198" s="1">
        <v>23012017</v>
      </c>
      <c r="D198" t="s">
        <v>376</v>
      </c>
      <c r="E198" s="4" t="s">
        <v>543</v>
      </c>
    </row>
    <row r="199" spans="1:5" ht="15" x14ac:dyDescent="0.2">
      <c r="A199" s="11" t="s">
        <v>39</v>
      </c>
      <c r="B199" s="11" t="s">
        <v>161</v>
      </c>
      <c r="C199" s="1">
        <v>23012017</v>
      </c>
      <c r="D199" t="s">
        <v>377</v>
      </c>
      <c r="E199" s="4" t="s">
        <v>543</v>
      </c>
    </row>
    <row r="200" spans="1:5" ht="15" x14ac:dyDescent="0.2">
      <c r="A200" s="11" t="s">
        <v>40</v>
      </c>
      <c r="B200" s="11" t="s">
        <v>161</v>
      </c>
      <c r="C200" s="1">
        <v>23012017</v>
      </c>
      <c r="D200" t="s">
        <v>378</v>
      </c>
      <c r="E200" s="4" t="s">
        <v>543</v>
      </c>
    </row>
    <row r="201" spans="1:5" ht="15" x14ac:dyDescent="0.2">
      <c r="A201" s="11" t="s">
        <v>46</v>
      </c>
      <c r="B201" s="11" t="s">
        <v>162</v>
      </c>
      <c r="C201" s="1">
        <v>23012017</v>
      </c>
      <c r="D201" t="s">
        <v>379</v>
      </c>
      <c r="E201" s="4">
        <v>1407</v>
      </c>
    </row>
    <row r="202" spans="1:5" ht="15" x14ac:dyDescent="0.2">
      <c r="A202" s="11" t="s">
        <v>47</v>
      </c>
      <c r="B202" s="11" t="s">
        <v>162</v>
      </c>
      <c r="C202" s="1">
        <v>23012017</v>
      </c>
      <c r="D202" t="s">
        <v>303</v>
      </c>
      <c r="E202" s="4">
        <v>1407</v>
      </c>
    </row>
    <row r="203" spans="1:5" ht="15" x14ac:dyDescent="0.2">
      <c r="A203" s="11" t="s">
        <v>48</v>
      </c>
      <c r="B203" s="11" t="s">
        <v>162</v>
      </c>
      <c r="C203" s="1">
        <v>23012017</v>
      </c>
      <c r="D203" t="s">
        <v>380</v>
      </c>
      <c r="E203" s="4">
        <v>1407</v>
      </c>
    </row>
    <row r="204" spans="1:5" ht="15" x14ac:dyDescent="0.2">
      <c r="A204" s="11" t="s">
        <v>49</v>
      </c>
      <c r="B204" s="11" t="s">
        <v>163</v>
      </c>
      <c r="C204" s="1">
        <v>23012017</v>
      </c>
      <c r="D204" t="s">
        <v>381</v>
      </c>
      <c r="E204" s="4">
        <v>1505</v>
      </c>
    </row>
    <row r="205" spans="1:5" ht="15" x14ac:dyDescent="0.2">
      <c r="A205" s="11" t="s">
        <v>50</v>
      </c>
      <c r="B205" s="11" t="s">
        <v>163</v>
      </c>
      <c r="C205" s="1">
        <v>23012017</v>
      </c>
      <c r="D205" t="s">
        <v>382</v>
      </c>
      <c r="E205" s="4">
        <v>1505</v>
      </c>
    </row>
    <row r="206" spans="1:5" ht="15" x14ac:dyDescent="0.2">
      <c r="A206" s="11" t="s">
        <v>51</v>
      </c>
      <c r="B206" s="11" t="s">
        <v>163</v>
      </c>
      <c r="C206" s="1">
        <v>23012017</v>
      </c>
      <c r="D206" t="s">
        <v>383</v>
      </c>
      <c r="E206" s="4">
        <v>1505</v>
      </c>
    </row>
    <row r="207" spans="1:5" ht="15" x14ac:dyDescent="0.2">
      <c r="A207" s="11" t="s">
        <v>52</v>
      </c>
      <c r="B207" s="11" t="s">
        <v>164</v>
      </c>
      <c r="C207" s="1">
        <v>23012017</v>
      </c>
      <c r="D207" t="s">
        <v>384</v>
      </c>
      <c r="E207" s="4">
        <v>1436</v>
      </c>
    </row>
    <row r="208" spans="1:5" ht="15" x14ac:dyDescent="0.2">
      <c r="A208" s="11" t="s">
        <v>53</v>
      </c>
      <c r="B208" s="11" t="s">
        <v>164</v>
      </c>
      <c r="C208" s="1">
        <v>23012017</v>
      </c>
      <c r="D208" t="s">
        <v>385</v>
      </c>
      <c r="E208" s="4">
        <v>1436</v>
      </c>
    </row>
    <row r="209" spans="1:5" ht="15" x14ac:dyDescent="0.2">
      <c r="A209" s="20" t="s">
        <v>54</v>
      </c>
      <c r="B209" s="11" t="s">
        <v>164</v>
      </c>
      <c r="C209" s="1">
        <v>23012017</v>
      </c>
      <c r="D209" t="s">
        <v>386</v>
      </c>
      <c r="E209" s="4">
        <v>1436</v>
      </c>
    </row>
    <row r="210" spans="1:5" ht="15" x14ac:dyDescent="0.2">
      <c r="A210" t="s">
        <v>55</v>
      </c>
      <c r="B210" s="11" t="s">
        <v>165</v>
      </c>
      <c r="C210" s="1">
        <v>23012017</v>
      </c>
      <c r="D210" t="s">
        <v>387</v>
      </c>
      <c r="E210" s="4">
        <v>1422</v>
      </c>
    </row>
    <row r="211" spans="1:5" ht="15" x14ac:dyDescent="0.2">
      <c r="A211" t="s">
        <v>56</v>
      </c>
      <c r="B211" s="11" t="s">
        <v>165</v>
      </c>
      <c r="C211" s="1">
        <v>23012017</v>
      </c>
      <c r="D211" t="s">
        <v>388</v>
      </c>
      <c r="E211" s="4">
        <v>1422</v>
      </c>
    </row>
    <row r="212" spans="1:5" ht="15" x14ac:dyDescent="0.2">
      <c r="A212" t="s">
        <v>57</v>
      </c>
      <c r="B212" s="11" t="s">
        <v>165</v>
      </c>
      <c r="C212" s="1">
        <v>23012017</v>
      </c>
      <c r="D212" t="s">
        <v>389</v>
      </c>
      <c r="E212" s="4">
        <v>1422</v>
      </c>
    </row>
    <row r="213" spans="1:5" ht="15" x14ac:dyDescent="0.2">
      <c r="A213" t="s">
        <v>58</v>
      </c>
      <c r="B213" s="11" t="s">
        <v>166</v>
      </c>
      <c r="C213" s="1">
        <v>23012017</v>
      </c>
      <c r="D213" t="s">
        <v>390</v>
      </c>
      <c r="E213" s="4">
        <v>1430</v>
      </c>
    </row>
    <row r="214" spans="1:5" ht="15" x14ac:dyDescent="0.2">
      <c r="A214" t="s">
        <v>59</v>
      </c>
      <c r="B214" s="11" t="s">
        <v>166</v>
      </c>
      <c r="C214" s="1">
        <v>23012017</v>
      </c>
      <c r="D214" t="s">
        <v>391</v>
      </c>
      <c r="E214" s="4">
        <v>1430</v>
      </c>
    </row>
    <row r="215" spans="1:5" ht="15" x14ac:dyDescent="0.2">
      <c r="A215" t="s">
        <v>60</v>
      </c>
      <c r="B215" s="11" t="s">
        <v>166</v>
      </c>
      <c r="C215" s="1">
        <v>23012017</v>
      </c>
      <c r="D215" t="s">
        <v>392</v>
      </c>
      <c r="E215" s="4">
        <v>1430</v>
      </c>
    </row>
    <row r="216" spans="1:5" ht="15" x14ac:dyDescent="0.2">
      <c r="A216" t="s">
        <v>91</v>
      </c>
      <c r="B216" s="11" t="s">
        <v>130</v>
      </c>
      <c r="C216" s="1">
        <v>23012017</v>
      </c>
      <c r="D216" t="s">
        <v>393</v>
      </c>
      <c r="E216" s="4">
        <v>1451</v>
      </c>
    </row>
    <row r="217" spans="1:5" ht="15" x14ac:dyDescent="0.2">
      <c r="A217" t="s">
        <v>92</v>
      </c>
      <c r="B217" s="11" t="s">
        <v>130</v>
      </c>
      <c r="C217" s="1">
        <v>23012017</v>
      </c>
      <c r="D217" t="s">
        <v>394</v>
      </c>
      <c r="E217" s="4">
        <v>1451</v>
      </c>
    </row>
    <row r="218" spans="1:5" ht="15" x14ac:dyDescent="0.2">
      <c r="A218" t="s">
        <v>93</v>
      </c>
      <c r="B218" s="11" t="s">
        <v>130</v>
      </c>
      <c r="C218" s="1">
        <v>23012017</v>
      </c>
      <c r="D218" t="s">
        <v>395</v>
      </c>
      <c r="E218" s="4">
        <v>1451</v>
      </c>
    </row>
    <row r="219" spans="1:5" ht="15" x14ac:dyDescent="0.2">
      <c r="A219" s="8" t="s">
        <v>94</v>
      </c>
      <c r="B219" s="11" t="s">
        <v>131</v>
      </c>
      <c r="C219" s="1">
        <v>23012017</v>
      </c>
      <c r="D219" s="28" t="s">
        <v>456</v>
      </c>
      <c r="E219" s="4">
        <v>1456</v>
      </c>
    </row>
    <row r="220" spans="1:5" ht="15" x14ac:dyDescent="0.2">
      <c r="A220" t="s">
        <v>95</v>
      </c>
      <c r="B220" s="11" t="s">
        <v>131</v>
      </c>
      <c r="C220" s="1">
        <v>23012017</v>
      </c>
      <c r="D220" t="s">
        <v>396</v>
      </c>
      <c r="E220" s="4">
        <v>1456</v>
      </c>
    </row>
    <row r="221" spans="1:5" ht="15" x14ac:dyDescent="0.2">
      <c r="A221" t="s">
        <v>96</v>
      </c>
      <c r="B221" s="11" t="s">
        <v>131</v>
      </c>
      <c r="C221" s="1">
        <v>23012017</v>
      </c>
      <c r="D221" t="s">
        <v>397</v>
      </c>
      <c r="E221" s="4">
        <v>1456</v>
      </c>
    </row>
    <row r="222" spans="1:5" ht="15" x14ac:dyDescent="0.2">
      <c r="A222" t="s">
        <v>97</v>
      </c>
      <c r="B222" s="11" t="s">
        <v>167</v>
      </c>
      <c r="C222" s="1">
        <v>23012017</v>
      </c>
      <c r="D222" t="s">
        <v>235</v>
      </c>
      <c r="E222" s="4">
        <v>1445</v>
      </c>
    </row>
    <row r="223" spans="1:5" ht="15" x14ac:dyDescent="0.2">
      <c r="A223" t="s">
        <v>98</v>
      </c>
      <c r="B223" s="11" t="s">
        <v>167</v>
      </c>
      <c r="C223" s="1">
        <v>23012017</v>
      </c>
      <c r="D223" t="s">
        <v>398</v>
      </c>
      <c r="E223" s="4">
        <v>1445</v>
      </c>
    </row>
    <row r="224" spans="1:5" ht="15" x14ac:dyDescent="0.2">
      <c r="A224" t="s">
        <v>99</v>
      </c>
      <c r="B224" s="11" t="s">
        <v>167</v>
      </c>
      <c r="C224" s="1">
        <v>23012017</v>
      </c>
      <c r="D224" t="s">
        <v>399</v>
      </c>
      <c r="E224" s="4">
        <v>1445</v>
      </c>
    </row>
    <row r="225" spans="1:5" ht="15" x14ac:dyDescent="0.2">
      <c r="A225" t="s">
        <v>100</v>
      </c>
      <c r="B225" s="11" t="s">
        <v>168</v>
      </c>
      <c r="C225" s="1">
        <v>23012017</v>
      </c>
      <c r="D225" t="s">
        <v>400</v>
      </c>
      <c r="E225" s="4">
        <v>1439</v>
      </c>
    </row>
    <row r="226" spans="1:5" ht="15" x14ac:dyDescent="0.2">
      <c r="A226" t="s">
        <v>101</v>
      </c>
      <c r="B226" s="11" t="s">
        <v>168</v>
      </c>
      <c r="C226" s="1">
        <v>23012017</v>
      </c>
      <c r="D226" t="s">
        <v>289</v>
      </c>
      <c r="E226" s="4">
        <v>1439</v>
      </c>
    </row>
    <row r="227" spans="1:5" ht="15" x14ac:dyDescent="0.2">
      <c r="A227" s="8" t="s">
        <v>102</v>
      </c>
      <c r="B227" s="11" t="s">
        <v>168</v>
      </c>
      <c r="C227" s="1">
        <v>23012017</v>
      </c>
      <c r="D227" s="28" t="s">
        <v>455</v>
      </c>
      <c r="E227" s="4">
        <v>1439</v>
      </c>
    </row>
    <row r="228" spans="1:5" ht="15" x14ac:dyDescent="0.2">
      <c r="A228" s="8" t="s">
        <v>103</v>
      </c>
      <c r="B228" s="11" t="s">
        <v>134</v>
      </c>
      <c r="C228" s="1">
        <v>23012017</v>
      </c>
      <c r="D228" t="s">
        <v>407</v>
      </c>
      <c r="E228" s="4">
        <v>1518</v>
      </c>
    </row>
    <row r="229" spans="1:5" ht="15" x14ac:dyDescent="0.2">
      <c r="A229" s="8" t="s">
        <v>104</v>
      </c>
      <c r="B229" s="11" t="s">
        <v>134</v>
      </c>
      <c r="C229" s="1">
        <v>23012017</v>
      </c>
      <c r="D229" t="s">
        <v>408</v>
      </c>
      <c r="E229" s="4">
        <v>1518</v>
      </c>
    </row>
    <row r="230" spans="1:5" ht="15" x14ac:dyDescent="0.2">
      <c r="A230" s="8" t="s">
        <v>105</v>
      </c>
      <c r="B230" s="11" t="s">
        <v>134</v>
      </c>
      <c r="C230" s="1">
        <v>23012017</v>
      </c>
      <c r="D230" t="s">
        <v>409</v>
      </c>
      <c r="E230" s="4">
        <v>1518</v>
      </c>
    </row>
    <row r="231" spans="1:5" ht="15" x14ac:dyDescent="0.2">
      <c r="A231" t="s">
        <v>401</v>
      </c>
      <c r="B231" s="11" t="s">
        <v>169</v>
      </c>
      <c r="C231" s="1">
        <v>23012017</v>
      </c>
      <c r="D231" t="s">
        <v>410</v>
      </c>
      <c r="E231" s="4">
        <v>1509</v>
      </c>
    </row>
    <row r="232" spans="1:5" ht="15" x14ac:dyDescent="0.2">
      <c r="A232" t="s">
        <v>402</v>
      </c>
      <c r="B232" s="11" t="s">
        <v>169</v>
      </c>
      <c r="C232" s="1">
        <v>23012017</v>
      </c>
      <c r="D232" t="s">
        <v>411</v>
      </c>
      <c r="E232" s="4">
        <v>1509</v>
      </c>
    </row>
    <row r="233" spans="1:5" ht="15" x14ac:dyDescent="0.2">
      <c r="A233" t="s">
        <v>403</v>
      </c>
      <c r="B233" s="11" t="s">
        <v>169</v>
      </c>
      <c r="C233" s="1">
        <v>23012017</v>
      </c>
      <c r="D233" t="s">
        <v>412</v>
      </c>
      <c r="E233" s="4">
        <v>1509</v>
      </c>
    </row>
    <row r="234" spans="1:5" ht="15" x14ac:dyDescent="0.2">
      <c r="A234" t="s">
        <v>404</v>
      </c>
      <c r="B234" s="11" t="s">
        <v>84</v>
      </c>
      <c r="C234" s="1">
        <v>23012017</v>
      </c>
      <c r="D234" t="s">
        <v>413</v>
      </c>
      <c r="E234" s="4">
        <v>1513</v>
      </c>
    </row>
    <row r="235" spans="1:5" ht="15" x14ac:dyDescent="0.2">
      <c r="A235" t="s">
        <v>405</v>
      </c>
      <c r="B235" s="11" t="s">
        <v>84</v>
      </c>
      <c r="C235" s="1">
        <v>23012017</v>
      </c>
      <c r="D235" t="s">
        <v>414</v>
      </c>
      <c r="E235" s="4">
        <v>1513</v>
      </c>
    </row>
    <row r="236" spans="1:5" ht="15" x14ac:dyDescent="0.2">
      <c r="A236" t="s">
        <v>406</v>
      </c>
      <c r="B236" s="11" t="s">
        <v>84</v>
      </c>
      <c r="C236" s="1">
        <v>23012017</v>
      </c>
      <c r="D236" t="s">
        <v>415</v>
      </c>
      <c r="E236" s="4">
        <v>1513</v>
      </c>
    </row>
    <row r="237" spans="1:5" ht="15" x14ac:dyDescent="0.2">
      <c r="A237" t="s">
        <v>38</v>
      </c>
      <c r="B237" s="11" t="s">
        <v>161</v>
      </c>
      <c r="C237" s="1">
        <v>30012017</v>
      </c>
      <c r="D237" t="s">
        <v>416</v>
      </c>
      <c r="E237" s="4" t="s">
        <v>175</v>
      </c>
    </row>
    <row r="238" spans="1:5" ht="15" x14ac:dyDescent="0.2">
      <c r="A238" t="s">
        <v>39</v>
      </c>
      <c r="B238" s="11" t="s">
        <v>161</v>
      </c>
      <c r="C238" s="1">
        <v>30012017</v>
      </c>
      <c r="D238" t="s">
        <v>417</v>
      </c>
      <c r="E238" s="4" t="s">
        <v>175</v>
      </c>
    </row>
    <row r="239" spans="1:5" ht="15" x14ac:dyDescent="0.2">
      <c r="A239" t="s">
        <v>40</v>
      </c>
      <c r="B239" s="11" t="s">
        <v>161</v>
      </c>
      <c r="C239" s="1">
        <v>30012017</v>
      </c>
      <c r="D239" t="s">
        <v>418</v>
      </c>
      <c r="E239" s="4" t="s">
        <v>175</v>
      </c>
    </row>
    <row r="240" spans="1:5" ht="15" x14ac:dyDescent="0.2">
      <c r="A240" t="s">
        <v>46</v>
      </c>
      <c r="B240" s="11" t="s">
        <v>162</v>
      </c>
      <c r="C240" s="1">
        <v>30012017</v>
      </c>
      <c r="D240" t="s">
        <v>419</v>
      </c>
      <c r="E240" s="4" t="s">
        <v>176</v>
      </c>
    </row>
    <row r="241" spans="1:5" ht="15" x14ac:dyDescent="0.2">
      <c r="A241" s="8" t="s">
        <v>47</v>
      </c>
      <c r="B241" s="11" t="s">
        <v>162</v>
      </c>
      <c r="C241" s="1">
        <v>30012017</v>
      </c>
      <c r="D241" s="28" t="s">
        <v>454</v>
      </c>
      <c r="E241" s="4" t="s">
        <v>176</v>
      </c>
    </row>
    <row r="242" spans="1:5" ht="15" x14ac:dyDescent="0.2">
      <c r="A242" t="s">
        <v>48</v>
      </c>
      <c r="B242" s="11" t="s">
        <v>162</v>
      </c>
      <c r="C242" s="1">
        <v>30012017</v>
      </c>
      <c r="D242" t="s">
        <v>420</v>
      </c>
      <c r="E242" s="4" t="s">
        <v>176</v>
      </c>
    </row>
    <row r="243" spans="1:5" ht="15" x14ac:dyDescent="0.2">
      <c r="A243" t="s">
        <v>49</v>
      </c>
      <c r="B243" s="11" t="s">
        <v>163</v>
      </c>
      <c r="C243" s="1">
        <v>30012017</v>
      </c>
      <c r="D243" t="s">
        <v>421</v>
      </c>
      <c r="E243" s="4" t="s">
        <v>157</v>
      </c>
    </row>
    <row r="244" spans="1:5" ht="15" x14ac:dyDescent="0.2">
      <c r="A244" t="s">
        <v>50</v>
      </c>
      <c r="B244" s="11" t="s">
        <v>163</v>
      </c>
      <c r="C244" s="1">
        <v>30012017</v>
      </c>
      <c r="D244" t="s">
        <v>422</v>
      </c>
      <c r="E244" s="4" t="s">
        <v>157</v>
      </c>
    </row>
    <row r="245" spans="1:5" ht="15" x14ac:dyDescent="0.2">
      <c r="A245" t="s">
        <v>51</v>
      </c>
      <c r="B245" s="11" t="s">
        <v>163</v>
      </c>
      <c r="C245" s="1">
        <v>30012017</v>
      </c>
      <c r="D245" t="s">
        <v>423</v>
      </c>
      <c r="E245" s="4" t="s">
        <v>157</v>
      </c>
    </row>
    <row r="246" spans="1:5" ht="15" x14ac:dyDescent="0.2">
      <c r="A246" t="s">
        <v>52</v>
      </c>
      <c r="B246" s="11" t="s">
        <v>164</v>
      </c>
      <c r="C246" s="1">
        <v>30012017</v>
      </c>
      <c r="D246" t="s">
        <v>424</v>
      </c>
      <c r="E246" s="4" t="s">
        <v>177</v>
      </c>
    </row>
    <row r="247" spans="1:5" ht="15" x14ac:dyDescent="0.2">
      <c r="A247" t="s">
        <v>53</v>
      </c>
      <c r="B247" s="11" t="s">
        <v>164</v>
      </c>
      <c r="C247" s="1">
        <v>30012017</v>
      </c>
      <c r="D247" t="s">
        <v>425</v>
      </c>
      <c r="E247" s="4" t="s">
        <v>177</v>
      </c>
    </row>
    <row r="248" spans="1:5" ht="15" x14ac:dyDescent="0.2">
      <c r="A248" s="8" t="s">
        <v>54</v>
      </c>
      <c r="B248" s="11" t="s">
        <v>164</v>
      </c>
      <c r="C248" s="1">
        <v>30012017</v>
      </c>
      <c r="D248" s="28" t="s">
        <v>453</v>
      </c>
      <c r="E248" s="4" t="s">
        <v>177</v>
      </c>
    </row>
    <row r="249" spans="1:5" ht="15" x14ac:dyDescent="0.2">
      <c r="A249" s="8" t="s">
        <v>55</v>
      </c>
      <c r="B249" s="11" t="s">
        <v>165</v>
      </c>
      <c r="C249" s="1">
        <v>30012017</v>
      </c>
      <c r="D249" s="28" t="s">
        <v>452</v>
      </c>
      <c r="E249" s="4" t="s">
        <v>160</v>
      </c>
    </row>
    <row r="250" spans="1:5" ht="15" x14ac:dyDescent="0.2">
      <c r="A250" t="s">
        <v>56</v>
      </c>
      <c r="B250" s="11" t="s">
        <v>165</v>
      </c>
      <c r="C250" s="1">
        <v>30012017</v>
      </c>
      <c r="D250" t="s">
        <v>426</v>
      </c>
      <c r="E250" s="4" t="s">
        <v>160</v>
      </c>
    </row>
    <row r="251" spans="1:5" ht="15" x14ac:dyDescent="0.2">
      <c r="A251" t="s">
        <v>57</v>
      </c>
      <c r="B251" s="11" t="s">
        <v>165</v>
      </c>
      <c r="C251" s="1">
        <v>30012017</v>
      </c>
      <c r="D251" t="s">
        <v>427</v>
      </c>
      <c r="E251" s="4" t="s">
        <v>160</v>
      </c>
    </row>
    <row r="252" spans="1:5" ht="15" x14ac:dyDescent="0.2">
      <c r="A252" t="s">
        <v>58</v>
      </c>
      <c r="B252" s="11" t="s">
        <v>166</v>
      </c>
      <c r="C252" s="1">
        <v>30012017</v>
      </c>
      <c r="D252" t="s">
        <v>428</v>
      </c>
      <c r="E252" s="4" t="s">
        <v>159</v>
      </c>
    </row>
    <row r="253" spans="1:5" ht="15" x14ac:dyDescent="0.2">
      <c r="A253" t="s">
        <v>59</v>
      </c>
      <c r="B253" s="11" t="s">
        <v>166</v>
      </c>
      <c r="C253" s="1">
        <v>30012017</v>
      </c>
      <c r="D253" t="s">
        <v>429</v>
      </c>
      <c r="E253" s="4" t="s">
        <v>159</v>
      </c>
    </row>
    <row r="254" spans="1:5" ht="15" x14ac:dyDescent="0.2">
      <c r="A254" t="s">
        <v>60</v>
      </c>
      <c r="B254" s="11" t="s">
        <v>166</v>
      </c>
      <c r="C254" s="1">
        <v>30012017</v>
      </c>
      <c r="D254" t="s">
        <v>430</v>
      </c>
      <c r="E254" s="4" t="s">
        <v>159</v>
      </c>
    </row>
    <row r="255" spans="1:5" ht="15" x14ac:dyDescent="0.2">
      <c r="A255" t="s">
        <v>91</v>
      </c>
      <c r="B255" s="11" t="s">
        <v>130</v>
      </c>
      <c r="C255" s="1">
        <v>30012017</v>
      </c>
      <c r="D255" t="s">
        <v>431</v>
      </c>
      <c r="E255" s="4" t="s">
        <v>158</v>
      </c>
    </row>
    <row r="256" spans="1:5" ht="15" x14ac:dyDescent="0.2">
      <c r="A256" s="8" t="s">
        <v>92</v>
      </c>
      <c r="B256" s="11" t="s">
        <v>130</v>
      </c>
      <c r="C256" s="1">
        <v>30012017</v>
      </c>
      <c r="D256" s="28" t="s">
        <v>451</v>
      </c>
      <c r="E256" s="4" t="s">
        <v>158</v>
      </c>
    </row>
    <row r="257" spans="1:5" ht="15" x14ac:dyDescent="0.2">
      <c r="A257" t="s">
        <v>93</v>
      </c>
      <c r="B257" s="11" t="s">
        <v>130</v>
      </c>
      <c r="C257" s="1">
        <v>30012017</v>
      </c>
      <c r="D257" t="s">
        <v>432</v>
      </c>
      <c r="E257" s="4" t="s">
        <v>158</v>
      </c>
    </row>
    <row r="258" spans="1:5" ht="15" x14ac:dyDescent="0.2">
      <c r="A258" t="s">
        <v>94</v>
      </c>
      <c r="B258" s="11" t="s">
        <v>131</v>
      </c>
      <c r="C258" s="1">
        <v>30012017</v>
      </c>
      <c r="D258" t="s">
        <v>433</v>
      </c>
      <c r="E258" s="4" t="s">
        <v>371</v>
      </c>
    </row>
    <row r="259" spans="1:5" ht="15" x14ac:dyDescent="0.2">
      <c r="A259" t="s">
        <v>95</v>
      </c>
      <c r="B259" s="11" t="s">
        <v>131</v>
      </c>
      <c r="C259" s="1">
        <v>30012017</v>
      </c>
      <c r="D259" t="s">
        <v>434</v>
      </c>
      <c r="E259" s="4" t="s">
        <v>371</v>
      </c>
    </row>
    <row r="260" spans="1:5" ht="15" x14ac:dyDescent="0.2">
      <c r="A260" t="s">
        <v>96</v>
      </c>
      <c r="B260" s="11" t="s">
        <v>131</v>
      </c>
      <c r="C260" s="1">
        <v>30012017</v>
      </c>
      <c r="D260" t="s">
        <v>435</v>
      </c>
      <c r="E260" s="4" t="s">
        <v>371</v>
      </c>
    </row>
    <row r="261" spans="1:5" ht="15" x14ac:dyDescent="0.2">
      <c r="A261" t="s">
        <v>97</v>
      </c>
      <c r="B261" s="11" t="s">
        <v>167</v>
      </c>
      <c r="C261" s="1">
        <v>30012017</v>
      </c>
      <c r="D261" t="s">
        <v>436</v>
      </c>
      <c r="E261" s="4" t="s">
        <v>372</v>
      </c>
    </row>
    <row r="262" spans="1:5" ht="15" x14ac:dyDescent="0.2">
      <c r="A262" t="s">
        <v>98</v>
      </c>
      <c r="B262" s="11" t="s">
        <v>167</v>
      </c>
      <c r="C262" s="1">
        <v>30012017</v>
      </c>
      <c r="D262" t="s">
        <v>437</v>
      </c>
      <c r="E262" s="4" t="s">
        <v>372</v>
      </c>
    </row>
    <row r="263" spans="1:5" ht="15" x14ac:dyDescent="0.2">
      <c r="A263" t="s">
        <v>99</v>
      </c>
      <c r="B263" s="11" t="s">
        <v>167</v>
      </c>
      <c r="C263" s="1">
        <v>30012017</v>
      </c>
      <c r="D263" t="s">
        <v>438</v>
      </c>
      <c r="E263" s="4" t="s">
        <v>372</v>
      </c>
    </row>
    <row r="264" spans="1:5" ht="15" x14ac:dyDescent="0.2">
      <c r="A264" s="8" t="s">
        <v>100</v>
      </c>
      <c r="B264" s="11" t="s">
        <v>168</v>
      </c>
      <c r="C264" s="1">
        <v>30012017</v>
      </c>
      <c r="D264" t="s">
        <v>442</v>
      </c>
      <c r="E264" s="4" t="s">
        <v>373</v>
      </c>
    </row>
    <row r="265" spans="1:5" ht="15" x14ac:dyDescent="0.2">
      <c r="A265" s="8" t="s">
        <v>101</v>
      </c>
      <c r="B265" s="11" t="s">
        <v>168</v>
      </c>
      <c r="C265" s="1">
        <v>30012017</v>
      </c>
      <c r="D265" t="s">
        <v>320</v>
      </c>
      <c r="E265" s="4" t="s">
        <v>373</v>
      </c>
    </row>
    <row r="266" spans="1:5" ht="15" x14ac:dyDescent="0.2">
      <c r="A266" s="8" t="s">
        <v>102</v>
      </c>
      <c r="B266" s="11" t="s">
        <v>168</v>
      </c>
      <c r="C266" s="1">
        <v>30012017</v>
      </c>
      <c r="D266" t="s">
        <v>443</v>
      </c>
      <c r="E266" s="4" t="s">
        <v>373</v>
      </c>
    </row>
    <row r="267" spans="1:5" ht="15" x14ac:dyDescent="0.2">
      <c r="A267" s="8" t="s">
        <v>103</v>
      </c>
      <c r="B267" s="11" t="s">
        <v>134</v>
      </c>
      <c r="C267" s="1">
        <v>30012017</v>
      </c>
      <c r="D267" t="s">
        <v>439</v>
      </c>
      <c r="E267" s="4" t="s">
        <v>174</v>
      </c>
    </row>
    <row r="268" spans="1:5" ht="15" x14ac:dyDescent="0.2">
      <c r="A268" s="8" t="s">
        <v>104</v>
      </c>
      <c r="B268" s="11" t="s">
        <v>134</v>
      </c>
      <c r="C268" s="1">
        <v>30012017</v>
      </c>
      <c r="D268" t="s">
        <v>440</v>
      </c>
      <c r="E268" s="4" t="s">
        <v>174</v>
      </c>
    </row>
    <row r="269" spans="1:5" ht="15" x14ac:dyDescent="0.2">
      <c r="A269" s="8" t="s">
        <v>105</v>
      </c>
      <c r="B269" s="11" t="s">
        <v>134</v>
      </c>
      <c r="C269" s="1">
        <v>30012017</v>
      </c>
      <c r="D269" t="s">
        <v>441</v>
      </c>
      <c r="E269" s="4" t="s">
        <v>174</v>
      </c>
    </row>
    <row r="270" spans="1:5" ht="15" x14ac:dyDescent="0.2">
      <c r="A270" t="s">
        <v>32</v>
      </c>
      <c r="B270" s="11" t="s">
        <v>169</v>
      </c>
      <c r="C270" s="1">
        <v>30012017</v>
      </c>
      <c r="D270" t="s">
        <v>444</v>
      </c>
      <c r="E270" s="4" t="s">
        <v>374</v>
      </c>
    </row>
    <row r="271" spans="1:5" ht="15" x14ac:dyDescent="0.2">
      <c r="A271" t="s">
        <v>33</v>
      </c>
      <c r="B271" s="11" t="s">
        <v>169</v>
      </c>
      <c r="C271" s="1">
        <v>30012017</v>
      </c>
      <c r="D271" t="s">
        <v>445</v>
      </c>
      <c r="E271" s="4" t="s">
        <v>374</v>
      </c>
    </row>
    <row r="272" spans="1:5" ht="15" x14ac:dyDescent="0.2">
      <c r="A272" t="s">
        <v>34</v>
      </c>
      <c r="B272" s="11" t="s">
        <v>169</v>
      </c>
      <c r="C272" s="1">
        <v>30012017</v>
      </c>
      <c r="D272" t="s">
        <v>446</v>
      </c>
      <c r="E272" s="4" t="s">
        <v>374</v>
      </c>
    </row>
    <row r="273" spans="1:7" ht="15" x14ac:dyDescent="0.2">
      <c r="A273" t="s">
        <v>35</v>
      </c>
      <c r="B273" s="11" t="s">
        <v>84</v>
      </c>
      <c r="C273" s="1">
        <v>30012017</v>
      </c>
      <c r="D273" t="s">
        <v>447</v>
      </c>
      <c r="E273" s="4" t="s">
        <v>173</v>
      </c>
    </row>
    <row r="274" spans="1:7" ht="15" x14ac:dyDescent="0.2">
      <c r="A274" t="s">
        <v>36</v>
      </c>
      <c r="B274" s="11" t="s">
        <v>84</v>
      </c>
      <c r="C274" s="1">
        <v>30012017</v>
      </c>
      <c r="D274" t="s">
        <v>448</v>
      </c>
      <c r="E274" s="4" t="s">
        <v>173</v>
      </c>
    </row>
    <row r="275" spans="1:7" ht="15" x14ac:dyDescent="0.2">
      <c r="A275" t="s">
        <v>37</v>
      </c>
      <c r="B275" s="11" t="s">
        <v>84</v>
      </c>
      <c r="C275" s="1">
        <v>30012017</v>
      </c>
      <c r="D275" t="s">
        <v>449</v>
      </c>
      <c r="E275" s="4" t="s">
        <v>173</v>
      </c>
    </row>
    <row r="276" spans="1:7" ht="15" x14ac:dyDescent="0.2">
      <c r="A276" t="s">
        <v>38</v>
      </c>
      <c r="B276" s="11" t="s">
        <v>161</v>
      </c>
      <c r="C276" s="4" t="s">
        <v>523</v>
      </c>
      <c r="D276">
        <v>0.67269999999999996</v>
      </c>
      <c r="E276" s="4" t="s">
        <v>525</v>
      </c>
      <c r="G276" s="4"/>
    </row>
    <row r="277" spans="1:7" ht="15" x14ac:dyDescent="0.2">
      <c r="A277" t="s">
        <v>39</v>
      </c>
      <c r="B277" s="11" t="s">
        <v>161</v>
      </c>
      <c r="C277" s="4" t="s">
        <v>523</v>
      </c>
      <c r="D277">
        <v>0.67830000000000001</v>
      </c>
      <c r="E277" s="4" t="s">
        <v>525</v>
      </c>
      <c r="G277" s="4"/>
    </row>
    <row r="278" spans="1:7" ht="15" x14ac:dyDescent="0.2">
      <c r="A278" t="s">
        <v>40</v>
      </c>
      <c r="B278" s="11" t="s">
        <v>161</v>
      </c>
      <c r="C278" s="4" t="s">
        <v>523</v>
      </c>
      <c r="D278">
        <v>0.67969999999999997</v>
      </c>
      <c r="E278" s="4" t="s">
        <v>525</v>
      </c>
      <c r="G278" s="4"/>
    </row>
    <row r="279" spans="1:7" ht="15" x14ac:dyDescent="0.2">
      <c r="A279" t="s">
        <v>46</v>
      </c>
      <c r="B279" s="11" t="s">
        <v>162</v>
      </c>
      <c r="C279" s="4" t="s">
        <v>523</v>
      </c>
      <c r="D279">
        <v>0.69279999999999997</v>
      </c>
      <c r="E279" s="4" t="s">
        <v>526</v>
      </c>
    </row>
    <row r="280" spans="1:7" ht="15" x14ac:dyDescent="0.2">
      <c r="A280" t="s">
        <v>47</v>
      </c>
      <c r="B280" s="11" t="s">
        <v>162</v>
      </c>
      <c r="C280" s="4" t="s">
        <v>523</v>
      </c>
      <c r="D280">
        <v>0.69810000000000005</v>
      </c>
      <c r="E280" s="4" t="s">
        <v>526</v>
      </c>
    </row>
    <row r="281" spans="1:7" ht="15" x14ac:dyDescent="0.2">
      <c r="A281" t="s">
        <v>48</v>
      </c>
      <c r="B281" s="11" t="s">
        <v>162</v>
      </c>
      <c r="C281" s="4" t="s">
        <v>523</v>
      </c>
      <c r="D281">
        <v>0.69140000000000001</v>
      </c>
      <c r="E281" s="4" t="s">
        <v>526</v>
      </c>
    </row>
    <row r="282" spans="1:7" ht="15" x14ac:dyDescent="0.2">
      <c r="A282" t="s">
        <v>49</v>
      </c>
      <c r="B282" s="11" t="s">
        <v>163</v>
      </c>
      <c r="C282" s="4" t="s">
        <v>523</v>
      </c>
      <c r="D282">
        <v>0.67159999999999997</v>
      </c>
      <c r="E282" s="4" t="s">
        <v>527</v>
      </c>
    </row>
    <row r="283" spans="1:7" ht="15" x14ac:dyDescent="0.2">
      <c r="A283" t="s">
        <v>50</v>
      </c>
      <c r="B283" s="11" t="s">
        <v>163</v>
      </c>
      <c r="C283" s="4" t="s">
        <v>523</v>
      </c>
      <c r="D283">
        <v>0.67100000000000004</v>
      </c>
      <c r="E283" s="4" t="s">
        <v>527</v>
      </c>
    </row>
    <row r="284" spans="1:7" ht="15" x14ac:dyDescent="0.2">
      <c r="A284" t="s">
        <v>51</v>
      </c>
      <c r="B284" s="11" t="s">
        <v>163</v>
      </c>
      <c r="C284" s="4" t="s">
        <v>523</v>
      </c>
      <c r="D284">
        <v>0.67</v>
      </c>
      <c r="E284" s="4" t="s">
        <v>527</v>
      </c>
    </row>
    <row r="285" spans="1:7" ht="15" x14ac:dyDescent="0.2">
      <c r="A285" t="s">
        <v>52</v>
      </c>
      <c r="B285" s="11" t="s">
        <v>164</v>
      </c>
      <c r="C285" s="4" t="s">
        <v>523</v>
      </c>
      <c r="D285">
        <v>0.66190000000000004</v>
      </c>
      <c r="E285" s="4" t="s">
        <v>528</v>
      </c>
    </row>
    <row r="286" spans="1:7" ht="15" x14ac:dyDescent="0.2">
      <c r="A286" t="s">
        <v>53</v>
      </c>
      <c r="B286" s="11" t="s">
        <v>164</v>
      </c>
      <c r="C286" s="4" t="s">
        <v>523</v>
      </c>
      <c r="D286">
        <v>0.66039999999999999</v>
      </c>
      <c r="E286" s="4" t="s">
        <v>528</v>
      </c>
    </row>
    <row r="287" spans="1:7" ht="15" x14ac:dyDescent="0.2">
      <c r="A287" t="s">
        <v>54</v>
      </c>
      <c r="B287" s="11" t="s">
        <v>164</v>
      </c>
      <c r="C287" s="4" t="s">
        <v>523</v>
      </c>
      <c r="D287">
        <v>0.66020000000000001</v>
      </c>
      <c r="E287" s="4" t="s">
        <v>528</v>
      </c>
    </row>
    <row r="288" spans="1:7" ht="15" x14ac:dyDescent="0.2">
      <c r="A288" t="s">
        <v>55</v>
      </c>
      <c r="B288" s="11" t="s">
        <v>165</v>
      </c>
      <c r="C288" s="4" t="s">
        <v>523</v>
      </c>
      <c r="D288">
        <v>0.66349999999999998</v>
      </c>
      <c r="E288" s="4" t="s">
        <v>529</v>
      </c>
    </row>
    <row r="289" spans="1:5" ht="15" x14ac:dyDescent="0.2">
      <c r="A289" t="s">
        <v>56</v>
      </c>
      <c r="B289" s="11" t="s">
        <v>165</v>
      </c>
      <c r="C289" s="4" t="s">
        <v>523</v>
      </c>
      <c r="D289">
        <v>0.66559999999999997</v>
      </c>
      <c r="E289" s="4" t="s">
        <v>529</v>
      </c>
    </row>
    <row r="290" spans="1:5" ht="15" x14ac:dyDescent="0.2">
      <c r="A290" t="s">
        <v>57</v>
      </c>
      <c r="B290" s="11" t="s">
        <v>165</v>
      </c>
      <c r="C290" s="4" t="s">
        <v>523</v>
      </c>
      <c r="D290">
        <v>0.6694</v>
      </c>
      <c r="E290" s="4" t="s">
        <v>529</v>
      </c>
    </row>
    <row r="291" spans="1:5" ht="15" x14ac:dyDescent="0.2">
      <c r="A291" t="s">
        <v>58</v>
      </c>
      <c r="B291" s="11" t="s">
        <v>166</v>
      </c>
      <c r="C291" s="4" t="s">
        <v>523</v>
      </c>
      <c r="D291">
        <v>0.66859999999999997</v>
      </c>
      <c r="E291" s="4" t="s">
        <v>530</v>
      </c>
    </row>
    <row r="292" spans="1:5" ht="15" x14ac:dyDescent="0.2">
      <c r="A292" t="s">
        <v>59</v>
      </c>
      <c r="B292" s="11" t="s">
        <v>166</v>
      </c>
      <c r="C292" s="4" t="s">
        <v>523</v>
      </c>
      <c r="D292">
        <v>0.67300000000000004</v>
      </c>
      <c r="E292" s="4" t="s">
        <v>530</v>
      </c>
    </row>
    <row r="293" spans="1:5" ht="15" x14ac:dyDescent="0.2">
      <c r="A293" t="s">
        <v>60</v>
      </c>
      <c r="B293" s="11" t="s">
        <v>166</v>
      </c>
      <c r="C293" s="4" t="s">
        <v>523</v>
      </c>
      <c r="D293">
        <v>0.67300000000000004</v>
      </c>
      <c r="E293" s="4" t="s">
        <v>530</v>
      </c>
    </row>
    <row r="294" spans="1:5" ht="15" x14ac:dyDescent="0.2">
      <c r="A294" t="s">
        <v>91</v>
      </c>
      <c r="B294" s="11" t="s">
        <v>130</v>
      </c>
      <c r="C294" s="4" t="s">
        <v>523</v>
      </c>
      <c r="D294">
        <v>0.66759999999999997</v>
      </c>
      <c r="E294" s="4" t="s">
        <v>532</v>
      </c>
    </row>
    <row r="295" spans="1:5" ht="15" x14ac:dyDescent="0.2">
      <c r="A295" t="s">
        <v>92</v>
      </c>
      <c r="B295" s="11" t="s">
        <v>130</v>
      </c>
      <c r="C295" s="4" t="s">
        <v>523</v>
      </c>
      <c r="D295">
        <v>0.67779999999999996</v>
      </c>
      <c r="E295" s="4" t="s">
        <v>532</v>
      </c>
    </row>
    <row r="296" spans="1:5" ht="15" x14ac:dyDescent="0.2">
      <c r="A296" t="s">
        <v>93</v>
      </c>
      <c r="B296" s="11" t="s">
        <v>130</v>
      </c>
      <c r="C296" s="4" t="s">
        <v>523</v>
      </c>
      <c r="D296">
        <v>0.67430000000000001</v>
      </c>
      <c r="E296" s="4" t="s">
        <v>532</v>
      </c>
    </row>
    <row r="297" spans="1:5" ht="15" x14ac:dyDescent="0.2">
      <c r="A297" t="s">
        <v>94</v>
      </c>
      <c r="B297" s="11" t="s">
        <v>131</v>
      </c>
      <c r="C297" s="4" t="s">
        <v>523</v>
      </c>
      <c r="D297">
        <v>0.67330000000000001</v>
      </c>
      <c r="E297" s="4" t="s">
        <v>533</v>
      </c>
    </row>
    <row r="298" spans="1:5" ht="15" x14ac:dyDescent="0.2">
      <c r="A298" t="s">
        <v>95</v>
      </c>
      <c r="B298" s="11" t="s">
        <v>131</v>
      </c>
      <c r="C298" s="4" t="s">
        <v>523</v>
      </c>
      <c r="D298">
        <v>0.67159999999999997</v>
      </c>
      <c r="E298" s="4" t="s">
        <v>533</v>
      </c>
    </row>
    <row r="299" spans="1:5" ht="15" x14ac:dyDescent="0.2">
      <c r="A299" t="s">
        <v>96</v>
      </c>
      <c r="B299" s="11" t="s">
        <v>131</v>
      </c>
      <c r="C299" s="4" t="s">
        <v>523</v>
      </c>
      <c r="D299">
        <v>0.6774</v>
      </c>
      <c r="E299" s="4" t="s">
        <v>533</v>
      </c>
    </row>
    <row r="300" spans="1:5" ht="15" x14ac:dyDescent="0.2">
      <c r="A300" t="s">
        <v>97</v>
      </c>
      <c r="B300" s="11" t="s">
        <v>167</v>
      </c>
      <c r="C300" s="4" t="s">
        <v>523</v>
      </c>
      <c r="D300">
        <v>0.67669999999999997</v>
      </c>
      <c r="E300" s="4" t="s">
        <v>176</v>
      </c>
    </row>
    <row r="301" spans="1:5" ht="15" x14ac:dyDescent="0.2">
      <c r="A301" t="s">
        <v>98</v>
      </c>
      <c r="B301" s="11" t="s">
        <v>167</v>
      </c>
      <c r="C301" s="4" t="s">
        <v>523</v>
      </c>
      <c r="D301">
        <v>0.66690000000000005</v>
      </c>
      <c r="E301" s="4" t="s">
        <v>176</v>
      </c>
    </row>
    <row r="302" spans="1:5" ht="15" x14ac:dyDescent="0.2">
      <c r="A302" t="s">
        <v>99</v>
      </c>
      <c r="B302" s="11" t="s">
        <v>167</v>
      </c>
      <c r="C302" s="4" t="s">
        <v>523</v>
      </c>
      <c r="D302">
        <v>0.66779999999999995</v>
      </c>
      <c r="E302" s="4" t="s">
        <v>176</v>
      </c>
    </row>
    <row r="303" spans="1:5" ht="15" x14ac:dyDescent="0.2">
      <c r="A303" t="s">
        <v>103</v>
      </c>
      <c r="B303" s="11" t="s">
        <v>134</v>
      </c>
      <c r="C303" s="4" t="s">
        <v>523</v>
      </c>
      <c r="D303">
        <v>0.6704</v>
      </c>
      <c r="E303" s="4" t="s">
        <v>534</v>
      </c>
    </row>
    <row r="304" spans="1:5" ht="15" x14ac:dyDescent="0.2">
      <c r="A304" t="s">
        <v>104</v>
      </c>
      <c r="B304" s="11" t="s">
        <v>134</v>
      </c>
      <c r="C304" s="4" t="s">
        <v>523</v>
      </c>
      <c r="D304">
        <v>0.59709999999999996</v>
      </c>
      <c r="E304" s="4" t="s">
        <v>534</v>
      </c>
    </row>
    <row r="305" spans="1:5" ht="15" x14ac:dyDescent="0.2">
      <c r="A305" t="s">
        <v>105</v>
      </c>
      <c r="B305" s="11" t="s">
        <v>134</v>
      </c>
      <c r="C305" s="4" t="s">
        <v>523</v>
      </c>
      <c r="D305">
        <v>0.5716</v>
      </c>
      <c r="E305" s="4" t="s">
        <v>534</v>
      </c>
    </row>
    <row r="306" spans="1:5" ht="15" x14ac:dyDescent="0.2">
      <c r="A306" t="s">
        <v>100</v>
      </c>
      <c r="B306" s="11" t="s">
        <v>168</v>
      </c>
      <c r="C306" s="4" t="s">
        <v>523</v>
      </c>
      <c r="D306">
        <v>0.55889999999999995</v>
      </c>
      <c r="E306" s="4" t="s">
        <v>535</v>
      </c>
    </row>
    <row r="307" spans="1:5" ht="15" x14ac:dyDescent="0.2">
      <c r="A307" t="s">
        <v>101</v>
      </c>
      <c r="B307" s="11" t="s">
        <v>168</v>
      </c>
      <c r="C307" s="4" t="s">
        <v>523</v>
      </c>
      <c r="D307">
        <v>0.65659999999999996</v>
      </c>
      <c r="E307" s="4" t="s">
        <v>535</v>
      </c>
    </row>
    <row r="308" spans="1:5" ht="15" x14ac:dyDescent="0.2">
      <c r="A308" t="s">
        <v>102</v>
      </c>
      <c r="B308" s="11" t="s">
        <v>168</v>
      </c>
      <c r="C308" s="4" t="s">
        <v>523</v>
      </c>
      <c r="D308">
        <v>0.65329999999999999</v>
      </c>
      <c r="E308" s="4" t="s">
        <v>535</v>
      </c>
    </row>
    <row r="309" spans="1:5" ht="15" x14ac:dyDescent="0.2">
      <c r="A309" t="s">
        <v>35</v>
      </c>
      <c r="B309" s="11" t="s">
        <v>84</v>
      </c>
      <c r="C309" s="4" t="s">
        <v>523</v>
      </c>
      <c r="D309">
        <v>0.62919999999999998</v>
      </c>
      <c r="E309" s="4" t="s">
        <v>536</v>
      </c>
    </row>
    <row r="310" spans="1:5" ht="15" x14ac:dyDescent="0.2">
      <c r="A310" t="s">
        <v>36</v>
      </c>
      <c r="B310" s="11" t="s">
        <v>84</v>
      </c>
      <c r="C310" s="4" t="s">
        <v>523</v>
      </c>
      <c r="D310">
        <v>0.629</v>
      </c>
      <c r="E310" s="4" t="s">
        <v>536</v>
      </c>
    </row>
    <row r="311" spans="1:5" ht="15" x14ac:dyDescent="0.2">
      <c r="A311" t="s">
        <v>37</v>
      </c>
      <c r="B311" s="11" t="s">
        <v>84</v>
      </c>
      <c r="C311" s="4" t="s">
        <v>523</v>
      </c>
      <c r="D311">
        <v>0.63290000000000002</v>
      </c>
      <c r="E311" s="4" t="s">
        <v>536</v>
      </c>
    </row>
    <row r="312" spans="1:5" ht="15" x14ac:dyDescent="0.2">
      <c r="A312" t="s">
        <v>32</v>
      </c>
      <c r="B312" s="11" t="s">
        <v>169</v>
      </c>
      <c r="C312" s="4" t="s">
        <v>523</v>
      </c>
      <c r="D312">
        <v>0.73570000000000002</v>
      </c>
      <c r="E312" s="4" t="s">
        <v>537</v>
      </c>
    </row>
    <row r="313" spans="1:5" ht="15" x14ac:dyDescent="0.2">
      <c r="A313" t="s">
        <v>33</v>
      </c>
      <c r="B313" s="11" t="s">
        <v>169</v>
      </c>
      <c r="C313" s="4" t="s">
        <v>523</v>
      </c>
      <c r="D313">
        <v>0.73809999999999998</v>
      </c>
      <c r="E313" s="4" t="s">
        <v>537</v>
      </c>
    </row>
    <row r="314" spans="1:5" ht="15" x14ac:dyDescent="0.2">
      <c r="A314" t="s">
        <v>34</v>
      </c>
      <c r="B314" s="11" t="s">
        <v>169</v>
      </c>
      <c r="C314" s="4" t="s">
        <v>523</v>
      </c>
      <c r="D314">
        <v>0.73180000000000001</v>
      </c>
      <c r="E314" s="4" t="s">
        <v>537</v>
      </c>
    </row>
    <row r="315" spans="1:5" x14ac:dyDescent="0.2">
      <c r="C315" s="4"/>
    </row>
    <row r="316" spans="1:5" x14ac:dyDescent="0.2">
      <c r="C316" s="4"/>
    </row>
    <row r="317" spans="1:5" x14ac:dyDescent="0.2">
      <c r="C317" s="4"/>
    </row>
    <row r="318" spans="1:5" x14ac:dyDescent="0.2">
      <c r="C318" s="4"/>
    </row>
  </sheetData>
  <phoneticPr fontId="2" type="noConversion"/>
  <pageMargins left="0.75" right="0.75" top="1" bottom="1" header="0.51180555555555496" footer="0.511805555555554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F3"/>
  <sheetViews>
    <sheetView tabSelected="1" workbookViewId="0">
      <selection activeCell="E12" sqref="E12"/>
    </sheetView>
  </sheetViews>
  <sheetFormatPr defaultRowHeight="12.75" x14ac:dyDescent="0.2"/>
  <cols>
    <col min="2" max="4" width="9" style="45"/>
    <col min="6" max="6" width="9.375" customWidth="1"/>
  </cols>
  <sheetData>
    <row r="1" spans="1:6" x14ac:dyDescent="0.2">
      <c r="B1" s="45" t="s">
        <v>10</v>
      </c>
      <c r="C1" s="45" t="s">
        <v>554</v>
      </c>
      <c r="D1" s="45" t="s">
        <v>558</v>
      </c>
      <c r="E1" t="s">
        <v>555</v>
      </c>
    </row>
    <row r="2" spans="1:6" x14ac:dyDescent="0.2">
      <c r="A2">
        <v>1</v>
      </c>
      <c r="B2" s="45" t="s">
        <v>546</v>
      </c>
      <c r="C2" s="45" t="s">
        <v>548</v>
      </c>
      <c r="D2" s="45" t="s">
        <v>550</v>
      </c>
      <c r="E2" s="12" t="s">
        <v>552</v>
      </c>
      <c r="F2" s="54"/>
    </row>
    <row r="3" spans="1:6" x14ac:dyDescent="0.2">
      <c r="A3">
        <v>2</v>
      </c>
      <c r="B3" s="45" t="s">
        <v>547</v>
      </c>
      <c r="C3" s="45" t="s">
        <v>549</v>
      </c>
      <c r="D3" s="45" t="s">
        <v>551</v>
      </c>
      <c r="E3" s="12" t="s">
        <v>553</v>
      </c>
      <c r="F3" s="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DMVS</vt:lpstr>
      <vt:lpstr>ISR 1.1</vt:lpstr>
      <vt:lpstr>ph</vt:lpstr>
      <vt:lpstr>Bottle vol</vt:lpstr>
      <vt:lpstr>Setup</vt:lpstr>
      <vt:lpstr>measurements</vt:lpstr>
      <vt:lpstr>Comp</vt:lpstr>
      <vt:lpstr>Cellulose VS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</dc:creator>
  <cp:lastModifiedBy>Kim Suhr</cp:lastModifiedBy>
  <cp:revision>0</cp:revision>
  <dcterms:created xsi:type="dcterms:W3CDTF">2016-08-02T11:07:48Z</dcterms:created>
  <dcterms:modified xsi:type="dcterms:W3CDTF">2017-06-01T08:12:25Z</dcterms:modified>
</cp:coreProperties>
</file>