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IISBMP2\data\"/>
    </mc:Choice>
  </mc:AlternateContent>
  <bookViews>
    <workbookView xWindow="0" yWindow="0" windowWidth="16395" windowHeight="8190" tabRatio="500" activeTab="2"/>
  </bookViews>
  <sheets>
    <sheet name="Setup" sheetId="1" r:id="rId1"/>
    <sheet name="Biogas" sheetId="2" r:id="rId2"/>
    <sheet name="ChangeLog" sheetId="3" r:id="rId3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52" i="2" l="1"/>
  <c r="H252" i="2"/>
  <c r="H251" i="2"/>
  <c r="H250" i="2"/>
  <c r="H249" i="2"/>
  <c r="L238" i="2" l="1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0" i="2"/>
  <c r="H231" i="2"/>
  <c r="H232" i="2"/>
  <c r="H230" i="2"/>
  <c r="H229" i="2"/>
  <c r="L224" i="2"/>
  <c r="L223" i="2"/>
  <c r="L222" i="2"/>
  <c r="L221" i="2"/>
  <c r="H221" i="2"/>
  <c r="H220" i="2"/>
  <c r="L219" i="2"/>
  <c r="H219" i="2"/>
  <c r="L218" i="2"/>
  <c r="H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H202" i="2"/>
  <c r="L201" i="2"/>
  <c r="H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H151" i="2"/>
  <c r="L150" i="2"/>
  <c r="H150" i="2"/>
  <c r="L149" i="2"/>
  <c r="H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H137" i="2"/>
  <c r="L136" i="2"/>
  <c r="H136" i="2"/>
  <c r="L135" i="2"/>
  <c r="H135" i="2"/>
  <c r="L134" i="2"/>
  <c r="H134" i="2"/>
  <c r="L133" i="2"/>
  <c r="H133" i="2"/>
  <c r="L132" i="2"/>
  <c r="H132" i="2"/>
  <c r="L131" i="2"/>
  <c r="H131" i="2"/>
  <c r="L130" i="2"/>
  <c r="L129" i="2"/>
  <c r="L128" i="2"/>
  <c r="L127" i="2"/>
  <c r="L126" i="2"/>
  <c r="L125" i="2"/>
  <c r="L124" i="2"/>
  <c r="L123" i="2"/>
  <c r="H123" i="2"/>
  <c r="L122" i="2"/>
  <c r="H122" i="2"/>
  <c r="L121" i="2"/>
  <c r="H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H108" i="2"/>
  <c r="L107" i="2"/>
  <c r="H107" i="2"/>
  <c r="L106" i="2"/>
  <c r="H106" i="2"/>
  <c r="L105" i="2"/>
  <c r="L104" i="2"/>
  <c r="L103" i="2"/>
  <c r="L102" i="2"/>
  <c r="L101" i="2"/>
  <c r="H101" i="2"/>
  <c r="L100" i="2"/>
  <c r="H100" i="2"/>
  <c r="L99" i="2"/>
  <c r="H99" i="2"/>
  <c r="L98" i="2"/>
  <c r="L97" i="2"/>
  <c r="L96" i="2"/>
  <c r="L95" i="2"/>
  <c r="L94" i="2"/>
  <c r="L93" i="2"/>
  <c r="L92" i="2"/>
  <c r="L91" i="2"/>
  <c r="L90" i="2"/>
  <c r="H90" i="2"/>
  <c r="L89" i="2"/>
  <c r="H89" i="2"/>
  <c r="L88" i="2"/>
  <c r="H88" i="2"/>
  <c r="L87" i="2"/>
  <c r="H87" i="2"/>
  <c r="L86" i="2"/>
  <c r="H86" i="2"/>
  <c r="L85" i="2"/>
  <c r="H85" i="2"/>
  <c r="L84" i="2"/>
  <c r="H84" i="2"/>
  <c r="L83" i="2"/>
  <c r="L82" i="2"/>
  <c r="L81" i="2"/>
  <c r="H81" i="2"/>
  <c r="L80" i="2"/>
  <c r="L79" i="2"/>
  <c r="L78" i="2"/>
  <c r="H78" i="2"/>
  <c r="L77" i="2"/>
  <c r="L76" i="2"/>
  <c r="H76" i="2"/>
  <c r="L75" i="2"/>
  <c r="H75" i="2"/>
  <c r="L74" i="2"/>
  <c r="H74" i="2"/>
  <c r="L73" i="2"/>
  <c r="L72" i="2"/>
  <c r="H72" i="2"/>
  <c r="L71" i="2"/>
  <c r="H71" i="2"/>
  <c r="L70" i="2"/>
  <c r="H70" i="2"/>
  <c r="L69" i="2"/>
  <c r="H69" i="2"/>
  <c r="L68" i="2"/>
  <c r="H68" i="2"/>
  <c r="L67" i="2"/>
  <c r="H67" i="2"/>
  <c r="L66" i="2"/>
  <c r="H66" i="2"/>
  <c r="L65" i="2"/>
  <c r="H65" i="2"/>
  <c r="L64" i="2"/>
  <c r="H64" i="2"/>
  <c r="L63" i="2"/>
  <c r="L62" i="2"/>
  <c r="L61" i="2"/>
  <c r="L60" i="2"/>
  <c r="L59" i="2"/>
  <c r="L58" i="2"/>
  <c r="L57" i="2"/>
  <c r="L56" i="2"/>
  <c r="H56" i="2"/>
  <c r="L55" i="2"/>
  <c r="H55" i="2"/>
  <c r="L54" i="2"/>
  <c r="H54" i="2"/>
  <c r="L53" i="2"/>
  <c r="H53" i="2"/>
  <c r="L52" i="2"/>
  <c r="H52" i="2"/>
  <c r="L51" i="2"/>
  <c r="H51" i="2"/>
  <c r="L50" i="2"/>
  <c r="H50" i="2"/>
  <c r="L49" i="2"/>
  <c r="H49" i="2"/>
  <c r="L48" i="2"/>
  <c r="L47" i="2"/>
  <c r="H47" i="2"/>
  <c r="L46" i="2"/>
  <c r="H46" i="2"/>
  <c r="L45" i="2"/>
  <c r="H45" i="2"/>
  <c r="L44" i="2"/>
  <c r="H44" i="2"/>
  <c r="L43" i="2"/>
  <c r="H43" i="2"/>
  <c r="L42" i="2"/>
  <c r="H42" i="2"/>
  <c r="L41" i="2"/>
  <c r="H41" i="2"/>
  <c r="L40" i="2"/>
  <c r="H40" i="2"/>
  <c r="L39" i="2"/>
  <c r="H39" i="2"/>
  <c r="L38" i="2"/>
  <c r="L37" i="2"/>
  <c r="L36" i="2"/>
  <c r="L35" i="2"/>
  <c r="L34" i="2"/>
  <c r="L33" i="2"/>
  <c r="L32" i="2"/>
  <c r="L31" i="2"/>
  <c r="G31" i="2"/>
  <c r="L30" i="2"/>
  <c r="L29" i="2"/>
  <c r="L28" i="2"/>
  <c r="L27" i="2"/>
  <c r="L26" i="2"/>
  <c r="L25" i="2"/>
  <c r="L24" i="2"/>
  <c r="H24" i="2"/>
  <c r="L23" i="2"/>
  <c r="H23" i="2"/>
  <c r="L22" i="2"/>
  <c r="H22" i="2"/>
  <c r="L21" i="2"/>
  <c r="H21" i="2"/>
  <c r="L20" i="2"/>
  <c r="L19" i="2"/>
  <c r="H19" i="2"/>
  <c r="L18" i="2"/>
  <c r="H18" i="2"/>
  <c r="L17" i="2"/>
  <c r="H17" i="2"/>
  <c r="L16" i="2"/>
  <c r="B16" i="2"/>
  <c r="A16" i="2"/>
  <c r="L15" i="2"/>
  <c r="B15" i="2"/>
  <c r="A15" i="2"/>
  <c r="L14" i="2"/>
  <c r="B14" i="2"/>
  <c r="A14" i="2"/>
  <c r="L13" i="2"/>
  <c r="B13" i="2"/>
  <c r="A13" i="2"/>
  <c r="L12" i="2"/>
  <c r="B12" i="2"/>
  <c r="A12" i="2"/>
  <c r="L11" i="2"/>
  <c r="B11" i="2"/>
  <c r="A11" i="2"/>
  <c r="L10" i="2"/>
  <c r="B10" i="2"/>
  <c r="A10" i="2"/>
  <c r="L9" i="2"/>
  <c r="B9" i="2"/>
  <c r="A9" i="2"/>
  <c r="L8" i="2"/>
  <c r="B8" i="2"/>
  <c r="A8" i="2"/>
  <c r="L7" i="2"/>
  <c r="B7" i="2"/>
  <c r="A7" i="2"/>
  <c r="L6" i="2"/>
  <c r="B6" i="2"/>
  <c r="A6" i="2"/>
  <c r="L5" i="2"/>
  <c r="B5" i="2"/>
  <c r="A5" i="2"/>
  <c r="L4" i="2"/>
  <c r="B4" i="2"/>
  <c r="A4" i="2"/>
  <c r="L3" i="2"/>
  <c r="B3" i="2"/>
  <c r="A3" i="2"/>
  <c r="T16" i="1"/>
  <c r="Q16" i="1"/>
  <c r="L16" i="1"/>
  <c r="K16" i="1"/>
  <c r="I16" i="2" s="1"/>
  <c r="T15" i="1"/>
  <c r="Q15" i="1"/>
  <c r="L15" i="1"/>
  <c r="K15" i="1"/>
  <c r="I15" i="2" s="1"/>
  <c r="T14" i="1"/>
  <c r="Q14" i="1"/>
  <c r="L14" i="1"/>
  <c r="K14" i="1"/>
  <c r="I14" i="2"/>
  <c r="T13" i="1"/>
  <c r="Q13" i="1"/>
  <c r="L13" i="1"/>
  <c r="K13" i="1"/>
  <c r="G13" i="2"/>
  <c r="T12" i="1"/>
  <c r="Q12" i="1"/>
  <c r="L12" i="1"/>
  <c r="K12" i="1"/>
  <c r="I12" i="2" s="1"/>
  <c r="T11" i="1"/>
  <c r="Q11" i="1"/>
  <c r="P11" i="1"/>
  <c r="R11" i="1" s="1"/>
  <c r="L11" i="1"/>
  <c r="K11" i="1"/>
  <c r="I11" i="2"/>
  <c r="T10" i="1"/>
  <c r="Q10" i="1"/>
  <c r="P10" i="1"/>
  <c r="R10" i="1"/>
  <c r="L10" i="1"/>
  <c r="K10" i="1"/>
  <c r="I10" i="2" s="1"/>
  <c r="T9" i="1"/>
  <c r="Q9" i="1"/>
  <c r="R9" i="1" s="1"/>
  <c r="P9" i="1"/>
  <c r="L9" i="1"/>
  <c r="K9" i="1"/>
  <c r="I9" i="2" s="1"/>
  <c r="T8" i="1"/>
  <c r="Q8" i="1"/>
  <c r="P8" i="1"/>
  <c r="R8" i="1" s="1"/>
  <c r="L8" i="1"/>
  <c r="K8" i="1"/>
  <c r="I8" i="2"/>
  <c r="T7" i="1"/>
  <c r="Q7" i="1"/>
  <c r="P7" i="1"/>
  <c r="R7" i="1"/>
  <c r="L7" i="1"/>
  <c r="K7" i="1"/>
  <c r="I7" i="2" s="1"/>
  <c r="T6" i="1"/>
  <c r="Q6" i="1"/>
  <c r="R6" i="1" s="1"/>
  <c r="P6" i="1"/>
  <c r="L6" i="1"/>
  <c r="K6" i="1"/>
  <c r="G6" i="2" s="1"/>
  <c r="T5" i="1"/>
  <c r="Q5" i="1"/>
  <c r="P5" i="1"/>
  <c r="R5" i="1" s="1"/>
  <c r="L5" i="1"/>
  <c r="K5" i="1"/>
  <c r="G5" i="2"/>
  <c r="T4" i="1"/>
  <c r="Q4" i="1"/>
  <c r="P4" i="1"/>
  <c r="R4" i="1"/>
  <c r="L4" i="1"/>
  <c r="K4" i="1"/>
  <c r="I4" i="2" s="1"/>
  <c r="T3" i="1"/>
  <c r="Q3" i="1"/>
  <c r="R3" i="1" s="1"/>
  <c r="P3" i="1"/>
  <c r="L3" i="1"/>
  <c r="K3" i="1"/>
  <c r="I3" i="2"/>
  <c r="M7" i="1"/>
  <c r="M10" i="1"/>
  <c r="M14" i="1"/>
  <c r="M16" i="1"/>
  <c r="M3" i="1"/>
  <c r="M6" i="1"/>
  <c r="M11" i="1"/>
  <c r="M13" i="1"/>
  <c r="M15" i="1"/>
  <c r="M4" i="1"/>
  <c r="M8" i="1"/>
  <c r="M12" i="1"/>
  <c r="I5" i="2"/>
  <c r="G10" i="2"/>
  <c r="I13" i="2"/>
  <c r="G14" i="2"/>
  <c r="G3" i="2"/>
  <c r="G7" i="2"/>
  <c r="G11" i="2"/>
  <c r="G15" i="2"/>
  <c r="G4" i="2"/>
  <c r="G8" i="2"/>
  <c r="G16" i="2"/>
  <c r="M5" i="1"/>
  <c r="M9" i="1"/>
  <c r="G12" i="2" l="1"/>
  <c r="I6" i="2"/>
  <c r="G9" i="2"/>
</calcChain>
</file>

<file path=xl/comments1.xml><?xml version="1.0" encoding="utf-8"?>
<comments xmlns="http://schemas.openxmlformats.org/spreadsheetml/2006/main">
  <authors>
    <author>SDH</author>
    <author>Camilla Glismand Justesen</author>
  </authors>
  <commentList>
    <comment ref="D1" authorId="0" shapeId="0">
      <text>
        <r>
          <rPr>
            <sz val="10"/>
            <rFont val="Verdana"/>
            <family val="2"/>
            <charset val="1"/>
          </rPr>
          <t>Use time of first bottle in set (makes analysis easier)</t>
        </r>
      </text>
    </comment>
    <comment ref="K224" authorId="1" shapeId="0">
      <text>
        <r>
          <rPr>
            <b/>
            <sz val="9"/>
            <color indexed="81"/>
            <rFont val="Tahoma"/>
            <charset val="1"/>
          </rPr>
          <t>Camilla Glismand Justesen:</t>
        </r>
        <r>
          <rPr>
            <sz val="9"/>
            <color indexed="81"/>
            <rFont val="Tahoma"/>
            <charset val="1"/>
          </rPr>
          <t xml:space="preserve">
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<sst xmlns="http://schemas.openxmlformats.org/spreadsheetml/2006/main" count="1225" uniqueCount="185">
  <si>
    <t>Experiment</t>
  </si>
  <si>
    <t>Bottle ID</t>
  </si>
  <si>
    <t>Description</t>
  </si>
  <si>
    <t>Substrate</t>
  </si>
  <si>
    <t>Tare (g)</t>
  </si>
  <si>
    <t>Inocolum (g)</t>
  </si>
  <si>
    <t>Substrate (g)</t>
  </si>
  <si>
    <t>Total mass 1 (g)</t>
  </si>
  <si>
    <t>Total mass 2 (g)</t>
  </si>
  <si>
    <t>Total mass (g)</t>
  </si>
  <si>
    <t>Total mass sd (mg)</t>
  </si>
  <si>
    <t>Apparent mass gain (g)</t>
  </si>
  <si>
    <t>Substrate VS conc. (g/kg)</t>
  </si>
  <si>
    <t>Inoculum VS conc. (g/kg)</t>
  </si>
  <si>
    <t>Substrate VS mass (g)</t>
  </si>
  <si>
    <t>Inoculum VS mass (g)</t>
  </si>
  <si>
    <t>Inoculum-to-substrate ratio</t>
  </si>
  <si>
    <t>Total volume (mL)</t>
  </si>
  <si>
    <t>Headspace volume (mL)</t>
  </si>
  <si>
    <t>Notes</t>
  </si>
  <si>
    <t>exper</t>
  </si>
  <si>
    <t>id</t>
  </si>
  <si>
    <t>descrip</t>
  </si>
  <si>
    <t>substrate</t>
  </si>
  <si>
    <t>tare</t>
  </si>
  <si>
    <t>m.inoc</t>
  </si>
  <si>
    <t>m.sub</t>
  </si>
  <si>
    <t>m.tot1</t>
  </si>
  <si>
    <t>m.tot2</t>
  </si>
  <si>
    <t>m.tot</t>
  </si>
  <si>
    <t>m.tot.sd</t>
  </si>
  <si>
    <t>m.gained</t>
  </si>
  <si>
    <t>c.sub.vs</t>
  </si>
  <si>
    <t>c.inoc.vs</t>
  </si>
  <si>
    <t>m.sub.vs</t>
  </si>
  <si>
    <t>m.inoc.vs</t>
  </si>
  <si>
    <t>ISR</t>
  </si>
  <si>
    <t>vol.tot</t>
  </si>
  <si>
    <t>vol.hs</t>
  </si>
  <si>
    <t>notes.setup</t>
  </si>
  <si>
    <t>IIS-BMP2</t>
  </si>
  <si>
    <t>C1</t>
  </si>
  <si>
    <t>Substrate C</t>
  </si>
  <si>
    <t>SC</t>
  </si>
  <si>
    <t>C2</t>
  </si>
  <si>
    <t>C3</t>
  </si>
  <si>
    <t>D1</t>
  </si>
  <si>
    <t>Substrate D</t>
  </si>
  <si>
    <t>SD</t>
  </si>
  <si>
    <t>D bottles received tool much inoculum (SDH mistake) so I doubled substrate mass. Noticed mistake after flushing so had to open, add substrate, and flush again.</t>
  </si>
  <si>
    <t>D2</t>
  </si>
  <si>
    <t>D3</t>
  </si>
  <si>
    <t>L1</t>
  </si>
  <si>
    <t>Cellulose</t>
  </si>
  <si>
    <t>CEL</t>
  </si>
  <si>
    <t>L2</t>
  </si>
  <si>
    <t>L3</t>
  </si>
  <si>
    <t>I1</t>
  </si>
  <si>
    <t>Inoculum</t>
  </si>
  <si>
    <t>BK</t>
  </si>
  <si>
    <t>I2</t>
  </si>
  <si>
    <t>I3</t>
  </si>
  <si>
    <t>I4</t>
  </si>
  <si>
    <t>W1</t>
  </si>
  <si>
    <t>Water control</t>
  </si>
  <si>
    <t>bottle ID</t>
  </si>
  <si>
    <t>Date (dd.mm.yyyy)</t>
  </si>
  <si>
    <t>Time (hh.mm)</t>
  </si>
  <si>
    <t>Air temperature (deg. C)</t>
  </si>
  <si>
    <t>Ambient pressure (hPa)</t>
  </si>
  <si>
    <t>Initial bottle mass (g)</t>
  </si>
  <si>
    <t>Biogas volume (mL)</t>
  </si>
  <si>
    <t>Final bottle mass (g)</t>
  </si>
  <si>
    <t>Date &amp; time</t>
  </si>
  <si>
    <t>Elapsed time (d)</t>
  </si>
  <si>
    <t>date</t>
  </si>
  <si>
    <t>time</t>
  </si>
  <si>
    <t>temp.air</t>
  </si>
  <si>
    <t>pres.amb</t>
  </si>
  <si>
    <t>mass.init</t>
  </si>
  <si>
    <t>vol</t>
  </si>
  <si>
    <t>mass.final</t>
  </si>
  <si>
    <t>notes</t>
  </si>
  <si>
    <t>date.time.e</t>
  </si>
  <si>
    <t>etime</t>
  </si>
  <si>
    <t>27.09.2018</t>
  </si>
  <si>
    <t>28.09.2018</t>
  </si>
  <si>
    <t>09.00</t>
  </si>
  <si>
    <t>Final mass measured after D3 (3 bottles later)</t>
  </si>
  <si>
    <t>Difficult to mix. Sludge level near shoulder of bottle.</t>
  </si>
  <si>
    <t>29.09.2018</t>
  </si>
  <si>
    <t>06.05</t>
  </si>
  <si>
    <t>Final mass after I4</t>
  </si>
  <si>
    <t>Pressure not measured.</t>
  </si>
  <si>
    <t>30.09.2018</t>
  </si>
  <si>
    <t>15.02</t>
  </si>
  <si>
    <t>Final mass of at 15.17.</t>
  </si>
  <si>
    <t>Easy to mix. No floating layer.</t>
  </si>
  <si>
    <t>01.10.2018</t>
  </si>
  <si>
    <t>08.50</t>
  </si>
  <si>
    <t>487.64</t>
  </si>
  <si>
    <t>Forgot to check volume - so this is an estimate</t>
  </si>
  <si>
    <t>02.10.2018</t>
  </si>
  <si>
    <t>09.45</t>
  </si>
  <si>
    <t>Forgot to measure initial mass. Set to final value from previous (assumes no leakage). Pressure not measured.</t>
  </si>
  <si>
    <t>03.10.2018</t>
  </si>
  <si>
    <t>08.07</t>
  </si>
  <si>
    <t>Measured after I3. Wrong order, id correct</t>
  </si>
  <si>
    <t>Measured before I2. Wrong order, id correct</t>
  </si>
  <si>
    <t>05.10.2018</t>
  </si>
  <si>
    <t>11.09</t>
  </si>
  <si>
    <t>Manometer reassembled (no pressure leaks). 10 minutes technical break in sampling.</t>
  </si>
  <si>
    <t>06.10.2018</t>
  </si>
  <si>
    <t>21.20</t>
  </si>
  <si>
    <t>Final mass recorded as 487.4, must have been 487.64</t>
  </si>
  <si>
    <t>08.10.2018</t>
  </si>
  <si>
    <t>11.43</t>
  </si>
  <si>
    <t>11.10.2018</t>
  </si>
  <si>
    <t>12.13</t>
  </si>
  <si>
    <t>15.10.2018</t>
  </si>
  <si>
    <t>21.22</t>
  </si>
  <si>
    <t>19.10.2018</t>
  </si>
  <si>
    <t>10.48</t>
  </si>
  <si>
    <t>25.10.2018</t>
  </si>
  <si>
    <t>14.08</t>
  </si>
  <si>
    <t>29.10.2018</t>
  </si>
  <si>
    <t>09.46</t>
  </si>
  <si>
    <t>16.11.2018</t>
  </si>
  <si>
    <t>14.07</t>
  </si>
  <si>
    <t>Scale seems to be reading low. Possible error/bias. Ambient pressure not measured.</t>
  </si>
  <si>
    <t>Ambient pressure not measured.</t>
  </si>
  <si>
    <t>17.12.2018</t>
  </si>
  <si>
    <t>11.38</t>
  </si>
  <si>
    <t>04.02.2019</t>
  </si>
  <si>
    <t>13.10</t>
  </si>
  <si>
    <t>Maybe adjust for this value instead, i.e. not within the given calibration</t>
  </si>
  <si>
    <t>Change of needle</t>
  </si>
  <si>
    <t>Date</t>
  </si>
  <si>
    <t>File</t>
  </si>
  <si>
    <t>Who</t>
  </si>
  <si>
    <t>What</t>
  </si>
  <si>
    <t>22 Sept 2018</t>
  </si>
  <si>
    <t>biogas_and_setup.xlsx</t>
  </si>
  <si>
    <t>Sasha</t>
  </si>
  <si>
    <t>Created blank template from data file from first set of measurements</t>
  </si>
  <si>
    <t>27 Sept 2018</t>
  </si>
  <si>
    <t>Setup date entry and part of 28 Sept measurements. Deleted headspace pressure column.</t>
  </si>
  <si>
    <t>04 Oct 2018</t>
  </si>
  <si>
    <t>Camilla</t>
  </si>
  <si>
    <t>Results from data sheets (28-09-18 to 03-10-18) entered</t>
  </si>
  <si>
    <t>07 Oct 2918</t>
  </si>
  <si>
    <t>Fixed some notes that had been hard to read.</t>
  </si>
  <si>
    <t>08 Oct 2018</t>
  </si>
  <si>
    <t>Entered data for 6 Oct.</t>
  </si>
  <si>
    <t>27 Oct 2018</t>
  </si>
  <si>
    <t>Entered data for 8-25 Oct. Changed column order in Biogas sheet.</t>
  </si>
  <si>
    <t>Changed temp.air to 20 (average) and pressure to 1002.27 (was 20.4) for 3 Oct. Corrected date for 11 Oct (was autofill error)</t>
  </si>
  <si>
    <t>ID C3 11 Oct changed final mass to 466.34. Must be a 6 in data sheet. Corrected few other data entry errors.</t>
  </si>
  <si>
    <t>3 Oct switched ID values for I2 and I3. Despite note, they must have been reversed.</t>
  </si>
  <si>
    <t>28 Nov 2018</t>
  </si>
  <si>
    <t>Entered data for 25 Oct, 29 Oct, and 16 Nov. Added 1000 for missing pressure.</t>
  </si>
  <si>
    <t>20 De 2018</t>
  </si>
  <si>
    <t>Entered data for 17 Dec. Changed SC VS concentration values based on recent VS results.</t>
  </si>
  <si>
    <t>05 Feb 2019</t>
  </si>
  <si>
    <t xml:space="preserve">Entered data for 4 Feb 2019. </t>
  </si>
  <si>
    <t>22 Feb 2019</t>
  </si>
  <si>
    <t>Change time column for 11.10.2018 to be the first sampling time instead of sample time for each bottle. See pictures of sheet for original entered data</t>
  </si>
  <si>
    <t>Add comma in L2, 08.10.2018 in mass.init</t>
  </si>
  <si>
    <t>Add zeros for day 0 in biogas volume column (27.09.2018)</t>
  </si>
  <si>
    <t>Change inoculum only to inoculum in setup$descrip</t>
  </si>
  <si>
    <t>12 March 2019</t>
  </si>
  <si>
    <t>Biogas sheet L1 2 Oct 2018, filled in mass.init with previous mass.final value</t>
  </si>
  <si>
    <t>Biogas sheet L1 17 Dec 2018, corrected typo in mass.init (was .68)</t>
  </si>
  <si>
    <t>Biogas sheet C3 28 Sept 2018, correct typo in mass.final (was .25)</t>
  </si>
  <si>
    <t>FIC</t>
  </si>
  <si>
    <t>descrip1</t>
  </si>
  <si>
    <t>Add new description column</t>
  </si>
  <si>
    <t>28 March 2019</t>
  </si>
  <si>
    <t xml:space="preserve">Add sampling data for 07 april 2019. </t>
  </si>
  <si>
    <t>07 April 2019</t>
  </si>
  <si>
    <t>07.04.2019</t>
  </si>
  <si>
    <t>Forgot to write down initial mass. Set to final value from previous (assumes no leakage).</t>
  </si>
  <si>
    <t>LB</t>
  </si>
  <si>
    <t>1 April 2019</t>
  </si>
  <si>
    <t>Change name of LBD to LB in descrip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</si>
</sst>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mm/dd/yy"/>
  </numFmts>
  <fonts count="6" x14ac:knownFonts="1">
    <font>
      <sz val="10"/>
      <name val="Verdana"/>
      <family val="2"/>
      <charset val="1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78120</xdr:colOff>
      <xdr:row>9</xdr:row>
      <xdr:rowOff>115200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006400" cy="174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302250</xdr:colOff>
      <xdr:row>29</xdr:row>
      <xdr:rowOff>101880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847480" cy="503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369450</xdr:colOff>
      <xdr:row>27</xdr:row>
      <xdr:rowOff>102240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4683960" cy="465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436410</xdr:colOff>
      <xdr:row>58</xdr:row>
      <xdr:rowOff>21960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8728560" cy="9611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261938</xdr:colOff>
      <xdr:row>27</xdr:row>
      <xdr:rowOff>104775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6"/>
  <sheetViews>
    <sheetView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C8" sqref="C8"/>
    </sheetView>
  </sheetViews>
  <sheetFormatPr defaultRowHeight="12.75" x14ac:dyDescent="0.2"/>
  <cols>
    <col min="1" max="3" width="9.5" style="1" customWidth="1"/>
    <col min="4" max="4" width="10.5" style="1" customWidth="1"/>
    <col min="5" max="6" width="9.5" style="1" customWidth="1"/>
    <col min="7" max="7" width="10.875" style="1" customWidth="1"/>
    <col min="8" max="8" width="10.75" style="1" customWidth="1"/>
    <col min="9" max="12" width="9.5" style="1" customWidth="1"/>
    <col min="13" max="13" width="11.5" style="1" customWidth="1"/>
    <col min="14" max="14" width="10.875" style="1" customWidth="1"/>
    <col min="15" max="15" width="10.375" style="1" customWidth="1"/>
    <col min="16" max="17" width="9.875" style="1" customWidth="1"/>
    <col min="18" max="18" width="11.875" style="1" customWidth="1"/>
    <col min="19" max="19" width="9.5" style="1" customWidth="1"/>
    <col min="20" max="20" width="10.625" style="1" customWidth="1"/>
    <col min="21" max="21" width="9.5" style="2" customWidth="1"/>
    <col min="22" max="1024" width="9.5" style="1" customWidth="1"/>
    <col min="1025" max="1026" width="9.5" style="3" customWidth="1"/>
  </cols>
  <sheetData>
    <row r="1" spans="1:21" s="4" customFormat="1" ht="25.5" customHeight="1" x14ac:dyDescent="0.2">
      <c r="A1" s="4" t="s">
        <v>0</v>
      </c>
      <c r="B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</row>
    <row r="2" spans="1:21" x14ac:dyDescent="0.2">
      <c r="A2" s="1" t="s">
        <v>20</v>
      </c>
      <c r="B2" s="1" t="s">
        <v>21</v>
      </c>
      <c r="C2" s="1" t="s">
        <v>22</v>
      </c>
      <c r="D2" s="1" t="s">
        <v>175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2" t="s">
        <v>39</v>
      </c>
    </row>
    <row r="3" spans="1:21" x14ac:dyDescent="0.2">
      <c r="A3" s="1" t="s">
        <v>40</v>
      </c>
      <c r="B3" s="1" t="s">
        <v>41</v>
      </c>
      <c r="C3" s="1" t="s">
        <v>174</v>
      </c>
      <c r="D3" s="1" t="s">
        <v>42</v>
      </c>
      <c r="E3" s="1" t="s">
        <v>43</v>
      </c>
      <c r="F3" s="1">
        <v>322.02999999999997</v>
      </c>
      <c r="G3" s="1">
        <v>142.25</v>
      </c>
      <c r="H3" s="1">
        <v>2.12</v>
      </c>
      <c r="I3" s="1">
        <v>468.51</v>
      </c>
      <c r="J3" s="1">
        <v>468.52</v>
      </c>
      <c r="K3" s="6">
        <f>AVERAGE(Setup!I3:J3)</f>
        <v>468.51499999999999</v>
      </c>
      <c r="L3" s="7">
        <f>1000*STDEV(Setup!I3:J3)</f>
        <v>7.0710678118590442</v>
      </c>
      <c r="M3" s="7">
        <f>Setup!K3-(Setup!F3+Setup!G3+Setup!H3)</f>
        <v>2.1150000000000091</v>
      </c>
      <c r="N3" s="8">
        <v>802.16</v>
      </c>
      <c r="O3" s="4">
        <v>22.3</v>
      </c>
      <c r="P3" s="9">
        <f>Setup!N3*Setup!H3/1000</f>
        <v>1.7005792000000002</v>
      </c>
      <c r="Q3" s="6">
        <f>Setup!G3*Setup!O3/1000</f>
        <v>3.1721750000000002</v>
      </c>
      <c r="R3" s="6">
        <f t="shared" ref="R3:R11" si="0">Q3/P3</f>
        <v>1.8653497584822865</v>
      </c>
      <c r="S3" s="1">
        <v>520</v>
      </c>
      <c r="T3" s="7">
        <f>Setup!S3-Setup!G3-Setup!H3</f>
        <v>375.63</v>
      </c>
    </row>
    <row r="4" spans="1:21" x14ac:dyDescent="0.2">
      <c r="A4" s="1" t="s">
        <v>40</v>
      </c>
      <c r="B4" s="1" t="s">
        <v>44</v>
      </c>
      <c r="C4" s="1" t="s">
        <v>174</v>
      </c>
      <c r="D4" s="1" t="s">
        <v>42</v>
      </c>
      <c r="E4" s="1" t="s">
        <v>43</v>
      </c>
      <c r="F4" s="1">
        <v>321.69</v>
      </c>
      <c r="G4" s="1">
        <v>146.13</v>
      </c>
      <c r="H4" s="1">
        <v>2.14</v>
      </c>
      <c r="I4" s="1">
        <v>471.9</v>
      </c>
      <c r="J4" s="1">
        <v>471.9</v>
      </c>
      <c r="K4" s="6">
        <f>AVERAGE(Setup!I4:J4)</f>
        <v>471.9</v>
      </c>
      <c r="L4" s="7">
        <f>1000*STDEV(Setup!I4:J4)</f>
        <v>0</v>
      </c>
      <c r="M4" s="7">
        <f>Setup!K4-(Setup!F4+Setup!G4+Setup!H4)</f>
        <v>1.9399999999999977</v>
      </c>
      <c r="N4" s="8">
        <v>802.16</v>
      </c>
      <c r="O4" s="4">
        <v>22.3</v>
      </c>
      <c r="P4" s="9">
        <f>Setup!N4*Setup!H4/1000</f>
        <v>1.7166223999999999</v>
      </c>
      <c r="Q4" s="6">
        <f>Setup!G4*Setup!O4/1000</f>
        <v>3.258699</v>
      </c>
      <c r="R4" s="6">
        <f t="shared" si="0"/>
        <v>1.898320212995007</v>
      </c>
      <c r="S4" s="1">
        <v>520</v>
      </c>
      <c r="T4" s="7">
        <f>Setup!S4-Setup!G4-Setup!H4</f>
        <v>371.73</v>
      </c>
    </row>
    <row r="5" spans="1:21" x14ac:dyDescent="0.2">
      <c r="A5" s="1" t="s">
        <v>40</v>
      </c>
      <c r="B5" s="1" t="s">
        <v>45</v>
      </c>
      <c r="C5" s="1" t="s">
        <v>174</v>
      </c>
      <c r="D5" s="1" t="s">
        <v>42</v>
      </c>
      <c r="E5" s="1" t="s">
        <v>43</v>
      </c>
      <c r="F5" s="1">
        <v>321.77999999999997</v>
      </c>
      <c r="G5" s="1">
        <v>142.19999999999999</v>
      </c>
      <c r="H5" s="1">
        <v>2.1800000000000002</v>
      </c>
      <c r="I5" s="1">
        <v>468.3</v>
      </c>
      <c r="J5" s="1">
        <v>468.3</v>
      </c>
      <c r="K5" s="6">
        <f>AVERAGE(Setup!I5:J5)</f>
        <v>468.3</v>
      </c>
      <c r="L5" s="7">
        <f>1000*STDEV(Setup!I5:J5)</f>
        <v>0</v>
      </c>
      <c r="M5" s="7">
        <f>Setup!K5-(Setup!F5+Setup!G5+Setup!H5)</f>
        <v>2.1400000000000432</v>
      </c>
      <c r="N5" s="8">
        <v>802.16</v>
      </c>
      <c r="O5" s="4">
        <v>22.3</v>
      </c>
      <c r="P5" s="9">
        <f>Setup!N5*Setup!H5/1000</f>
        <v>1.7487088000000002</v>
      </c>
      <c r="Q5" s="6">
        <f>Setup!G5*Setup!O5/1000</f>
        <v>3.1710599999999998</v>
      </c>
      <c r="R5" s="6">
        <f t="shared" si="0"/>
        <v>1.8133722435662241</v>
      </c>
      <c r="S5" s="1">
        <v>520</v>
      </c>
      <c r="T5" s="7">
        <f>Setup!S5-Setup!G5-Setup!H5</f>
        <v>375.62</v>
      </c>
    </row>
    <row r="6" spans="1:21" x14ac:dyDescent="0.2">
      <c r="A6" s="1" t="s">
        <v>40</v>
      </c>
      <c r="B6" s="1" t="s">
        <v>46</v>
      </c>
      <c r="C6" s="1" t="s">
        <v>182</v>
      </c>
      <c r="D6" s="1" t="s">
        <v>47</v>
      </c>
      <c r="E6" s="1" t="s">
        <v>48</v>
      </c>
      <c r="F6" s="1">
        <v>322.24</v>
      </c>
      <c r="G6" s="1">
        <v>143.09</v>
      </c>
      <c r="H6" s="1">
        <v>3.79</v>
      </c>
      <c r="I6" s="1">
        <v>471.15</v>
      </c>
      <c r="J6" s="1">
        <v>471.15</v>
      </c>
      <c r="K6" s="6">
        <f>AVERAGE(Setup!I6:J6)</f>
        <v>471.15</v>
      </c>
      <c r="L6" s="7">
        <f>1000*STDEV(Setup!I6:J6)</f>
        <v>0</v>
      </c>
      <c r="M6" s="7">
        <f>Setup!K6-(Setup!F6+Setup!G6+Setup!H6)</f>
        <v>2.0299999999999159</v>
      </c>
      <c r="N6" s="1">
        <v>861.15</v>
      </c>
      <c r="O6" s="4">
        <v>22.3</v>
      </c>
      <c r="P6" s="9">
        <f>Setup!N6*Setup!H6/1000</f>
        <v>3.2637584999999998</v>
      </c>
      <c r="Q6" s="6">
        <f>Setup!G6*Setup!O6/1000</f>
        <v>3.1909070000000002</v>
      </c>
      <c r="R6" s="6">
        <f t="shared" si="0"/>
        <v>0.97767864871129417</v>
      </c>
      <c r="S6" s="1">
        <v>520</v>
      </c>
      <c r="T6" s="7">
        <f>Setup!S6-Setup!G6-Setup!H6</f>
        <v>373.11999999999995</v>
      </c>
      <c r="U6" s="2" t="s">
        <v>49</v>
      </c>
    </row>
    <row r="7" spans="1:21" x14ac:dyDescent="0.2">
      <c r="A7" s="1" t="s">
        <v>40</v>
      </c>
      <c r="B7" s="1" t="s">
        <v>50</v>
      </c>
      <c r="C7" s="1" t="s">
        <v>182</v>
      </c>
      <c r="D7" s="1" t="s">
        <v>47</v>
      </c>
      <c r="E7" s="1" t="s">
        <v>48</v>
      </c>
      <c r="F7" s="1">
        <v>323.33999999999997</v>
      </c>
      <c r="G7" s="1">
        <v>142.91999999999999</v>
      </c>
      <c r="H7" s="1">
        <v>3.78</v>
      </c>
      <c r="I7" s="1">
        <v>472.1</v>
      </c>
      <c r="J7" s="1">
        <v>472.1</v>
      </c>
      <c r="K7" s="6">
        <f>AVERAGE(Setup!I7:J7)</f>
        <v>472.1</v>
      </c>
      <c r="L7" s="7">
        <f>1000*STDEV(Setup!I7:J7)</f>
        <v>0</v>
      </c>
      <c r="M7" s="7">
        <f>Setup!K7-(Setup!F7+Setup!G7+Setup!H7)</f>
        <v>2.0600000000000591</v>
      </c>
      <c r="N7" s="1">
        <v>861.15</v>
      </c>
      <c r="O7" s="4">
        <v>22.3</v>
      </c>
      <c r="P7" s="9">
        <f>Setup!N7*Setup!H7/1000</f>
        <v>3.255147</v>
      </c>
      <c r="Q7" s="6">
        <f>Setup!G7*Setup!O7/1000</f>
        <v>3.1871160000000001</v>
      </c>
      <c r="R7" s="6">
        <f t="shared" si="0"/>
        <v>0.97910048301966091</v>
      </c>
      <c r="S7" s="1">
        <v>520</v>
      </c>
      <c r="T7" s="7">
        <f>Setup!S7-Setup!G7-Setup!H7</f>
        <v>373.30000000000007</v>
      </c>
      <c r="U7" s="2" t="s">
        <v>49</v>
      </c>
    </row>
    <row r="8" spans="1:21" x14ac:dyDescent="0.2">
      <c r="A8" s="1" t="s">
        <v>40</v>
      </c>
      <c r="B8" s="1" t="s">
        <v>51</v>
      </c>
      <c r="C8" s="1" t="s">
        <v>182</v>
      </c>
      <c r="D8" s="1" t="s">
        <v>47</v>
      </c>
      <c r="E8" s="1" t="s">
        <v>48</v>
      </c>
      <c r="F8" s="1">
        <v>321.89</v>
      </c>
      <c r="G8" s="1">
        <v>144.13</v>
      </c>
      <c r="H8" s="1">
        <v>3.78</v>
      </c>
      <c r="I8" s="1">
        <v>472.51</v>
      </c>
      <c r="J8" s="1">
        <v>472.51</v>
      </c>
      <c r="K8" s="6">
        <f>AVERAGE(Setup!I8:J8)</f>
        <v>472.51</v>
      </c>
      <c r="L8" s="7">
        <f>1000*STDEV(Setup!I8:J8)</f>
        <v>0</v>
      </c>
      <c r="M8" s="7">
        <f>Setup!K8-(Setup!F8+Setup!G8+Setup!H8)</f>
        <v>2.7100000000000364</v>
      </c>
      <c r="N8" s="1">
        <v>861.15</v>
      </c>
      <c r="O8" s="4">
        <v>22.3</v>
      </c>
      <c r="P8" s="9">
        <f>Setup!N8*Setup!H8/1000</f>
        <v>3.255147</v>
      </c>
      <c r="Q8" s="6">
        <f>Setup!G8*Setup!O8/1000</f>
        <v>3.214099</v>
      </c>
      <c r="R8" s="6">
        <f t="shared" si="0"/>
        <v>0.98738981680397231</v>
      </c>
      <c r="S8" s="1">
        <v>520</v>
      </c>
      <c r="T8" s="7">
        <f>Setup!S8-Setup!G8-Setup!H8</f>
        <v>372.09000000000003</v>
      </c>
      <c r="U8" s="2" t="s">
        <v>49</v>
      </c>
    </row>
    <row r="9" spans="1:21" x14ac:dyDescent="0.2">
      <c r="A9" s="1" t="s">
        <v>40</v>
      </c>
      <c r="B9" s="1" t="s">
        <v>52</v>
      </c>
      <c r="C9" s="1" t="s">
        <v>53</v>
      </c>
      <c r="D9" s="1" t="s">
        <v>53</v>
      </c>
      <c r="E9" s="1" t="s">
        <v>54</v>
      </c>
      <c r="F9" s="1">
        <v>321.75</v>
      </c>
      <c r="G9" s="1">
        <v>142.37</v>
      </c>
      <c r="H9" s="1">
        <v>1.6</v>
      </c>
      <c r="I9" s="1">
        <v>467.77</v>
      </c>
      <c r="J9" s="1">
        <v>467.75</v>
      </c>
      <c r="K9" s="6">
        <f>AVERAGE(Setup!I9:J9)</f>
        <v>467.76</v>
      </c>
      <c r="L9" s="7">
        <f>1000*STDEV(Setup!I9:J9)</f>
        <v>14.142135623718088</v>
      </c>
      <c r="M9" s="7">
        <f>Setup!K9-(Setup!F9+Setup!G9+Setup!H9)</f>
        <v>2.0399999999999636</v>
      </c>
      <c r="N9" s="1">
        <v>989.19</v>
      </c>
      <c r="O9" s="4">
        <v>22.3</v>
      </c>
      <c r="P9" s="9">
        <f>Setup!N9*Setup!H9/1000</f>
        <v>1.5827040000000001</v>
      </c>
      <c r="Q9" s="6">
        <f>Setup!G9*Setup!O9/1000</f>
        <v>3.1748510000000003</v>
      </c>
      <c r="R9" s="6">
        <f t="shared" si="0"/>
        <v>2.0059663714756519</v>
      </c>
      <c r="S9" s="1">
        <v>520</v>
      </c>
      <c r="T9" s="7">
        <f>Setup!S9-Setup!G9-Setup!H9</f>
        <v>376.03</v>
      </c>
    </row>
    <row r="10" spans="1:21" x14ac:dyDescent="0.2">
      <c r="A10" s="1" t="s">
        <v>40</v>
      </c>
      <c r="B10" s="1" t="s">
        <v>55</v>
      </c>
      <c r="C10" s="1" t="s">
        <v>53</v>
      </c>
      <c r="D10" s="1" t="s">
        <v>53</v>
      </c>
      <c r="E10" s="1" t="s">
        <v>54</v>
      </c>
      <c r="F10" s="1">
        <v>322.04000000000002</v>
      </c>
      <c r="G10" s="1">
        <v>142.80000000000001</v>
      </c>
      <c r="H10" s="1">
        <v>1.62</v>
      </c>
      <c r="I10" s="1">
        <v>468.51</v>
      </c>
      <c r="J10" s="1">
        <v>468.5</v>
      </c>
      <c r="K10" s="6">
        <f>AVERAGE(Setup!I10:J10)</f>
        <v>468.505</v>
      </c>
      <c r="L10" s="7">
        <f>1000*STDEV(Setup!I10:J10)</f>
        <v>7.0710678118590442</v>
      </c>
      <c r="M10" s="7">
        <f>Setup!K10-(Setup!F10+Setup!G10+Setup!H10)</f>
        <v>2.0449999999999591</v>
      </c>
      <c r="N10" s="1">
        <v>989.19</v>
      </c>
      <c r="O10" s="4">
        <v>22.3</v>
      </c>
      <c r="P10" s="9">
        <f>Setup!N10*Setup!H10/1000</f>
        <v>1.6024878</v>
      </c>
      <c r="Q10" s="6">
        <f>Setup!G10*Setup!O10/1000</f>
        <v>3.1844400000000004</v>
      </c>
      <c r="R10" s="6">
        <f t="shared" si="0"/>
        <v>1.9871851754503218</v>
      </c>
      <c r="S10" s="1">
        <v>520</v>
      </c>
      <c r="T10" s="7">
        <f>Setup!S10-Setup!G10-Setup!H10</f>
        <v>375.58</v>
      </c>
    </row>
    <row r="11" spans="1:21" x14ac:dyDescent="0.2">
      <c r="A11" s="1" t="s">
        <v>40</v>
      </c>
      <c r="B11" s="1" t="s">
        <v>56</v>
      </c>
      <c r="C11" s="1" t="s">
        <v>53</v>
      </c>
      <c r="D11" s="1" t="s">
        <v>53</v>
      </c>
      <c r="E11" s="1" t="s">
        <v>54</v>
      </c>
      <c r="F11" s="1">
        <v>321.58999999999997</v>
      </c>
      <c r="G11" s="1">
        <v>145.19</v>
      </c>
      <c r="H11" s="1">
        <v>1.64</v>
      </c>
      <c r="I11" s="1">
        <v>470.55</v>
      </c>
      <c r="J11" s="1">
        <v>470.55</v>
      </c>
      <c r="K11" s="6">
        <f>AVERAGE(Setup!I11:J11)</f>
        <v>470.55</v>
      </c>
      <c r="L11" s="7">
        <f>1000*STDEV(Setup!I11:J11)</f>
        <v>0</v>
      </c>
      <c r="M11" s="7">
        <f>Setup!K11-(Setup!F11+Setup!G11+Setup!H11)</f>
        <v>2.1300000000000523</v>
      </c>
      <c r="N11" s="1">
        <v>989.19</v>
      </c>
      <c r="O11" s="4">
        <v>22.3</v>
      </c>
      <c r="P11" s="9">
        <f>Setup!N11*Setup!H11/1000</f>
        <v>1.6222715999999999</v>
      </c>
      <c r="Q11" s="6">
        <f>Setup!G11*Setup!O11/1000</f>
        <v>3.2377370000000001</v>
      </c>
      <c r="R11" s="6">
        <f t="shared" si="0"/>
        <v>1.9958045249636376</v>
      </c>
      <c r="S11" s="1">
        <v>520</v>
      </c>
      <c r="T11" s="7">
        <f>Setup!S11-Setup!G11-Setup!H11</f>
        <v>373.17</v>
      </c>
    </row>
    <row r="12" spans="1:21" x14ac:dyDescent="0.2">
      <c r="A12" s="1" t="s">
        <v>40</v>
      </c>
      <c r="B12" s="1" t="s">
        <v>57</v>
      </c>
      <c r="C12" s="1" t="s">
        <v>58</v>
      </c>
      <c r="D12" s="1" t="s">
        <v>58</v>
      </c>
      <c r="E12" s="1" t="s">
        <v>59</v>
      </c>
      <c r="F12" s="1">
        <v>320.81</v>
      </c>
      <c r="G12" s="1">
        <v>406.51</v>
      </c>
      <c r="H12" s="1">
        <v>0</v>
      </c>
      <c r="I12" s="1">
        <v>729.49</v>
      </c>
      <c r="J12" s="1">
        <v>729.5</v>
      </c>
      <c r="K12" s="6">
        <f>AVERAGE(Setup!I12:J12)</f>
        <v>729.495</v>
      </c>
      <c r="L12" s="7">
        <f>1000*STDEV(Setup!I12:J12)</f>
        <v>7.0710678118590442</v>
      </c>
      <c r="M12" s="7">
        <f>Setup!K12-(Setup!F12+Setup!G12+Setup!H12)</f>
        <v>2.1750000000000682</v>
      </c>
      <c r="O12" s="4">
        <v>22.3</v>
      </c>
      <c r="P12" s="9"/>
      <c r="Q12" s="6">
        <f>Setup!G12*Setup!O12/1000</f>
        <v>9.0651730000000015</v>
      </c>
      <c r="R12" s="6"/>
      <c r="S12" s="1">
        <v>520</v>
      </c>
      <c r="T12" s="7">
        <f>Setup!S12-Setup!G12-Setup!H12</f>
        <v>113.49000000000001</v>
      </c>
    </row>
    <row r="13" spans="1:21" x14ac:dyDescent="0.2">
      <c r="A13" s="1" t="s">
        <v>40</v>
      </c>
      <c r="B13" s="1" t="s">
        <v>60</v>
      </c>
      <c r="C13" s="1" t="s">
        <v>58</v>
      </c>
      <c r="D13" s="1" t="s">
        <v>58</v>
      </c>
      <c r="E13" s="1" t="s">
        <v>59</v>
      </c>
      <c r="F13" s="1">
        <v>318.87</v>
      </c>
      <c r="G13" s="1">
        <v>401.2</v>
      </c>
      <c r="H13" s="1">
        <v>0</v>
      </c>
      <c r="I13" s="1">
        <v>722.08</v>
      </c>
      <c r="J13" s="1">
        <v>722.09</v>
      </c>
      <c r="K13" s="6">
        <f>AVERAGE(Setup!I13:J13)</f>
        <v>722.08500000000004</v>
      </c>
      <c r="L13" s="7">
        <f>1000*STDEV(Setup!I13:J13)</f>
        <v>7.0710678118590442</v>
      </c>
      <c r="M13" s="7">
        <f>Setup!K13-(Setup!F13+Setup!G13+Setup!H13)</f>
        <v>2.0150000000001</v>
      </c>
      <c r="O13" s="4">
        <v>22.3</v>
      </c>
      <c r="P13" s="9"/>
      <c r="Q13" s="6">
        <f>Setup!G13*Setup!O13/1000</f>
        <v>8.9467599999999994</v>
      </c>
      <c r="R13" s="6"/>
      <c r="S13" s="1">
        <v>520</v>
      </c>
      <c r="T13" s="7">
        <f>Setup!S13-Setup!G13-Setup!H13</f>
        <v>118.80000000000001</v>
      </c>
    </row>
    <row r="14" spans="1:21" x14ac:dyDescent="0.2">
      <c r="A14" s="1" t="s">
        <v>40</v>
      </c>
      <c r="B14" s="1" t="s">
        <v>61</v>
      </c>
      <c r="C14" s="1" t="s">
        <v>58</v>
      </c>
      <c r="D14" s="1" t="s">
        <v>58</v>
      </c>
      <c r="E14" s="1" t="s">
        <v>59</v>
      </c>
      <c r="F14" s="1">
        <v>321.95</v>
      </c>
      <c r="G14" s="1">
        <v>416.59</v>
      </c>
      <c r="H14" s="1">
        <v>0</v>
      </c>
      <c r="I14" s="1">
        <v>740.53</v>
      </c>
      <c r="J14" s="1">
        <v>740.54</v>
      </c>
      <c r="K14" s="6">
        <f>AVERAGE(Setup!I14:J14)</f>
        <v>740.53499999999997</v>
      </c>
      <c r="L14" s="7">
        <f>1000*STDEV(Setup!I14:J14)</f>
        <v>7.0710678118590442</v>
      </c>
      <c r="M14" s="7">
        <f>Setup!K14-(Setup!F14+Setup!G14+Setup!H14)</f>
        <v>1.9950000000000045</v>
      </c>
      <c r="O14" s="4">
        <v>22.3</v>
      </c>
      <c r="P14" s="9"/>
      <c r="Q14" s="6">
        <f>Setup!G14*Setup!O14/1000</f>
        <v>9.2899570000000011</v>
      </c>
      <c r="R14" s="6"/>
      <c r="S14" s="1">
        <v>520</v>
      </c>
      <c r="T14" s="7">
        <f>Setup!S14-Setup!G14-Setup!H14</f>
        <v>103.41000000000003</v>
      </c>
    </row>
    <row r="15" spans="1:21" x14ac:dyDescent="0.2">
      <c r="A15" s="1" t="s">
        <v>40</v>
      </c>
      <c r="B15" s="1" t="s">
        <v>62</v>
      </c>
      <c r="C15" s="1" t="s">
        <v>58</v>
      </c>
      <c r="D15" s="1" t="s">
        <v>58</v>
      </c>
      <c r="E15" s="1" t="s">
        <v>59</v>
      </c>
      <c r="F15" s="1">
        <v>322.01</v>
      </c>
      <c r="G15" s="1">
        <v>399.71</v>
      </c>
      <c r="H15" s="1">
        <v>0</v>
      </c>
      <c r="I15" s="1">
        <v>723.77</v>
      </c>
      <c r="J15" s="1">
        <v>723.78</v>
      </c>
      <c r="K15" s="6">
        <f>AVERAGE(Setup!I15:J15)</f>
        <v>723.77499999999998</v>
      </c>
      <c r="L15" s="7">
        <f>1000*STDEV(Setup!I15:J15)</f>
        <v>7.0710678118590442</v>
      </c>
      <c r="M15" s="7">
        <f>Setup!K15-(Setup!F15+Setup!G15+Setup!H15)</f>
        <v>2.05499999999995</v>
      </c>
      <c r="O15" s="4">
        <v>22.3</v>
      </c>
      <c r="P15" s="9"/>
      <c r="Q15" s="6">
        <f>Setup!G15*Setup!O15/1000</f>
        <v>8.9135329999999993</v>
      </c>
      <c r="R15" s="6"/>
      <c r="S15" s="1">
        <v>520</v>
      </c>
      <c r="T15" s="7">
        <f>Setup!S15-Setup!G15-Setup!H15</f>
        <v>120.29000000000002</v>
      </c>
    </row>
    <row r="16" spans="1:21" x14ac:dyDescent="0.2">
      <c r="A16" s="1" t="s">
        <v>40</v>
      </c>
      <c r="B16" s="1" t="s">
        <v>63</v>
      </c>
      <c r="C16" s="1" t="s">
        <v>64</v>
      </c>
      <c r="D16" s="1" t="s">
        <v>64</v>
      </c>
      <c r="F16" s="1">
        <v>321.88</v>
      </c>
      <c r="G16" s="1">
        <v>165.85</v>
      </c>
      <c r="H16" s="1">
        <v>0</v>
      </c>
      <c r="I16" s="1">
        <v>487.66</v>
      </c>
      <c r="J16" s="1">
        <v>487.66</v>
      </c>
      <c r="K16" s="6">
        <f>AVERAGE(Setup!I16:J16)</f>
        <v>487.66</v>
      </c>
      <c r="L16" s="7">
        <f>1000*STDEV(Setup!I16:J16)</f>
        <v>0</v>
      </c>
      <c r="M16" s="7">
        <f>Setup!K16-(Setup!F16+Setup!G16+Setup!H16)</f>
        <v>-6.9999999999993179E-2</v>
      </c>
      <c r="P16" s="9"/>
      <c r="Q16" s="6">
        <f>Setup!G16*Setup!O16/1000</f>
        <v>0</v>
      </c>
      <c r="R16" s="6"/>
      <c r="S16" s="1">
        <v>520</v>
      </c>
      <c r="T16" s="7">
        <f>Setup!S16-Setup!G16-Setup!H16</f>
        <v>354.15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52"/>
  <sheetViews>
    <sheetView zoomScaleNormal="100" workbookViewId="0">
      <pane xSplit="1" ySplit="2" topLeftCell="B207" activePane="bottomRight" state="frozen"/>
      <selection pane="topRight" activeCell="B1" sqref="B1"/>
      <selection pane="bottomLeft" activeCell="A3" sqref="A3"/>
      <selection pane="bottomRight" activeCell="L246" sqref="L246"/>
    </sheetView>
  </sheetViews>
  <sheetFormatPr defaultRowHeight="12.75" x14ac:dyDescent="0.2"/>
  <cols>
    <col min="1" max="1" width="9.5" style="1" customWidth="1"/>
    <col min="2" max="2" width="7.25" style="1" customWidth="1"/>
    <col min="3" max="3" width="9.875" style="8" bestFit="1" customWidth="1"/>
    <col min="4" max="4" width="8.875" style="8" customWidth="1"/>
    <col min="5" max="5" width="9" style="10" customWidth="1"/>
    <col min="6" max="6" width="9" style="8" customWidth="1"/>
    <col min="7" max="7" width="12" style="1" customWidth="1"/>
    <col min="8" max="8" width="10.625" style="10" customWidth="1"/>
    <col min="9" max="9" width="9.125" style="8" customWidth="1"/>
    <col min="10" max="10" width="9.125" style="2" customWidth="1"/>
    <col min="11" max="11" width="8.375" style="11" customWidth="1"/>
    <col min="12" max="12" width="7.875" style="12" customWidth="1"/>
    <col min="13" max="13" width="9.75" style="3" customWidth="1"/>
    <col min="14" max="1022" width="7.875" style="3" customWidth="1"/>
    <col min="1023" max="1025" width="5.375" style="3" customWidth="1"/>
  </cols>
  <sheetData>
    <row r="1" spans="1:12" s="16" customFormat="1" ht="25.5" customHeight="1" x14ac:dyDescent="0.2">
      <c r="A1" s="4" t="s">
        <v>0</v>
      </c>
      <c r="B1" s="4" t="s">
        <v>65</v>
      </c>
      <c r="C1" s="14" t="s">
        <v>66</v>
      </c>
      <c r="D1" s="14" t="s">
        <v>67</v>
      </c>
      <c r="E1" s="13" t="s">
        <v>68</v>
      </c>
      <c r="F1" s="14" t="s">
        <v>69</v>
      </c>
      <c r="G1" s="4" t="s">
        <v>70</v>
      </c>
      <c r="H1" s="13" t="s">
        <v>71</v>
      </c>
      <c r="I1" s="14" t="s">
        <v>72</v>
      </c>
      <c r="J1" s="5" t="s">
        <v>19</v>
      </c>
      <c r="K1" s="15" t="s">
        <v>73</v>
      </c>
      <c r="L1" s="4" t="s">
        <v>74</v>
      </c>
    </row>
    <row r="2" spans="1:12" x14ac:dyDescent="0.2">
      <c r="A2" s="1" t="s">
        <v>20</v>
      </c>
      <c r="B2" s="1" t="s">
        <v>21</v>
      </c>
      <c r="C2" s="8" t="s">
        <v>75</v>
      </c>
      <c r="D2" s="8" t="s">
        <v>76</v>
      </c>
      <c r="E2" s="10" t="s">
        <v>77</v>
      </c>
      <c r="F2" s="8" t="s">
        <v>78</v>
      </c>
      <c r="G2" s="1" t="s">
        <v>79</v>
      </c>
      <c r="H2" s="10" t="s">
        <v>80</v>
      </c>
      <c r="I2" s="8" t="s">
        <v>81</v>
      </c>
      <c r="J2" s="2" t="s">
        <v>82</v>
      </c>
      <c r="K2" s="11" t="s">
        <v>83</v>
      </c>
      <c r="L2" s="1" t="s">
        <v>84</v>
      </c>
    </row>
    <row r="3" spans="1:12" x14ac:dyDescent="0.2">
      <c r="A3" s="1" t="str">
        <f>Setup!A3</f>
        <v>IIS-BMP2</v>
      </c>
      <c r="B3" s="1" t="str">
        <f>Setup!B3</f>
        <v>C1</v>
      </c>
      <c r="C3" s="8" t="s">
        <v>85</v>
      </c>
      <c r="D3" s="8">
        <v>15.35</v>
      </c>
      <c r="E3" s="10">
        <v>20.8</v>
      </c>
      <c r="F3" s="8">
        <v>1007.24</v>
      </c>
      <c r="G3" s="6">
        <f>Setup!K3</f>
        <v>468.51499999999999</v>
      </c>
      <c r="H3" s="10">
        <v>0</v>
      </c>
      <c r="I3" s="6">
        <f>Setup!K3</f>
        <v>468.51499999999999</v>
      </c>
      <c r="K3" s="11">
        <v>43370.649305555555</v>
      </c>
      <c r="L3" s="6">
        <f t="shared" ref="L3:L66" si="0">K3-K$3</f>
        <v>0</v>
      </c>
    </row>
    <row r="4" spans="1:12" x14ac:dyDescent="0.2">
      <c r="A4" s="1" t="str">
        <f>Setup!A4</f>
        <v>IIS-BMP2</v>
      </c>
      <c r="B4" s="1" t="str">
        <f>Setup!B4</f>
        <v>C2</v>
      </c>
      <c r="C4" s="8" t="s">
        <v>85</v>
      </c>
      <c r="D4" s="8">
        <v>15.35</v>
      </c>
      <c r="E4" s="10">
        <v>20.8</v>
      </c>
      <c r="F4" s="8">
        <v>1007.24</v>
      </c>
      <c r="G4" s="6">
        <f>Setup!K4</f>
        <v>471.9</v>
      </c>
      <c r="H4" s="10">
        <v>0</v>
      </c>
      <c r="I4" s="6">
        <f>Setup!K4</f>
        <v>471.9</v>
      </c>
      <c r="K4" s="11">
        <v>43370.649305555598</v>
      </c>
      <c r="L4" s="6">
        <f t="shared" si="0"/>
        <v>0</v>
      </c>
    </row>
    <row r="5" spans="1:12" x14ac:dyDescent="0.2">
      <c r="A5" s="1" t="str">
        <f>Setup!A5</f>
        <v>IIS-BMP2</v>
      </c>
      <c r="B5" s="1" t="str">
        <f>Setup!B5</f>
        <v>C3</v>
      </c>
      <c r="C5" s="8" t="s">
        <v>85</v>
      </c>
      <c r="D5" s="8">
        <v>15.35</v>
      </c>
      <c r="E5" s="10">
        <v>20.8</v>
      </c>
      <c r="F5" s="8">
        <v>1007.24</v>
      </c>
      <c r="G5" s="6">
        <f>Setup!K5</f>
        <v>468.3</v>
      </c>
      <c r="H5" s="10">
        <v>0</v>
      </c>
      <c r="I5" s="6">
        <f>Setup!K5</f>
        <v>468.3</v>
      </c>
      <c r="K5" s="11">
        <v>43370.649305555598</v>
      </c>
      <c r="L5" s="6">
        <f t="shared" si="0"/>
        <v>0</v>
      </c>
    </row>
    <row r="6" spans="1:12" x14ac:dyDescent="0.2">
      <c r="A6" s="1" t="str">
        <f>Setup!A6</f>
        <v>IIS-BMP2</v>
      </c>
      <c r="B6" s="1" t="str">
        <f>Setup!B6</f>
        <v>D1</v>
      </c>
      <c r="C6" s="8" t="s">
        <v>85</v>
      </c>
      <c r="D6" s="8">
        <v>15.35</v>
      </c>
      <c r="E6" s="10">
        <v>20.8</v>
      </c>
      <c r="F6" s="8">
        <v>1007.24</v>
      </c>
      <c r="G6" s="6">
        <f>Setup!K6</f>
        <v>471.15</v>
      </c>
      <c r="H6" s="10">
        <v>0</v>
      </c>
      <c r="I6" s="6">
        <f>Setup!K6</f>
        <v>471.15</v>
      </c>
      <c r="K6" s="11">
        <v>43370.649305555598</v>
      </c>
      <c r="L6" s="6">
        <f t="shared" si="0"/>
        <v>0</v>
      </c>
    </row>
    <row r="7" spans="1:12" x14ac:dyDescent="0.2">
      <c r="A7" s="1" t="str">
        <f>Setup!A7</f>
        <v>IIS-BMP2</v>
      </c>
      <c r="B7" s="1" t="str">
        <f>Setup!B7</f>
        <v>D2</v>
      </c>
      <c r="C7" s="8" t="s">
        <v>85</v>
      </c>
      <c r="D7" s="8">
        <v>15.35</v>
      </c>
      <c r="E7" s="10">
        <v>20.8</v>
      </c>
      <c r="F7" s="8">
        <v>1007.24</v>
      </c>
      <c r="G7" s="6">
        <f>Setup!K7</f>
        <v>472.1</v>
      </c>
      <c r="H7" s="10">
        <v>0</v>
      </c>
      <c r="I7" s="6">
        <f>Setup!K7</f>
        <v>472.1</v>
      </c>
      <c r="K7" s="11">
        <v>43370.649305555598</v>
      </c>
      <c r="L7" s="6">
        <f t="shared" si="0"/>
        <v>0</v>
      </c>
    </row>
    <row r="8" spans="1:12" x14ac:dyDescent="0.2">
      <c r="A8" s="1" t="str">
        <f>Setup!A8</f>
        <v>IIS-BMP2</v>
      </c>
      <c r="B8" s="1" t="str">
        <f>Setup!B8</f>
        <v>D3</v>
      </c>
      <c r="C8" s="8" t="s">
        <v>85</v>
      </c>
      <c r="D8" s="8">
        <v>15.35</v>
      </c>
      <c r="E8" s="10">
        <v>20.8</v>
      </c>
      <c r="F8" s="8">
        <v>1007.24</v>
      </c>
      <c r="G8" s="6">
        <f>Setup!K8</f>
        <v>472.51</v>
      </c>
      <c r="H8" s="10">
        <v>0</v>
      </c>
      <c r="I8" s="6">
        <f>Setup!K8</f>
        <v>472.51</v>
      </c>
      <c r="K8" s="11">
        <v>43370.649305555598</v>
      </c>
      <c r="L8" s="6">
        <f t="shared" si="0"/>
        <v>0</v>
      </c>
    </row>
    <row r="9" spans="1:12" x14ac:dyDescent="0.2">
      <c r="A9" s="1" t="str">
        <f>Setup!A9</f>
        <v>IIS-BMP2</v>
      </c>
      <c r="B9" s="1" t="str">
        <f>Setup!B9</f>
        <v>L1</v>
      </c>
      <c r="C9" s="8" t="s">
        <v>85</v>
      </c>
      <c r="D9" s="8">
        <v>15.35</v>
      </c>
      <c r="E9" s="10">
        <v>20.8</v>
      </c>
      <c r="F9" s="8">
        <v>1007.24</v>
      </c>
      <c r="G9" s="6">
        <f>Setup!K9</f>
        <v>467.76</v>
      </c>
      <c r="H9" s="10">
        <v>0</v>
      </c>
      <c r="I9" s="6">
        <f>Setup!K9</f>
        <v>467.76</v>
      </c>
      <c r="K9" s="11">
        <v>43370.649305555598</v>
      </c>
      <c r="L9" s="6">
        <f t="shared" si="0"/>
        <v>0</v>
      </c>
    </row>
    <row r="10" spans="1:12" x14ac:dyDescent="0.2">
      <c r="A10" s="1" t="str">
        <f>Setup!A10</f>
        <v>IIS-BMP2</v>
      </c>
      <c r="B10" s="1" t="str">
        <f>Setup!B10</f>
        <v>L2</v>
      </c>
      <c r="C10" s="8" t="s">
        <v>85</v>
      </c>
      <c r="D10" s="8">
        <v>15.35</v>
      </c>
      <c r="E10" s="10">
        <v>20.8</v>
      </c>
      <c r="F10" s="8">
        <v>1007.24</v>
      </c>
      <c r="G10" s="6">
        <f>Setup!K10</f>
        <v>468.505</v>
      </c>
      <c r="H10" s="10">
        <v>0</v>
      </c>
      <c r="I10" s="6">
        <f>Setup!K10</f>
        <v>468.505</v>
      </c>
      <c r="K10" s="11">
        <v>43370.649305555598</v>
      </c>
      <c r="L10" s="6">
        <f t="shared" si="0"/>
        <v>0</v>
      </c>
    </row>
    <row r="11" spans="1:12" x14ac:dyDescent="0.2">
      <c r="A11" s="1" t="str">
        <f>Setup!A11</f>
        <v>IIS-BMP2</v>
      </c>
      <c r="B11" s="1" t="str">
        <f>Setup!B11</f>
        <v>L3</v>
      </c>
      <c r="C11" s="8" t="s">
        <v>85</v>
      </c>
      <c r="D11" s="8">
        <v>15.35</v>
      </c>
      <c r="E11" s="10">
        <v>20.8</v>
      </c>
      <c r="F11" s="8">
        <v>1007.24</v>
      </c>
      <c r="G11" s="6">
        <f>Setup!K11</f>
        <v>470.55</v>
      </c>
      <c r="H11" s="10">
        <v>0</v>
      </c>
      <c r="I11" s="6">
        <f>Setup!K11</f>
        <v>470.55</v>
      </c>
      <c r="K11" s="11">
        <v>43370.649305555598</v>
      </c>
      <c r="L11" s="6">
        <f t="shared" si="0"/>
        <v>0</v>
      </c>
    </row>
    <row r="12" spans="1:12" x14ac:dyDescent="0.2">
      <c r="A12" s="1" t="str">
        <f>Setup!A12</f>
        <v>IIS-BMP2</v>
      </c>
      <c r="B12" s="1" t="str">
        <f>Setup!B12</f>
        <v>I1</v>
      </c>
      <c r="C12" s="8" t="s">
        <v>85</v>
      </c>
      <c r="D12" s="8">
        <v>15.35</v>
      </c>
      <c r="E12" s="10">
        <v>20.8</v>
      </c>
      <c r="F12" s="8">
        <v>1007.24</v>
      </c>
      <c r="G12" s="6">
        <f>Setup!K12</f>
        <v>729.495</v>
      </c>
      <c r="H12" s="10">
        <v>0</v>
      </c>
      <c r="I12" s="6">
        <f>Setup!K12</f>
        <v>729.495</v>
      </c>
      <c r="K12" s="11">
        <v>43370.649305555598</v>
      </c>
      <c r="L12" s="6">
        <f t="shared" si="0"/>
        <v>0</v>
      </c>
    </row>
    <row r="13" spans="1:12" x14ac:dyDescent="0.2">
      <c r="A13" s="1" t="str">
        <f>Setup!A13</f>
        <v>IIS-BMP2</v>
      </c>
      <c r="B13" s="1" t="str">
        <f>Setup!B13</f>
        <v>I2</v>
      </c>
      <c r="C13" s="8" t="s">
        <v>85</v>
      </c>
      <c r="D13" s="8">
        <v>15.35</v>
      </c>
      <c r="E13" s="10">
        <v>20.8</v>
      </c>
      <c r="F13" s="8">
        <v>1007.24</v>
      </c>
      <c r="G13" s="6">
        <f>Setup!K13</f>
        <v>722.08500000000004</v>
      </c>
      <c r="H13" s="10">
        <v>0</v>
      </c>
      <c r="I13" s="6">
        <f>Setup!K13</f>
        <v>722.08500000000004</v>
      </c>
      <c r="K13" s="11">
        <v>43370.649305555598</v>
      </c>
      <c r="L13" s="6">
        <f t="shared" si="0"/>
        <v>0</v>
      </c>
    </row>
    <row r="14" spans="1:12" x14ac:dyDescent="0.2">
      <c r="A14" s="1" t="str">
        <f>Setup!A14</f>
        <v>IIS-BMP2</v>
      </c>
      <c r="B14" s="1" t="str">
        <f>Setup!B14</f>
        <v>I3</v>
      </c>
      <c r="C14" s="8" t="s">
        <v>85</v>
      </c>
      <c r="D14" s="8">
        <v>15.35</v>
      </c>
      <c r="E14" s="10">
        <v>20.8</v>
      </c>
      <c r="F14" s="8">
        <v>1007.24</v>
      </c>
      <c r="G14" s="6">
        <f>Setup!K14</f>
        <v>740.53499999999997</v>
      </c>
      <c r="H14" s="10">
        <v>0</v>
      </c>
      <c r="I14" s="6">
        <f>Setup!K14</f>
        <v>740.53499999999997</v>
      </c>
      <c r="K14" s="11">
        <v>43370.649305555598</v>
      </c>
      <c r="L14" s="6">
        <f t="shared" si="0"/>
        <v>0</v>
      </c>
    </row>
    <row r="15" spans="1:12" x14ac:dyDescent="0.2">
      <c r="A15" s="1" t="str">
        <f>Setup!A15</f>
        <v>IIS-BMP2</v>
      </c>
      <c r="B15" s="1" t="str">
        <f>Setup!B15</f>
        <v>I4</v>
      </c>
      <c r="C15" s="8" t="s">
        <v>85</v>
      </c>
      <c r="D15" s="8">
        <v>15.35</v>
      </c>
      <c r="E15" s="10">
        <v>20.8</v>
      </c>
      <c r="F15" s="8">
        <v>1007.24</v>
      </c>
      <c r="G15" s="6">
        <f>Setup!K15</f>
        <v>723.77499999999998</v>
      </c>
      <c r="H15" s="10">
        <v>0</v>
      </c>
      <c r="I15" s="6">
        <f>Setup!K15</f>
        <v>723.77499999999998</v>
      </c>
      <c r="K15" s="11">
        <v>43370.649305555598</v>
      </c>
      <c r="L15" s="6">
        <f t="shared" si="0"/>
        <v>0</v>
      </c>
    </row>
    <row r="16" spans="1:12" x14ac:dyDescent="0.2">
      <c r="A16" s="1" t="str">
        <f>Setup!A16</f>
        <v>IIS-BMP2</v>
      </c>
      <c r="B16" s="1" t="str">
        <f>Setup!B16</f>
        <v>W1</v>
      </c>
      <c r="C16" s="8" t="s">
        <v>85</v>
      </c>
      <c r="D16" s="8">
        <v>15.35</v>
      </c>
      <c r="E16" s="10">
        <v>20.8</v>
      </c>
      <c r="F16" s="8">
        <v>1007.24</v>
      </c>
      <c r="G16" s="6">
        <f>Setup!K16</f>
        <v>487.66</v>
      </c>
      <c r="H16" s="10">
        <v>0</v>
      </c>
      <c r="I16" s="6">
        <f>Setup!K16</f>
        <v>487.66</v>
      </c>
      <c r="K16" s="11">
        <v>43370.649305555598</v>
      </c>
      <c r="L16" s="6">
        <f t="shared" si="0"/>
        <v>0</v>
      </c>
    </row>
    <row r="17" spans="1:12" x14ac:dyDescent="0.2">
      <c r="A17" s="1" t="s">
        <v>40</v>
      </c>
      <c r="B17" s="1" t="s">
        <v>41</v>
      </c>
      <c r="C17" s="8" t="s">
        <v>86</v>
      </c>
      <c r="D17" s="8" t="s">
        <v>87</v>
      </c>
      <c r="E17" s="10">
        <v>20.3</v>
      </c>
      <c r="F17" s="8">
        <v>1011.22</v>
      </c>
      <c r="G17" s="1">
        <v>468.51</v>
      </c>
      <c r="H17" s="10">
        <f>70.5+140</f>
        <v>210.5</v>
      </c>
      <c r="I17" s="8">
        <v>468.25</v>
      </c>
      <c r="K17" s="11">
        <v>43371.375</v>
      </c>
      <c r="L17" s="6">
        <f t="shared" si="0"/>
        <v>0.72569444444525288</v>
      </c>
    </row>
    <row r="18" spans="1:12" x14ac:dyDescent="0.2">
      <c r="A18" s="1" t="s">
        <v>40</v>
      </c>
      <c r="B18" s="1" t="s">
        <v>44</v>
      </c>
      <c r="C18" s="8" t="s">
        <v>86</v>
      </c>
      <c r="D18" s="8" t="s">
        <v>87</v>
      </c>
      <c r="E18" s="10">
        <v>20.3</v>
      </c>
      <c r="F18" s="8">
        <v>1011.22</v>
      </c>
      <c r="G18" s="1">
        <v>471.89</v>
      </c>
      <c r="H18" s="10">
        <f>139+77</f>
        <v>216</v>
      </c>
      <c r="I18" s="8">
        <v>471.66</v>
      </c>
      <c r="K18" s="11">
        <v>43371.375</v>
      </c>
      <c r="L18" s="6">
        <f t="shared" si="0"/>
        <v>0.72569444444525288</v>
      </c>
    </row>
    <row r="19" spans="1:12" x14ac:dyDescent="0.2">
      <c r="A19" s="1" t="s">
        <v>40</v>
      </c>
      <c r="B19" s="1" t="s">
        <v>45</v>
      </c>
      <c r="C19" s="8" t="s">
        <v>86</v>
      </c>
      <c r="D19" s="8" t="s">
        <v>87</v>
      </c>
      <c r="E19" s="10">
        <v>20.3</v>
      </c>
      <c r="F19" s="8">
        <v>1011.22</v>
      </c>
      <c r="G19" s="1">
        <v>468.28</v>
      </c>
      <c r="H19" s="10">
        <f>130+72</f>
        <v>202</v>
      </c>
      <c r="I19" s="8">
        <v>468.05</v>
      </c>
      <c r="K19" s="11">
        <v>43371.375</v>
      </c>
      <c r="L19" s="6">
        <f t="shared" si="0"/>
        <v>0.72569444444525288</v>
      </c>
    </row>
    <row r="20" spans="1:12" x14ac:dyDescent="0.2">
      <c r="A20" s="1" t="s">
        <v>40</v>
      </c>
      <c r="B20" s="1" t="s">
        <v>63</v>
      </c>
      <c r="C20" s="8" t="s">
        <v>86</v>
      </c>
      <c r="D20" s="8" t="s">
        <v>87</v>
      </c>
      <c r="E20" s="10">
        <v>20.3</v>
      </c>
      <c r="F20" s="8">
        <v>1011.22</v>
      </c>
      <c r="G20" s="1">
        <v>487.65</v>
      </c>
      <c r="I20" s="8">
        <v>487.64</v>
      </c>
      <c r="K20" s="11">
        <v>43371.375</v>
      </c>
      <c r="L20" s="6">
        <f t="shared" si="0"/>
        <v>0.72569444444525288</v>
      </c>
    </row>
    <row r="21" spans="1:12" x14ac:dyDescent="0.2">
      <c r="A21" s="1" t="s">
        <v>40</v>
      </c>
      <c r="B21" s="1" t="s">
        <v>46</v>
      </c>
      <c r="C21" s="8" t="s">
        <v>86</v>
      </c>
      <c r="D21" s="8" t="s">
        <v>87</v>
      </c>
      <c r="E21" s="10">
        <v>20.3</v>
      </c>
      <c r="F21" s="8">
        <v>1011.22</v>
      </c>
      <c r="G21" s="1">
        <v>471.14</v>
      </c>
      <c r="H21" s="10">
        <f>92+52</f>
        <v>144</v>
      </c>
      <c r="I21" s="8">
        <v>470.97</v>
      </c>
      <c r="J21" s="2" t="s">
        <v>88</v>
      </c>
      <c r="K21" s="11">
        <v>43371.375</v>
      </c>
      <c r="L21" s="6">
        <f t="shared" si="0"/>
        <v>0.72569444444525288</v>
      </c>
    </row>
    <row r="22" spans="1:12" x14ac:dyDescent="0.2">
      <c r="A22" s="1" t="s">
        <v>40</v>
      </c>
      <c r="B22" s="1" t="s">
        <v>50</v>
      </c>
      <c r="C22" s="8" t="s">
        <v>86</v>
      </c>
      <c r="D22" s="8" t="s">
        <v>87</v>
      </c>
      <c r="E22" s="10">
        <v>20.3</v>
      </c>
      <c r="F22" s="8">
        <v>1011.22</v>
      </c>
      <c r="G22" s="1">
        <v>472.09</v>
      </c>
      <c r="H22" s="10">
        <f>88+58</f>
        <v>146</v>
      </c>
      <c r="I22" s="8">
        <v>471.93</v>
      </c>
      <c r="K22" s="11">
        <v>43371.375</v>
      </c>
      <c r="L22" s="6">
        <f t="shared" si="0"/>
        <v>0.72569444444525288</v>
      </c>
    </row>
    <row r="23" spans="1:12" x14ac:dyDescent="0.2">
      <c r="A23" s="1" t="s">
        <v>40</v>
      </c>
      <c r="B23" s="1" t="s">
        <v>51</v>
      </c>
      <c r="C23" s="8" t="s">
        <v>86</v>
      </c>
      <c r="D23" s="8" t="s">
        <v>87</v>
      </c>
      <c r="E23" s="10">
        <v>20.3</v>
      </c>
      <c r="F23" s="8">
        <v>1011.22</v>
      </c>
      <c r="G23" s="8">
        <v>472.5</v>
      </c>
      <c r="H23" s="10">
        <f>96+45</f>
        <v>141</v>
      </c>
      <c r="I23" s="8">
        <v>472.34</v>
      </c>
      <c r="K23" s="11">
        <v>43371.375</v>
      </c>
      <c r="L23" s="6">
        <f t="shared" si="0"/>
        <v>0.72569444444525288</v>
      </c>
    </row>
    <row r="24" spans="1:12" x14ac:dyDescent="0.2">
      <c r="A24" s="1" t="s">
        <v>40</v>
      </c>
      <c r="B24" s="1" t="s">
        <v>52</v>
      </c>
      <c r="C24" s="8" t="s">
        <v>86</v>
      </c>
      <c r="D24" s="8" t="s">
        <v>87</v>
      </c>
      <c r="E24" s="10">
        <v>20.3</v>
      </c>
      <c r="F24" s="8">
        <v>1011.22</v>
      </c>
      <c r="G24" s="1">
        <v>467.75</v>
      </c>
      <c r="H24" s="10">
        <f>62</f>
        <v>62</v>
      </c>
      <c r="I24" s="8">
        <v>467.68</v>
      </c>
      <c r="K24" s="11">
        <v>43371.375</v>
      </c>
      <c r="L24" s="6">
        <f t="shared" si="0"/>
        <v>0.72569444444525288</v>
      </c>
    </row>
    <row r="25" spans="1:12" x14ac:dyDescent="0.2">
      <c r="A25" s="1" t="s">
        <v>40</v>
      </c>
      <c r="B25" s="1" t="s">
        <v>55</v>
      </c>
      <c r="C25" s="8" t="s">
        <v>86</v>
      </c>
      <c r="D25" s="8" t="s">
        <v>87</v>
      </c>
      <c r="E25" s="10">
        <v>20.3</v>
      </c>
      <c r="F25" s="8">
        <v>1011.22</v>
      </c>
      <c r="G25" s="1">
        <v>468.51</v>
      </c>
      <c r="H25" s="10">
        <v>61</v>
      </c>
      <c r="I25" s="8">
        <v>468.43</v>
      </c>
      <c r="K25" s="11">
        <v>43371.375</v>
      </c>
      <c r="L25" s="6">
        <f t="shared" si="0"/>
        <v>0.72569444444525288</v>
      </c>
    </row>
    <row r="26" spans="1:12" x14ac:dyDescent="0.2">
      <c r="A26" s="1" t="s">
        <v>40</v>
      </c>
      <c r="B26" s="1" t="s">
        <v>56</v>
      </c>
      <c r="C26" s="8" t="s">
        <v>86</v>
      </c>
      <c r="D26" s="8" t="s">
        <v>87</v>
      </c>
      <c r="E26" s="10">
        <v>20.3</v>
      </c>
      <c r="F26" s="8">
        <v>1011.22</v>
      </c>
      <c r="G26" s="1">
        <v>470.55</v>
      </c>
      <c r="H26" s="10">
        <v>61</v>
      </c>
      <c r="I26" s="8">
        <v>470.48</v>
      </c>
      <c r="K26" s="11">
        <v>43371.375</v>
      </c>
      <c r="L26" s="6">
        <f t="shared" si="0"/>
        <v>0.72569444444525288</v>
      </c>
    </row>
    <row r="27" spans="1:12" x14ac:dyDescent="0.2">
      <c r="A27" s="1" t="s">
        <v>40</v>
      </c>
      <c r="B27" s="1" t="s">
        <v>57</v>
      </c>
      <c r="C27" s="8" t="s">
        <v>86</v>
      </c>
      <c r="D27" s="8" t="s">
        <v>87</v>
      </c>
      <c r="E27" s="10">
        <v>20.3</v>
      </c>
      <c r="F27" s="8">
        <v>1011.22</v>
      </c>
      <c r="G27" s="1">
        <v>729.49</v>
      </c>
      <c r="H27" s="10">
        <v>78</v>
      </c>
      <c r="I27" s="8">
        <v>729.4</v>
      </c>
      <c r="J27" s="2" t="s">
        <v>89</v>
      </c>
      <c r="K27" s="11">
        <v>43371.375</v>
      </c>
      <c r="L27" s="6">
        <f t="shared" si="0"/>
        <v>0.72569444444525288</v>
      </c>
    </row>
    <row r="28" spans="1:12" x14ac:dyDescent="0.2">
      <c r="A28" s="1" t="s">
        <v>40</v>
      </c>
      <c r="B28" s="1" t="s">
        <v>60</v>
      </c>
      <c r="C28" s="8" t="s">
        <v>86</v>
      </c>
      <c r="D28" s="8" t="s">
        <v>87</v>
      </c>
      <c r="E28" s="10">
        <v>20.3</v>
      </c>
      <c r="F28" s="8">
        <v>1011.22</v>
      </c>
      <c r="G28" s="1">
        <v>722.08</v>
      </c>
      <c r="H28" s="10">
        <v>80</v>
      </c>
      <c r="I28" s="8">
        <v>721.98</v>
      </c>
      <c r="J28" s="2" t="s">
        <v>89</v>
      </c>
      <c r="K28" s="11">
        <v>43371.375</v>
      </c>
      <c r="L28" s="6">
        <f t="shared" si="0"/>
        <v>0.72569444444525288</v>
      </c>
    </row>
    <row r="29" spans="1:12" x14ac:dyDescent="0.2">
      <c r="A29" s="1" t="s">
        <v>40</v>
      </c>
      <c r="B29" s="1" t="s">
        <v>61</v>
      </c>
      <c r="C29" s="8" t="s">
        <v>86</v>
      </c>
      <c r="D29" s="8" t="s">
        <v>87</v>
      </c>
      <c r="E29" s="10">
        <v>20.3</v>
      </c>
      <c r="F29" s="8">
        <v>1011.22</v>
      </c>
      <c r="G29" s="1">
        <v>740.53</v>
      </c>
      <c r="H29" s="10">
        <v>80</v>
      </c>
      <c r="I29" s="8">
        <v>740.44</v>
      </c>
      <c r="J29" s="2" t="s">
        <v>89</v>
      </c>
      <c r="K29" s="11">
        <v>43371.375</v>
      </c>
      <c r="L29" s="6">
        <f t="shared" si="0"/>
        <v>0.72569444444525288</v>
      </c>
    </row>
    <row r="30" spans="1:12" x14ac:dyDescent="0.2">
      <c r="A30" s="1" t="s">
        <v>40</v>
      </c>
      <c r="B30" s="1" t="s">
        <v>62</v>
      </c>
      <c r="C30" s="8" t="s">
        <v>86</v>
      </c>
      <c r="D30" s="8" t="s">
        <v>87</v>
      </c>
      <c r="E30" s="10">
        <v>20.3</v>
      </c>
      <c r="F30" s="8">
        <v>1011.22</v>
      </c>
      <c r="G30" s="1">
        <v>723.76</v>
      </c>
      <c r="H30" s="10">
        <v>79</v>
      </c>
      <c r="I30" s="8">
        <v>723.68</v>
      </c>
      <c r="J30" s="2" t="s">
        <v>89</v>
      </c>
      <c r="K30" s="11">
        <v>43371.375</v>
      </c>
      <c r="L30" s="6">
        <f t="shared" si="0"/>
        <v>0.72569444444525288</v>
      </c>
    </row>
    <row r="31" spans="1:12" x14ac:dyDescent="0.2">
      <c r="A31" s="1" t="s">
        <v>40</v>
      </c>
      <c r="B31" s="1" t="s">
        <v>63</v>
      </c>
      <c r="C31" s="8" t="s">
        <v>90</v>
      </c>
      <c r="D31" s="8" t="s">
        <v>91</v>
      </c>
      <c r="E31" s="10">
        <v>19</v>
      </c>
      <c r="F31" s="8">
        <v>1000</v>
      </c>
      <c r="G31" s="1">
        <f>487.63</f>
        <v>487.63</v>
      </c>
      <c r="I31" s="8">
        <v>487.64</v>
      </c>
      <c r="J31" s="2" t="s">
        <v>92</v>
      </c>
      <c r="K31" s="11">
        <v>43372.253472222197</v>
      </c>
      <c r="L31" s="6">
        <f t="shared" si="0"/>
        <v>1.6041666666424135</v>
      </c>
    </row>
    <row r="32" spans="1:12" x14ac:dyDescent="0.2">
      <c r="A32" s="1" t="s">
        <v>40</v>
      </c>
      <c r="B32" s="1" t="s">
        <v>57</v>
      </c>
      <c r="C32" s="8" t="s">
        <v>90</v>
      </c>
      <c r="D32" s="8" t="s">
        <v>91</v>
      </c>
      <c r="E32" s="10">
        <v>19</v>
      </c>
      <c r="F32" s="8">
        <v>1000</v>
      </c>
      <c r="G32" s="1">
        <v>729.39</v>
      </c>
      <c r="H32" s="10">
        <v>64</v>
      </c>
      <c r="I32" s="8">
        <v>729.33</v>
      </c>
      <c r="J32" s="2" t="s">
        <v>93</v>
      </c>
      <c r="K32" s="11">
        <v>43372.253472222197</v>
      </c>
      <c r="L32" s="6">
        <f t="shared" si="0"/>
        <v>1.6041666666424135</v>
      </c>
    </row>
    <row r="33" spans="1:12" x14ac:dyDescent="0.2">
      <c r="A33" s="1" t="s">
        <v>40</v>
      </c>
      <c r="B33" s="1" t="s">
        <v>60</v>
      </c>
      <c r="C33" s="8" t="s">
        <v>90</v>
      </c>
      <c r="D33" s="8" t="s">
        <v>91</v>
      </c>
      <c r="E33" s="10">
        <v>19</v>
      </c>
      <c r="F33" s="8">
        <v>1000</v>
      </c>
      <c r="G33" s="1">
        <v>721.98</v>
      </c>
      <c r="H33" s="10">
        <v>66</v>
      </c>
      <c r="I33" s="8">
        <v>721.91</v>
      </c>
      <c r="J33" s="2" t="s">
        <v>93</v>
      </c>
      <c r="K33" s="11">
        <v>43372.253472222197</v>
      </c>
      <c r="L33" s="6">
        <f t="shared" si="0"/>
        <v>1.6041666666424135</v>
      </c>
    </row>
    <row r="34" spans="1:12" x14ac:dyDescent="0.2">
      <c r="A34" s="1" t="s">
        <v>40</v>
      </c>
      <c r="B34" s="1" t="s">
        <v>61</v>
      </c>
      <c r="C34" s="8" t="s">
        <v>90</v>
      </c>
      <c r="D34" s="8" t="s">
        <v>91</v>
      </c>
      <c r="E34" s="10">
        <v>19</v>
      </c>
      <c r="F34" s="8">
        <v>1000</v>
      </c>
      <c r="G34" s="1">
        <v>740.43</v>
      </c>
      <c r="H34" s="10">
        <v>65</v>
      </c>
      <c r="I34" s="8">
        <v>740.35</v>
      </c>
      <c r="J34" s="2" t="s">
        <v>93</v>
      </c>
      <c r="K34" s="11">
        <v>43372.253472222197</v>
      </c>
      <c r="L34" s="6">
        <f t="shared" si="0"/>
        <v>1.6041666666424135</v>
      </c>
    </row>
    <row r="35" spans="1:12" x14ac:dyDescent="0.2">
      <c r="A35" s="1" t="s">
        <v>40</v>
      </c>
      <c r="B35" s="1" t="s">
        <v>62</v>
      </c>
      <c r="C35" s="8" t="s">
        <v>90</v>
      </c>
      <c r="D35" s="8" t="s">
        <v>91</v>
      </c>
      <c r="E35" s="10">
        <v>19</v>
      </c>
      <c r="F35" s="8">
        <v>1000</v>
      </c>
      <c r="G35" s="1">
        <v>723.67</v>
      </c>
      <c r="H35" s="10">
        <v>62</v>
      </c>
      <c r="I35" s="8">
        <v>723.6</v>
      </c>
      <c r="J35" s="2" t="s">
        <v>93</v>
      </c>
      <c r="K35" s="11">
        <v>43372.253472222197</v>
      </c>
      <c r="L35" s="6">
        <f t="shared" si="0"/>
        <v>1.6041666666424135</v>
      </c>
    </row>
    <row r="36" spans="1:12" x14ac:dyDescent="0.2">
      <c r="A36" s="1" t="s">
        <v>40</v>
      </c>
      <c r="B36" s="1" t="s">
        <v>52</v>
      </c>
      <c r="C36" s="8" t="s">
        <v>90</v>
      </c>
      <c r="D36" s="8" t="s">
        <v>91</v>
      </c>
      <c r="E36" s="10">
        <v>19</v>
      </c>
      <c r="F36" s="8">
        <v>1000</v>
      </c>
      <c r="G36" s="1">
        <v>467.66</v>
      </c>
      <c r="H36" s="10">
        <v>57.5</v>
      </c>
      <c r="I36" s="8">
        <v>467.6</v>
      </c>
      <c r="J36" s="2" t="s">
        <v>93</v>
      </c>
      <c r="K36" s="11">
        <v>43372.253472222197</v>
      </c>
      <c r="L36" s="6">
        <f t="shared" si="0"/>
        <v>1.6041666666424135</v>
      </c>
    </row>
    <row r="37" spans="1:12" x14ac:dyDescent="0.2">
      <c r="A37" s="1" t="s">
        <v>40</v>
      </c>
      <c r="B37" s="1" t="s">
        <v>55</v>
      </c>
      <c r="C37" s="8" t="s">
        <v>90</v>
      </c>
      <c r="D37" s="8" t="s">
        <v>91</v>
      </c>
      <c r="E37" s="10">
        <v>19</v>
      </c>
      <c r="F37" s="8">
        <v>1000</v>
      </c>
      <c r="G37" s="1">
        <v>468.42</v>
      </c>
      <c r="H37" s="10">
        <v>57</v>
      </c>
      <c r="I37" s="8">
        <v>468.36</v>
      </c>
      <c r="J37" s="2" t="s">
        <v>93</v>
      </c>
      <c r="K37" s="11">
        <v>43372.253472222197</v>
      </c>
      <c r="L37" s="6">
        <f t="shared" si="0"/>
        <v>1.6041666666424135</v>
      </c>
    </row>
    <row r="38" spans="1:12" x14ac:dyDescent="0.2">
      <c r="A38" s="1" t="s">
        <v>40</v>
      </c>
      <c r="B38" s="1" t="s">
        <v>56</v>
      </c>
      <c r="C38" s="8" t="s">
        <v>90</v>
      </c>
      <c r="D38" s="8" t="s">
        <v>91</v>
      </c>
      <c r="E38" s="10">
        <v>19</v>
      </c>
      <c r="F38" s="8">
        <v>1000</v>
      </c>
      <c r="G38" s="1">
        <v>470.48</v>
      </c>
      <c r="H38" s="10">
        <v>60</v>
      </c>
      <c r="I38" s="8">
        <v>470.39</v>
      </c>
      <c r="J38" s="2" t="s">
        <v>93</v>
      </c>
      <c r="K38" s="11">
        <v>43372.253472222197</v>
      </c>
      <c r="L38" s="6">
        <f t="shared" si="0"/>
        <v>1.6041666666424135</v>
      </c>
    </row>
    <row r="39" spans="1:12" x14ac:dyDescent="0.2">
      <c r="A39" s="1" t="s">
        <v>40</v>
      </c>
      <c r="B39" s="1" t="s">
        <v>46</v>
      </c>
      <c r="C39" s="8" t="s">
        <v>90</v>
      </c>
      <c r="D39" s="8" t="s">
        <v>91</v>
      </c>
      <c r="E39" s="10">
        <v>19</v>
      </c>
      <c r="F39" s="8">
        <v>1000</v>
      </c>
      <c r="G39" s="1">
        <v>470.96</v>
      </c>
      <c r="H39" s="10">
        <f>80+63</f>
        <v>143</v>
      </c>
      <c r="I39" s="8">
        <v>470.8</v>
      </c>
      <c r="J39" s="2" t="s">
        <v>93</v>
      </c>
      <c r="K39" s="11">
        <v>43372.253472222197</v>
      </c>
      <c r="L39" s="6">
        <f t="shared" si="0"/>
        <v>1.6041666666424135</v>
      </c>
    </row>
    <row r="40" spans="1:12" x14ac:dyDescent="0.2">
      <c r="A40" s="1" t="s">
        <v>40</v>
      </c>
      <c r="B40" s="1" t="s">
        <v>50</v>
      </c>
      <c r="C40" s="8" t="s">
        <v>90</v>
      </c>
      <c r="D40" s="8" t="s">
        <v>91</v>
      </c>
      <c r="E40" s="10">
        <v>19</v>
      </c>
      <c r="F40" s="8">
        <v>1000</v>
      </c>
      <c r="G40" s="1">
        <v>471.92</v>
      </c>
      <c r="H40" s="10">
        <f>95+45</f>
        <v>140</v>
      </c>
      <c r="I40" s="8">
        <v>471.75</v>
      </c>
      <c r="J40" s="2" t="s">
        <v>93</v>
      </c>
      <c r="K40" s="11">
        <v>43372.253472222197</v>
      </c>
      <c r="L40" s="6">
        <f t="shared" si="0"/>
        <v>1.6041666666424135</v>
      </c>
    </row>
    <row r="41" spans="1:12" x14ac:dyDescent="0.2">
      <c r="A41" s="1" t="s">
        <v>40</v>
      </c>
      <c r="B41" s="1" t="s">
        <v>51</v>
      </c>
      <c r="C41" s="8" t="s">
        <v>90</v>
      </c>
      <c r="D41" s="8" t="s">
        <v>91</v>
      </c>
      <c r="E41" s="10">
        <v>19</v>
      </c>
      <c r="F41" s="8">
        <v>1000</v>
      </c>
      <c r="G41" s="1">
        <v>472.34</v>
      </c>
      <c r="H41" s="10">
        <f>95+40</f>
        <v>135</v>
      </c>
      <c r="I41" s="8">
        <v>472.18</v>
      </c>
      <c r="J41" s="2" t="s">
        <v>93</v>
      </c>
      <c r="K41" s="11">
        <v>43372.253472222197</v>
      </c>
      <c r="L41" s="6">
        <f t="shared" si="0"/>
        <v>1.6041666666424135</v>
      </c>
    </row>
    <row r="42" spans="1:12" x14ac:dyDescent="0.2">
      <c r="A42" s="1" t="s">
        <v>40</v>
      </c>
      <c r="B42" s="1" t="s">
        <v>41</v>
      </c>
      <c r="C42" s="8" t="s">
        <v>90</v>
      </c>
      <c r="D42" s="8" t="s">
        <v>91</v>
      </c>
      <c r="E42" s="10">
        <v>19</v>
      </c>
      <c r="F42" s="8">
        <v>1000</v>
      </c>
      <c r="G42" s="1">
        <v>468.25</v>
      </c>
      <c r="H42" s="10">
        <f>144+150+38</f>
        <v>332</v>
      </c>
      <c r="I42" s="8">
        <v>467.87</v>
      </c>
      <c r="J42" s="2" t="s">
        <v>93</v>
      </c>
      <c r="K42" s="11">
        <v>43372.253472222197</v>
      </c>
      <c r="L42" s="6">
        <f t="shared" si="0"/>
        <v>1.6041666666424135</v>
      </c>
    </row>
    <row r="43" spans="1:12" x14ac:dyDescent="0.2">
      <c r="A43" s="1" t="s">
        <v>40</v>
      </c>
      <c r="B43" s="1" t="s">
        <v>44</v>
      </c>
      <c r="C43" s="8" t="s">
        <v>90</v>
      </c>
      <c r="D43" s="8" t="s">
        <v>91</v>
      </c>
      <c r="E43" s="10">
        <v>19</v>
      </c>
      <c r="F43" s="8">
        <v>1000</v>
      </c>
      <c r="G43" s="1">
        <v>471.64</v>
      </c>
      <c r="H43" s="10">
        <f>142+147+53</f>
        <v>342</v>
      </c>
      <c r="I43" s="8">
        <v>471.23</v>
      </c>
      <c r="J43" s="2" t="s">
        <v>93</v>
      </c>
      <c r="K43" s="11">
        <v>43372.253472222197</v>
      </c>
      <c r="L43" s="6">
        <f t="shared" si="0"/>
        <v>1.6041666666424135</v>
      </c>
    </row>
    <row r="44" spans="1:12" x14ac:dyDescent="0.2">
      <c r="A44" s="1" t="s">
        <v>40</v>
      </c>
      <c r="B44" s="1" t="s">
        <v>45</v>
      </c>
      <c r="C44" s="8" t="s">
        <v>90</v>
      </c>
      <c r="D44" s="8" t="s">
        <v>91</v>
      </c>
      <c r="E44" s="10">
        <v>19</v>
      </c>
      <c r="F44" s="8">
        <v>1000</v>
      </c>
      <c r="G44" s="1">
        <v>468.04</v>
      </c>
      <c r="H44" s="10">
        <f>143+147+41</f>
        <v>331</v>
      </c>
      <c r="I44" s="8">
        <v>467.66</v>
      </c>
      <c r="J44" s="2" t="s">
        <v>93</v>
      </c>
      <c r="K44" s="11">
        <v>43372.253472222197</v>
      </c>
      <c r="L44" s="6">
        <f t="shared" si="0"/>
        <v>1.6041666666424135</v>
      </c>
    </row>
    <row r="45" spans="1:12" x14ac:dyDescent="0.2">
      <c r="A45" s="1" t="s">
        <v>40</v>
      </c>
      <c r="B45" s="1" t="s">
        <v>41</v>
      </c>
      <c r="C45" s="8" t="s">
        <v>94</v>
      </c>
      <c r="D45" s="8" t="s">
        <v>95</v>
      </c>
      <c r="E45" s="10">
        <v>20.3</v>
      </c>
      <c r="F45" s="8">
        <v>1002.34</v>
      </c>
      <c r="G45" s="1">
        <v>467.88</v>
      </c>
      <c r="H45" s="10">
        <f>147+147+152+23</f>
        <v>469</v>
      </c>
      <c r="I45" s="8">
        <v>467.39</v>
      </c>
      <c r="K45" s="11">
        <v>43373.626388888901</v>
      </c>
      <c r="L45" s="6">
        <f t="shared" si="0"/>
        <v>2.977083333345945</v>
      </c>
    </row>
    <row r="46" spans="1:12" x14ac:dyDescent="0.2">
      <c r="A46" s="1" t="s">
        <v>40</v>
      </c>
      <c r="B46" s="1" t="s">
        <v>44</v>
      </c>
      <c r="C46" s="8" t="s">
        <v>94</v>
      </c>
      <c r="D46" s="8" t="s">
        <v>95</v>
      </c>
      <c r="E46" s="10">
        <v>20.3</v>
      </c>
      <c r="F46" s="8">
        <v>1002.34</v>
      </c>
      <c r="G46" s="1">
        <v>471.24</v>
      </c>
      <c r="H46" s="10">
        <f>144+146+146</f>
        <v>436</v>
      </c>
      <c r="I46" s="8">
        <v>470.78</v>
      </c>
      <c r="K46" s="11">
        <v>43373.626388888901</v>
      </c>
      <c r="L46" s="6">
        <f t="shared" si="0"/>
        <v>2.977083333345945</v>
      </c>
    </row>
    <row r="47" spans="1:12" x14ac:dyDescent="0.2">
      <c r="A47" s="1" t="s">
        <v>40</v>
      </c>
      <c r="B47" s="1" t="s">
        <v>45</v>
      </c>
      <c r="C47" s="8" t="s">
        <v>94</v>
      </c>
      <c r="D47" s="8" t="s">
        <v>95</v>
      </c>
      <c r="E47" s="10">
        <v>20.3</v>
      </c>
      <c r="F47" s="8">
        <v>1002.34</v>
      </c>
      <c r="G47" s="1">
        <v>467.66</v>
      </c>
      <c r="H47" s="10">
        <f>143+146+145</f>
        <v>434</v>
      </c>
      <c r="I47" s="8">
        <v>467.22</v>
      </c>
      <c r="K47" s="11">
        <v>43373.626388888901</v>
      </c>
      <c r="L47" s="6">
        <f t="shared" si="0"/>
        <v>2.977083333345945</v>
      </c>
    </row>
    <row r="48" spans="1:12" x14ac:dyDescent="0.2">
      <c r="A48" s="1" t="s">
        <v>40</v>
      </c>
      <c r="B48" s="1" t="s">
        <v>63</v>
      </c>
      <c r="C48" s="8" t="s">
        <v>94</v>
      </c>
      <c r="D48" s="8" t="s">
        <v>95</v>
      </c>
      <c r="E48" s="10">
        <v>20.3</v>
      </c>
      <c r="F48" s="8">
        <v>1002.34</v>
      </c>
      <c r="G48" s="1">
        <v>487.63</v>
      </c>
      <c r="I48" s="8">
        <v>487.65</v>
      </c>
      <c r="J48" s="2" t="s">
        <v>96</v>
      </c>
      <c r="K48" s="11">
        <v>43373.626388888901</v>
      </c>
      <c r="L48" s="6">
        <f t="shared" si="0"/>
        <v>2.977083333345945</v>
      </c>
    </row>
    <row r="49" spans="1:12" x14ac:dyDescent="0.2">
      <c r="A49" s="1" t="s">
        <v>40</v>
      </c>
      <c r="B49" s="1" t="s">
        <v>46</v>
      </c>
      <c r="C49" s="8" t="s">
        <v>94</v>
      </c>
      <c r="D49" s="8" t="s">
        <v>95</v>
      </c>
      <c r="E49" s="10">
        <v>20.3</v>
      </c>
      <c r="F49" s="8">
        <v>1002.34</v>
      </c>
      <c r="G49" s="1">
        <v>470.81</v>
      </c>
      <c r="H49" s="10">
        <f>144+116</f>
        <v>260</v>
      </c>
      <c r="I49" s="8">
        <v>470.51</v>
      </c>
      <c r="K49" s="11">
        <v>43373.626388888901</v>
      </c>
      <c r="L49" s="6">
        <f t="shared" si="0"/>
        <v>2.977083333345945</v>
      </c>
    </row>
    <row r="50" spans="1:12" x14ac:dyDescent="0.2">
      <c r="A50" s="1" t="s">
        <v>40</v>
      </c>
      <c r="B50" s="1" t="s">
        <v>50</v>
      </c>
      <c r="C50" s="8" t="s">
        <v>94</v>
      </c>
      <c r="D50" s="8" t="s">
        <v>95</v>
      </c>
      <c r="E50" s="10">
        <v>20.3</v>
      </c>
      <c r="F50" s="8">
        <v>1002.34</v>
      </c>
      <c r="G50" s="1">
        <v>471.76</v>
      </c>
      <c r="H50" s="10">
        <f>141+148</f>
        <v>289</v>
      </c>
      <c r="I50" s="8">
        <v>471.43</v>
      </c>
      <c r="K50" s="11">
        <v>43373.626388888901</v>
      </c>
      <c r="L50" s="6">
        <f t="shared" si="0"/>
        <v>2.977083333345945</v>
      </c>
    </row>
    <row r="51" spans="1:12" x14ac:dyDescent="0.2">
      <c r="A51" s="1" t="s">
        <v>40</v>
      </c>
      <c r="B51" s="1" t="s">
        <v>51</v>
      </c>
      <c r="C51" s="8" t="s">
        <v>94</v>
      </c>
      <c r="D51" s="8" t="s">
        <v>95</v>
      </c>
      <c r="E51" s="10">
        <v>20.3</v>
      </c>
      <c r="F51" s="8">
        <v>1002.34</v>
      </c>
      <c r="G51" s="1">
        <v>472.18</v>
      </c>
      <c r="H51" s="10">
        <f>146+141</f>
        <v>287</v>
      </c>
      <c r="I51" s="8">
        <v>471.86</v>
      </c>
      <c r="K51" s="11">
        <v>43373.626388888901</v>
      </c>
      <c r="L51" s="6">
        <f t="shared" si="0"/>
        <v>2.977083333345945</v>
      </c>
    </row>
    <row r="52" spans="1:12" x14ac:dyDescent="0.2">
      <c r="A52" s="1" t="s">
        <v>40</v>
      </c>
      <c r="B52" s="1" t="s">
        <v>52</v>
      </c>
      <c r="C52" s="8" t="s">
        <v>94</v>
      </c>
      <c r="D52" s="8" t="s">
        <v>95</v>
      </c>
      <c r="E52" s="10">
        <v>20.3</v>
      </c>
      <c r="F52" s="8">
        <v>1002.34</v>
      </c>
      <c r="G52" s="1">
        <v>467.62</v>
      </c>
      <c r="H52" s="10">
        <f>142+144+61</f>
        <v>347</v>
      </c>
      <c r="I52" s="8">
        <v>467.19</v>
      </c>
      <c r="K52" s="11">
        <v>43373.626388888901</v>
      </c>
      <c r="L52" s="6">
        <f t="shared" si="0"/>
        <v>2.977083333345945</v>
      </c>
    </row>
    <row r="53" spans="1:12" x14ac:dyDescent="0.2">
      <c r="A53" s="1" t="s">
        <v>40</v>
      </c>
      <c r="B53" s="1" t="s">
        <v>55</v>
      </c>
      <c r="C53" s="8" t="s">
        <v>94</v>
      </c>
      <c r="D53" s="8" t="s">
        <v>95</v>
      </c>
      <c r="E53" s="10">
        <v>20.3</v>
      </c>
      <c r="F53" s="8">
        <v>1002.34</v>
      </c>
      <c r="G53" s="1">
        <v>468.36</v>
      </c>
      <c r="H53" s="10">
        <f>148+149+55</f>
        <v>352</v>
      </c>
      <c r="I53" s="8">
        <v>467.95</v>
      </c>
      <c r="K53" s="11">
        <v>43373.626388888901</v>
      </c>
      <c r="L53" s="6">
        <f t="shared" si="0"/>
        <v>2.977083333345945</v>
      </c>
    </row>
    <row r="54" spans="1:12" x14ac:dyDescent="0.2">
      <c r="A54" s="1" t="s">
        <v>40</v>
      </c>
      <c r="B54" s="1" t="s">
        <v>56</v>
      </c>
      <c r="C54" s="8" t="s">
        <v>94</v>
      </c>
      <c r="D54" s="8" t="s">
        <v>95</v>
      </c>
      <c r="E54" s="10">
        <v>20.3</v>
      </c>
      <c r="F54" s="8">
        <v>1002.34</v>
      </c>
      <c r="G54" s="8">
        <v>470.4</v>
      </c>
      <c r="H54" s="10">
        <f>148+148+86</f>
        <v>382</v>
      </c>
      <c r="I54" s="8">
        <v>469.96</v>
      </c>
      <c r="K54" s="11">
        <v>43373.626388888901</v>
      </c>
      <c r="L54" s="6">
        <f t="shared" si="0"/>
        <v>2.977083333345945</v>
      </c>
    </row>
    <row r="55" spans="1:12" x14ac:dyDescent="0.2">
      <c r="A55" s="1" t="s">
        <v>40</v>
      </c>
      <c r="B55" s="1" t="s">
        <v>57</v>
      </c>
      <c r="C55" s="8" t="s">
        <v>94</v>
      </c>
      <c r="D55" s="8" t="s">
        <v>95</v>
      </c>
      <c r="E55" s="10">
        <v>20.3</v>
      </c>
      <c r="F55" s="8">
        <v>1002.34</v>
      </c>
      <c r="G55" s="1">
        <v>729.33</v>
      </c>
      <c r="H55" s="10">
        <f>56+26</f>
        <v>82</v>
      </c>
      <c r="I55" s="8">
        <v>729.24</v>
      </c>
      <c r="J55" s="2" t="s">
        <v>97</v>
      </c>
      <c r="K55" s="11">
        <v>43373.626388888901</v>
      </c>
      <c r="L55" s="6">
        <f t="shared" si="0"/>
        <v>2.977083333345945</v>
      </c>
    </row>
    <row r="56" spans="1:12" x14ac:dyDescent="0.2">
      <c r="A56" s="1" t="s">
        <v>40</v>
      </c>
      <c r="B56" s="1" t="s">
        <v>60</v>
      </c>
      <c r="C56" s="8" t="s">
        <v>94</v>
      </c>
      <c r="D56" s="8" t="s">
        <v>95</v>
      </c>
      <c r="E56" s="10">
        <v>20.3</v>
      </c>
      <c r="F56" s="8">
        <v>1002.34</v>
      </c>
      <c r="G56" s="1">
        <v>721.91</v>
      </c>
      <c r="H56" s="10">
        <f>93</f>
        <v>93</v>
      </c>
      <c r="I56" s="8">
        <v>721.83</v>
      </c>
      <c r="J56" s="2" t="s">
        <v>97</v>
      </c>
      <c r="K56" s="11">
        <v>43373.626388888901</v>
      </c>
      <c r="L56" s="6">
        <f t="shared" si="0"/>
        <v>2.977083333345945</v>
      </c>
    </row>
    <row r="57" spans="1:12" x14ac:dyDescent="0.2">
      <c r="A57" s="1" t="s">
        <v>40</v>
      </c>
      <c r="B57" s="1" t="s">
        <v>61</v>
      </c>
      <c r="C57" s="8" t="s">
        <v>94</v>
      </c>
      <c r="D57" s="8" t="s">
        <v>95</v>
      </c>
      <c r="E57" s="10">
        <v>20.3</v>
      </c>
      <c r="F57" s="8">
        <v>1002.34</v>
      </c>
      <c r="G57" s="1">
        <v>740.37</v>
      </c>
      <c r="H57" s="10">
        <v>92</v>
      </c>
      <c r="I57" s="8">
        <v>740.27</v>
      </c>
      <c r="J57" s="2" t="s">
        <v>97</v>
      </c>
      <c r="K57" s="11">
        <v>43373.626388888901</v>
      </c>
      <c r="L57" s="6">
        <f t="shared" si="0"/>
        <v>2.977083333345945</v>
      </c>
    </row>
    <row r="58" spans="1:12" x14ac:dyDescent="0.2">
      <c r="A58" s="1" t="s">
        <v>40</v>
      </c>
      <c r="B58" s="1" t="s">
        <v>62</v>
      </c>
      <c r="C58" s="8" t="s">
        <v>94</v>
      </c>
      <c r="D58" s="8" t="s">
        <v>95</v>
      </c>
      <c r="E58" s="10">
        <v>20.3</v>
      </c>
      <c r="F58" s="8">
        <v>1002.34</v>
      </c>
      <c r="G58" s="1">
        <v>723.62</v>
      </c>
      <c r="H58" s="10">
        <v>91</v>
      </c>
      <c r="I58" s="8">
        <v>723.52</v>
      </c>
      <c r="J58" s="2" t="s">
        <v>97</v>
      </c>
      <c r="K58" s="11">
        <v>43373.626388888901</v>
      </c>
      <c r="L58" s="6">
        <f t="shared" si="0"/>
        <v>2.977083333345945</v>
      </c>
    </row>
    <row r="59" spans="1:12" x14ac:dyDescent="0.2">
      <c r="A59" s="1" t="s">
        <v>40</v>
      </c>
      <c r="B59" s="1" t="s">
        <v>63</v>
      </c>
      <c r="C59" s="8" t="s">
        <v>98</v>
      </c>
      <c r="D59" s="8" t="s">
        <v>99</v>
      </c>
      <c r="E59" s="10">
        <v>20.3</v>
      </c>
      <c r="F59" s="8">
        <v>1000.62</v>
      </c>
      <c r="G59" s="1" t="s">
        <v>100</v>
      </c>
      <c r="I59" s="8">
        <v>487.65</v>
      </c>
      <c r="J59" s="2" t="s">
        <v>97</v>
      </c>
      <c r="K59" s="11">
        <v>43374.368055555598</v>
      </c>
      <c r="L59" s="6">
        <f t="shared" si="0"/>
        <v>3.7187500000436557</v>
      </c>
    </row>
    <row r="60" spans="1:12" x14ac:dyDescent="0.2">
      <c r="A60" s="1" t="s">
        <v>40</v>
      </c>
      <c r="B60" s="1" t="s">
        <v>57</v>
      </c>
      <c r="C60" s="8" t="s">
        <v>98</v>
      </c>
      <c r="D60" s="8" t="s">
        <v>99</v>
      </c>
      <c r="E60" s="10">
        <v>20.3</v>
      </c>
      <c r="F60" s="8">
        <v>1000.62</v>
      </c>
      <c r="G60" s="1">
        <v>729.26</v>
      </c>
      <c r="H60" s="10">
        <v>60</v>
      </c>
      <c r="I60" s="8">
        <v>729.19</v>
      </c>
      <c r="J60" s="2" t="s">
        <v>101</v>
      </c>
      <c r="K60" s="11">
        <v>43374.368055555598</v>
      </c>
      <c r="L60" s="6">
        <f t="shared" si="0"/>
        <v>3.7187500000436557</v>
      </c>
    </row>
    <row r="61" spans="1:12" x14ac:dyDescent="0.2">
      <c r="A61" s="1" t="s">
        <v>40</v>
      </c>
      <c r="B61" s="1" t="s">
        <v>60</v>
      </c>
      <c r="C61" s="8" t="s">
        <v>98</v>
      </c>
      <c r="D61" s="8" t="s">
        <v>99</v>
      </c>
      <c r="E61" s="10">
        <v>20.3</v>
      </c>
      <c r="F61" s="8">
        <v>1000.62</v>
      </c>
      <c r="G61" s="1">
        <v>721.83</v>
      </c>
      <c r="H61" s="10">
        <v>52</v>
      </c>
      <c r="I61" s="8">
        <v>721.77</v>
      </c>
      <c r="K61" s="11">
        <v>43374.368055555598</v>
      </c>
      <c r="L61" s="6">
        <f t="shared" si="0"/>
        <v>3.7187500000436557</v>
      </c>
    </row>
    <row r="62" spans="1:12" x14ac:dyDescent="0.2">
      <c r="A62" s="1" t="s">
        <v>40</v>
      </c>
      <c r="B62" s="1" t="s">
        <v>61</v>
      </c>
      <c r="C62" s="8" t="s">
        <v>98</v>
      </c>
      <c r="D62" s="8" t="s">
        <v>99</v>
      </c>
      <c r="E62" s="10">
        <v>20.3</v>
      </c>
      <c r="F62" s="8">
        <v>1000.62</v>
      </c>
      <c r="G62" s="1">
        <v>740.29</v>
      </c>
      <c r="H62" s="10">
        <v>54</v>
      </c>
      <c r="I62" s="8">
        <v>740.24</v>
      </c>
      <c r="K62" s="11">
        <v>43374.368055555598</v>
      </c>
      <c r="L62" s="6">
        <f t="shared" si="0"/>
        <v>3.7187500000436557</v>
      </c>
    </row>
    <row r="63" spans="1:12" x14ac:dyDescent="0.2">
      <c r="A63" s="1" t="s">
        <v>40</v>
      </c>
      <c r="B63" s="1" t="s">
        <v>62</v>
      </c>
      <c r="C63" s="8" t="s">
        <v>98</v>
      </c>
      <c r="D63" s="8" t="s">
        <v>99</v>
      </c>
      <c r="E63" s="10">
        <v>20.3</v>
      </c>
      <c r="F63" s="8">
        <v>1000.62</v>
      </c>
      <c r="G63" s="1">
        <v>723.53</v>
      </c>
      <c r="H63" s="10">
        <v>50</v>
      </c>
      <c r="I63" s="8">
        <v>723.48</v>
      </c>
      <c r="K63" s="11">
        <v>43374.368055555598</v>
      </c>
      <c r="L63" s="6">
        <f t="shared" si="0"/>
        <v>3.7187500000436557</v>
      </c>
    </row>
    <row r="64" spans="1:12" x14ac:dyDescent="0.2">
      <c r="A64" s="1" t="s">
        <v>40</v>
      </c>
      <c r="B64" s="1" t="s">
        <v>52</v>
      </c>
      <c r="C64" s="8" t="s">
        <v>98</v>
      </c>
      <c r="D64" s="8" t="s">
        <v>99</v>
      </c>
      <c r="E64" s="10">
        <v>20.3</v>
      </c>
      <c r="F64" s="8">
        <v>1000.62</v>
      </c>
      <c r="G64" s="8">
        <v>467.2</v>
      </c>
      <c r="H64" s="10">
        <f>145+147+57</f>
        <v>349</v>
      </c>
      <c r="I64" s="8">
        <v>466.77</v>
      </c>
      <c r="K64" s="11">
        <v>43374.368055555598</v>
      </c>
      <c r="L64" s="6">
        <f t="shared" si="0"/>
        <v>3.7187500000436557</v>
      </c>
    </row>
    <row r="65" spans="1:12" x14ac:dyDescent="0.2">
      <c r="A65" s="1" t="s">
        <v>40</v>
      </c>
      <c r="B65" s="1" t="s">
        <v>55</v>
      </c>
      <c r="C65" s="8" t="s">
        <v>98</v>
      </c>
      <c r="D65" s="8" t="s">
        <v>99</v>
      </c>
      <c r="E65" s="10">
        <v>20.3</v>
      </c>
      <c r="F65" s="8">
        <v>1000.62</v>
      </c>
      <c r="G65" s="1">
        <v>467.96</v>
      </c>
      <c r="H65" s="10">
        <f>148+146+57</f>
        <v>351</v>
      </c>
      <c r="I65" s="8">
        <v>467.53</v>
      </c>
      <c r="K65" s="11">
        <v>43374.368055555598</v>
      </c>
      <c r="L65" s="6">
        <f t="shared" si="0"/>
        <v>3.7187500000436557</v>
      </c>
    </row>
    <row r="66" spans="1:12" x14ac:dyDescent="0.2">
      <c r="A66" s="1" t="s">
        <v>40</v>
      </c>
      <c r="B66" s="1" t="s">
        <v>56</v>
      </c>
      <c r="C66" s="8" t="s">
        <v>98</v>
      </c>
      <c r="D66" s="8" t="s">
        <v>99</v>
      </c>
      <c r="E66" s="10">
        <v>20.3</v>
      </c>
      <c r="F66" s="8">
        <v>1000.62</v>
      </c>
      <c r="G66" s="1">
        <v>469.95</v>
      </c>
      <c r="H66" s="10">
        <f>150+148+44</f>
        <v>342</v>
      </c>
      <c r="I66" s="8">
        <v>469.54</v>
      </c>
      <c r="K66" s="11">
        <v>43374.368055555598</v>
      </c>
      <c r="L66" s="6">
        <f t="shared" si="0"/>
        <v>3.7187500000436557</v>
      </c>
    </row>
    <row r="67" spans="1:12" x14ac:dyDescent="0.2">
      <c r="A67" s="1" t="s">
        <v>40</v>
      </c>
      <c r="B67" s="1" t="s">
        <v>46</v>
      </c>
      <c r="C67" s="8" t="s">
        <v>98</v>
      </c>
      <c r="D67" s="8" t="s">
        <v>99</v>
      </c>
      <c r="E67" s="10">
        <v>20.3</v>
      </c>
      <c r="F67" s="8">
        <v>1000.62</v>
      </c>
      <c r="G67" s="1">
        <v>470.51</v>
      </c>
      <c r="H67" s="10">
        <f>146+38</f>
        <v>184</v>
      </c>
      <c r="I67" s="8">
        <v>470.3</v>
      </c>
      <c r="K67" s="11">
        <v>43374.368055555598</v>
      </c>
      <c r="L67" s="6">
        <f t="shared" ref="L67:L130" si="1">K67-K$3</f>
        <v>3.7187500000436557</v>
      </c>
    </row>
    <row r="68" spans="1:12" x14ac:dyDescent="0.2">
      <c r="A68" s="1" t="s">
        <v>40</v>
      </c>
      <c r="B68" s="1" t="s">
        <v>50</v>
      </c>
      <c r="C68" s="8" t="s">
        <v>98</v>
      </c>
      <c r="D68" s="8" t="s">
        <v>99</v>
      </c>
      <c r="E68" s="10">
        <v>20.3</v>
      </c>
      <c r="F68" s="8">
        <v>1000.62</v>
      </c>
      <c r="G68" s="1">
        <v>471.43</v>
      </c>
      <c r="H68" s="10">
        <f>150+21</f>
        <v>171</v>
      </c>
      <c r="I68" s="8">
        <v>471.21</v>
      </c>
      <c r="K68" s="11">
        <v>43374.368055555598</v>
      </c>
      <c r="L68" s="6">
        <f t="shared" si="1"/>
        <v>3.7187500000436557</v>
      </c>
    </row>
    <row r="69" spans="1:12" x14ac:dyDescent="0.2">
      <c r="A69" s="1" t="s">
        <v>40</v>
      </c>
      <c r="B69" s="1" t="s">
        <v>51</v>
      </c>
      <c r="C69" s="8" t="s">
        <v>98</v>
      </c>
      <c r="D69" s="8" t="s">
        <v>99</v>
      </c>
      <c r="E69" s="10">
        <v>20.3</v>
      </c>
      <c r="F69" s="8">
        <v>1000.62</v>
      </c>
      <c r="G69" s="1">
        <v>471.86</v>
      </c>
      <c r="H69" s="10">
        <f>150+12</f>
        <v>162</v>
      </c>
      <c r="I69" s="8">
        <v>471.67</v>
      </c>
      <c r="K69" s="11">
        <v>43374.368055555598</v>
      </c>
      <c r="L69" s="6">
        <f t="shared" si="1"/>
        <v>3.7187500000436557</v>
      </c>
    </row>
    <row r="70" spans="1:12" x14ac:dyDescent="0.2">
      <c r="A70" s="1" t="s">
        <v>40</v>
      </c>
      <c r="B70" s="1" t="s">
        <v>41</v>
      </c>
      <c r="C70" s="8" t="s">
        <v>98</v>
      </c>
      <c r="D70" s="8" t="s">
        <v>99</v>
      </c>
      <c r="E70" s="10">
        <v>20.3</v>
      </c>
      <c r="F70" s="8">
        <v>1000.62</v>
      </c>
      <c r="G70" s="1">
        <v>467.38</v>
      </c>
      <c r="H70" s="10">
        <f>150+12</f>
        <v>162</v>
      </c>
      <c r="I70" s="8">
        <v>467.2</v>
      </c>
      <c r="K70" s="11">
        <v>43374.368055555598</v>
      </c>
      <c r="L70" s="6">
        <f t="shared" si="1"/>
        <v>3.7187500000436557</v>
      </c>
    </row>
    <row r="71" spans="1:12" x14ac:dyDescent="0.2">
      <c r="A71" s="1" t="s">
        <v>40</v>
      </c>
      <c r="B71" s="1" t="s">
        <v>44</v>
      </c>
      <c r="C71" s="8" t="s">
        <v>98</v>
      </c>
      <c r="D71" s="8" t="s">
        <v>99</v>
      </c>
      <c r="E71" s="10">
        <v>20.3</v>
      </c>
      <c r="F71" s="8">
        <v>1000.62</v>
      </c>
      <c r="G71" s="1">
        <v>470.79</v>
      </c>
      <c r="H71" s="10">
        <f>150+31</f>
        <v>181</v>
      </c>
      <c r="I71" s="8">
        <v>470.59</v>
      </c>
      <c r="K71" s="11">
        <v>43374.368055555598</v>
      </c>
      <c r="L71" s="6">
        <f t="shared" si="1"/>
        <v>3.7187500000436557</v>
      </c>
    </row>
    <row r="72" spans="1:12" x14ac:dyDescent="0.2">
      <c r="A72" s="1" t="s">
        <v>40</v>
      </c>
      <c r="B72" s="1" t="s">
        <v>45</v>
      </c>
      <c r="C72" s="8" t="s">
        <v>98</v>
      </c>
      <c r="D72" s="8" t="s">
        <v>99</v>
      </c>
      <c r="E72" s="10">
        <v>20.3</v>
      </c>
      <c r="F72" s="8">
        <v>1000.62</v>
      </c>
      <c r="G72" s="8">
        <v>467.2</v>
      </c>
      <c r="H72" s="10">
        <f>143+64</f>
        <v>207</v>
      </c>
      <c r="I72" s="8">
        <v>466.99</v>
      </c>
      <c r="K72" s="11">
        <v>43374.368055555598</v>
      </c>
      <c r="L72" s="6">
        <f t="shared" si="1"/>
        <v>3.7187500000436557</v>
      </c>
    </row>
    <row r="73" spans="1:12" x14ac:dyDescent="0.2">
      <c r="A73" s="1" t="s">
        <v>40</v>
      </c>
      <c r="B73" s="1" t="s">
        <v>63</v>
      </c>
      <c r="C73" s="8" t="s">
        <v>102</v>
      </c>
      <c r="D73" s="8" t="s">
        <v>103</v>
      </c>
      <c r="E73" s="10">
        <v>20.3</v>
      </c>
      <c r="F73" s="8">
        <v>1000</v>
      </c>
      <c r="G73" s="8">
        <v>487.65</v>
      </c>
      <c r="J73" s="2" t="s">
        <v>93</v>
      </c>
      <c r="K73" s="11">
        <v>43375.40625</v>
      </c>
      <c r="L73" s="6">
        <f t="shared" si="1"/>
        <v>4.7569444444452529</v>
      </c>
    </row>
    <row r="74" spans="1:12" x14ac:dyDescent="0.2">
      <c r="A74" s="1" t="s">
        <v>40</v>
      </c>
      <c r="B74" s="1" t="s">
        <v>52</v>
      </c>
      <c r="C74" s="8" t="s">
        <v>102</v>
      </c>
      <c r="D74" s="8" t="s">
        <v>103</v>
      </c>
      <c r="E74" s="10">
        <v>20.3</v>
      </c>
      <c r="F74" s="8">
        <v>1000</v>
      </c>
      <c r="G74" s="8">
        <v>466.77</v>
      </c>
      <c r="H74" s="10">
        <f>109+137+80</f>
        <v>326</v>
      </c>
      <c r="I74" s="8">
        <v>466.4</v>
      </c>
      <c r="J74" s="2" t="s">
        <v>104</v>
      </c>
      <c r="K74" s="11">
        <v>43375.40625</v>
      </c>
      <c r="L74" s="6">
        <f t="shared" si="1"/>
        <v>4.7569444444452529</v>
      </c>
    </row>
    <row r="75" spans="1:12" x14ac:dyDescent="0.2">
      <c r="A75" s="1" t="s">
        <v>40</v>
      </c>
      <c r="B75" s="1" t="s">
        <v>55</v>
      </c>
      <c r="C75" s="8" t="s">
        <v>102</v>
      </c>
      <c r="D75" s="8" t="s">
        <v>103</v>
      </c>
      <c r="E75" s="10">
        <v>20.3</v>
      </c>
      <c r="F75" s="8">
        <v>1000</v>
      </c>
      <c r="G75" s="8">
        <v>467.52</v>
      </c>
      <c r="H75" s="10">
        <f>144+142+76</f>
        <v>362</v>
      </c>
      <c r="I75" s="8">
        <v>467.11</v>
      </c>
      <c r="J75" s="2" t="s">
        <v>93</v>
      </c>
      <c r="K75" s="11">
        <v>43375.40625</v>
      </c>
      <c r="L75" s="6">
        <f t="shared" si="1"/>
        <v>4.7569444444452529</v>
      </c>
    </row>
    <row r="76" spans="1:12" x14ac:dyDescent="0.2">
      <c r="A76" s="1" t="s">
        <v>40</v>
      </c>
      <c r="B76" s="1" t="s">
        <v>56</v>
      </c>
      <c r="C76" s="8" t="s">
        <v>102</v>
      </c>
      <c r="D76" s="8" t="s">
        <v>103</v>
      </c>
      <c r="E76" s="10">
        <v>20.3</v>
      </c>
      <c r="F76" s="8">
        <v>1000</v>
      </c>
      <c r="G76" s="8">
        <v>469.55</v>
      </c>
      <c r="H76" s="10">
        <f>140+145+52</f>
        <v>337</v>
      </c>
      <c r="I76" s="8">
        <v>469.17</v>
      </c>
      <c r="J76" s="2" t="s">
        <v>93</v>
      </c>
      <c r="K76" s="11">
        <v>43375.40625</v>
      </c>
      <c r="L76" s="6">
        <f t="shared" si="1"/>
        <v>4.7569444444452529</v>
      </c>
    </row>
    <row r="77" spans="1:12" x14ac:dyDescent="0.2">
      <c r="A77" s="1" t="s">
        <v>40</v>
      </c>
      <c r="B77" s="1" t="s">
        <v>63</v>
      </c>
      <c r="C77" s="8" t="s">
        <v>105</v>
      </c>
      <c r="D77" s="8" t="s">
        <v>106</v>
      </c>
      <c r="E77" s="10">
        <v>20</v>
      </c>
      <c r="F77" s="8">
        <v>1002.27</v>
      </c>
      <c r="G77" s="1">
        <v>487.64</v>
      </c>
      <c r="I77" s="8">
        <v>487.64</v>
      </c>
      <c r="K77" s="11">
        <v>43376.338194444397</v>
      </c>
      <c r="L77" s="6">
        <f t="shared" si="1"/>
        <v>5.6888888888424844</v>
      </c>
    </row>
    <row r="78" spans="1:12" x14ac:dyDescent="0.2">
      <c r="A78" s="1" t="s">
        <v>40</v>
      </c>
      <c r="B78" s="1" t="s">
        <v>52</v>
      </c>
      <c r="C78" s="8" t="s">
        <v>105</v>
      </c>
      <c r="D78" s="8" t="s">
        <v>106</v>
      </c>
      <c r="E78" s="10">
        <v>20</v>
      </c>
      <c r="F78" s="8">
        <v>1002.27</v>
      </c>
      <c r="G78" s="1">
        <v>466.39</v>
      </c>
      <c r="H78" s="10">
        <f>97+50</f>
        <v>147</v>
      </c>
      <c r="I78" s="8">
        <v>466.21</v>
      </c>
      <c r="K78" s="11">
        <v>43376.338194444397</v>
      </c>
      <c r="L78" s="6">
        <f t="shared" si="1"/>
        <v>5.6888888888424844</v>
      </c>
    </row>
    <row r="79" spans="1:12" x14ac:dyDescent="0.2">
      <c r="A79" s="1" t="s">
        <v>40</v>
      </c>
      <c r="B79" s="1" t="s">
        <v>55</v>
      </c>
      <c r="C79" s="8" t="s">
        <v>105</v>
      </c>
      <c r="D79" s="8" t="s">
        <v>106</v>
      </c>
      <c r="E79" s="10">
        <v>20</v>
      </c>
      <c r="F79" s="8">
        <v>1002.27</v>
      </c>
      <c r="G79" s="1">
        <v>467.09</v>
      </c>
      <c r="H79" s="10">
        <v>146</v>
      </c>
      <c r="I79" s="8">
        <v>466.93</v>
      </c>
      <c r="K79" s="11">
        <v>43376.338194444397</v>
      </c>
      <c r="L79" s="6">
        <f t="shared" si="1"/>
        <v>5.6888888888424844</v>
      </c>
    </row>
    <row r="80" spans="1:12" x14ac:dyDescent="0.2">
      <c r="A80" s="1" t="s">
        <v>40</v>
      </c>
      <c r="B80" s="1" t="s">
        <v>56</v>
      </c>
      <c r="C80" s="8" t="s">
        <v>105</v>
      </c>
      <c r="D80" s="8" t="s">
        <v>106</v>
      </c>
      <c r="E80" s="10">
        <v>20</v>
      </c>
      <c r="F80" s="8">
        <v>1002.27</v>
      </c>
      <c r="G80" s="1">
        <v>469.15</v>
      </c>
      <c r="H80" s="10">
        <v>147</v>
      </c>
      <c r="I80" s="8">
        <v>468.97</v>
      </c>
      <c r="K80" s="11">
        <v>43376.338194444397</v>
      </c>
      <c r="L80" s="6">
        <f t="shared" si="1"/>
        <v>5.6888888888424844</v>
      </c>
    </row>
    <row r="81" spans="1:12" x14ac:dyDescent="0.2">
      <c r="A81" s="1" t="s">
        <v>40</v>
      </c>
      <c r="B81" s="1" t="s">
        <v>57</v>
      </c>
      <c r="C81" s="8" t="s">
        <v>105</v>
      </c>
      <c r="D81" s="18">
        <v>8.07</v>
      </c>
      <c r="E81" s="10">
        <v>20</v>
      </c>
      <c r="F81" s="8">
        <v>1002.27</v>
      </c>
      <c r="G81" s="1">
        <v>729.18</v>
      </c>
      <c r="H81" s="10">
        <f>95+8</f>
        <v>103</v>
      </c>
      <c r="I81" s="8">
        <v>729.09</v>
      </c>
      <c r="K81" s="11">
        <v>43376.338194444397</v>
      </c>
      <c r="L81" s="6">
        <f t="shared" si="1"/>
        <v>5.6888888888424844</v>
      </c>
    </row>
    <row r="82" spans="1:12" x14ac:dyDescent="0.2">
      <c r="A82" s="1" t="s">
        <v>40</v>
      </c>
      <c r="B82" s="1" t="s">
        <v>61</v>
      </c>
      <c r="C82" s="8" t="s">
        <v>105</v>
      </c>
      <c r="D82" s="8" t="s">
        <v>106</v>
      </c>
      <c r="E82" s="10">
        <v>20</v>
      </c>
      <c r="F82" s="8">
        <v>1002.27</v>
      </c>
      <c r="G82" s="1">
        <v>740.22</v>
      </c>
      <c r="H82" s="10">
        <v>106</v>
      </c>
      <c r="I82" s="8">
        <v>740.11</v>
      </c>
      <c r="J82" s="2" t="s">
        <v>107</v>
      </c>
      <c r="K82" s="11">
        <v>43376.338194444397</v>
      </c>
      <c r="L82" s="6">
        <f t="shared" si="1"/>
        <v>5.6888888888424844</v>
      </c>
    </row>
    <row r="83" spans="1:12" x14ac:dyDescent="0.2">
      <c r="A83" s="1" t="s">
        <v>40</v>
      </c>
      <c r="B83" s="1" t="s">
        <v>60</v>
      </c>
      <c r="C83" s="8" t="s">
        <v>105</v>
      </c>
      <c r="D83" s="8" t="s">
        <v>106</v>
      </c>
      <c r="E83" s="10">
        <v>20</v>
      </c>
      <c r="F83" s="8">
        <v>1002.27</v>
      </c>
      <c r="G83" s="1">
        <v>721.77</v>
      </c>
      <c r="H83" s="10">
        <v>105</v>
      </c>
      <c r="I83" s="8">
        <v>721.67</v>
      </c>
      <c r="J83" s="2" t="s">
        <v>108</v>
      </c>
      <c r="K83" s="11">
        <v>43376.338194444397</v>
      </c>
      <c r="L83" s="6">
        <f t="shared" si="1"/>
        <v>5.6888888888424844</v>
      </c>
    </row>
    <row r="84" spans="1:12" x14ac:dyDescent="0.2">
      <c r="A84" s="1" t="s">
        <v>40</v>
      </c>
      <c r="B84" s="1" t="s">
        <v>62</v>
      </c>
      <c r="C84" s="8" t="s">
        <v>105</v>
      </c>
      <c r="D84" s="8" t="s">
        <v>106</v>
      </c>
      <c r="E84" s="10">
        <v>20</v>
      </c>
      <c r="F84" s="8">
        <v>1002.27</v>
      </c>
      <c r="G84" s="1">
        <v>723.47</v>
      </c>
      <c r="H84" s="10">
        <f>102</f>
        <v>102</v>
      </c>
      <c r="I84" s="8">
        <v>723.36</v>
      </c>
      <c r="K84" s="11">
        <v>43376.338194444397</v>
      </c>
      <c r="L84" s="6">
        <f t="shared" si="1"/>
        <v>5.6888888888424844</v>
      </c>
    </row>
    <row r="85" spans="1:12" x14ac:dyDescent="0.2">
      <c r="A85" s="1" t="s">
        <v>40</v>
      </c>
      <c r="B85" s="1" t="s">
        <v>46</v>
      </c>
      <c r="C85" s="8" t="s">
        <v>105</v>
      </c>
      <c r="D85" s="8" t="s">
        <v>106</v>
      </c>
      <c r="E85" s="10">
        <v>20</v>
      </c>
      <c r="F85" s="8">
        <v>1002.27</v>
      </c>
      <c r="G85" s="1">
        <v>470.28</v>
      </c>
      <c r="H85" s="10">
        <f>144+144+105</f>
        <v>393</v>
      </c>
      <c r="I85" s="8">
        <v>469.83</v>
      </c>
      <c r="K85" s="11">
        <v>43376.338194444397</v>
      </c>
      <c r="L85" s="6">
        <f t="shared" si="1"/>
        <v>5.6888888888424844</v>
      </c>
    </row>
    <row r="86" spans="1:12" x14ac:dyDescent="0.2">
      <c r="A86" s="1" t="s">
        <v>40</v>
      </c>
      <c r="B86" s="1" t="s">
        <v>50</v>
      </c>
      <c r="C86" s="8" t="s">
        <v>105</v>
      </c>
      <c r="D86" s="8" t="s">
        <v>106</v>
      </c>
      <c r="E86" s="10">
        <v>20</v>
      </c>
      <c r="F86" s="8">
        <v>1002.27</v>
      </c>
      <c r="G86" s="1">
        <v>471.23</v>
      </c>
      <c r="H86" s="10">
        <f>145+144+95</f>
        <v>384</v>
      </c>
      <c r="I86" s="8">
        <v>470.78</v>
      </c>
      <c r="K86" s="11">
        <v>43376.338194444397</v>
      </c>
      <c r="L86" s="6">
        <f t="shared" si="1"/>
        <v>5.6888888888424844</v>
      </c>
    </row>
    <row r="87" spans="1:12" x14ac:dyDescent="0.2">
      <c r="A87" s="1" t="s">
        <v>40</v>
      </c>
      <c r="B87" s="1" t="s">
        <v>51</v>
      </c>
      <c r="C87" s="8" t="s">
        <v>105</v>
      </c>
      <c r="D87" s="8" t="s">
        <v>106</v>
      </c>
      <c r="E87" s="10">
        <v>20</v>
      </c>
      <c r="F87" s="8">
        <v>1002.27</v>
      </c>
      <c r="G87" s="1">
        <v>471.67</v>
      </c>
      <c r="H87" s="10">
        <f>146+137+101</f>
        <v>384</v>
      </c>
      <c r="I87" s="8">
        <v>471.23</v>
      </c>
      <c r="K87" s="11">
        <v>43376.338194444397</v>
      </c>
      <c r="L87" s="6">
        <f t="shared" si="1"/>
        <v>5.6888888888424844</v>
      </c>
    </row>
    <row r="88" spans="1:12" x14ac:dyDescent="0.2">
      <c r="A88" s="1" t="s">
        <v>40</v>
      </c>
      <c r="B88" s="1" t="s">
        <v>41</v>
      </c>
      <c r="C88" s="8" t="s">
        <v>105</v>
      </c>
      <c r="D88" s="8" t="s">
        <v>106</v>
      </c>
      <c r="E88" s="10">
        <v>20</v>
      </c>
      <c r="F88" s="8">
        <v>1002.27</v>
      </c>
      <c r="G88" s="8">
        <v>467.2</v>
      </c>
      <c r="H88" s="10">
        <f>146+97</f>
        <v>243</v>
      </c>
      <c r="I88" s="8">
        <v>466.96</v>
      </c>
      <c r="K88" s="11">
        <v>43376.338194444397</v>
      </c>
      <c r="L88" s="6">
        <f t="shared" si="1"/>
        <v>5.6888888888424844</v>
      </c>
    </row>
    <row r="89" spans="1:12" x14ac:dyDescent="0.2">
      <c r="A89" s="1" t="s">
        <v>40</v>
      </c>
      <c r="B89" s="1" t="s">
        <v>44</v>
      </c>
      <c r="C89" s="8" t="s">
        <v>105</v>
      </c>
      <c r="D89" s="8" t="s">
        <v>106</v>
      </c>
      <c r="E89" s="10">
        <v>20</v>
      </c>
      <c r="F89" s="8">
        <v>1002.27</v>
      </c>
      <c r="G89" s="1">
        <v>470.58</v>
      </c>
      <c r="H89" s="10">
        <f>142+100</f>
        <v>242</v>
      </c>
      <c r="I89" s="8">
        <v>470.34</v>
      </c>
      <c r="K89" s="11">
        <v>43376.338194444397</v>
      </c>
      <c r="L89" s="6">
        <f t="shared" si="1"/>
        <v>5.6888888888424844</v>
      </c>
    </row>
    <row r="90" spans="1:12" x14ac:dyDescent="0.2">
      <c r="A90" s="1" t="s">
        <v>40</v>
      </c>
      <c r="B90" s="1" t="s">
        <v>45</v>
      </c>
      <c r="C90" s="8" t="s">
        <v>105</v>
      </c>
      <c r="D90" s="8" t="s">
        <v>106</v>
      </c>
      <c r="E90" s="10">
        <v>20</v>
      </c>
      <c r="F90" s="8">
        <v>1002.27</v>
      </c>
      <c r="G90" s="1">
        <v>466.98</v>
      </c>
      <c r="H90" s="10">
        <f>146+124</f>
        <v>270</v>
      </c>
      <c r="I90" s="8">
        <v>466.7</v>
      </c>
      <c r="K90" s="11">
        <v>43376.338194444397</v>
      </c>
      <c r="L90" s="6">
        <f t="shared" si="1"/>
        <v>5.6888888888424844</v>
      </c>
    </row>
    <row r="91" spans="1:12" x14ac:dyDescent="0.2">
      <c r="A91" s="1" t="s">
        <v>40</v>
      </c>
      <c r="B91" s="1" t="s">
        <v>63</v>
      </c>
      <c r="C91" s="8" t="s">
        <v>109</v>
      </c>
      <c r="D91" s="8" t="s">
        <v>110</v>
      </c>
      <c r="E91" s="10">
        <v>20.100000000000001</v>
      </c>
      <c r="F91" s="8">
        <v>1009.23</v>
      </c>
      <c r="G91" s="1">
        <v>487.64</v>
      </c>
      <c r="I91" s="8">
        <v>487.64</v>
      </c>
      <c r="K91" s="11">
        <v>43378.464583333298</v>
      </c>
      <c r="L91" s="6">
        <f t="shared" si="1"/>
        <v>7.8152777777431766</v>
      </c>
    </row>
    <row r="92" spans="1:12" x14ac:dyDescent="0.2">
      <c r="A92" s="1" t="s">
        <v>40</v>
      </c>
      <c r="B92" s="1" t="s">
        <v>52</v>
      </c>
      <c r="C92" s="8" t="s">
        <v>109</v>
      </c>
      <c r="D92" s="8" t="s">
        <v>110</v>
      </c>
      <c r="E92" s="10">
        <v>20.100000000000001</v>
      </c>
      <c r="F92" s="8">
        <v>1009.23</v>
      </c>
      <c r="G92" s="8">
        <v>466.2</v>
      </c>
      <c r="H92" s="10">
        <v>145</v>
      </c>
      <c r="I92" s="8">
        <v>466.03</v>
      </c>
      <c r="K92" s="11">
        <v>43378.464583333298</v>
      </c>
      <c r="L92" s="6">
        <f t="shared" si="1"/>
        <v>7.8152777777431766</v>
      </c>
    </row>
    <row r="93" spans="1:12" x14ac:dyDescent="0.2">
      <c r="A93" s="1" t="s">
        <v>40</v>
      </c>
      <c r="B93" s="1" t="s">
        <v>55</v>
      </c>
      <c r="C93" s="8" t="s">
        <v>109</v>
      </c>
      <c r="D93" s="8" t="s">
        <v>110</v>
      </c>
      <c r="E93" s="10">
        <v>20.100000000000001</v>
      </c>
      <c r="F93" s="8">
        <v>1009.23</v>
      </c>
      <c r="G93" s="1">
        <v>466.92</v>
      </c>
      <c r="H93" s="10">
        <v>150</v>
      </c>
      <c r="I93" s="8">
        <v>466.75</v>
      </c>
      <c r="K93" s="11">
        <v>43378.464583333298</v>
      </c>
      <c r="L93" s="6">
        <f t="shared" si="1"/>
        <v>7.8152777777431766</v>
      </c>
    </row>
    <row r="94" spans="1:12" x14ac:dyDescent="0.2">
      <c r="A94" s="1" t="s">
        <v>40</v>
      </c>
      <c r="B94" s="1" t="s">
        <v>56</v>
      </c>
      <c r="C94" s="8" t="s">
        <v>109</v>
      </c>
      <c r="D94" s="8" t="s">
        <v>110</v>
      </c>
      <c r="E94" s="10">
        <v>20.100000000000001</v>
      </c>
      <c r="F94" s="8">
        <v>1009.23</v>
      </c>
      <c r="G94" s="1">
        <v>468.97</v>
      </c>
      <c r="H94" s="10">
        <v>144</v>
      </c>
      <c r="I94" s="8">
        <v>468.8</v>
      </c>
      <c r="K94" s="11">
        <v>43378.464583333298</v>
      </c>
      <c r="L94" s="6">
        <f t="shared" si="1"/>
        <v>7.8152777777431766</v>
      </c>
    </row>
    <row r="95" spans="1:12" x14ac:dyDescent="0.2">
      <c r="A95" s="1" t="s">
        <v>40</v>
      </c>
      <c r="B95" s="1" t="s">
        <v>57</v>
      </c>
      <c r="C95" s="8" t="s">
        <v>109</v>
      </c>
      <c r="D95" s="8" t="s">
        <v>110</v>
      </c>
      <c r="E95" s="10">
        <v>20.100000000000001</v>
      </c>
      <c r="F95" s="8">
        <v>1009.23</v>
      </c>
      <c r="G95" s="1">
        <v>729.08</v>
      </c>
      <c r="H95" s="10">
        <v>97</v>
      </c>
      <c r="I95" s="8">
        <v>728.98</v>
      </c>
      <c r="K95" s="11">
        <v>43378.464583333298</v>
      </c>
      <c r="L95" s="6">
        <f t="shared" si="1"/>
        <v>7.8152777777431766</v>
      </c>
    </row>
    <row r="96" spans="1:12" x14ac:dyDescent="0.2">
      <c r="A96" s="1" t="s">
        <v>40</v>
      </c>
      <c r="B96" s="1" t="s">
        <v>60</v>
      </c>
      <c r="C96" s="8" t="s">
        <v>109</v>
      </c>
      <c r="D96" s="8" t="s">
        <v>110</v>
      </c>
      <c r="E96" s="10">
        <v>20.100000000000001</v>
      </c>
      <c r="F96" s="8">
        <v>1009.23</v>
      </c>
      <c r="G96" s="1">
        <v>721.67</v>
      </c>
      <c r="H96" s="10">
        <v>104</v>
      </c>
      <c r="I96" s="8">
        <v>721.56</v>
      </c>
      <c r="K96" s="11">
        <v>43378.464583333298</v>
      </c>
      <c r="L96" s="6">
        <f t="shared" si="1"/>
        <v>7.8152777777431766</v>
      </c>
    </row>
    <row r="97" spans="1:12" x14ac:dyDescent="0.2">
      <c r="A97" s="1" t="s">
        <v>40</v>
      </c>
      <c r="B97" s="1" t="s">
        <v>61</v>
      </c>
      <c r="C97" s="8" t="s">
        <v>109</v>
      </c>
      <c r="D97" s="8" t="s">
        <v>110</v>
      </c>
      <c r="E97" s="10">
        <v>20.100000000000001</v>
      </c>
      <c r="F97" s="8">
        <v>1009.23</v>
      </c>
      <c r="G97" s="1">
        <v>740.11</v>
      </c>
      <c r="H97" s="10">
        <v>102</v>
      </c>
      <c r="I97" s="8">
        <v>740.01</v>
      </c>
      <c r="K97" s="11">
        <v>43378.464583333298</v>
      </c>
      <c r="L97" s="6">
        <f t="shared" si="1"/>
        <v>7.8152777777431766</v>
      </c>
    </row>
    <row r="98" spans="1:12" x14ac:dyDescent="0.2">
      <c r="A98" s="1" t="s">
        <v>40</v>
      </c>
      <c r="B98" s="1" t="s">
        <v>62</v>
      </c>
      <c r="C98" s="8" t="s">
        <v>109</v>
      </c>
      <c r="D98" s="8" t="s">
        <v>110</v>
      </c>
      <c r="E98" s="10">
        <v>20.100000000000001</v>
      </c>
      <c r="F98" s="8">
        <v>1009.23</v>
      </c>
      <c r="G98" s="1">
        <v>723.36</v>
      </c>
      <c r="H98" s="10">
        <v>97</v>
      </c>
      <c r="I98" s="8">
        <v>723.27</v>
      </c>
      <c r="K98" s="11">
        <v>43378.464583333298</v>
      </c>
      <c r="L98" s="6">
        <f t="shared" si="1"/>
        <v>7.8152777777431766</v>
      </c>
    </row>
    <row r="99" spans="1:12" x14ac:dyDescent="0.2">
      <c r="A99" s="1" t="s">
        <v>40</v>
      </c>
      <c r="B99" s="1" t="s">
        <v>46</v>
      </c>
      <c r="C99" s="8" t="s">
        <v>109</v>
      </c>
      <c r="D99" s="8" t="s">
        <v>110</v>
      </c>
      <c r="E99" s="10">
        <v>20.100000000000001</v>
      </c>
      <c r="F99" s="8">
        <v>1009.23</v>
      </c>
      <c r="G99" s="1">
        <v>469.82</v>
      </c>
      <c r="H99" s="10">
        <f>148+145+110</f>
        <v>403</v>
      </c>
      <c r="I99" s="8">
        <v>469.35</v>
      </c>
      <c r="K99" s="11">
        <v>43378.464583333298</v>
      </c>
      <c r="L99" s="6">
        <f t="shared" si="1"/>
        <v>7.8152777777431766</v>
      </c>
    </row>
    <row r="100" spans="1:12" x14ac:dyDescent="0.2">
      <c r="A100" s="1" t="s">
        <v>40</v>
      </c>
      <c r="B100" s="1" t="s">
        <v>50</v>
      </c>
      <c r="C100" s="8" t="s">
        <v>109</v>
      </c>
      <c r="D100" s="8" t="s">
        <v>110</v>
      </c>
      <c r="E100" s="10">
        <v>20.100000000000001</v>
      </c>
      <c r="F100" s="8">
        <v>1009.23</v>
      </c>
      <c r="G100" s="1">
        <v>470.78</v>
      </c>
      <c r="H100" s="10">
        <f>136+139+117</f>
        <v>392</v>
      </c>
      <c r="I100" s="8">
        <v>470.32</v>
      </c>
      <c r="J100" s="2" t="s">
        <v>111</v>
      </c>
      <c r="K100" s="11">
        <v>43378.464583333298</v>
      </c>
      <c r="L100" s="6">
        <f t="shared" si="1"/>
        <v>7.8152777777431766</v>
      </c>
    </row>
    <row r="101" spans="1:12" x14ac:dyDescent="0.2">
      <c r="A101" s="1" t="s">
        <v>40</v>
      </c>
      <c r="B101" s="1" t="s">
        <v>51</v>
      </c>
      <c r="C101" s="8" t="s">
        <v>109</v>
      </c>
      <c r="D101" s="8" t="s">
        <v>110</v>
      </c>
      <c r="E101" s="10">
        <v>20.100000000000001</v>
      </c>
      <c r="F101" s="8">
        <v>1009.23</v>
      </c>
      <c r="G101" s="1">
        <v>471.22</v>
      </c>
      <c r="H101" s="10">
        <f>139+129+120</f>
        <v>388</v>
      </c>
      <c r="I101" s="8">
        <v>470.77</v>
      </c>
      <c r="K101" s="11">
        <v>43378.464583333298</v>
      </c>
      <c r="L101" s="6">
        <f t="shared" si="1"/>
        <v>7.8152777777431766</v>
      </c>
    </row>
    <row r="102" spans="1:12" x14ac:dyDescent="0.2">
      <c r="A102" s="1" t="s">
        <v>40</v>
      </c>
      <c r="B102" s="1" t="s">
        <v>41</v>
      </c>
      <c r="C102" s="8" t="s">
        <v>109</v>
      </c>
      <c r="D102" s="8" t="s">
        <v>110</v>
      </c>
      <c r="E102" s="10">
        <v>20.100000000000001</v>
      </c>
      <c r="F102" s="8">
        <v>1009.23</v>
      </c>
      <c r="G102" s="1">
        <v>466.95</v>
      </c>
      <c r="H102" s="10">
        <v>141</v>
      </c>
      <c r="I102" s="8">
        <v>466.8</v>
      </c>
      <c r="K102" s="11">
        <v>43378.464583333298</v>
      </c>
      <c r="L102" s="6">
        <f t="shared" si="1"/>
        <v>7.8152777777431766</v>
      </c>
    </row>
    <row r="103" spans="1:12" x14ac:dyDescent="0.2">
      <c r="A103" s="1" t="s">
        <v>40</v>
      </c>
      <c r="B103" s="1" t="s">
        <v>44</v>
      </c>
      <c r="C103" s="8" t="s">
        <v>109</v>
      </c>
      <c r="D103" s="8" t="s">
        <v>110</v>
      </c>
      <c r="E103" s="10">
        <v>20.100000000000001</v>
      </c>
      <c r="F103" s="8">
        <v>1009.23</v>
      </c>
      <c r="G103" s="1">
        <v>470.33</v>
      </c>
      <c r="H103" s="10">
        <v>142</v>
      </c>
      <c r="I103" s="8">
        <v>470.19</v>
      </c>
      <c r="K103" s="11">
        <v>43378.464583333298</v>
      </c>
      <c r="L103" s="6">
        <f t="shared" si="1"/>
        <v>7.8152777777431766</v>
      </c>
    </row>
    <row r="104" spans="1:12" x14ac:dyDescent="0.2">
      <c r="A104" s="1" t="s">
        <v>40</v>
      </c>
      <c r="B104" s="1" t="s">
        <v>45</v>
      </c>
      <c r="C104" s="8" t="s">
        <v>109</v>
      </c>
      <c r="D104" s="8" t="s">
        <v>110</v>
      </c>
      <c r="E104" s="10">
        <v>20.100000000000001</v>
      </c>
      <c r="F104" s="8">
        <v>1009.23</v>
      </c>
      <c r="G104" s="8">
        <v>466.7</v>
      </c>
      <c r="H104" s="10">
        <v>151</v>
      </c>
      <c r="I104" s="8">
        <v>466.54</v>
      </c>
      <c r="K104" s="11">
        <v>43378.464583333298</v>
      </c>
      <c r="L104" s="6">
        <f t="shared" si="1"/>
        <v>7.8152777777431766</v>
      </c>
    </row>
    <row r="105" spans="1:12" x14ac:dyDescent="0.2">
      <c r="A105" s="1" t="s">
        <v>40</v>
      </c>
      <c r="B105" s="1" t="s">
        <v>63</v>
      </c>
      <c r="C105" s="8" t="s">
        <v>112</v>
      </c>
      <c r="D105" s="8" t="s">
        <v>113</v>
      </c>
      <c r="E105" s="10">
        <v>20.399999999999999</v>
      </c>
      <c r="F105" s="8">
        <v>1001.38</v>
      </c>
      <c r="G105" s="1">
        <v>487.64</v>
      </c>
      <c r="I105" s="8">
        <v>487.64</v>
      </c>
      <c r="J105" s="2" t="s">
        <v>114</v>
      </c>
      <c r="K105" s="11">
        <v>43379.888888888898</v>
      </c>
      <c r="L105" s="6">
        <f t="shared" si="1"/>
        <v>9.2395833333430346</v>
      </c>
    </row>
    <row r="106" spans="1:12" x14ac:dyDescent="0.2">
      <c r="A106" s="1" t="s">
        <v>40</v>
      </c>
      <c r="B106" s="1" t="s">
        <v>46</v>
      </c>
      <c r="C106" s="8" t="s">
        <v>112</v>
      </c>
      <c r="D106" s="8" t="s">
        <v>113</v>
      </c>
      <c r="E106" s="10">
        <v>20.399999999999999</v>
      </c>
      <c r="F106" s="8">
        <v>1001.38</v>
      </c>
      <c r="G106" s="1">
        <v>469.35</v>
      </c>
      <c r="H106" s="10">
        <f>146+68</f>
        <v>214</v>
      </c>
      <c r="I106" s="8">
        <v>469.09</v>
      </c>
      <c r="K106" s="11">
        <v>43379.888888888898</v>
      </c>
      <c r="L106" s="6">
        <f t="shared" si="1"/>
        <v>9.2395833333430346</v>
      </c>
    </row>
    <row r="107" spans="1:12" x14ac:dyDescent="0.2">
      <c r="A107" s="1" t="s">
        <v>40</v>
      </c>
      <c r="B107" s="1" t="s">
        <v>50</v>
      </c>
      <c r="C107" s="8" t="s">
        <v>112</v>
      </c>
      <c r="D107" s="8" t="s">
        <v>113</v>
      </c>
      <c r="E107" s="10">
        <v>20.399999999999999</v>
      </c>
      <c r="F107" s="8">
        <v>1001.38</v>
      </c>
      <c r="G107" s="1">
        <v>470.33</v>
      </c>
      <c r="H107" s="10">
        <f>142+81</f>
        <v>223</v>
      </c>
      <c r="I107" s="8">
        <v>470.04</v>
      </c>
      <c r="K107" s="11">
        <v>43379.888888888898</v>
      </c>
      <c r="L107" s="6">
        <f t="shared" si="1"/>
        <v>9.2395833333430346</v>
      </c>
    </row>
    <row r="108" spans="1:12" x14ac:dyDescent="0.2">
      <c r="A108" s="1" t="s">
        <v>40</v>
      </c>
      <c r="B108" s="1" t="s">
        <v>51</v>
      </c>
      <c r="C108" s="8" t="s">
        <v>112</v>
      </c>
      <c r="D108" s="8" t="s">
        <v>113</v>
      </c>
      <c r="E108" s="10">
        <v>20.399999999999999</v>
      </c>
      <c r="F108" s="8">
        <v>1001.38</v>
      </c>
      <c r="G108" s="1">
        <v>470.76</v>
      </c>
      <c r="H108" s="10">
        <f>149+82</f>
        <v>231</v>
      </c>
      <c r="I108" s="8">
        <v>470.48</v>
      </c>
      <c r="K108" s="11">
        <v>43379.888888888898</v>
      </c>
      <c r="L108" s="6">
        <f t="shared" si="1"/>
        <v>9.2395833333430346</v>
      </c>
    </row>
    <row r="109" spans="1:12" x14ac:dyDescent="0.2">
      <c r="A109" s="1" t="s">
        <v>40</v>
      </c>
      <c r="B109" s="1" t="s">
        <v>57</v>
      </c>
      <c r="C109" s="8" t="s">
        <v>112</v>
      </c>
      <c r="D109" s="8" t="s">
        <v>113</v>
      </c>
      <c r="E109" s="10">
        <v>20.399999999999999</v>
      </c>
      <c r="F109" s="8">
        <v>1001.38</v>
      </c>
      <c r="G109" s="1">
        <v>728.98</v>
      </c>
      <c r="H109" s="10">
        <v>65</v>
      </c>
      <c r="I109" s="8">
        <v>728.9</v>
      </c>
      <c r="K109" s="11">
        <v>43379.888888888898</v>
      </c>
      <c r="L109" s="6">
        <f t="shared" si="1"/>
        <v>9.2395833333430346</v>
      </c>
    </row>
    <row r="110" spans="1:12" x14ac:dyDescent="0.2">
      <c r="A110" s="1" t="s">
        <v>40</v>
      </c>
      <c r="B110" s="1" t="s">
        <v>60</v>
      </c>
      <c r="C110" s="8" t="s">
        <v>112</v>
      </c>
      <c r="D110" s="8" t="s">
        <v>113</v>
      </c>
      <c r="E110" s="10">
        <v>20.399999999999999</v>
      </c>
      <c r="F110" s="8">
        <v>1001.38</v>
      </c>
      <c r="G110" s="1">
        <v>721.55</v>
      </c>
      <c r="H110" s="10">
        <v>68</v>
      </c>
      <c r="I110" s="8">
        <v>721.49</v>
      </c>
      <c r="K110" s="11">
        <v>43379.888888888898</v>
      </c>
      <c r="L110" s="6">
        <f t="shared" si="1"/>
        <v>9.2395833333430346</v>
      </c>
    </row>
    <row r="111" spans="1:12" x14ac:dyDescent="0.2">
      <c r="A111" s="1" t="s">
        <v>40</v>
      </c>
      <c r="B111" s="1" t="s">
        <v>61</v>
      </c>
      <c r="C111" s="8" t="s">
        <v>112</v>
      </c>
      <c r="D111" s="8" t="s">
        <v>113</v>
      </c>
      <c r="E111" s="10">
        <v>20.399999999999999</v>
      </c>
      <c r="F111" s="8">
        <v>1001.38</v>
      </c>
      <c r="G111" s="1">
        <v>740.01</v>
      </c>
      <c r="H111" s="10">
        <v>70</v>
      </c>
      <c r="I111" s="8">
        <v>739.95</v>
      </c>
      <c r="K111" s="11">
        <v>43379.888888888898</v>
      </c>
      <c r="L111" s="6">
        <f t="shared" si="1"/>
        <v>9.2395833333430346</v>
      </c>
    </row>
    <row r="112" spans="1:12" x14ac:dyDescent="0.2">
      <c r="A112" s="1" t="s">
        <v>40</v>
      </c>
      <c r="B112" s="1" t="s">
        <v>62</v>
      </c>
      <c r="C112" s="8" t="s">
        <v>112</v>
      </c>
      <c r="D112" s="8" t="s">
        <v>113</v>
      </c>
      <c r="E112" s="10">
        <v>20.399999999999999</v>
      </c>
      <c r="F112" s="8">
        <v>1001.38</v>
      </c>
      <c r="G112" s="1">
        <v>723.27</v>
      </c>
      <c r="H112" s="10">
        <v>64</v>
      </c>
      <c r="I112" s="8">
        <v>723.2</v>
      </c>
      <c r="K112" s="11">
        <v>43379.888888888898</v>
      </c>
      <c r="L112" s="6">
        <f t="shared" si="1"/>
        <v>9.2395833333430346</v>
      </c>
    </row>
    <row r="113" spans="1:12" x14ac:dyDescent="0.2">
      <c r="A113" s="1" t="s">
        <v>40</v>
      </c>
      <c r="B113" s="1" t="s">
        <v>63</v>
      </c>
      <c r="C113" s="8" t="s">
        <v>115</v>
      </c>
      <c r="D113" s="8" t="s">
        <v>116</v>
      </c>
      <c r="E113" s="10">
        <v>20.399999999999999</v>
      </c>
      <c r="F113" s="8">
        <v>1007.72</v>
      </c>
      <c r="G113" s="1">
        <v>487.63</v>
      </c>
      <c r="I113" s="8">
        <v>487.64</v>
      </c>
      <c r="K113" s="11">
        <v>43381.488194444399</v>
      </c>
      <c r="L113" s="6">
        <f t="shared" si="1"/>
        <v>10.83888888884394</v>
      </c>
    </row>
    <row r="114" spans="1:12" x14ac:dyDescent="0.2">
      <c r="A114" s="1" t="s">
        <v>40</v>
      </c>
      <c r="B114" s="1" t="s">
        <v>57</v>
      </c>
      <c r="C114" s="8" t="s">
        <v>115</v>
      </c>
      <c r="D114" s="8" t="s">
        <v>116</v>
      </c>
      <c r="E114" s="10">
        <v>20.399999999999999</v>
      </c>
      <c r="F114" s="8">
        <v>1007.72</v>
      </c>
      <c r="G114" s="1">
        <v>728.91</v>
      </c>
      <c r="H114" s="10">
        <v>55</v>
      </c>
      <c r="I114" s="2">
        <v>728.85</v>
      </c>
      <c r="K114" s="11">
        <v>43381.488194444399</v>
      </c>
      <c r="L114" s="6">
        <f t="shared" si="1"/>
        <v>10.83888888884394</v>
      </c>
    </row>
    <row r="115" spans="1:12" x14ac:dyDescent="0.2">
      <c r="A115" s="1" t="s">
        <v>40</v>
      </c>
      <c r="B115" s="1" t="s">
        <v>60</v>
      </c>
      <c r="C115" s="8" t="s">
        <v>115</v>
      </c>
      <c r="D115" s="8" t="s">
        <v>116</v>
      </c>
      <c r="E115" s="10">
        <v>20.399999999999999</v>
      </c>
      <c r="F115" s="8">
        <v>1007.72</v>
      </c>
      <c r="G115" s="1">
        <v>721.49</v>
      </c>
      <c r="H115" s="10">
        <v>55</v>
      </c>
      <c r="I115" s="2">
        <v>721.42</v>
      </c>
      <c r="K115" s="11">
        <v>43381.488194444399</v>
      </c>
      <c r="L115" s="6">
        <f t="shared" si="1"/>
        <v>10.83888888884394</v>
      </c>
    </row>
    <row r="116" spans="1:12" x14ac:dyDescent="0.2">
      <c r="A116" s="1" t="s">
        <v>40</v>
      </c>
      <c r="B116" s="1" t="s">
        <v>61</v>
      </c>
      <c r="C116" s="8" t="s">
        <v>115</v>
      </c>
      <c r="D116" s="8" t="s">
        <v>116</v>
      </c>
      <c r="E116" s="10">
        <v>20.399999999999999</v>
      </c>
      <c r="F116" s="8">
        <v>1007.72</v>
      </c>
      <c r="G116" s="1">
        <v>739.93</v>
      </c>
      <c r="H116" s="10">
        <v>56</v>
      </c>
      <c r="I116" s="2">
        <v>739.87</v>
      </c>
      <c r="K116" s="11">
        <v>43381.488194444399</v>
      </c>
      <c r="L116" s="6">
        <f t="shared" si="1"/>
        <v>10.83888888884394</v>
      </c>
    </row>
    <row r="117" spans="1:12" x14ac:dyDescent="0.2">
      <c r="A117" s="1" t="s">
        <v>40</v>
      </c>
      <c r="B117" s="1" t="s">
        <v>62</v>
      </c>
      <c r="C117" s="8" t="s">
        <v>115</v>
      </c>
      <c r="D117" s="8" t="s">
        <v>116</v>
      </c>
      <c r="E117" s="10">
        <v>20.399999999999999</v>
      </c>
      <c r="F117" s="8">
        <v>1007.72</v>
      </c>
      <c r="G117" s="1">
        <v>723.19</v>
      </c>
      <c r="H117" s="10">
        <v>53</v>
      </c>
      <c r="I117" s="2">
        <v>723.14</v>
      </c>
      <c r="K117" s="11">
        <v>43381.488194444399</v>
      </c>
      <c r="L117" s="6">
        <f t="shared" si="1"/>
        <v>10.83888888884394</v>
      </c>
    </row>
    <row r="118" spans="1:12" x14ac:dyDescent="0.2">
      <c r="A118" s="1" t="s">
        <v>40</v>
      </c>
      <c r="B118" s="1" t="s">
        <v>52</v>
      </c>
      <c r="C118" s="8" t="s">
        <v>115</v>
      </c>
      <c r="D118" s="8" t="s">
        <v>116</v>
      </c>
      <c r="E118" s="10">
        <v>20.399999999999999</v>
      </c>
      <c r="F118" s="8">
        <v>1007.72</v>
      </c>
      <c r="G118" s="1">
        <v>466.02</v>
      </c>
      <c r="H118" s="10">
        <v>91</v>
      </c>
      <c r="I118" s="2">
        <v>465.91</v>
      </c>
      <c r="K118" s="11">
        <v>43381.488194444399</v>
      </c>
      <c r="L118" s="6">
        <f t="shared" si="1"/>
        <v>10.83888888884394</v>
      </c>
    </row>
    <row r="119" spans="1:12" x14ac:dyDescent="0.2">
      <c r="A119" s="1" t="s">
        <v>40</v>
      </c>
      <c r="B119" s="1" t="s">
        <v>55</v>
      </c>
      <c r="C119" s="8" t="s">
        <v>115</v>
      </c>
      <c r="D119" s="8" t="s">
        <v>116</v>
      </c>
      <c r="E119" s="10">
        <v>20.399999999999999</v>
      </c>
      <c r="F119" s="8">
        <v>1007.72</v>
      </c>
      <c r="G119" s="1">
        <v>466.74</v>
      </c>
      <c r="H119" s="10">
        <v>90</v>
      </c>
      <c r="I119" s="2">
        <v>466.63</v>
      </c>
      <c r="K119" s="11">
        <v>43381.488194444399</v>
      </c>
      <c r="L119" s="6">
        <f t="shared" si="1"/>
        <v>10.83888888884394</v>
      </c>
    </row>
    <row r="120" spans="1:12" x14ac:dyDescent="0.2">
      <c r="A120" s="1" t="s">
        <v>40</v>
      </c>
      <c r="B120" s="1" t="s">
        <v>56</v>
      </c>
      <c r="C120" s="8" t="s">
        <v>115</v>
      </c>
      <c r="D120" s="8" t="s">
        <v>116</v>
      </c>
      <c r="E120" s="10">
        <v>20.399999999999999</v>
      </c>
      <c r="F120" s="8">
        <v>1007.72</v>
      </c>
      <c r="G120" s="1">
        <v>468.78</v>
      </c>
      <c r="H120" s="10">
        <v>88</v>
      </c>
      <c r="I120" s="2">
        <v>468.68</v>
      </c>
      <c r="K120" s="11">
        <v>43381.488194444399</v>
      </c>
      <c r="L120" s="6">
        <f t="shared" si="1"/>
        <v>10.83888888884394</v>
      </c>
    </row>
    <row r="121" spans="1:12" x14ac:dyDescent="0.2">
      <c r="A121" s="1" t="s">
        <v>40</v>
      </c>
      <c r="B121" s="1" t="s">
        <v>46</v>
      </c>
      <c r="C121" s="8" t="s">
        <v>115</v>
      </c>
      <c r="D121" s="8" t="s">
        <v>116</v>
      </c>
      <c r="E121" s="10">
        <v>20.399999999999999</v>
      </c>
      <c r="F121" s="8">
        <v>1007.72</v>
      </c>
      <c r="G121" s="1">
        <v>469.09</v>
      </c>
      <c r="H121" s="10">
        <f>146+39</f>
        <v>185</v>
      </c>
      <c r="I121" s="2">
        <v>468.86</v>
      </c>
      <c r="K121" s="11">
        <v>43381.488194444399</v>
      </c>
      <c r="L121" s="6">
        <f t="shared" si="1"/>
        <v>10.83888888884394</v>
      </c>
    </row>
    <row r="122" spans="1:12" x14ac:dyDescent="0.2">
      <c r="A122" s="1" t="s">
        <v>40</v>
      </c>
      <c r="B122" s="1" t="s">
        <v>50</v>
      </c>
      <c r="C122" s="8" t="s">
        <v>115</v>
      </c>
      <c r="D122" s="8" t="s">
        <v>116</v>
      </c>
      <c r="E122" s="10">
        <v>20.399999999999999</v>
      </c>
      <c r="F122" s="8">
        <v>1007.72</v>
      </c>
      <c r="G122" s="1">
        <v>470.05</v>
      </c>
      <c r="H122" s="10">
        <f>149+33</f>
        <v>182</v>
      </c>
      <c r="I122" s="2">
        <v>469.82</v>
      </c>
      <c r="K122" s="11">
        <v>43381.488194444399</v>
      </c>
      <c r="L122" s="6">
        <f t="shared" si="1"/>
        <v>10.83888888884394</v>
      </c>
    </row>
    <row r="123" spans="1:12" x14ac:dyDescent="0.2">
      <c r="A123" s="1" t="s">
        <v>40</v>
      </c>
      <c r="B123" s="1" t="s">
        <v>51</v>
      </c>
      <c r="C123" s="8" t="s">
        <v>115</v>
      </c>
      <c r="D123" s="8" t="s">
        <v>116</v>
      </c>
      <c r="E123" s="10">
        <v>20.399999999999999</v>
      </c>
      <c r="F123" s="8">
        <v>1007.72</v>
      </c>
      <c r="G123" s="1">
        <v>470.47</v>
      </c>
      <c r="H123" s="10">
        <f>150+31</f>
        <v>181</v>
      </c>
      <c r="I123" s="2">
        <v>470.26</v>
      </c>
      <c r="K123" s="11">
        <v>43381.488194444399</v>
      </c>
      <c r="L123" s="6">
        <f t="shared" si="1"/>
        <v>10.83888888884394</v>
      </c>
    </row>
    <row r="124" spans="1:12" x14ac:dyDescent="0.2">
      <c r="A124" s="1" t="s">
        <v>40</v>
      </c>
      <c r="B124" s="1" t="s">
        <v>41</v>
      </c>
      <c r="C124" s="8" t="s">
        <v>115</v>
      </c>
      <c r="D124" s="8" t="s">
        <v>116</v>
      </c>
      <c r="E124" s="10">
        <v>20.399999999999999</v>
      </c>
      <c r="F124" s="8">
        <v>1007.72</v>
      </c>
      <c r="G124" s="1">
        <v>466.78</v>
      </c>
      <c r="H124" s="10">
        <v>122</v>
      </c>
      <c r="I124" s="2">
        <v>466.67</v>
      </c>
      <c r="K124" s="11">
        <v>43381.488194444399</v>
      </c>
      <c r="L124" s="6">
        <f t="shared" si="1"/>
        <v>10.83888888884394</v>
      </c>
    </row>
    <row r="125" spans="1:12" x14ac:dyDescent="0.2">
      <c r="A125" s="1" t="s">
        <v>40</v>
      </c>
      <c r="B125" s="1" t="s">
        <v>44</v>
      </c>
      <c r="C125" s="8" t="s">
        <v>115</v>
      </c>
      <c r="D125" s="8" t="s">
        <v>116</v>
      </c>
      <c r="E125" s="10">
        <v>20.399999999999999</v>
      </c>
      <c r="F125" s="8">
        <v>1007.72</v>
      </c>
      <c r="G125" s="1">
        <v>470.18</v>
      </c>
      <c r="H125" s="10">
        <v>107</v>
      </c>
      <c r="I125" s="2">
        <v>470.06</v>
      </c>
      <c r="K125" s="11">
        <v>43381.488194444399</v>
      </c>
      <c r="L125" s="6">
        <f t="shared" si="1"/>
        <v>10.83888888884394</v>
      </c>
    </row>
    <row r="126" spans="1:12" x14ac:dyDescent="0.2">
      <c r="A126" s="1" t="s">
        <v>40</v>
      </c>
      <c r="B126" s="1" t="s">
        <v>45</v>
      </c>
      <c r="C126" s="8" t="s">
        <v>115</v>
      </c>
      <c r="D126" s="8" t="s">
        <v>116</v>
      </c>
      <c r="E126" s="10">
        <v>20.399999999999999</v>
      </c>
      <c r="F126" s="8">
        <v>1007.72</v>
      </c>
      <c r="G126" s="1">
        <v>466.53</v>
      </c>
      <c r="H126" s="10">
        <v>102</v>
      </c>
      <c r="I126" s="2">
        <v>466.42</v>
      </c>
      <c r="K126" s="11">
        <v>43381.488194444399</v>
      </c>
      <c r="L126" s="6">
        <f t="shared" si="1"/>
        <v>10.83888888884394</v>
      </c>
    </row>
    <row r="127" spans="1:12" x14ac:dyDescent="0.2">
      <c r="A127" s="1" t="s">
        <v>40</v>
      </c>
      <c r="B127" s="1" t="s">
        <v>63</v>
      </c>
      <c r="C127" s="8" t="s">
        <v>117</v>
      </c>
      <c r="D127" s="8" t="s">
        <v>118</v>
      </c>
      <c r="E127" s="10">
        <v>20.5</v>
      </c>
      <c r="F127" s="8">
        <v>1009.19</v>
      </c>
      <c r="G127" s="1">
        <v>487.64</v>
      </c>
      <c r="I127" s="2">
        <v>487.64</v>
      </c>
      <c r="K127" s="11">
        <v>43384.5090277778</v>
      </c>
      <c r="L127" s="6">
        <f t="shared" si="1"/>
        <v>13.859722222245182</v>
      </c>
    </row>
    <row r="128" spans="1:12" x14ac:dyDescent="0.2">
      <c r="A128" s="1" t="s">
        <v>40</v>
      </c>
      <c r="B128" s="1" t="s">
        <v>41</v>
      </c>
      <c r="C128" s="8" t="s">
        <v>117</v>
      </c>
      <c r="D128" s="8" t="s">
        <v>118</v>
      </c>
      <c r="E128" s="10">
        <v>20.5</v>
      </c>
      <c r="F128" s="8">
        <v>1009.19</v>
      </c>
      <c r="G128" s="1">
        <v>466.67</v>
      </c>
      <c r="H128" s="10">
        <v>69</v>
      </c>
      <c r="I128" s="2">
        <v>466.58</v>
      </c>
      <c r="K128" s="11">
        <v>43384.509722222203</v>
      </c>
      <c r="L128" s="6">
        <f t="shared" si="1"/>
        <v>13.860416666648234</v>
      </c>
    </row>
    <row r="129" spans="1:12" x14ac:dyDescent="0.2">
      <c r="A129" s="1" t="s">
        <v>40</v>
      </c>
      <c r="B129" s="1" t="s">
        <v>44</v>
      </c>
      <c r="C129" s="8" t="s">
        <v>117</v>
      </c>
      <c r="D129" s="8" t="s">
        <v>118</v>
      </c>
      <c r="E129" s="10">
        <v>20.5</v>
      </c>
      <c r="F129" s="8">
        <v>1009.19</v>
      </c>
      <c r="G129" s="1">
        <v>470.06</v>
      </c>
      <c r="H129" s="10">
        <v>79</v>
      </c>
      <c r="I129" s="2">
        <v>469.99</v>
      </c>
      <c r="K129" s="11">
        <v>43384.510416666701</v>
      </c>
      <c r="L129" s="6">
        <f t="shared" si="1"/>
        <v>13.861111111145874</v>
      </c>
    </row>
    <row r="130" spans="1:12" x14ac:dyDescent="0.2">
      <c r="A130" s="1" t="s">
        <v>40</v>
      </c>
      <c r="B130" s="1" t="s">
        <v>45</v>
      </c>
      <c r="C130" s="8" t="s">
        <v>117</v>
      </c>
      <c r="D130" s="8" t="s">
        <v>118</v>
      </c>
      <c r="E130" s="10">
        <v>20.5</v>
      </c>
      <c r="F130" s="8">
        <v>1009.19</v>
      </c>
      <c r="G130" s="1">
        <v>466.43</v>
      </c>
      <c r="H130" s="10">
        <v>75</v>
      </c>
      <c r="I130" s="2">
        <v>466.34</v>
      </c>
      <c r="K130" s="11">
        <v>43384.511111111096</v>
      </c>
      <c r="L130" s="6">
        <f t="shared" si="1"/>
        <v>13.86180555554165</v>
      </c>
    </row>
    <row r="131" spans="1:12" x14ac:dyDescent="0.2">
      <c r="A131" s="1" t="s">
        <v>40</v>
      </c>
      <c r="B131" s="1" t="s">
        <v>46</v>
      </c>
      <c r="C131" s="8" t="s">
        <v>117</v>
      </c>
      <c r="D131" s="8" t="s">
        <v>118</v>
      </c>
      <c r="E131" s="10">
        <v>20.5</v>
      </c>
      <c r="F131" s="8">
        <v>1009.19</v>
      </c>
      <c r="G131" s="1">
        <v>468.87</v>
      </c>
      <c r="H131" s="10">
        <f>145+76</f>
        <v>221</v>
      </c>
      <c r="I131" s="2">
        <v>468.59</v>
      </c>
      <c r="K131" s="11">
        <v>43384.511805555601</v>
      </c>
      <c r="L131" s="6">
        <f t="shared" ref="L131:L194" si="2">K131-K$3</f>
        <v>13.862500000046566</v>
      </c>
    </row>
    <row r="132" spans="1:12" x14ac:dyDescent="0.2">
      <c r="A132" s="1" t="s">
        <v>40</v>
      </c>
      <c r="B132" s="1" t="s">
        <v>50</v>
      </c>
      <c r="C132" s="8" t="s">
        <v>117</v>
      </c>
      <c r="D132" s="8" t="s">
        <v>118</v>
      </c>
      <c r="E132" s="10">
        <v>20.5</v>
      </c>
      <c r="F132" s="8">
        <v>1009.19</v>
      </c>
      <c r="G132" s="1">
        <v>469.82</v>
      </c>
      <c r="H132" s="10">
        <f>146+78</f>
        <v>224</v>
      </c>
      <c r="I132" s="2">
        <v>469.55</v>
      </c>
      <c r="K132" s="11">
        <v>43384.512499999997</v>
      </c>
      <c r="L132" s="6">
        <f t="shared" si="2"/>
        <v>13.863194444442343</v>
      </c>
    </row>
    <row r="133" spans="1:12" x14ac:dyDescent="0.2">
      <c r="A133" s="1" t="s">
        <v>40</v>
      </c>
      <c r="B133" s="1" t="s">
        <v>51</v>
      </c>
      <c r="C133" s="8" t="s">
        <v>117</v>
      </c>
      <c r="D133" s="8" t="s">
        <v>118</v>
      </c>
      <c r="E133" s="10">
        <v>20.5</v>
      </c>
      <c r="F133" s="8">
        <v>1009.19</v>
      </c>
      <c r="G133" s="1">
        <v>470.26</v>
      </c>
      <c r="H133" s="10">
        <f>145+85</f>
        <v>230</v>
      </c>
      <c r="I133" s="2">
        <v>469.99</v>
      </c>
      <c r="K133" s="11">
        <v>43384.5131944444</v>
      </c>
      <c r="L133" s="6">
        <f t="shared" si="2"/>
        <v>13.863888888845395</v>
      </c>
    </row>
    <row r="134" spans="1:12" x14ac:dyDescent="0.2">
      <c r="A134" s="1" t="s">
        <v>40</v>
      </c>
      <c r="B134" s="1" t="s">
        <v>57</v>
      </c>
      <c r="C134" s="8" t="s">
        <v>117</v>
      </c>
      <c r="D134" s="8" t="s">
        <v>118</v>
      </c>
      <c r="E134" s="10">
        <v>20.5</v>
      </c>
      <c r="F134" s="8">
        <v>1009.19</v>
      </c>
      <c r="G134" s="1">
        <v>728.88</v>
      </c>
      <c r="H134" s="10">
        <f>55+21</f>
        <v>76</v>
      </c>
      <c r="I134" s="2">
        <v>728.77</v>
      </c>
      <c r="K134" s="11">
        <v>43384.513888888898</v>
      </c>
      <c r="L134" s="6">
        <f t="shared" si="2"/>
        <v>13.864583333343035</v>
      </c>
    </row>
    <row r="135" spans="1:12" x14ac:dyDescent="0.2">
      <c r="A135" s="1" t="s">
        <v>40</v>
      </c>
      <c r="B135" s="1" t="s">
        <v>60</v>
      </c>
      <c r="C135" s="8" t="s">
        <v>117</v>
      </c>
      <c r="D135" s="8" t="s">
        <v>118</v>
      </c>
      <c r="E135" s="10">
        <v>20.5</v>
      </c>
      <c r="F135" s="8">
        <v>1009.19</v>
      </c>
      <c r="G135" s="1">
        <v>721.43</v>
      </c>
      <c r="H135" s="10">
        <f>55+33</f>
        <v>88</v>
      </c>
      <c r="I135" s="2">
        <v>721.33</v>
      </c>
      <c r="K135" s="11">
        <v>43384.514583333301</v>
      </c>
      <c r="L135" s="6">
        <f t="shared" si="2"/>
        <v>13.865277777746087</v>
      </c>
    </row>
    <row r="136" spans="1:12" x14ac:dyDescent="0.2">
      <c r="A136" s="1" t="s">
        <v>40</v>
      </c>
      <c r="B136" s="1" t="s">
        <v>61</v>
      </c>
      <c r="C136" s="8" t="s">
        <v>117</v>
      </c>
      <c r="D136" s="8" t="s">
        <v>118</v>
      </c>
      <c r="E136" s="10">
        <v>20.5</v>
      </c>
      <c r="F136" s="8">
        <v>1009.19</v>
      </c>
      <c r="G136" s="1">
        <v>739.87</v>
      </c>
      <c r="H136" s="10">
        <f>56+30</f>
        <v>86</v>
      </c>
      <c r="I136" s="2">
        <v>739.78</v>
      </c>
      <c r="K136" s="11">
        <v>43384.515277777798</v>
      </c>
      <c r="L136" s="6">
        <f t="shared" si="2"/>
        <v>13.865972222243727</v>
      </c>
    </row>
    <row r="137" spans="1:12" x14ac:dyDescent="0.2">
      <c r="A137" s="1" t="s">
        <v>40</v>
      </c>
      <c r="B137" s="1" t="s">
        <v>62</v>
      </c>
      <c r="C137" s="8" t="s">
        <v>117</v>
      </c>
      <c r="D137" s="8" t="s">
        <v>118</v>
      </c>
      <c r="E137" s="10">
        <v>20.5</v>
      </c>
      <c r="F137" s="8">
        <v>1009.19</v>
      </c>
      <c r="G137" s="1">
        <v>723.14</v>
      </c>
      <c r="H137" s="10">
        <f>54+25</f>
        <v>79</v>
      </c>
      <c r="I137" s="2">
        <v>723.06</v>
      </c>
      <c r="K137" s="11">
        <v>43384.515972222202</v>
      </c>
      <c r="L137" s="6">
        <f t="shared" si="2"/>
        <v>13.866666666646779</v>
      </c>
    </row>
    <row r="138" spans="1:12" x14ac:dyDescent="0.2">
      <c r="A138" s="1" t="s">
        <v>40</v>
      </c>
      <c r="B138" s="1" t="s">
        <v>52</v>
      </c>
      <c r="C138" s="8" t="s">
        <v>117</v>
      </c>
      <c r="D138" s="8" t="s">
        <v>118</v>
      </c>
      <c r="E138" s="10">
        <v>20.5</v>
      </c>
      <c r="F138" s="8">
        <v>1009.19</v>
      </c>
      <c r="G138" s="1">
        <v>465.91</v>
      </c>
      <c r="H138" s="10">
        <v>60</v>
      </c>
      <c r="I138" s="2">
        <v>465.85</v>
      </c>
      <c r="K138" s="11">
        <v>43384.516666666699</v>
      </c>
      <c r="L138" s="6">
        <f t="shared" si="2"/>
        <v>13.867361111144419</v>
      </c>
    </row>
    <row r="139" spans="1:12" x14ac:dyDescent="0.2">
      <c r="A139" s="1" t="s">
        <v>40</v>
      </c>
      <c r="B139" s="1" t="s">
        <v>55</v>
      </c>
      <c r="C139" s="8" t="s">
        <v>117</v>
      </c>
      <c r="D139" s="8" t="s">
        <v>118</v>
      </c>
      <c r="E139" s="10">
        <v>20.5</v>
      </c>
      <c r="F139" s="8">
        <v>1009.19</v>
      </c>
      <c r="G139" s="1">
        <v>466.63</v>
      </c>
      <c r="H139" s="10">
        <v>59</v>
      </c>
      <c r="I139" s="2">
        <v>466.56</v>
      </c>
      <c r="K139" s="11">
        <v>43384.517361111102</v>
      </c>
      <c r="L139" s="6">
        <f t="shared" si="2"/>
        <v>13.868055555547471</v>
      </c>
    </row>
    <row r="140" spans="1:12" x14ac:dyDescent="0.2">
      <c r="A140" s="1" t="s">
        <v>40</v>
      </c>
      <c r="B140" s="1" t="s">
        <v>56</v>
      </c>
      <c r="C140" s="8" t="s">
        <v>117</v>
      </c>
      <c r="D140" s="8" t="s">
        <v>118</v>
      </c>
      <c r="E140" s="10">
        <v>20.5</v>
      </c>
      <c r="F140" s="8">
        <v>1009.19</v>
      </c>
      <c r="G140" s="1">
        <v>468.68</v>
      </c>
      <c r="H140" s="10">
        <v>59</v>
      </c>
      <c r="I140" s="2">
        <v>468.6</v>
      </c>
      <c r="K140" s="11">
        <v>43384.5180555556</v>
      </c>
      <c r="L140" s="6">
        <f t="shared" si="2"/>
        <v>13.868750000045111</v>
      </c>
    </row>
    <row r="141" spans="1:12" x14ac:dyDescent="0.2">
      <c r="A141" s="1" t="s">
        <v>40</v>
      </c>
      <c r="B141" s="1" t="s">
        <v>63</v>
      </c>
      <c r="C141" s="8" t="s">
        <v>119</v>
      </c>
      <c r="D141" s="8" t="s">
        <v>120</v>
      </c>
      <c r="E141" s="10">
        <v>20.100000000000001</v>
      </c>
      <c r="F141" s="8">
        <v>1006.09</v>
      </c>
      <c r="G141" s="1">
        <v>487.63</v>
      </c>
      <c r="I141" s="2">
        <v>487.64</v>
      </c>
      <c r="K141" s="11">
        <v>43388.890277777798</v>
      </c>
      <c r="L141" s="6">
        <f t="shared" si="2"/>
        <v>18.240972222243727</v>
      </c>
    </row>
    <row r="142" spans="1:12" x14ac:dyDescent="0.2">
      <c r="A142" s="1" t="s">
        <v>40</v>
      </c>
      <c r="B142" s="1" t="s">
        <v>52</v>
      </c>
      <c r="C142" s="8" t="s">
        <v>119</v>
      </c>
      <c r="D142" s="8" t="s">
        <v>120</v>
      </c>
      <c r="E142" s="10">
        <v>20.100000000000001</v>
      </c>
      <c r="F142" s="8">
        <v>1006.09</v>
      </c>
      <c r="G142" s="1">
        <v>465.83</v>
      </c>
      <c r="H142" s="10">
        <v>52</v>
      </c>
      <c r="I142" s="2">
        <v>465.78</v>
      </c>
      <c r="K142" s="11">
        <v>43388.890277777798</v>
      </c>
      <c r="L142" s="6">
        <f t="shared" si="2"/>
        <v>18.240972222243727</v>
      </c>
    </row>
    <row r="143" spans="1:12" x14ac:dyDescent="0.2">
      <c r="A143" s="1" t="s">
        <v>40</v>
      </c>
      <c r="B143" s="1" t="s">
        <v>55</v>
      </c>
      <c r="C143" s="8" t="s">
        <v>119</v>
      </c>
      <c r="D143" s="8" t="s">
        <v>120</v>
      </c>
      <c r="E143" s="10">
        <v>20.100000000000001</v>
      </c>
      <c r="F143" s="8">
        <v>1006.09</v>
      </c>
      <c r="G143" s="1">
        <v>466.57</v>
      </c>
      <c r="H143" s="10">
        <v>55</v>
      </c>
      <c r="I143" s="2">
        <v>466.49</v>
      </c>
      <c r="K143" s="11">
        <v>43388.890277777798</v>
      </c>
      <c r="L143" s="6">
        <f t="shared" si="2"/>
        <v>18.240972222243727</v>
      </c>
    </row>
    <row r="144" spans="1:12" x14ac:dyDescent="0.2">
      <c r="A144" s="1" t="s">
        <v>40</v>
      </c>
      <c r="B144" s="1" t="s">
        <v>56</v>
      </c>
      <c r="C144" s="8" t="s">
        <v>119</v>
      </c>
      <c r="D144" s="8" t="s">
        <v>120</v>
      </c>
      <c r="E144" s="10">
        <v>20.100000000000001</v>
      </c>
      <c r="F144" s="8">
        <v>1006.09</v>
      </c>
      <c r="G144" s="1">
        <v>468.59</v>
      </c>
      <c r="H144" s="10">
        <v>55</v>
      </c>
      <c r="I144" s="2">
        <v>468.54</v>
      </c>
      <c r="K144" s="11">
        <v>43388.890277777798</v>
      </c>
      <c r="L144" s="6">
        <f t="shared" si="2"/>
        <v>18.240972222243727</v>
      </c>
    </row>
    <row r="145" spans="1:12" x14ac:dyDescent="0.2">
      <c r="A145" s="1" t="s">
        <v>40</v>
      </c>
      <c r="B145" s="1" t="s">
        <v>57</v>
      </c>
      <c r="C145" s="8" t="s">
        <v>119</v>
      </c>
      <c r="D145" s="8" t="s">
        <v>120</v>
      </c>
      <c r="E145" s="10">
        <v>20.100000000000001</v>
      </c>
      <c r="F145" s="8">
        <v>1006.09</v>
      </c>
      <c r="G145" s="1">
        <v>728.76</v>
      </c>
      <c r="H145" s="10">
        <v>104</v>
      </c>
      <c r="I145" s="2">
        <v>728.65</v>
      </c>
      <c r="K145" s="11">
        <v>43388.890277777798</v>
      </c>
      <c r="L145" s="6">
        <f t="shared" si="2"/>
        <v>18.240972222243727</v>
      </c>
    </row>
    <row r="146" spans="1:12" x14ac:dyDescent="0.2">
      <c r="A146" s="1" t="s">
        <v>40</v>
      </c>
      <c r="B146" s="1" t="s">
        <v>60</v>
      </c>
      <c r="C146" s="8" t="s">
        <v>119</v>
      </c>
      <c r="D146" s="8" t="s">
        <v>120</v>
      </c>
      <c r="E146" s="10">
        <v>20.100000000000001</v>
      </c>
      <c r="F146" s="8">
        <v>1006.09</v>
      </c>
      <c r="G146" s="1">
        <v>721.32</v>
      </c>
      <c r="H146" s="10">
        <v>105</v>
      </c>
      <c r="I146" s="2">
        <v>721.21</v>
      </c>
      <c r="K146" s="11">
        <v>43388.890277777798</v>
      </c>
      <c r="L146" s="6">
        <f t="shared" si="2"/>
        <v>18.240972222243727</v>
      </c>
    </row>
    <row r="147" spans="1:12" x14ac:dyDescent="0.2">
      <c r="A147" s="1" t="s">
        <v>40</v>
      </c>
      <c r="B147" s="1" t="s">
        <v>61</v>
      </c>
      <c r="C147" s="8" t="s">
        <v>119</v>
      </c>
      <c r="D147" s="8" t="s">
        <v>120</v>
      </c>
      <c r="E147" s="10">
        <v>20.100000000000001</v>
      </c>
      <c r="F147" s="8">
        <v>1006.09</v>
      </c>
      <c r="G147" s="1">
        <v>739.76</v>
      </c>
      <c r="H147" s="10">
        <v>105</v>
      </c>
      <c r="I147" s="2">
        <v>739.65</v>
      </c>
      <c r="K147" s="11">
        <v>43388.890277777798</v>
      </c>
      <c r="L147" s="6">
        <f t="shared" si="2"/>
        <v>18.240972222243727</v>
      </c>
    </row>
    <row r="148" spans="1:12" x14ac:dyDescent="0.2">
      <c r="A148" s="1" t="s">
        <v>40</v>
      </c>
      <c r="B148" s="1" t="s">
        <v>62</v>
      </c>
      <c r="C148" s="8" t="s">
        <v>119</v>
      </c>
      <c r="D148" s="8" t="s">
        <v>120</v>
      </c>
      <c r="E148" s="10">
        <v>20.100000000000001</v>
      </c>
      <c r="F148" s="8">
        <v>1006.09</v>
      </c>
      <c r="G148" s="1">
        <v>723.02</v>
      </c>
      <c r="H148" s="10">
        <v>101</v>
      </c>
      <c r="I148" s="2">
        <v>722.92</v>
      </c>
      <c r="K148" s="11">
        <v>43388.890277777798</v>
      </c>
      <c r="L148" s="6">
        <f t="shared" si="2"/>
        <v>18.240972222243727</v>
      </c>
    </row>
    <row r="149" spans="1:12" x14ac:dyDescent="0.2">
      <c r="A149" s="1" t="s">
        <v>40</v>
      </c>
      <c r="B149" s="1" t="s">
        <v>46</v>
      </c>
      <c r="C149" s="8" t="s">
        <v>119</v>
      </c>
      <c r="D149" s="8" t="s">
        <v>120</v>
      </c>
      <c r="E149" s="10">
        <v>20.100000000000001</v>
      </c>
      <c r="F149" s="8">
        <v>1006.09</v>
      </c>
      <c r="G149" s="1">
        <v>468.58</v>
      </c>
      <c r="H149" s="10">
        <f>150+50</f>
        <v>200</v>
      </c>
      <c r="I149" s="2">
        <v>468.34</v>
      </c>
      <c r="K149" s="11">
        <v>43388.890277777798</v>
      </c>
      <c r="L149" s="6">
        <f t="shared" si="2"/>
        <v>18.240972222243727</v>
      </c>
    </row>
    <row r="150" spans="1:12" x14ac:dyDescent="0.2">
      <c r="A150" s="1" t="s">
        <v>40</v>
      </c>
      <c r="B150" s="1" t="s">
        <v>50</v>
      </c>
      <c r="C150" s="8" t="s">
        <v>119</v>
      </c>
      <c r="D150" s="8" t="s">
        <v>120</v>
      </c>
      <c r="E150" s="10">
        <v>20.100000000000001</v>
      </c>
      <c r="F150" s="8">
        <v>1006.09</v>
      </c>
      <c r="G150" s="1">
        <v>469.54</v>
      </c>
      <c r="H150" s="10">
        <f>148+50</f>
        <v>198</v>
      </c>
      <c r="I150" s="2">
        <v>469.32</v>
      </c>
      <c r="K150" s="11">
        <v>43388.890277777798</v>
      </c>
      <c r="L150" s="6">
        <f t="shared" si="2"/>
        <v>18.240972222243727</v>
      </c>
    </row>
    <row r="151" spans="1:12" x14ac:dyDescent="0.2">
      <c r="A151" s="1" t="s">
        <v>40</v>
      </c>
      <c r="B151" s="1" t="s">
        <v>51</v>
      </c>
      <c r="C151" s="8" t="s">
        <v>119</v>
      </c>
      <c r="D151" s="8" t="s">
        <v>120</v>
      </c>
      <c r="E151" s="10">
        <v>20.100000000000001</v>
      </c>
      <c r="F151" s="8">
        <v>1006.09</v>
      </c>
      <c r="G151" s="1">
        <v>469.98</v>
      </c>
      <c r="H151" s="10">
        <f>150+43</f>
        <v>193</v>
      </c>
      <c r="I151" s="2">
        <v>469.74</v>
      </c>
      <c r="K151" s="11">
        <v>43388.890277777798</v>
      </c>
      <c r="L151" s="6">
        <f t="shared" si="2"/>
        <v>18.240972222243727</v>
      </c>
    </row>
    <row r="152" spans="1:12" x14ac:dyDescent="0.2">
      <c r="A152" s="1" t="s">
        <v>40</v>
      </c>
      <c r="B152" s="1" t="s">
        <v>41</v>
      </c>
      <c r="C152" s="8" t="s">
        <v>119</v>
      </c>
      <c r="D152" s="8" t="s">
        <v>120</v>
      </c>
      <c r="E152" s="10">
        <v>20.100000000000001</v>
      </c>
      <c r="F152" s="8">
        <v>1006.09</v>
      </c>
      <c r="G152" s="1">
        <v>466.56</v>
      </c>
      <c r="H152" s="10">
        <v>60</v>
      </c>
      <c r="I152" s="2">
        <v>466.5</v>
      </c>
      <c r="K152" s="11">
        <v>43388.890277777798</v>
      </c>
      <c r="L152" s="6">
        <f t="shared" si="2"/>
        <v>18.240972222243727</v>
      </c>
    </row>
    <row r="153" spans="1:12" x14ac:dyDescent="0.2">
      <c r="A153" s="1" t="s">
        <v>40</v>
      </c>
      <c r="B153" s="1" t="s">
        <v>44</v>
      </c>
      <c r="C153" s="8" t="s">
        <v>119</v>
      </c>
      <c r="D153" s="8" t="s">
        <v>120</v>
      </c>
      <c r="E153" s="10">
        <v>20.100000000000001</v>
      </c>
      <c r="F153" s="8">
        <v>1006.09</v>
      </c>
      <c r="G153" s="1">
        <v>469.95</v>
      </c>
      <c r="H153" s="10">
        <v>60</v>
      </c>
      <c r="I153" s="2">
        <v>469.89</v>
      </c>
      <c r="K153" s="11">
        <v>43388.890277777798</v>
      </c>
      <c r="L153" s="6">
        <f t="shared" si="2"/>
        <v>18.240972222243727</v>
      </c>
    </row>
    <row r="154" spans="1:12" x14ac:dyDescent="0.2">
      <c r="A154" s="1" t="s">
        <v>40</v>
      </c>
      <c r="B154" s="1" t="s">
        <v>45</v>
      </c>
      <c r="C154" s="8" t="s">
        <v>119</v>
      </c>
      <c r="D154" s="8" t="s">
        <v>120</v>
      </c>
      <c r="E154" s="10">
        <v>20.100000000000001</v>
      </c>
      <c r="F154" s="8">
        <v>1006.09</v>
      </c>
      <c r="G154" s="1">
        <v>466.33</v>
      </c>
      <c r="H154" s="10">
        <v>59</v>
      </c>
      <c r="I154" s="2">
        <v>466.26</v>
      </c>
      <c r="K154" s="11">
        <v>43388.890277777798</v>
      </c>
      <c r="L154" s="6">
        <f t="shared" si="2"/>
        <v>18.240972222243727</v>
      </c>
    </row>
    <row r="155" spans="1:12" x14ac:dyDescent="0.2">
      <c r="A155" s="1" t="s">
        <v>40</v>
      </c>
      <c r="B155" s="1" t="s">
        <v>63</v>
      </c>
      <c r="C155" s="8" t="s">
        <v>121</v>
      </c>
      <c r="D155" s="8" t="s">
        <v>122</v>
      </c>
      <c r="E155" s="10">
        <v>20.5</v>
      </c>
      <c r="F155" s="8">
        <v>1017.29</v>
      </c>
      <c r="G155" s="1">
        <v>487.64</v>
      </c>
      <c r="I155" s="2">
        <v>487.64</v>
      </c>
      <c r="K155" s="11">
        <v>43392.45</v>
      </c>
      <c r="L155" s="6">
        <f t="shared" si="2"/>
        <v>21.800694444442343</v>
      </c>
    </row>
    <row r="156" spans="1:12" x14ac:dyDescent="0.2">
      <c r="A156" s="1" t="s">
        <v>40</v>
      </c>
      <c r="B156" s="1" t="s">
        <v>52</v>
      </c>
      <c r="C156" s="8" t="s">
        <v>121</v>
      </c>
      <c r="D156" s="8" t="s">
        <v>122</v>
      </c>
      <c r="E156" s="10">
        <v>20.5</v>
      </c>
      <c r="F156" s="8">
        <v>1017.29</v>
      </c>
      <c r="G156" s="1">
        <v>465.78</v>
      </c>
      <c r="H156" s="10">
        <v>32</v>
      </c>
      <c r="I156" s="2">
        <v>465.74</v>
      </c>
      <c r="K156" s="11">
        <v>43392.45</v>
      </c>
      <c r="L156" s="6">
        <f t="shared" si="2"/>
        <v>21.800694444442343</v>
      </c>
    </row>
    <row r="157" spans="1:12" x14ac:dyDescent="0.2">
      <c r="A157" s="1" t="s">
        <v>40</v>
      </c>
      <c r="B157" s="1" t="s">
        <v>55</v>
      </c>
      <c r="C157" s="8" t="s">
        <v>121</v>
      </c>
      <c r="D157" s="8" t="s">
        <v>122</v>
      </c>
      <c r="E157" s="10">
        <v>20.5</v>
      </c>
      <c r="F157" s="8">
        <v>1017.29</v>
      </c>
      <c r="G157" s="1">
        <v>466.49</v>
      </c>
      <c r="H157" s="10">
        <v>33</v>
      </c>
      <c r="I157" s="2">
        <v>466.44</v>
      </c>
      <c r="K157" s="11">
        <v>43392.45</v>
      </c>
      <c r="L157" s="6">
        <f t="shared" si="2"/>
        <v>21.800694444442343</v>
      </c>
    </row>
    <row r="158" spans="1:12" x14ac:dyDescent="0.2">
      <c r="A158" s="1" t="s">
        <v>40</v>
      </c>
      <c r="B158" s="1" t="s">
        <v>56</v>
      </c>
      <c r="C158" s="8" t="s">
        <v>121</v>
      </c>
      <c r="D158" s="8" t="s">
        <v>122</v>
      </c>
      <c r="E158" s="10">
        <v>20.5</v>
      </c>
      <c r="F158" s="8">
        <v>1017.29</v>
      </c>
      <c r="G158" s="1">
        <v>468.54</v>
      </c>
      <c r="H158" s="10">
        <v>40</v>
      </c>
      <c r="I158" s="2">
        <v>468.49</v>
      </c>
      <c r="K158" s="11">
        <v>43392.45</v>
      </c>
      <c r="L158" s="6">
        <f t="shared" si="2"/>
        <v>21.800694444442343</v>
      </c>
    </row>
    <row r="159" spans="1:12" x14ac:dyDescent="0.2">
      <c r="A159" s="1" t="s">
        <v>40</v>
      </c>
      <c r="B159" s="1" t="s">
        <v>57</v>
      </c>
      <c r="C159" s="8" t="s">
        <v>121</v>
      </c>
      <c r="D159" s="8" t="s">
        <v>122</v>
      </c>
      <c r="E159" s="10">
        <v>20.5</v>
      </c>
      <c r="F159" s="8">
        <v>1017.29</v>
      </c>
      <c r="G159" s="1">
        <v>728.66</v>
      </c>
      <c r="H159" s="10">
        <v>82</v>
      </c>
      <c r="I159" s="2">
        <v>728.57</v>
      </c>
      <c r="K159" s="11">
        <v>43392.45</v>
      </c>
      <c r="L159" s="6">
        <f t="shared" si="2"/>
        <v>21.800694444442343</v>
      </c>
    </row>
    <row r="160" spans="1:12" x14ac:dyDescent="0.2">
      <c r="A160" s="1" t="s">
        <v>40</v>
      </c>
      <c r="B160" s="1" t="s">
        <v>60</v>
      </c>
      <c r="C160" s="8" t="s">
        <v>121</v>
      </c>
      <c r="D160" s="8" t="s">
        <v>122</v>
      </c>
      <c r="E160" s="10">
        <v>20.5</v>
      </c>
      <c r="F160" s="8">
        <v>1017.29</v>
      </c>
      <c r="G160" s="1">
        <v>721.21</v>
      </c>
      <c r="H160" s="10">
        <v>88</v>
      </c>
      <c r="I160" s="2">
        <v>721.12</v>
      </c>
      <c r="K160" s="11">
        <v>43392.45</v>
      </c>
      <c r="L160" s="6">
        <f t="shared" si="2"/>
        <v>21.800694444442343</v>
      </c>
    </row>
    <row r="161" spans="1:12" x14ac:dyDescent="0.2">
      <c r="A161" s="1" t="s">
        <v>40</v>
      </c>
      <c r="B161" s="1" t="s">
        <v>61</v>
      </c>
      <c r="C161" s="8" t="s">
        <v>121</v>
      </c>
      <c r="D161" s="8" t="s">
        <v>122</v>
      </c>
      <c r="E161" s="10">
        <v>20.5</v>
      </c>
      <c r="F161" s="8">
        <v>1017.29</v>
      </c>
      <c r="G161" s="1">
        <v>739.67</v>
      </c>
      <c r="H161" s="10">
        <v>86</v>
      </c>
      <c r="I161" s="2">
        <v>739.58</v>
      </c>
      <c r="K161" s="11">
        <v>43392.45</v>
      </c>
      <c r="L161" s="6">
        <f t="shared" si="2"/>
        <v>21.800694444442343</v>
      </c>
    </row>
    <row r="162" spans="1:12" x14ac:dyDescent="0.2">
      <c r="A162" s="1" t="s">
        <v>40</v>
      </c>
      <c r="B162" s="1" t="s">
        <v>62</v>
      </c>
      <c r="C162" s="8" t="s">
        <v>121</v>
      </c>
      <c r="D162" s="8" t="s">
        <v>122</v>
      </c>
      <c r="E162" s="10">
        <v>20.5</v>
      </c>
      <c r="F162" s="8">
        <v>1017.29</v>
      </c>
      <c r="G162" s="1">
        <v>722.94</v>
      </c>
      <c r="H162" s="10">
        <v>79</v>
      </c>
      <c r="I162" s="2">
        <v>722.85</v>
      </c>
      <c r="K162" s="11">
        <v>43392.45</v>
      </c>
      <c r="L162" s="6">
        <f t="shared" si="2"/>
        <v>21.800694444442343</v>
      </c>
    </row>
    <row r="163" spans="1:12" x14ac:dyDescent="0.2">
      <c r="A163" s="1" t="s">
        <v>40</v>
      </c>
      <c r="B163" s="1" t="s">
        <v>41</v>
      </c>
      <c r="C163" s="8" t="s">
        <v>121</v>
      </c>
      <c r="D163" s="8" t="s">
        <v>122</v>
      </c>
      <c r="E163" s="10">
        <v>20.5</v>
      </c>
      <c r="F163" s="8">
        <v>1017.29</v>
      </c>
      <c r="G163" s="1">
        <v>466.49</v>
      </c>
      <c r="H163" s="10">
        <v>53</v>
      </c>
      <c r="I163" s="2">
        <v>466.44</v>
      </c>
      <c r="K163" s="11">
        <v>43392.45</v>
      </c>
      <c r="L163" s="6">
        <f t="shared" si="2"/>
        <v>21.800694444442343</v>
      </c>
    </row>
    <row r="164" spans="1:12" x14ac:dyDescent="0.2">
      <c r="A164" s="1" t="s">
        <v>40</v>
      </c>
      <c r="B164" s="1" t="s">
        <v>44</v>
      </c>
      <c r="C164" s="8" t="s">
        <v>121</v>
      </c>
      <c r="D164" s="8" t="s">
        <v>122</v>
      </c>
      <c r="E164" s="10">
        <v>20.5</v>
      </c>
      <c r="F164" s="8">
        <v>1017.29</v>
      </c>
      <c r="G164" s="1">
        <v>469.89</v>
      </c>
      <c r="H164" s="10">
        <v>52</v>
      </c>
      <c r="I164" s="2">
        <v>469.84</v>
      </c>
      <c r="K164" s="11">
        <v>43392.45</v>
      </c>
      <c r="L164" s="6">
        <f t="shared" si="2"/>
        <v>21.800694444442343</v>
      </c>
    </row>
    <row r="165" spans="1:12" x14ac:dyDescent="0.2">
      <c r="A165" s="1" t="s">
        <v>40</v>
      </c>
      <c r="B165" s="1" t="s">
        <v>45</v>
      </c>
      <c r="C165" s="8" t="s">
        <v>121</v>
      </c>
      <c r="D165" s="8" t="s">
        <v>122</v>
      </c>
      <c r="E165" s="10">
        <v>20.5</v>
      </c>
      <c r="F165" s="8">
        <v>1017.29</v>
      </c>
      <c r="G165" s="1">
        <v>466.27</v>
      </c>
      <c r="H165" s="10">
        <v>46</v>
      </c>
      <c r="I165" s="2">
        <v>466.2</v>
      </c>
      <c r="K165" s="11">
        <v>43392.45</v>
      </c>
      <c r="L165" s="6">
        <f t="shared" si="2"/>
        <v>21.800694444442343</v>
      </c>
    </row>
    <row r="166" spans="1:12" x14ac:dyDescent="0.2">
      <c r="A166" s="1" t="s">
        <v>40</v>
      </c>
      <c r="B166" s="1" t="s">
        <v>46</v>
      </c>
      <c r="C166" s="8" t="s">
        <v>121</v>
      </c>
      <c r="D166" s="8" t="s">
        <v>122</v>
      </c>
      <c r="E166" s="10">
        <v>20.5</v>
      </c>
      <c r="F166" s="8">
        <v>1017.29</v>
      </c>
      <c r="G166" s="1">
        <v>468.35</v>
      </c>
      <c r="H166" s="10">
        <v>107</v>
      </c>
      <c r="I166" s="2">
        <v>468.21</v>
      </c>
      <c r="K166" s="11">
        <v>43392.45</v>
      </c>
      <c r="L166" s="6">
        <f t="shared" si="2"/>
        <v>21.800694444442343</v>
      </c>
    </row>
    <row r="167" spans="1:12" x14ac:dyDescent="0.2">
      <c r="A167" s="1" t="s">
        <v>40</v>
      </c>
      <c r="B167" s="1" t="s">
        <v>50</v>
      </c>
      <c r="C167" s="8" t="s">
        <v>121</v>
      </c>
      <c r="D167" s="8" t="s">
        <v>122</v>
      </c>
      <c r="E167" s="10">
        <v>20.5</v>
      </c>
      <c r="F167" s="8">
        <v>1017.29</v>
      </c>
      <c r="G167" s="1">
        <v>469.3</v>
      </c>
      <c r="H167" s="10">
        <v>108</v>
      </c>
      <c r="I167" s="2">
        <v>469.18</v>
      </c>
      <c r="K167" s="11">
        <v>43392.45</v>
      </c>
      <c r="L167" s="6">
        <f t="shared" si="2"/>
        <v>21.800694444442343</v>
      </c>
    </row>
    <row r="168" spans="1:12" x14ac:dyDescent="0.2">
      <c r="A168" s="1" t="s">
        <v>40</v>
      </c>
      <c r="B168" s="1" t="s">
        <v>51</v>
      </c>
      <c r="C168" s="8" t="s">
        <v>121</v>
      </c>
      <c r="D168" s="8" t="s">
        <v>122</v>
      </c>
      <c r="E168" s="10">
        <v>20.5</v>
      </c>
      <c r="F168" s="8">
        <v>1017.29</v>
      </c>
      <c r="G168" s="1">
        <v>469.74</v>
      </c>
      <c r="H168" s="10">
        <v>117</v>
      </c>
      <c r="I168" s="2">
        <v>469.6</v>
      </c>
      <c r="K168" s="11">
        <v>43392.45</v>
      </c>
      <c r="L168" s="6">
        <f t="shared" si="2"/>
        <v>21.800694444442343</v>
      </c>
    </row>
    <row r="169" spans="1:12" x14ac:dyDescent="0.2">
      <c r="A169" s="1" t="s">
        <v>40</v>
      </c>
      <c r="B169" s="1" t="s">
        <v>63</v>
      </c>
      <c r="C169" s="8" t="s">
        <v>123</v>
      </c>
      <c r="D169" s="8" t="s">
        <v>124</v>
      </c>
      <c r="E169" s="10">
        <v>20.6</v>
      </c>
      <c r="F169" s="8">
        <v>997.15</v>
      </c>
      <c r="G169" s="1">
        <v>487.64</v>
      </c>
      <c r="I169" s="2">
        <v>487.64</v>
      </c>
      <c r="K169" s="11">
        <v>43398.588888888902</v>
      </c>
      <c r="L169" s="6">
        <f t="shared" si="2"/>
        <v>27.9395833333474</v>
      </c>
    </row>
    <row r="170" spans="1:12" x14ac:dyDescent="0.2">
      <c r="A170" s="1" t="s">
        <v>40</v>
      </c>
      <c r="B170" s="1" t="s">
        <v>52</v>
      </c>
      <c r="C170" s="8" t="s">
        <v>123</v>
      </c>
      <c r="D170" s="8" t="s">
        <v>124</v>
      </c>
      <c r="E170" s="10">
        <v>20.6</v>
      </c>
      <c r="F170" s="8">
        <v>997.15</v>
      </c>
      <c r="G170" s="1">
        <v>465.7</v>
      </c>
      <c r="H170" s="10">
        <v>26</v>
      </c>
      <c r="I170" s="2">
        <v>465.67</v>
      </c>
      <c r="K170" s="11">
        <v>43398.588888888902</v>
      </c>
      <c r="L170" s="6">
        <f t="shared" si="2"/>
        <v>27.9395833333474</v>
      </c>
    </row>
    <row r="171" spans="1:12" x14ac:dyDescent="0.2">
      <c r="A171" s="1" t="s">
        <v>40</v>
      </c>
      <c r="B171" s="1" t="s">
        <v>55</v>
      </c>
      <c r="C171" s="8" t="s">
        <v>123</v>
      </c>
      <c r="D171" s="8" t="s">
        <v>124</v>
      </c>
      <c r="E171" s="10">
        <v>20.6</v>
      </c>
      <c r="F171" s="8">
        <v>997.15</v>
      </c>
      <c r="G171" s="1">
        <v>466.41</v>
      </c>
      <c r="H171" s="10">
        <v>21</v>
      </c>
      <c r="I171" s="2">
        <v>466.4</v>
      </c>
      <c r="K171" s="11">
        <v>43398.588888888902</v>
      </c>
      <c r="L171" s="6">
        <f t="shared" si="2"/>
        <v>27.9395833333474</v>
      </c>
    </row>
    <row r="172" spans="1:12" x14ac:dyDescent="0.2">
      <c r="A172" s="1" t="s">
        <v>40</v>
      </c>
      <c r="B172" s="1" t="s">
        <v>56</v>
      </c>
      <c r="C172" s="8" t="s">
        <v>123</v>
      </c>
      <c r="D172" s="8" t="s">
        <v>124</v>
      </c>
      <c r="E172" s="10">
        <v>20.6</v>
      </c>
      <c r="F172" s="8">
        <v>997.15</v>
      </c>
      <c r="G172" s="1">
        <v>468.45</v>
      </c>
      <c r="H172" s="10">
        <v>22</v>
      </c>
      <c r="I172" s="2">
        <v>468.43</v>
      </c>
      <c r="K172" s="11">
        <v>43398.588888888902</v>
      </c>
      <c r="L172" s="6">
        <f t="shared" si="2"/>
        <v>27.9395833333474</v>
      </c>
    </row>
    <row r="173" spans="1:12" x14ac:dyDescent="0.2">
      <c r="A173" s="1" t="s">
        <v>40</v>
      </c>
      <c r="B173" s="1" t="s">
        <v>57</v>
      </c>
      <c r="C173" s="8" t="s">
        <v>123</v>
      </c>
      <c r="D173" s="8" t="s">
        <v>124</v>
      </c>
      <c r="E173" s="10">
        <v>20.6</v>
      </c>
      <c r="F173" s="8">
        <v>997.15</v>
      </c>
      <c r="G173" s="1">
        <v>728.5</v>
      </c>
      <c r="H173" s="10">
        <v>56</v>
      </c>
      <c r="I173" s="2">
        <v>728.44</v>
      </c>
      <c r="K173" s="11">
        <v>43398.588888888902</v>
      </c>
      <c r="L173" s="6">
        <f t="shared" si="2"/>
        <v>27.9395833333474</v>
      </c>
    </row>
    <row r="174" spans="1:12" x14ac:dyDescent="0.2">
      <c r="A174" s="1" t="s">
        <v>40</v>
      </c>
      <c r="B174" s="1" t="s">
        <v>60</v>
      </c>
      <c r="C174" s="8" t="s">
        <v>123</v>
      </c>
      <c r="D174" s="8" t="s">
        <v>124</v>
      </c>
      <c r="E174" s="10">
        <v>20.6</v>
      </c>
      <c r="F174" s="8">
        <v>997.15</v>
      </c>
      <c r="G174" s="1">
        <v>721.04</v>
      </c>
      <c r="H174" s="10">
        <v>58</v>
      </c>
      <c r="I174" s="2">
        <v>720.98</v>
      </c>
      <c r="K174" s="11">
        <v>43398.588888888902</v>
      </c>
      <c r="L174" s="6">
        <f t="shared" si="2"/>
        <v>27.9395833333474</v>
      </c>
    </row>
    <row r="175" spans="1:12" x14ac:dyDescent="0.2">
      <c r="A175" s="1" t="s">
        <v>40</v>
      </c>
      <c r="B175" s="1" t="s">
        <v>61</v>
      </c>
      <c r="C175" s="8" t="s">
        <v>123</v>
      </c>
      <c r="D175" s="8" t="s">
        <v>124</v>
      </c>
      <c r="E175" s="10">
        <v>20.6</v>
      </c>
      <c r="F175" s="8">
        <v>997.15</v>
      </c>
      <c r="G175" s="1">
        <v>739.51</v>
      </c>
      <c r="H175" s="10">
        <v>56</v>
      </c>
      <c r="I175" s="2">
        <v>739.44</v>
      </c>
      <c r="K175" s="11">
        <v>43398.588888888902</v>
      </c>
      <c r="L175" s="6">
        <f t="shared" si="2"/>
        <v>27.9395833333474</v>
      </c>
    </row>
    <row r="176" spans="1:12" x14ac:dyDescent="0.2">
      <c r="A176" s="1" t="s">
        <v>40</v>
      </c>
      <c r="B176" s="1" t="s">
        <v>62</v>
      </c>
      <c r="C176" s="8" t="s">
        <v>123</v>
      </c>
      <c r="D176" s="8" t="s">
        <v>124</v>
      </c>
      <c r="E176" s="10">
        <v>20.6</v>
      </c>
      <c r="F176" s="8">
        <v>997.15</v>
      </c>
      <c r="G176" s="1">
        <v>722.79</v>
      </c>
      <c r="H176" s="10">
        <v>51</v>
      </c>
      <c r="I176" s="2">
        <v>722.74</v>
      </c>
      <c r="K176" s="11">
        <v>43398.588888888902</v>
      </c>
      <c r="L176" s="6">
        <f t="shared" si="2"/>
        <v>27.9395833333474</v>
      </c>
    </row>
    <row r="177" spans="1:12" x14ac:dyDescent="0.2">
      <c r="A177" s="1" t="s">
        <v>40</v>
      </c>
      <c r="B177" s="1" t="s">
        <v>41</v>
      </c>
      <c r="C177" s="8" t="s">
        <v>123</v>
      </c>
      <c r="D177" s="8" t="s">
        <v>124</v>
      </c>
      <c r="E177" s="10">
        <v>20.6</v>
      </c>
      <c r="F177" s="8">
        <v>997.15</v>
      </c>
      <c r="G177" s="1">
        <v>466.4</v>
      </c>
      <c r="H177" s="10">
        <v>34</v>
      </c>
      <c r="I177" s="2">
        <v>466.37</v>
      </c>
      <c r="K177" s="11">
        <v>43398.588888888902</v>
      </c>
      <c r="L177" s="6">
        <f t="shared" si="2"/>
        <v>27.9395833333474</v>
      </c>
    </row>
    <row r="178" spans="1:12" x14ac:dyDescent="0.2">
      <c r="A178" s="1" t="s">
        <v>40</v>
      </c>
      <c r="B178" s="1" t="s">
        <v>44</v>
      </c>
      <c r="C178" s="8" t="s">
        <v>123</v>
      </c>
      <c r="D178" s="8" t="s">
        <v>124</v>
      </c>
      <c r="E178" s="10">
        <v>20.6</v>
      </c>
      <c r="F178" s="8">
        <v>997.15</v>
      </c>
      <c r="G178" s="1">
        <v>469.78</v>
      </c>
      <c r="H178" s="10">
        <v>38</v>
      </c>
      <c r="I178" s="2">
        <v>469.75</v>
      </c>
      <c r="K178" s="11">
        <v>43398.588888888902</v>
      </c>
      <c r="L178" s="6">
        <f t="shared" si="2"/>
        <v>27.9395833333474</v>
      </c>
    </row>
    <row r="179" spans="1:12" x14ac:dyDescent="0.2">
      <c r="A179" s="1" t="s">
        <v>40</v>
      </c>
      <c r="B179" s="1" t="s">
        <v>45</v>
      </c>
      <c r="C179" s="8" t="s">
        <v>123</v>
      </c>
      <c r="D179" s="8" t="s">
        <v>124</v>
      </c>
      <c r="E179" s="10">
        <v>20.6</v>
      </c>
      <c r="F179" s="8">
        <v>997.15</v>
      </c>
      <c r="G179" s="1">
        <v>466.16</v>
      </c>
      <c r="H179" s="10">
        <v>30</v>
      </c>
      <c r="I179" s="2">
        <v>466.14</v>
      </c>
      <c r="K179" s="11">
        <v>43398.588888888902</v>
      </c>
      <c r="L179" s="6">
        <f t="shared" si="2"/>
        <v>27.9395833333474</v>
      </c>
    </row>
    <row r="180" spans="1:12" x14ac:dyDescent="0.2">
      <c r="A180" s="1" t="s">
        <v>40</v>
      </c>
      <c r="B180" s="1" t="s">
        <v>46</v>
      </c>
      <c r="C180" s="8" t="s">
        <v>123</v>
      </c>
      <c r="D180" s="8" t="s">
        <v>124</v>
      </c>
      <c r="E180" s="10">
        <v>20.6</v>
      </c>
      <c r="F180" s="8">
        <v>997.15</v>
      </c>
      <c r="G180" s="1">
        <v>468.14</v>
      </c>
      <c r="H180" s="10">
        <v>60</v>
      </c>
      <c r="I180" s="2">
        <v>468.07</v>
      </c>
      <c r="K180" s="11">
        <v>43398.588888888902</v>
      </c>
      <c r="L180" s="6">
        <f t="shared" si="2"/>
        <v>27.9395833333474</v>
      </c>
    </row>
    <row r="181" spans="1:12" x14ac:dyDescent="0.2">
      <c r="A181" s="1" t="s">
        <v>40</v>
      </c>
      <c r="B181" s="1" t="s">
        <v>50</v>
      </c>
      <c r="C181" s="8" t="s">
        <v>123</v>
      </c>
      <c r="D181" s="8" t="s">
        <v>124</v>
      </c>
      <c r="E181" s="10">
        <v>20.6</v>
      </c>
      <c r="F181" s="8">
        <v>997.15</v>
      </c>
      <c r="G181" s="1">
        <v>469.1</v>
      </c>
      <c r="H181" s="10">
        <v>56</v>
      </c>
      <c r="I181" s="2">
        <v>469.03</v>
      </c>
      <c r="K181" s="11">
        <v>43398.588888888902</v>
      </c>
      <c r="L181" s="6">
        <f t="shared" si="2"/>
        <v>27.9395833333474</v>
      </c>
    </row>
    <row r="182" spans="1:12" x14ac:dyDescent="0.2">
      <c r="A182" s="1" t="s">
        <v>40</v>
      </c>
      <c r="B182" s="1" t="s">
        <v>51</v>
      </c>
      <c r="C182" s="8" t="s">
        <v>123</v>
      </c>
      <c r="D182" s="8" t="s">
        <v>124</v>
      </c>
      <c r="E182" s="10">
        <v>20.6</v>
      </c>
      <c r="F182" s="8">
        <v>997.15</v>
      </c>
      <c r="G182" s="1">
        <v>469.54</v>
      </c>
      <c r="H182" s="10">
        <v>64</v>
      </c>
      <c r="I182" s="2">
        <v>469.46</v>
      </c>
      <c r="K182" s="11">
        <v>43398.588888888902</v>
      </c>
      <c r="L182" s="6">
        <f t="shared" si="2"/>
        <v>27.9395833333474</v>
      </c>
    </row>
    <row r="183" spans="1:12" x14ac:dyDescent="0.2">
      <c r="A183" s="1" t="s">
        <v>40</v>
      </c>
      <c r="B183" s="1" t="s">
        <v>63</v>
      </c>
      <c r="C183" s="8" t="s">
        <v>125</v>
      </c>
      <c r="D183" s="8" t="s">
        <v>126</v>
      </c>
      <c r="E183" s="10">
        <v>20</v>
      </c>
      <c r="F183" s="8">
        <v>1010.42</v>
      </c>
      <c r="G183" s="1">
        <v>487.63</v>
      </c>
      <c r="I183" s="8">
        <v>487.63</v>
      </c>
      <c r="J183"/>
      <c r="K183" s="11">
        <v>43402.406944444498</v>
      </c>
      <c r="L183" s="6">
        <f t="shared" si="2"/>
        <v>31.757638888942893</v>
      </c>
    </row>
    <row r="184" spans="1:12" x14ac:dyDescent="0.2">
      <c r="A184" s="1" t="s">
        <v>40</v>
      </c>
      <c r="B184" s="1" t="s">
        <v>52</v>
      </c>
      <c r="C184" s="8" t="s">
        <v>125</v>
      </c>
      <c r="D184" s="8" t="s">
        <v>126</v>
      </c>
      <c r="E184" s="10">
        <v>20</v>
      </c>
      <c r="F184" s="8">
        <v>1010.42</v>
      </c>
      <c r="G184" s="1">
        <v>465.65</v>
      </c>
      <c r="H184" s="10">
        <v>24</v>
      </c>
      <c r="I184" s="8">
        <v>465.63</v>
      </c>
      <c r="K184" s="11">
        <v>43402.406944444498</v>
      </c>
      <c r="L184" s="6">
        <f t="shared" si="2"/>
        <v>31.757638888942893</v>
      </c>
    </row>
    <row r="185" spans="1:12" x14ac:dyDescent="0.2">
      <c r="A185" s="1" t="s">
        <v>40</v>
      </c>
      <c r="B185" s="1" t="s">
        <v>55</v>
      </c>
      <c r="C185" s="8" t="s">
        <v>125</v>
      </c>
      <c r="D185" s="8" t="s">
        <v>126</v>
      </c>
      <c r="E185" s="10">
        <v>20</v>
      </c>
      <c r="F185" s="8">
        <v>1010.42</v>
      </c>
      <c r="G185" s="1">
        <v>466.38</v>
      </c>
      <c r="H185" s="10">
        <v>26</v>
      </c>
      <c r="I185" s="8">
        <v>466.34</v>
      </c>
      <c r="K185" s="11">
        <v>43402.406944444498</v>
      </c>
      <c r="L185" s="6">
        <f t="shared" si="2"/>
        <v>31.757638888942893</v>
      </c>
    </row>
    <row r="186" spans="1:12" x14ac:dyDescent="0.2">
      <c r="A186" s="1" t="s">
        <v>40</v>
      </c>
      <c r="B186" s="1" t="s">
        <v>56</v>
      </c>
      <c r="C186" s="8" t="s">
        <v>125</v>
      </c>
      <c r="D186" s="8" t="s">
        <v>126</v>
      </c>
      <c r="E186" s="10">
        <v>20</v>
      </c>
      <c r="F186" s="8">
        <v>1010.42</v>
      </c>
      <c r="G186" s="1">
        <v>468.4</v>
      </c>
      <c r="H186" s="10">
        <v>26</v>
      </c>
      <c r="I186" s="8">
        <v>468.38</v>
      </c>
      <c r="K186" s="11">
        <v>43402.406944444498</v>
      </c>
      <c r="L186" s="6">
        <f t="shared" si="2"/>
        <v>31.757638888942893</v>
      </c>
    </row>
    <row r="187" spans="1:12" x14ac:dyDescent="0.2">
      <c r="A187" s="1" t="s">
        <v>40</v>
      </c>
      <c r="B187" s="1" t="s">
        <v>57</v>
      </c>
      <c r="C187" s="8" t="s">
        <v>125</v>
      </c>
      <c r="D187" s="8" t="s">
        <v>126</v>
      </c>
      <c r="E187" s="10">
        <v>20</v>
      </c>
      <c r="F187" s="8">
        <v>1010.42</v>
      </c>
      <c r="G187" s="1">
        <v>728.43</v>
      </c>
      <c r="H187" s="10">
        <v>55</v>
      </c>
      <c r="I187" s="8">
        <v>728.36</v>
      </c>
      <c r="K187" s="11">
        <v>43402.406944444498</v>
      </c>
      <c r="L187" s="6">
        <f t="shared" si="2"/>
        <v>31.757638888942893</v>
      </c>
    </row>
    <row r="188" spans="1:12" x14ac:dyDescent="0.2">
      <c r="A188" s="1" t="s">
        <v>40</v>
      </c>
      <c r="B188" s="1" t="s">
        <v>60</v>
      </c>
      <c r="C188" s="8" t="s">
        <v>125</v>
      </c>
      <c r="D188" s="8" t="s">
        <v>126</v>
      </c>
      <c r="E188" s="10">
        <v>20</v>
      </c>
      <c r="F188" s="8">
        <v>1010.42</v>
      </c>
      <c r="G188" s="1">
        <v>720.96</v>
      </c>
      <c r="H188" s="10">
        <v>57</v>
      </c>
      <c r="I188" s="8">
        <v>720.89</v>
      </c>
      <c r="K188" s="11">
        <v>43402.406944444498</v>
      </c>
      <c r="L188" s="6">
        <f t="shared" si="2"/>
        <v>31.757638888942893</v>
      </c>
    </row>
    <row r="189" spans="1:12" x14ac:dyDescent="0.2">
      <c r="A189" s="1" t="s">
        <v>40</v>
      </c>
      <c r="B189" s="1" t="s">
        <v>61</v>
      </c>
      <c r="C189" s="8" t="s">
        <v>125</v>
      </c>
      <c r="D189" s="8" t="s">
        <v>126</v>
      </c>
      <c r="E189" s="10">
        <v>20</v>
      </c>
      <c r="F189" s="8">
        <v>1010.42</v>
      </c>
      <c r="G189" s="1">
        <v>739.42</v>
      </c>
      <c r="H189" s="10">
        <v>56</v>
      </c>
      <c r="I189" s="8">
        <v>739.36</v>
      </c>
      <c r="K189" s="11">
        <v>43402.406944444498</v>
      </c>
      <c r="L189" s="6">
        <f t="shared" si="2"/>
        <v>31.757638888942893</v>
      </c>
    </row>
    <row r="190" spans="1:12" x14ac:dyDescent="0.2">
      <c r="A190" s="1" t="s">
        <v>40</v>
      </c>
      <c r="B190" s="1" t="s">
        <v>62</v>
      </c>
      <c r="C190" s="8" t="s">
        <v>125</v>
      </c>
      <c r="D190" s="8" t="s">
        <v>126</v>
      </c>
      <c r="E190" s="10">
        <v>20</v>
      </c>
      <c r="F190" s="8">
        <v>1010.42</v>
      </c>
      <c r="G190" s="1">
        <v>722.73</v>
      </c>
      <c r="H190" s="10">
        <v>55</v>
      </c>
      <c r="I190" s="8">
        <v>722.68</v>
      </c>
      <c r="K190" s="11">
        <v>43402.406944444498</v>
      </c>
      <c r="L190" s="6">
        <f t="shared" si="2"/>
        <v>31.757638888942893</v>
      </c>
    </row>
    <row r="191" spans="1:12" x14ac:dyDescent="0.2">
      <c r="A191" s="1" t="s">
        <v>40</v>
      </c>
      <c r="B191" s="1" t="s">
        <v>41</v>
      </c>
      <c r="C191" s="8" t="s">
        <v>125</v>
      </c>
      <c r="D191" s="8" t="s">
        <v>126</v>
      </c>
      <c r="E191" s="10">
        <v>20</v>
      </c>
      <c r="F191" s="8">
        <v>1010.42</v>
      </c>
      <c r="G191" s="1">
        <v>466.34</v>
      </c>
      <c r="H191" s="10">
        <v>27</v>
      </c>
      <c r="I191" s="8">
        <v>466.32</v>
      </c>
      <c r="K191" s="11">
        <v>43402.406944444498</v>
      </c>
      <c r="L191" s="6">
        <f t="shared" si="2"/>
        <v>31.757638888942893</v>
      </c>
    </row>
    <row r="192" spans="1:12" x14ac:dyDescent="0.2">
      <c r="A192" s="1" t="s">
        <v>40</v>
      </c>
      <c r="B192" s="1" t="s">
        <v>44</v>
      </c>
      <c r="C192" s="8" t="s">
        <v>125</v>
      </c>
      <c r="D192" s="8" t="s">
        <v>126</v>
      </c>
      <c r="E192" s="10">
        <v>20</v>
      </c>
      <c r="F192" s="8">
        <v>1010.42</v>
      </c>
      <c r="G192" s="1">
        <v>469.73</v>
      </c>
      <c r="H192" s="10">
        <v>27</v>
      </c>
      <c r="I192" s="8">
        <v>469.7</v>
      </c>
      <c r="K192" s="11">
        <v>43402.406944444498</v>
      </c>
      <c r="L192" s="6">
        <f t="shared" si="2"/>
        <v>31.757638888942893</v>
      </c>
    </row>
    <row r="193" spans="1:12" x14ac:dyDescent="0.2">
      <c r="A193" s="1" t="s">
        <v>40</v>
      </c>
      <c r="B193" s="1" t="s">
        <v>45</v>
      </c>
      <c r="C193" s="8" t="s">
        <v>125</v>
      </c>
      <c r="D193" s="8" t="s">
        <v>126</v>
      </c>
      <c r="E193" s="10">
        <v>20</v>
      </c>
      <c r="F193" s="8">
        <v>1010.42</v>
      </c>
      <c r="G193" s="1">
        <v>466.11</v>
      </c>
      <c r="H193" s="10">
        <v>27</v>
      </c>
      <c r="I193" s="8">
        <v>466.08</v>
      </c>
      <c r="K193" s="11">
        <v>43402.406944444498</v>
      </c>
      <c r="L193" s="6">
        <f t="shared" si="2"/>
        <v>31.757638888942893</v>
      </c>
    </row>
    <row r="194" spans="1:12" x14ac:dyDescent="0.2">
      <c r="A194" s="1" t="s">
        <v>40</v>
      </c>
      <c r="B194" s="1" t="s">
        <v>46</v>
      </c>
      <c r="C194" s="8" t="s">
        <v>125</v>
      </c>
      <c r="D194" s="8" t="s">
        <v>126</v>
      </c>
      <c r="E194" s="10">
        <v>20</v>
      </c>
      <c r="F194" s="8">
        <v>1010.42</v>
      </c>
      <c r="G194" s="1">
        <v>468.04</v>
      </c>
      <c r="H194" s="10">
        <v>46</v>
      </c>
      <c r="I194" s="8">
        <v>467.98</v>
      </c>
      <c r="K194" s="11">
        <v>43402.406944444498</v>
      </c>
      <c r="L194" s="6">
        <f t="shared" si="2"/>
        <v>31.757638888942893</v>
      </c>
    </row>
    <row r="195" spans="1:12" x14ac:dyDescent="0.2">
      <c r="A195" s="1" t="s">
        <v>40</v>
      </c>
      <c r="B195" s="1" t="s">
        <v>50</v>
      </c>
      <c r="C195" s="8" t="s">
        <v>125</v>
      </c>
      <c r="D195" s="8" t="s">
        <v>126</v>
      </c>
      <c r="E195" s="10">
        <v>20</v>
      </c>
      <c r="F195" s="8">
        <v>1010.42</v>
      </c>
      <c r="G195" s="1">
        <v>469.01</v>
      </c>
      <c r="H195" s="10">
        <v>44</v>
      </c>
      <c r="I195" s="8">
        <v>468.97</v>
      </c>
      <c r="K195" s="11">
        <v>43402.406944444498</v>
      </c>
      <c r="L195" s="6">
        <f t="shared" ref="L195:L238" si="3">K195-K$3</f>
        <v>31.757638888942893</v>
      </c>
    </row>
    <row r="196" spans="1:12" x14ac:dyDescent="0.2">
      <c r="A196" s="1" t="s">
        <v>40</v>
      </c>
      <c r="B196" s="1" t="s">
        <v>51</v>
      </c>
      <c r="C196" s="8" t="s">
        <v>125</v>
      </c>
      <c r="D196" s="8" t="s">
        <v>126</v>
      </c>
      <c r="E196" s="10">
        <v>20</v>
      </c>
      <c r="F196" s="8">
        <v>1010.42</v>
      </c>
      <c r="G196" s="1">
        <v>469.44</v>
      </c>
      <c r="H196" s="10">
        <v>45</v>
      </c>
      <c r="I196" s="8">
        <v>469.39</v>
      </c>
      <c r="K196" s="11">
        <v>43402.406944444498</v>
      </c>
      <c r="L196" s="6">
        <f t="shared" si="3"/>
        <v>31.757638888942893</v>
      </c>
    </row>
    <row r="197" spans="1:12" x14ac:dyDescent="0.2">
      <c r="A197" s="1" t="s">
        <v>40</v>
      </c>
      <c r="B197" s="1" t="s">
        <v>63</v>
      </c>
      <c r="C197" s="8" t="s">
        <v>127</v>
      </c>
      <c r="D197" s="8" t="s">
        <v>128</v>
      </c>
      <c r="E197" s="10">
        <v>21.5</v>
      </c>
      <c r="F197" s="8">
        <v>1000</v>
      </c>
      <c r="G197" s="1">
        <v>487.6</v>
      </c>
      <c r="I197" s="8">
        <v>487.62</v>
      </c>
      <c r="J197" s="2" t="s">
        <v>129</v>
      </c>
      <c r="K197" s="11">
        <v>43420.588194444397</v>
      </c>
      <c r="L197" s="6">
        <f t="shared" si="3"/>
        <v>49.938888888842484</v>
      </c>
    </row>
    <row r="198" spans="1:12" x14ac:dyDescent="0.2">
      <c r="A198" s="1" t="s">
        <v>40</v>
      </c>
      <c r="B198" s="1" t="s">
        <v>52</v>
      </c>
      <c r="C198" s="8" t="s">
        <v>127</v>
      </c>
      <c r="D198" s="8" t="s">
        <v>128</v>
      </c>
      <c r="E198" s="10">
        <v>21.5</v>
      </c>
      <c r="F198" s="8">
        <v>1000</v>
      </c>
      <c r="G198" s="1">
        <v>465.58</v>
      </c>
      <c r="H198" s="10">
        <v>71</v>
      </c>
      <c r="I198" s="8">
        <v>465.51</v>
      </c>
      <c r="J198" s="2" t="s">
        <v>130</v>
      </c>
      <c r="K198" s="11">
        <v>43420.588194444397</v>
      </c>
      <c r="L198" s="6">
        <f t="shared" si="3"/>
        <v>49.938888888842484</v>
      </c>
    </row>
    <row r="199" spans="1:12" x14ac:dyDescent="0.2">
      <c r="A199" s="1" t="s">
        <v>40</v>
      </c>
      <c r="B199" s="1" t="s">
        <v>55</v>
      </c>
      <c r="C199" s="8" t="s">
        <v>127</v>
      </c>
      <c r="D199" s="8" t="s">
        <v>128</v>
      </c>
      <c r="E199" s="10">
        <v>21.5</v>
      </c>
      <c r="F199" s="8">
        <v>1000</v>
      </c>
      <c r="G199" s="1">
        <v>466.31</v>
      </c>
      <c r="H199" s="10">
        <v>66</v>
      </c>
      <c r="I199" s="8">
        <v>466.25</v>
      </c>
      <c r="J199" s="2" t="s">
        <v>130</v>
      </c>
      <c r="K199" s="11">
        <v>43420.588194444397</v>
      </c>
      <c r="L199" s="6">
        <f t="shared" si="3"/>
        <v>49.938888888842484</v>
      </c>
    </row>
    <row r="200" spans="1:12" x14ac:dyDescent="0.2">
      <c r="A200" s="1" t="s">
        <v>40</v>
      </c>
      <c r="B200" s="1" t="s">
        <v>56</v>
      </c>
      <c r="C200" s="8" t="s">
        <v>127</v>
      </c>
      <c r="D200" s="8" t="s">
        <v>128</v>
      </c>
      <c r="E200" s="10">
        <v>21.5</v>
      </c>
      <c r="F200" s="8">
        <v>1000</v>
      </c>
      <c r="G200" s="1">
        <v>468.33</v>
      </c>
      <c r="H200" s="10">
        <v>68</v>
      </c>
      <c r="I200" s="8">
        <v>468.25</v>
      </c>
      <c r="J200" s="2" t="s">
        <v>130</v>
      </c>
      <c r="K200" s="11">
        <v>43420.588194444397</v>
      </c>
      <c r="L200" s="6">
        <f t="shared" si="3"/>
        <v>49.938888888842484</v>
      </c>
    </row>
    <row r="201" spans="1:12" x14ac:dyDescent="0.2">
      <c r="A201" s="1" t="s">
        <v>40</v>
      </c>
      <c r="B201" s="1" t="s">
        <v>57</v>
      </c>
      <c r="C201" s="8" t="s">
        <v>127</v>
      </c>
      <c r="D201" s="8" t="s">
        <v>128</v>
      </c>
      <c r="E201" s="10">
        <v>21.5</v>
      </c>
      <c r="F201" s="8">
        <v>1000</v>
      </c>
      <c r="G201" s="1">
        <v>728.28</v>
      </c>
      <c r="H201" s="10">
        <f>148+24</f>
        <v>172</v>
      </c>
      <c r="I201" s="8">
        <v>728.14</v>
      </c>
      <c r="J201" s="2" t="s">
        <v>130</v>
      </c>
      <c r="K201" s="11">
        <v>43420.588194444397</v>
      </c>
      <c r="L201" s="6">
        <f t="shared" si="3"/>
        <v>49.938888888842484</v>
      </c>
    </row>
    <row r="202" spans="1:12" x14ac:dyDescent="0.2">
      <c r="A202" s="1" t="s">
        <v>40</v>
      </c>
      <c r="B202" s="1" t="s">
        <v>60</v>
      </c>
      <c r="C202" s="8" t="s">
        <v>127</v>
      </c>
      <c r="D202" s="8" t="s">
        <v>128</v>
      </c>
      <c r="E202" s="10">
        <v>21.5</v>
      </c>
      <c r="F202" s="8">
        <v>1000</v>
      </c>
      <c r="G202" s="1">
        <v>720.86</v>
      </c>
      <c r="H202" s="10">
        <f>146+27</f>
        <v>173</v>
      </c>
      <c r="I202" s="8">
        <v>720.68</v>
      </c>
      <c r="J202" s="2" t="s">
        <v>130</v>
      </c>
      <c r="K202" s="11">
        <v>43420.588194444397</v>
      </c>
      <c r="L202" s="6">
        <f t="shared" si="3"/>
        <v>49.938888888842484</v>
      </c>
    </row>
    <row r="203" spans="1:12" x14ac:dyDescent="0.2">
      <c r="A203" s="1" t="s">
        <v>40</v>
      </c>
      <c r="B203" s="1" t="s">
        <v>61</v>
      </c>
      <c r="C203" s="8" t="s">
        <v>127</v>
      </c>
      <c r="D203" s="8" t="s">
        <v>128</v>
      </c>
      <c r="E203" s="10">
        <v>21.5</v>
      </c>
      <c r="F203" s="8">
        <v>1000</v>
      </c>
      <c r="G203" s="1">
        <v>739.32</v>
      </c>
      <c r="H203" s="10">
        <v>146.26</v>
      </c>
      <c r="I203" s="8">
        <v>739.16</v>
      </c>
      <c r="J203" s="2" t="s">
        <v>130</v>
      </c>
      <c r="K203" s="11">
        <v>43420.588194444397</v>
      </c>
      <c r="L203" s="6">
        <f t="shared" si="3"/>
        <v>49.938888888842484</v>
      </c>
    </row>
    <row r="204" spans="1:12" x14ac:dyDescent="0.2">
      <c r="A204" s="1" t="s">
        <v>40</v>
      </c>
      <c r="B204" s="1" t="s">
        <v>62</v>
      </c>
      <c r="C204" s="8" t="s">
        <v>127</v>
      </c>
      <c r="D204" s="8" t="s">
        <v>128</v>
      </c>
      <c r="E204" s="10">
        <v>21.5</v>
      </c>
      <c r="F204" s="8">
        <v>1000</v>
      </c>
      <c r="G204" s="1">
        <v>722.62</v>
      </c>
      <c r="H204" s="10">
        <v>160</v>
      </c>
      <c r="I204" s="8">
        <v>722.46</v>
      </c>
      <c r="J204" s="2" t="s">
        <v>130</v>
      </c>
      <c r="K204" s="11">
        <v>43420.588194444397</v>
      </c>
      <c r="L204" s="6">
        <f t="shared" si="3"/>
        <v>49.938888888842484</v>
      </c>
    </row>
    <row r="205" spans="1:12" x14ac:dyDescent="0.2">
      <c r="A205" s="1" t="s">
        <v>40</v>
      </c>
      <c r="B205" s="1" t="s">
        <v>41</v>
      </c>
      <c r="C205" s="8" t="s">
        <v>127</v>
      </c>
      <c r="D205" s="8" t="s">
        <v>128</v>
      </c>
      <c r="E205" s="10">
        <v>21.5</v>
      </c>
      <c r="F205" s="8">
        <v>1000</v>
      </c>
      <c r="G205" s="1">
        <v>466.28</v>
      </c>
      <c r="H205" s="10">
        <v>76</v>
      </c>
      <c r="I205" s="8">
        <v>466.2</v>
      </c>
      <c r="J205" s="2" t="s">
        <v>130</v>
      </c>
      <c r="K205" s="11">
        <v>43420.588194444397</v>
      </c>
      <c r="L205" s="6">
        <f t="shared" si="3"/>
        <v>49.938888888842484</v>
      </c>
    </row>
    <row r="206" spans="1:12" x14ac:dyDescent="0.2">
      <c r="A206" s="1" t="s">
        <v>40</v>
      </c>
      <c r="B206" s="1" t="s">
        <v>44</v>
      </c>
      <c r="C206" s="8" t="s">
        <v>127</v>
      </c>
      <c r="D206" s="8" t="s">
        <v>128</v>
      </c>
      <c r="E206" s="10">
        <v>21.5</v>
      </c>
      <c r="F206" s="8">
        <v>1000</v>
      </c>
      <c r="G206" s="1">
        <v>469.66</v>
      </c>
      <c r="H206" s="10">
        <v>92</v>
      </c>
      <c r="I206" s="8">
        <v>469.55</v>
      </c>
      <c r="J206" s="2" t="s">
        <v>130</v>
      </c>
      <c r="K206" s="11">
        <v>43420.588194444397</v>
      </c>
      <c r="L206" s="6">
        <f t="shared" si="3"/>
        <v>49.938888888842484</v>
      </c>
    </row>
    <row r="207" spans="1:12" x14ac:dyDescent="0.2">
      <c r="A207" s="1" t="s">
        <v>40</v>
      </c>
      <c r="B207" s="1" t="s">
        <v>45</v>
      </c>
      <c r="C207" s="8" t="s">
        <v>127</v>
      </c>
      <c r="D207" s="8" t="s">
        <v>128</v>
      </c>
      <c r="E207" s="10">
        <v>21.5</v>
      </c>
      <c r="F207" s="8">
        <v>1000</v>
      </c>
      <c r="G207" s="1">
        <v>466.04</v>
      </c>
      <c r="H207" s="10">
        <v>81</v>
      </c>
      <c r="I207" s="8">
        <v>465.95</v>
      </c>
      <c r="J207" s="2" t="s">
        <v>130</v>
      </c>
      <c r="K207" s="11">
        <v>43420.588194444397</v>
      </c>
      <c r="L207" s="6">
        <f t="shared" si="3"/>
        <v>49.938888888842484</v>
      </c>
    </row>
    <row r="208" spans="1:12" x14ac:dyDescent="0.2">
      <c r="A208" s="1" t="s">
        <v>40</v>
      </c>
      <c r="B208" s="1" t="s">
        <v>46</v>
      </c>
      <c r="C208" s="8" t="s">
        <v>127</v>
      </c>
      <c r="D208" s="8" t="s">
        <v>128</v>
      </c>
      <c r="E208" s="10">
        <v>21.5</v>
      </c>
      <c r="F208" s="8">
        <v>1000</v>
      </c>
      <c r="G208" s="1">
        <v>467.95</v>
      </c>
      <c r="H208" s="10">
        <v>125</v>
      </c>
      <c r="I208" s="8">
        <v>467.82</v>
      </c>
      <c r="J208" s="2" t="s">
        <v>130</v>
      </c>
      <c r="K208" s="11">
        <v>43420.588194444397</v>
      </c>
      <c r="L208" s="6">
        <f t="shared" si="3"/>
        <v>49.938888888842484</v>
      </c>
    </row>
    <row r="209" spans="1:12" x14ac:dyDescent="0.2">
      <c r="A209" s="1" t="s">
        <v>40</v>
      </c>
      <c r="B209" s="1" t="s">
        <v>50</v>
      </c>
      <c r="C209" s="8" t="s">
        <v>127</v>
      </c>
      <c r="D209" s="8" t="s">
        <v>128</v>
      </c>
      <c r="E209" s="10">
        <v>21.5</v>
      </c>
      <c r="F209" s="8">
        <v>1000</v>
      </c>
      <c r="G209" s="1">
        <v>468.94</v>
      </c>
      <c r="H209" s="10">
        <v>125</v>
      </c>
      <c r="I209" s="8">
        <v>468.79</v>
      </c>
      <c r="J209" s="2" t="s">
        <v>130</v>
      </c>
      <c r="K209" s="11">
        <v>43420.588194444397</v>
      </c>
      <c r="L209" s="6">
        <f t="shared" si="3"/>
        <v>49.938888888842484</v>
      </c>
    </row>
    <row r="210" spans="1:12" x14ac:dyDescent="0.2">
      <c r="A210" s="1" t="s">
        <v>40</v>
      </c>
      <c r="B210" s="1" t="s">
        <v>51</v>
      </c>
      <c r="C210" s="8" t="s">
        <v>127</v>
      </c>
      <c r="D210" s="8" t="s">
        <v>128</v>
      </c>
      <c r="E210" s="10">
        <v>21.5</v>
      </c>
      <c r="F210" s="8">
        <v>1000</v>
      </c>
      <c r="G210" s="1">
        <v>469.34</v>
      </c>
      <c r="H210" s="10">
        <v>121</v>
      </c>
      <c r="I210" s="8">
        <v>469.22</v>
      </c>
      <c r="J210" s="2" t="s">
        <v>130</v>
      </c>
      <c r="K210" s="11">
        <v>43420.588194444397</v>
      </c>
      <c r="L210" s="6">
        <f t="shared" si="3"/>
        <v>49.938888888842484</v>
      </c>
    </row>
    <row r="211" spans="1:12" x14ac:dyDescent="0.2">
      <c r="A211" s="1" t="s">
        <v>40</v>
      </c>
      <c r="B211" s="1" t="s">
        <v>63</v>
      </c>
      <c r="C211" s="8" t="s">
        <v>131</v>
      </c>
      <c r="D211" s="8" t="s">
        <v>132</v>
      </c>
      <c r="E211" s="10">
        <v>21.4</v>
      </c>
      <c r="F211" s="8">
        <v>1010.47</v>
      </c>
      <c r="G211" s="1">
        <v>487.6</v>
      </c>
      <c r="I211" s="8">
        <v>487.6</v>
      </c>
      <c r="J211" s="2" t="s">
        <v>129</v>
      </c>
      <c r="K211" s="11">
        <v>43451.484722222202</v>
      </c>
      <c r="L211" s="6">
        <f t="shared" si="3"/>
        <v>80.835416666646779</v>
      </c>
    </row>
    <row r="212" spans="1:12" x14ac:dyDescent="0.2">
      <c r="A212" s="1" t="s">
        <v>40</v>
      </c>
      <c r="B212" s="1" t="s">
        <v>46</v>
      </c>
      <c r="C212" s="8" t="s">
        <v>131</v>
      </c>
      <c r="D212" s="8" t="s">
        <v>132</v>
      </c>
      <c r="E212" s="10">
        <v>21.4</v>
      </c>
      <c r="F212" s="8">
        <v>1010.47</v>
      </c>
      <c r="G212" s="1">
        <v>467.79</v>
      </c>
      <c r="H212" s="10">
        <v>133</v>
      </c>
      <c r="I212" s="8">
        <v>467.63</v>
      </c>
      <c r="K212" s="11">
        <v>43451.484722222202</v>
      </c>
      <c r="L212" s="6">
        <f t="shared" si="3"/>
        <v>80.835416666646779</v>
      </c>
    </row>
    <row r="213" spans="1:12" x14ac:dyDescent="0.2">
      <c r="A213" s="1" t="s">
        <v>40</v>
      </c>
      <c r="B213" s="1" t="s">
        <v>50</v>
      </c>
      <c r="C213" s="8" t="s">
        <v>131</v>
      </c>
      <c r="D213" s="8" t="s">
        <v>132</v>
      </c>
      <c r="E213" s="10">
        <v>21.4</v>
      </c>
      <c r="F213" s="8">
        <v>1010.47</v>
      </c>
      <c r="G213" s="1">
        <v>468.76</v>
      </c>
      <c r="H213" s="10">
        <v>146</v>
      </c>
      <c r="I213" s="8">
        <v>468.6</v>
      </c>
      <c r="K213" s="11">
        <v>43451.484722222202</v>
      </c>
      <c r="L213" s="6">
        <f t="shared" si="3"/>
        <v>80.835416666646779</v>
      </c>
    </row>
    <row r="214" spans="1:12" x14ac:dyDescent="0.2">
      <c r="A214" s="1" t="s">
        <v>40</v>
      </c>
      <c r="B214" s="1" t="s">
        <v>51</v>
      </c>
      <c r="C214" s="8" t="s">
        <v>131</v>
      </c>
      <c r="D214" s="8" t="s">
        <v>132</v>
      </c>
      <c r="E214" s="10">
        <v>21.4</v>
      </c>
      <c r="F214" s="8">
        <v>1010.47</v>
      </c>
      <c r="G214" s="1">
        <v>469.18</v>
      </c>
      <c r="H214" s="10">
        <v>153</v>
      </c>
      <c r="I214" s="8">
        <v>469.01</v>
      </c>
      <c r="K214" s="11">
        <v>43451.484722222202</v>
      </c>
      <c r="L214" s="6">
        <f t="shared" si="3"/>
        <v>80.835416666646779</v>
      </c>
    </row>
    <row r="215" spans="1:12" x14ac:dyDescent="0.2">
      <c r="A215" s="1" t="s">
        <v>40</v>
      </c>
      <c r="B215" s="1" t="s">
        <v>41</v>
      </c>
      <c r="C215" s="8" t="s">
        <v>131</v>
      </c>
      <c r="D215" s="8" t="s">
        <v>132</v>
      </c>
      <c r="E215" s="10">
        <v>21.4</v>
      </c>
      <c r="F215" s="8">
        <v>1010.47</v>
      </c>
      <c r="G215" s="1">
        <v>466.17</v>
      </c>
      <c r="H215" s="10">
        <v>111</v>
      </c>
      <c r="I215" s="8">
        <v>466.06</v>
      </c>
      <c r="K215" s="11">
        <v>43451.484722222202</v>
      </c>
      <c r="L215" s="6">
        <f t="shared" si="3"/>
        <v>80.835416666646779</v>
      </c>
    </row>
    <row r="216" spans="1:12" x14ac:dyDescent="0.2">
      <c r="A216" s="1" t="s">
        <v>40</v>
      </c>
      <c r="B216" s="1" t="s">
        <v>44</v>
      </c>
      <c r="C216" s="8" t="s">
        <v>131</v>
      </c>
      <c r="D216" s="8" t="s">
        <v>132</v>
      </c>
      <c r="E216" s="10">
        <v>21.4</v>
      </c>
      <c r="F216" s="8">
        <v>1010.47</v>
      </c>
      <c r="G216" s="1">
        <v>469.53</v>
      </c>
      <c r="H216" s="10">
        <v>105</v>
      </c>
      <c r="I216" s="8">
        <v>469.43</v>
      </c>
      <c r="K216" s="11">
        <v>43451.484722222202</v>
      </c>
      <c r="L216" s="6">
        <f t="shared" si="3"/>
        <v>80.835416666646779</v>
      </c>
    </row>
    <row r="217" spans="1:12" x14ac:dyDescent="0.2">
      <c r="A217" s="1" t="s">
        <v>40</v>
      </c>
      <c r="B217" s="1" t="s">
        <v>45</v>
      </c>
      <c r="C217" s="8" t="s">
        <v>131</v>
      </c>
      <c r="D217" s="8" t="s">
        <v>132</v>
      </c>
      <c r="E217" s="10">
        <v>21.4</v>
      </c>
      <c r="F217" s="8">
        <v>1010.47</v>
      </c>
      <c r="G217" s="1">
        <v>465.93</v>
      </c>
      <c r="H217" s="10">
        <v>104</v>
      </c>
      <c r="I217" s="8">
        <v>465.82</v>
      </c>
      <c r="K217" s="11">
        <v>43451.484722222202</v>
      </c>
      <c r="L217" s="6">
        <f t="shared" si="3"/>
        <v>80.835416666646779</v>
      </c>
    </row>
    <row r="218" spans="1:12" x14ac:dyDescent="0.2">
      <c r="A218" s="1" t="s">
        <v>40</v>
      </c>
      <c r="B218" s="1" t="s">
        <v>57</v>
      </c>
      <c r="C218" s="8" t="s">
        <v>131</v>
      </c>
      <c r="D218" s="8" t="s">
        <v>132</v>
      </c>
      <c r="E218" s="10">
        <v>21.4</v>
      </c>
      <c r="F218" s="8">
        <v>1010.47</v>
      </c>
      <c r="G218" s="1">
        <v>728.11</v>
      </c>
      <c r="H218" s="10">
        <f>136+64</f>
        <v>200</v>
      </c>
      <c r="I218" s="8">
        <v>727.92</v>
      </c>
      <c r="K218" s="11">
        <v>43451.484722222202</v>
      </c>
      <c r="L218" s="6">
        <f t="shared" si="3"/>
        <v>80.835416666646779</v>
      </c>
    </row>
    <row r="219" spans="1:12" x14ac:dyDescent="0.2">
      <c r="A219" s="1" t="s">
        <v>40</v>
      </c>
      <c r="B219" s="1" t="s">
        <v>60</v>
      </c>
      <c r="C219" s="8" t="s">
        <v>131</v>
      </c>
      <c r="D219" s="8" t="s">
        <v>132</v>
      </c>
      <c r="E219" s="10">
        <v>21.4</v>
      </c>
      <c r="F219" s="8">
        <v>1010.47</v>
      </c>
      <c r="G219" s="1">
        <v>720.66</v>
      </c>
      <c r="H219" s="10">
        <f>142+64</f>
        <v>206</v>
      </c>
      <c r="I219" s="8">
        <v>720.46</v>
      </c>
      <c r="K219" s="11">
        <v>43451.484722222202</v>
      </c>
      <c r="L219" s="6">
        <f t="shared" si="3"/>
        <v>80.835416666646779</v>
      </c>
    </row>
    <row r="220" spans="1:12" x14ac:dyDescent="0.2">
      <c r="A220" s="1" t="s">
        <v>40</v>
      </c>
      <c r="B220" s="1" t="s">
        <v>61</v>
      </c>
      <c r="C220" s="8" t="s">
        <v>131</v>
      </c>
      <c r="D220" s="8" t="s">
        <v>132</v>
      </c>
      <c r="E220" s="10">
        <v>21.4</v>
      </c>
      <c r="F220" s="8">
        <v>1010.47</v>
      </c>
      <c r="G220" s="1">
        <v>739.11</v>
      </c>
      <c r="H220" s="10">
        <f>148+62</f>
        <v>210</v>
      </c>
      <c r="I220" s="8">
        <v>738.92</v>
      </c>
      <c r="K220" s="11">
        <v>43451.484722222202</v>
      </c>
      <c r="L220" s="6">
        <f t="shared" si="3"/>
        <v>80.835416666646779</v>
      </c>
    </row>
    <row r="221" spans="1:12" x14ac:dyDescent="0.2">
      <c r="A221" s="1" t="s">
        <v>40</v>
      </c>
      <c r="B221" s="1" t="s">
        <v>62</v>
      </c>
      <c r="C221" s="8" t="s">
        <v>131</v>
      </c>
      <c r="D221" s="8" t="s">
        <v>132</v>
      </c>
      <c r="E221" s="10">
        <v>21.4</v>
      </c>
      <c r="F221" s="8">
        <v>1010.47</v>
      </c>
      <c r="G221" s="1">
        <v>722.4</v>
      </c>
      <c r="H221" s="10">
        <f>148+56</f>
        <v>204</v>
      </c>
      <c r="I221" s="8">
        <v>722.22</v>
      </c>
      <c r="K221" s="11">
        <v>43451.484722222202</v>
      </c>
      <c r="L221" s="6">
        <f t="shared" si="3"/>
        <v>80.835416666646779</v>
      </c>
    </row>
    <row r="222" spans="1:12" x14ac:dyDescent="0.2">
      <c r="A222" s="1" t="s">
        <v>40</v>
      </c>
      <c r="B222" s="1" t="s">
        <v>52</v>
      </c>
      <c r="C222" s="8" t="s">
        <v>131</v>
      </c>
      <c r="D222" s="8" t="s">
        <v>132</v>
      </c>
      <c r="E222" s="10">
        <v>21.4</v>
      </c>
      <c r="F222" s="8">
        <v>1010.47</v>
      </c>
      <c r="G222" s="1">
        <v>465.48</v>
      </c>
      <c r="H222" s="10">
        <v>92</v>
      </c>
      <c r="I222" s="8">
        <v>465.37</v>
      </c>
      <c r="K222" s="11">
        <v>43451.484722222202</v>
      </c>
      <c r="L222" s="6">
        <f t="shared" si="3"/>
        <v>80.835416666646779</v>
      </c>
    </row>
    <row r="223" spans="1:12" x14ac:dyDescent="0.2">
      <c r="A223" s="1" t="s">
        <v>40</v>
      </c>
      <c r="B223" s="1" t="s">
        <v>55</v>
      </c>
      <c r="C223" s="8" t="s">
        <v>131</v>
      </c>
      <c r="D223" s="8" t="s">
        <v>132</v>
      </c>
      <c r="E223" s="10">
        <v>21.4</v>
      </c>
      <c r="F223" s="8">
        <v>1010.47</v>
      </c>
      <c r="G223" s="1">
        <v>466.2</v>
      </c>
      <c r="H223" s="10">
        <v>91</v>
      </c>
      <c r="I223" s="8">
        <v>466.1</v>
      </c>
      <c r="K223" s="11">
        <v>43451.484722222202</v>
      </c>
      <c r="L223" s="6">
        <f t="shared" si="3"/>
        <v>80.835416666646779</v>
      </c>
    </row>
    <row r="224" spans="1:12" x14ac:dyDescent="0.2">
      <c r="A224" s="1" t="s">
        <v>40</v>
      </c>
      <c r="B224" s="1" t="s">
        <v>56</v>
      </c>
      <c r="C224" s="8" t="s">
        <v>131</v>
      </c>
      <c r="D224" s="8" t="s">
        <v>132</v>
      </c>
      <c r="E224" s="10">
        <v>21.4</v>
      </c>
      <c r="F224" s="8">
        <v>1010.47</v>
      </c>
      <c r="G224" s="1">
        <v>468.22</v>
      </c>
      <c r="H224" s="10">
        <v>90</v>
      </c>
      <c r="I224" s="8">
        <v>468.13</v>
      </c>
      <c r="K224" s="11">
        <v>43451.484722222202</v>
      </c>
      <c r="L224" s="6">
        <f t="shared" si="3"/>
        <v>80.835416666646779</v>
      </c>
    </row>
    <row r="225" spans="1:12" x14ac:dyDescent="0.2">
      <c r="A225" s="1" t="s">
        <v>40</v>
      </c>
      <c r="B225" s="1" t="s">
        <v>63</v>
      </c>
      <c r="C225" s="8" t="s">
        <v>133</v>
      </c>
      <c r="D225" s="8" t="s">
        <v>134</v>
      </c>
      <c r="E225" s="10">
        <v>22.1</v>
      </c>
      <c r="F225" s="8">
        <v>1009.4</v>
      </c>
      <c r="G225" s="1">
        <v>487.57</v>
      </c>
      <c r="J225" s="2" t="s">
        <v>135</v>
      </c>
      <c r="K225" s="11">
        <v>43499.548611111109</v>
      </c>
      <c r="L225" s="6">
        <f t="shared" si="3"/>
        <v>128.89930555555475</v>
      </c>
    </row>
    <row r="226" spans="1:12" x14ac:dyDescent="0.2">
      <c r="A226" s="1" t="s">
        <v>40</v>
      </c>
      <c r="B226" s="1" t="s">
        <v>52</v>
      </c>
      <c r="C226" s="8" t="s">
        <v>133</v>
      </c>
      <c r="D226" s="8" t="s">
        <v>134</v>
      </c>
      <c r="E226" s="10">
        <v>22.1</v>
      </c>
      <c r="F226" s="8">
        <v>1009.4</v>
      </c>
      <c r="G226" s="1">
        <v>465.33</v>
      </c>
      <c r="H226" s="10">
        <v>73</v>
      </c>
      <c r="I226" s="8">
        <v>465.25</v>
      </c>
      <c r="K226" s="11">
        <v>43499.548611111109</v>
      </c>
      <c r="L226" s="6">
        <f t="shared" si="3"/>
        <v>128.89930555555475</v>
      </c>
    </row>
    <row r="227" spans="1:12" x14ac:dyDescent="0.2">
      <c r="A227" s="1" t="s">
        <v>40</v>
      </c>
      <c r="B227" s="1" t="s">
        <v>55</v>
      </c>
      <c r="C227" s="8" t="s">
        <v>133</v>
      </c>
      <c r="D227" s="8" t="s">
        <v>134</v>
      </c>
      <c r="E227" s="10">
        <v>22.1</v>
      </c>
      <c r="F227" s="8">
        <v>1009.4</v>
      </c>
      <c r="G227" s="1">
        <v>466.05</v>
      </c>
      <c r="H227" s="10">
        <v>70</v>
      </c>
      <c r="I227" s="8">
        <v>465.98</v>
      </c>
      <c r="K227" s="11">
        <v>43499.548611111109</v>
      </c>
      <c r="L227" s="6">
        <f t="shared" si="3"/>
        <v>128.89930555555475</v>
      </c>
    </row>
    <row r="228" spans="1:12" x14ac:dyDescent="0.2">
      <c r="A228" s="1" t="s">
        <v>40</v>
      </c>
      <c r="B228" s="1" t="s">
        <v>56</v>
      </c>
      <c r="C228" s="8" t="s">
        <v>133</v>
      </c>
      <c r="D228" s="8" t="s">
        <v>134</v>
      </c>
      <c r="E228" s="10">
        <v>22.1</v>
      </c>
      <c r="F228" s="8">
        <v>1009.4</v>
      </c>
      <c r="G228" s="1">
        <v>468.06</v>
      </c>
      <c r="H228" s="10">
        <v>74</v>
      </c>
      <c r="I228" s="8">
        <v>467.98</v>
      </c>
      <c r="J228" s="2" t="s">
        <v>136</v>
      </c>
      <c r="K228" s="11">
        <v>43499.548611111109</v>
      </c>
      <c r="L228" s="6">
        <f t="shared" si="3"/>
        <v>128.89930555555475</v>
      </c>
    </row>
    <row r="229" spans="1:12" x14ac:dyDescent="0.2">
      <c r="A229" s="1" t="s">
        <v>40</v>
      </c>
      <c r="B229" s="1" t="s">
        <v>57</v>
      </c>
      <c r="C229" s="8" t="s">
        <v>133</v>
      </c>
      <c r="D229" s="8" t="s">
        <v>134</v>
      </c>
      <c r="E229" s="10">
        <v>22.1</v>
      </c>
      <c r="F229" s="8">
        <v>1009.4</v>
      </c>
      <c r="G229" s="1">
        <v>727.83</v>
      </c>
      <c r="H229" s="10">
        <f>150+64</f>
        <v>214</v>
      </c>
      <c r="I229" s="8">
        <v>727.61</v>
      </c>
      <c r="K229" s="11">
        <v>43499.548611111109</v>
      </c>
      <c r="L229" s="6">
        <f t="shared" si="3"/>
        <v>128.89930555555475</v>
      </c>
    </row>
    <row r="230" spans="1:12" x14ac:dyDescent="0.2">
      <c r="A230" s="1" t="s">
        <v>40</v>
      </c>
      <c r="B230" s="1" t="s">
        <v>60</v>
      </c>
      <c r="C230" s="8" t="s">
        <v>133</v>
      </c>
      <c r="D230" s="8" t="s">
        <v>134</v>
      </c>
      <c r="E230" s="10">
        <v>22.1</v>
      </c>
      <c r="F230" s="8">
        <v>1009.4</v>
      </c>
      <c r="G230" s="1">
        <v>720.4</v>
      </c>
      <c r="H230" s="10">
        <f>140+75</f>
        <v>215</v>
      </c>
      <c r="I230" s="8">
        <v>720.21</v>
      </c>
      <c r="K230" s="11">
        <v>43499.548611111109</v>
      </c>
      <c r="L230" s="6">
        <f t="shared" si="3"/>
        <v>128.89930555555475</v>
      </c>
    </row>
    <row r="231" spans="1:12" x14ac:dyDescent="0.2">
      <c r="A231" s="1" t="s">
        <v>40</v>
      </c>
      <c r="B231" s="1" t="s">
        <v>61</v>
      </c>
      <c r="C231" s="8" t="s">
        <v>133</v>
      </c>
      <c r="D231" s="8" t="s">
        <v>134</v>
      </c>
      <c r="E231" s="10">
        <v>22.1</v>
      </c>
      <c r="F231" s="8">
        <v>1009.4</v>
      </c>
      <c r="G231" s="1">
        <v>738.83</v>
      </c>
      <c r="H231" s="10">
        <f>149+65</f>
        <v>214</v>
      </c>
      <c r="I231" s="8">
        <v>738.64</v>
      </c>
      <c r="K231" s="11">
        <v>43499.548611111109</v>
      </c>
      <c r="L231" s="6">
        <f t="shared" si="3"/>
        <v>128.89930555555475</v>
      </c>
    </row>
    <row r="232" spans="1:12" x14ac:dyDescent="0.2">
      <c r="A232" s="1" t="s">
        <v>40</v>
      </c>
      <c r="B232" s="1" t="s">
        <v>62</v>
      </c>
      <c r="C232" s="8" t="s">
        <v>133</v>
      </c>
      <c r="D232" s="8" t="s">
        <v>134</v>
      </c>
      <c r="E232" s="10">
        <v>22.1</v>
      </c>
      <c r="F232" s="8">
        <v>1009.4</v>
      </c>
      <c r="G232" s="1">
        <v>722.14</v>
      </c>
      <c r="H232" s="10">
        <f>130+81</f>
        <v>211</v>
      </c>
      <c r="I232" s="8">
        <v>721.94</v>
      </c>
      <c r="K232" s="11">
        <v>43499.548611111109</v>
      </c>
      <c r="L232" s="6">
        <f t="shared" si="3"/>
        <v>128.89930555555475</v>
      </c>
    </row>
    <row r="233" spans="1:12" x14ac:dyDescent="0.2">
      <c r="A233" s="1" t="s">
        <v>40</v>
      </c>
      <c r="B233" s="1" t="s">
        <v>41</v>
      </c>
      <c r="C233" s="8" t="s">
        <v>133</v>
      </c>
      <c r="D233" s="8" t="s">
        <v>134</v>
      </c>
      <c r="E233" s="10">
        <v>22.1</v>
      </c>
      <c r="F233" s="8">
        <v>1009.4</v>
      </c>
      <c r="G233" s="1">
        <v>466.01</v>
      </c>
      <c r="H233" s="10">
        <v>111</v>
      </c>
      <c r="I233" s="8">
        <v>465.88</v>
      </c>
      <c r="K233" s="11">
        <v>43499.548611111109</v>
      </c>
      <c r="L233" s="6">
        <f t="shared" si="3"/>
        <v>128.89930555555475</v>
      </c>
    </row>
    <row r="234" spans="1:12" x14ac:dyDescent="0.2">
      <c r="A234" s="1" t="s">
        <v>40</v>
      </c>
      <c r="B234" s="1" t="s">
        <v>44</v>
      </c>
      <c r="C234" s="8" t="s">
        <v>133</v>
      </c>
      <c r="D234" s="8" t="s">
        <v>134</v>
      </c>
      <c r="E234" s="10">
        <v>22.1</v>
      </c>
      <c r="F234" s="8">
        <v>1009.4</v>
      </c>
      <c r="G234" s="1">
        <v>469.35</v>
      </c>
      <c r="H234" s="10">
        <v>110</v>
      </c>
      <c r="I234" s="8">
        <v>469.25</v>
      </c>
      <c r="K234" s="11">
        <v>43499.548611111109</v>
      </c>
      <c r="L234" s="6">
        <f t="shared" si="3"/>
        <v>128.89930555555475</v>
      </c>
    </row>
    <row r="235" spans="1:12" x14ac:dyDescent="0.2">
      <c r="A235" s="1" t="s">
        <v>40</v>
      </c>
      <c r="B235" s="1" t="s">
        <v>45</v>
      </c>
      <c r="C235" s="8" t="s">
        <v>133</v>
      </c>
      <c r="D235" s="8" t="s">
        <v>134</v>
      </c>
      <c r="E235" s="10">
        <v>22.1</v>
      </c>
      <c r="F235" s="8">
        <v>1009.4</v>
      </c>
      <c r="G235" s="1">
        <v>465.78</v>
      </c>
      <c r="H235" s="10">
        <v>99</v>
      </c>
      <c r="I235" s="8">
        <v>465.66</v>
      </c>
      <c r="K235" s="11">
        <v>43499.548611111109</v>
      </c>
      <c r="L235" s="6">
        <f t="shared" si="3"/>
        <v>128.89930555555475</v>
      </c>
    </row>
    <row r="236" spans="1:12" x14ac:dyDescent="0.2">
      <c r="A236" s="1" t="s">
        <v>40</v>
      </c>
      <c r="B236" s="1" t="s">
        <v>46</v>
      </c>
      <c r="C236" s="8" t="s">
        <v>133</v>
      </c>
      <c r="D236" s="8" t="s">
        <v>134</v>
      </c>
      <c r="E236" s="10">
        <v>22.1</v>
      </c>
      <c r="F236" s="8">
        <v>1009.4</v>
      </c>
      <c r="G236" s="1">
        <v>467.58</v>
      </c>
      <c r="H236" s="10">
        <v>145</v>
      </c>
      <c r="I236" s="8">
        <v>467.42</v>
      </c>
      <c r="K236" s="11">
        <v>43499.548611111109</v>
      </c>
      <c r="L236" s="6">
        <f t="shared" si="3"/>
        <v>128.89930555555475</v>
      </c>
    </row>
    <row r="237" spans="1:12" x14ac:dyDescent="0.2">
      <c r="A237" s="1" t="s">
        <v>40</v>
      </c>
      <c r="B237" s="1" t="s">
        <v>50</v>
      </c>
      <c r="C237" s="8" t="s">
        <v>133</v>
      </c>
      <c r="D237" s="8" t="s">
        <v>134</v>
      </c>
      <c r="E237" s="10">
        <v>22.1</v>
      </c>
      <c r="F237" s="8">
        <v>1009.4</v>
      </c>
      <c r="G237" s="1">
        <v>468.55</v>
      </c>
      <c r="H237" s="10">
        <v>135</v>
      </c>
      <c r="I237" s="8">
        <v>468.41</v>
      </c>
      <c r="K237" s="11">
        <v>43499.548611111109</v>
      </c>
      <c r="L237" s="6">
        <f t="shared" si="3"/>
        <v>128.89930555555475</v>
      </c>
    </row>
    <row r="238" spans="1:12" x14ac:dyDescent="0.2">
      <c r="A238" s="1" t="s">
        <v>40</v>
      </c>
      <c r="B238" s="1" t="s">
        <v>51</v>
      </c>
      <c r="C238" s="8" t="s">
        <v>133</v>
      </c>
      <c r="D238" s="8" t="s">
        <v>134</v>
      </c>
      <c r="E238" s="10">
        <v>22.1</v>
      </c>
      <c r="F238" s="8">
        <v>1009.4</v>
      </c>
      <c r="G238" s="1">
        <v>468.97</v>
      </c>
      <c r="H238" s="10">
        <v>138</v>
      </c>
      <c r="I238" s="8">
        <v>468.79</v>
      </c>
      <c r="K238" s="11">
        <v>43499.548611111109</v>
      </c>
      <c r="L238" s="6">
        <f t="shared" si="3"/>
        <v>128.89930555555475</v>
      </c>
    </row>
    <row r="239" spans="1:12" x14ac:dyDescent="0.2">
      <c r="A239" s="1" t="s">
        <v>40</v>
      </c>
      <c r="B239" s="1" t="s">
        <v>63</v>
      </c>
      <c r="C239" s="8" t="s">
        <v>180</v>
      </c>
      <c r="D239" s="8">
        <v>11.09</v>
      </c>
      <c r="E239" s="10">
        <v>20.399999999999999</v>
      </c>
      <c r="F239" s="8">
        <v>1004.06</v>
      </c>
      <c r="G239" s="1">
        <v>487.56</v>
      </c>
      <c r="L239" s="6"/>
    </row>
    <row r="240" spans="1:12" x14ac:dyDescent="0.2">
      <c r="A240" s="1" t="s">
        <v>40</v>
      </c>
      <c r="B240" s="1" t="s">
        <v>46</v>
      </c>
      <c r="C240" s="8" t="s">
        <v>180</v>
      </c>
      <c r="D240" s="8">
        <v>11.09</v>
      </c>
      <c r="E240" s="10">
        <v>20.399999999999999</v>
      </c>
      <c r="F240" s="8">
        <v>1004.06</v>
      </c>
      <c r="G240" s="1">
        <v>467.35</v>
      </c>
      <c r="H240" s="10">
        <v>97</v>
      </c>
      <c r="I240" s="8">
        <v>467.24</v>
      </c>
      <c r="L240" s="6"/>
    </row>
    <row r="241" spans="1:10" x14ac:dyDescent="0.2">
      <c r="A241" s="1" t="s">
        <v>40</v>
      </c>
      <c r="B241" s="1" t="s">
        <v>50</v>
      </c>
      <c r="C241" s="8" t="s">
        <v>180</v>
      </c>
      <c r="D241" s="8">
        <v>11.09</v>
      </c>
      <c r="E241" s="10">
        <v>20.399999999999999</v>
      </c>
      <c r="F241" s="8">
        <v>1004.06</v>
      </c>
      <c r="G241" s="1">
        <v>468.33</v>
      </c>
      <c r="H241" s="10">
        <v>97</v>
      </c>
      <c r="I241" s="8">
        <v>468.22</v>
      </c>
    </row>
    <row r="242" spans="1:10" x14ac:dyDescent="0.2">
      <c r="A242" s="1" t="s">
        <v>40</v>
      </c>
      <c r="B242" s="1" t="s">
        <v>51</v>
      </c>
      <c r="C242" s="8" t="s">
        <v>180</v>
      </c>
      <c r="D242" s="8">
        <v>11.09</v>
      </c>
      <c r="E242" s="10">
        <v>20.399999999999999</v>
      </c>
      <c r="F242" s="8">
        <v>1004.06</v>
      </c>
      <c r="G242" s="1">
        <v>468.73</v>
      </c>
      <c r="H242" s="10">
        <v>101</v>
      </c>
      <c r="I242" s="8">
        <v>468.61</v>
      </c>
    </row>
    <row r="243" spans="1:10" x14ac:dyDescent="0.2">
      <c r="A243" s="1" t="s">
        <v>40</v>
      </c>
      <c r="B243" s="1" t="s">
        <v>41</v>
      </c>
      <c r="C243" s="8" t="s">
        <v>180</v>
      </c>
      <c r="D243" s="8">
        <v>11.09</v>
      </c>
      <c r="E243" s="10">
        <v>20.399999999999999</v>
      </c>
      <c r="F243" s="8">
        <v>1004.06</v>
      </c>
      <c r="G243" s="1">
        <v>465.82</v>
      </c>
      <c r="H243" s="10">
        <v>82</v>
      </c>
      <c r="I243" s="8">
        <v>465.74</v>
      </c>
    </row>
    <row r="244" spans="1:10" x14ac:dyDescent="0.2">
      <c r="A244" s="1" t="s">
        <v>40</v>
      </c>
      <c r="B244" s="1" t="s">
        <v>44</v>
      </c>
      <c r="C244" s="8" t="s">
        <v>180</v>
      </c>
      <c r="D244" s="8">
        <v>11.09</v>
      </c>
      <c r="E244" s="10">
        <v>20.399999999999999</v>
      </c>
      <c r="F244" s="8">
        <v>1004.06</v>
      </c>
      <c r="G244" s="1">
        <v>469.17</v>
      </c>
      <c r="H244" s="10">
        <v>77</v>
      </c>
      <c r="I244" s="8">
        <v>469.09</v>
      </c>
    </row>
    <row r="245" spans="1:10" x14ac:dyDescent="0.2">
      <c r="A245" s="1" t="s">
        <v>40</v>
      </c>
      <c r="B245" s="1" t="s">
        <v>45</v>
      </c>
      <c r="C245" s="8" t="s">
        <v>180</v>
      </c>
      <c r="D245" s="8">
        <v>11.09</v>
      </c>
      <c r="E245" s="10">
        <v>20.399999999999999</v>
      </c>
      <c r="F245" s="8">
        <v>1004.06</v>
      </c>
      <c r="G245" s="1">
        <v>465.6</v>
      </c>
      <c r="H245" s="10">
        <v>75</v>
      </c>
      <c r="I245" s="8">
        <v>465.51</v>
      </c>
    </row>
    <row r="246" spans="1:10" x14ac:dyDescent="0.2">
      <c r="A246" s="1" t="s">
        <v>40</v>
      </c>
      <c r="B246" s="1" t="s">
        <v>52</v>
      </c>
      <c r="C246" s="8" t="s">
        <v>180</v>
      </c>
      <c r="D246" s="8">
        <v>11.09</v>
      </c>
      <c r="E246" s="10">
        <v>20.399999999999999</v>
      </c>
      <c r="F246" s="8">
        <v>1004.06</v>
      </c>
      <c r="G246" s="1">
        <v>465.16</v>
      </c>
      <c r="H246" s="10">
        <v>77</v>
      </c>
      <c r="I246" s="8">
        <v>465.08</v>
      </c>
    </row>
    <row r="247" spans="1:10" x14ac:dyDescent="0.2">
      <c r="A247" s="1" t="s">
        <v>40</v>
      </c>
      <c r="B247" s="1" t="s">
        <v>55</v>
      </c>
      <c r="C247" s="8" t="s">
        <v>180</v>
      </c>
      <c r="D247" s="8">
        <v>11.09</v>
      </c>
      <c r="E247" s="10">
        <v>20.399999999999999</v>
      </c>
      <c r="F247" s="8">
        <v>1004.06</v>
      </c>
      <c r="G247" s="1">
        <v>465.89</v>
      </c>
      <c r="H247" s="10">
        <v>81</v>
      </c>
      <c r="I247" s="8">
        <v>465.82</v>
      </c>
    </row>
    <row r="248" spans="1:10" x14ac:dyDescent="0.2">
      <c r="A248" s="1" t="s">
        <v>40</v>
      </c>
      <c r="B248" s="1" t="s">
        <v>56</v>
      </c>
      <c r="C248" s="8" t="s">
        <v>180</v>
      </c>
      <c r="D248" s="8">
        <v>11.09</v>
      </c>
      <c r="E248" s="10">
        <v>20.399999999999999</v>
      </c>
      <c r="F248" s="8">
        <v>1004.06</v>
      </c>
      <c r="G248" s="1">
        <v>467.91</v>
      </c>
      <c r="H248" s="10">
        <v>78</v>
      </c>
      <c r="I248" s="8">
        <v>467.82</v>
      </c>
    </row>
    <row r="249" spans="1:10" x14ac:dyDescent="0.2">
      <c r="A249" s="1" t="s">
        <v>40</v>
      </c>
      <c r="B249" s="1" t="s">
        <v>57</v>
      </c>
      <c r="C249" s="8" t="s">
        <v>180</v>
      </c>
      <c r="D249" s="8">
        <v>11.09</v>
      </c>
      <c r="E249" s="10">
        <v>20.399999999999999</v>
      </c>
      <c r="F249" s="8">
        <v>1004.06</v>
      </c>
      <c r="G249" s="1">
        <v>727.5</v>
      </c>
      <c r="H249" s="10">
        <f>144+42</f>
        <v>186</v>
      </c>
      <c r="I249" s="8">
        <v>727.33</v>
      </c>
    </row>
    <row r="250" spans="1:10" x14ac:dyDescent="0.2">
      <c r="A250" s="1" t="s">
        <v>40</v>
      </c>
      <c r="B250" s="1" t="s">
        <v>60</v>
      </c>
      <c r="C250" s="8" t="s">
        <v>180</v>
      </c>
      <c r="D250" s="8">
        <v>11.09</v>
      </c>
      <c r="E250" s="10">
        <v>20.399999999999999</v>
      </c>
      <c r="F250" s="8">
        <v>1004.06</v>
      </c>
      <c r="G250" s="1">
        <v>720.07</v>
      </c>
      <c r="H250" s="10">
        <f>145+43</f>
        <v>188</v>
      </c>
      <c r="I250" s="8">
        <v>719.88</v>
      </c>
    </row>
    <row r="251" spans="1:10" x14ac:dyDescent="0.2">
      <c r="A251" s="1" t="s">
        <v>40</v>
      </c>
      <c r="B251" s="1" t="s">
        <v>61</v>
      </c>
      <c r="C251" s="8" t="s">
        <v>180</v>
      </c>
      <c r="D251" s="8">
        <v>11.09</v>
      </c>
      <c r="E251" s="10">
        <v>20.399999999999999</v>
      </c>
      <c r="F251" s="8">
        <v>1004.06</v>
      </c>
      <c r="G251" s="1">
        <v>738.41</v>
      </c>
      <c r="H251" s="10">
        <f>143+46</f>
        <v>189</v>
      </c>
      <c r="I251" s="8">
        <v>738.23</v>
      </c>
    </row>
    <row r="252" spans="1:10" x14ac:dyDescent="0.2">
      <c r="A252" s="1" t="s">
        <v>40</v>
      </c>
      <c r="B252" s="1" t="s">
        <v>62</v>
      </c>
      <c r="C252" s="8" t="s">
        <v>180</v>
      </c>
      <c r="D252" s="8">
        <v>11.09</v>
      </c>
      <c r="E252" s="10">
        <v>20.399999999999999</v>
      </c>
      <c r="F252" s="8">
        <v>1004.06</v>
      </c>
      <c r="G252" s="19">
        <f>I232</f>
        <v>721.94</v>
      </c>
      <c r="H252" s="10">
        <f>171+13</f>
        <v>184</v>
      </c>
      <c r="I252" s="8">
        <v>721.59</v>
      </c>
      <c r="J252" s="2" t="s">
        <v>181</v>
      </c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topLeftCell="A7" zoomScaleNormal="100" workbookViewId="0">
      <selection activeCell="D28" sqref="D28"/>
    </sheetView>
  </sheetViews>
  <sheetFormatPr defaultRowHeight="12.75" x14ac:dyDescent="0.2"/>
  <cols>
    <col min="1" max="1" width="11.25" style="3" customWidth="1"/>
    <col min="2" max="2" width="18.25" style="3" customWidth="1"/>
    <col min="3" max="3" width="8.625" style="3" customWidth="1"/>
    <col min="4" max="4" width="48.25" style="3" customWidth="1"/>
    <col min="5" max="1025" width="8.625" style="3" customWidth="1"/>
  </cols>
  <sheetData>
    <row r="1" spans="1:4" x14ac:dyDescent="0.2">
      <c r="A1" s="3" t="s">
        <v>137</v>
      </c>
      <c r="B1" s="3" t="s">
        <v>138</v>
      </c>
      <c r="C1" s="3" t="s">
        <v>139</v>
      </c>
      <c r="D1" s="3" t="s">
        <v>140</v>
      </c>
    </row>
    <row r="2" spans="1:4" x14ac:dyDescent="0.2">
      <c r="A2" s="17" t="s">
        <v>141</v>
      </c>
      <c r="B2" s="3" t="s">
        <v>142</v>
      </c>
      <c r="C2" s="3" t="s">
        <v>143</v>
      </c>
      <c r="D2" s="3" t="s">
        <v>144</v>
      </c>
    </row>
    <row r="3" spans="1:4" x14ac:dyDescent="0.2">
      <c r="A3" s="3" t="s">
        <v>145</v>
      </c>
      <c r="B3" s="3" t="s">
        <v>142</v>
      </c>
      <c r="C3" s="3" t="s">
        <v>143</v>
      </c>
      <c r="D3" s="3" t="s">
        <v>146</v>
      </c>
    </row>
    <row r="4" spans="1:4" x14ac:dyDescent="0.2">
      <c r="A4" s="3" t="s">
        <v>147</v>
      </c>
      <c r="B4" s="3" t="s">
        <v>142</v>
      </c>
      <c r="C4" s="3" t="s">
        <v>148</v>
      </c>
      <c r="D4" s="3" t="s">
        <v>149</v>
      </c>
    </row>
    <row r="5" spans="1:4" x14ac:dyDescent="0.2">
      <c r="A5" s="17" t="s">
        <v>150</v>
      </c>
      <c r="B5" s="3" t="s">
        <v>142</v>
      </c>
      <c r="C5" s="3" t="s">
        <v>143</v>
      </c>
      <c r="D5" s="3" t="s">
        <v>151</v>
      </c>
    </row>
    <row r="6" spans="1:4" x14ac:dyDescent="0.2">
      <c r="A6" s="17" t="s">
        <v>152</v>
      </c>
      <c r="B6" s="3" t="s">
        <v>142</v>
      </c>
      <c r="C6" s="3" t="s">
        <v>143</v>
      </c>
      <c r="D6" s="3" t="s">
        <v>153</v>
      </c>
    </row>
    <row r="7" spans="1:4" x14ac:dyDescent="0.2">
      <c r="A7" s="17" t="s">
        <v>154</v>
      </c>
      <c r="B7" s="3" t="s">
        <v>142</v>
      </c>
      <c r="C7" s="3" t="s">
        <v>143</v>
      </c>
      <c r="D7" s="3" t="s">
        <v>155</v>
      </c>
    </row>
    <row r="8" spans="1:4" x14ac:dyDescent="0.2">
      <c r="A8" s="17" t="s">
        <v>154</v>
      </c>
      <c r="B8" s="3" t="s">
        <v>142</v>
      </c>
      <c r="C8" s="3" t="s">
        <v>143</v>
      </c>
      <c r="D8" s="3" t="s">
        <v>156</v>
      </c>
    </row>
    <row r="9" spans="1:4" x14ac:dyDescent="0.2">
      <c r="A9" s="17" t="s">
        <v>154</v>
      </c>
      <c r="B9" s="3" t="s">
        <v>142</v>
      </c>
      <c r="C9" s="3" t="s">
        <v>143</v>
      </c>
      <c r="D9" s="3" t="s">
        <v>157</v>
      </c>
    </row>
    <row r="10" spans="1:4" x14ac:dyDescent="0.2">
      <c r="A10" s="17" t="s">
        <v>154</v>
      </c>
      <c r="B10" s="3" t="s">
        <v>142</v>
      </c>
      <c r="C10" s="3" t="s">
        <v>143</v>
      </c>
      <c r="D10" s="3" t="s">
        <v>158</v>
      </c>
    </row>
    <row r="11" spans="1:4" x14ac:dyDescent="0.2">
      <c r="A11" s="3" t="s">
        <v>159</v>
      </c>
      <c r="B11" s="3" t="s">
        <v>142</v>
      </c>
      <c r="C11" s="3" t="s">
        <v>143</v>
      </c>
      <c r="D11" s="3" t="s">
        <v>160</v>
      </c>
    </row>
    <row r="12" spans="1:4" x14ac:dyDescent="0.2">
      <c r="A12" s="3" t="s">
        <v>161</v>
      </c>
      <c r="B12" s="3" t="s">
        <v>142</v>
      </c>
      <c r="C12" s="3" t="s">
        <v>143</v>
      </c>
      <c r="D12" s="3" t="s">
        <v>162</v>
      </c>
    </row>
    <row r="13" spans="1:4" x14ac:dyDescent="0.2">
      <c r="A13" s="17" t="s">
        <v>163</v>
      </c>
      <c r="B13" s="3" t="s">
        <v>142</v>
      </c>
      <c r="C13" s="3" t="s">
        <v>148</v>
      </c>
      <c r="D13" s="3" t="s">
        <v>164</v>
      </c>
    </row>
    <row r="14" spans="1:4" x14ac:dyDescent="0.2">
      <c r="A14" s="17" t="s">
        <v>165</v>
      </c>
      <c r="B14" s="3" t="s">
        <v>142</v>
      </c>
      <c r="C14" s="3" t="s">
        <v>148</v>
      </c>
      <c r="D14" s="3" t="s">
        <v>166</v>
      </c>
    </row>
    <row r="15" spans="1:4" x14ac:dyDescent="0.2">
      <c r="A15" s="17" t="s">
        <v>165</v>
      </c>
      <c r="B15" s="3" t="s">
        <v>142</v>
      </c>
      <c r="C15" s="3" t="s">
        <v>148</v>
      </c>
      <c r="D15" s="3" t="s">
        <v>167</v>
      </c>
    </row>
    <row r="16" spans="1:4" x14ac:dyDescent="0.2">
      <c r="A16" s="17" t="s">
        <v>165</v>
      </c>
      <c r="B16" s="3" t="s">
        <v>142</v>
      </c>
      <c r="C16" s="3" t="s">
        <v>148</v>
      </c>
      <c r="D16" s="3" t="s">
        <v>168</v>
      </c>
    </row>
    <row r="17" spans="1:4" x14ac:dyDescent="0.2">
      <c r="A17" s="17" t="s">
        <v>165</v>
      </c>
      <c r="B17" s="3" t="s">
        <v>142</v>
      </c>
      <c r="C17" s="3" t="s">
        <v>148</v>
      </c>
      <c r="D17" s="3" t="s">
        <v>169</v>
      </c>
    </row>
    <row r="18" spans="1:4" x14ac:dyDescent="0.2">
      <c r="A18" s="17" t="s">
        <v>170</v>
      </c>
      <c r="B18" s="3" t="s">
        <v>142</v>
      </c>
      <c r="C18" s="3" t="s">
        <v>143</v>
      </c>
      <c r="D18" s="3" t="s">
        <v>171</v>
      </c>
    </row>
    <row r="19" spans="1:4" x14ac:dyDescent="0.2">
      <c r="A19" s="17" t="s">
        <v>170</v>
      </c>
      <c r="B19" s="3" t="s">
        <v>142</v>
      </c>
      <c r="C19" s="3" t="s">
        <v>143</v>
      </c>
      <c r="D19" s="3" t="s">
        <v>172</v>
      </c>
    </row>
    <row r="20" spans="1:4" x14ac:dyDescent="0.2">
      <c r="A20" s="17" t="s">
        <v>170</v>
      </c>
      <c r="B20" s="3" t="s">
        <v>142</v>
      </c>
      <c r="C20" s="3" t="s">
        <v>143</v>
      </c>
      <c r="D20" s="3" t="s">
        <v>173</v>
      </c>
    </row>
    <row r="21" spans="1:4" x14ac:dyDescent="0.2">
      <c r="A21" s="17" t="s">
        <v>177</v>
      </c>
      <c r="B21" s="3" t="s">
        <v>142</v>
      </c>
      <c r="C21" s="3" t="s">
        <v>148</v>
      </c>
      <c r="D21" s="3" t="s">
        <v>176</v>
      </c>
    </row>
    <row r="22" spans="1:4" x14ac:dyDescent="0.2">
      <c r="A22" s="17" t="s">
        <v>179</v>
      </c>
      <c r="B22" s="3" t="s">
        <v>142</v>
      </c>
      <c r="C22" s="3" t="s">
        <v>148</v>
      </c>
      <c r="D22" s="3" t="s">
        <v>178</v>
      </c>
    </row>
    <row r="23" spans="1:4" x14ac:dyDescent="0.2">
      <c r="A23" s="17" t="s">
        <v>183</v>
      </c>
      <c r="B23" s="3" t="s">
        <v>142</v>
      </c>
      <c r="C23" s="3" t="s">
        <v>148</v>
      </c>
      <c r="D23" s="3" t="s">
        <v>184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Biogas</vt:lpstr>
      <vt:lpstr>ChangeLog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</dc:creator>
  <cp:keywords/>
  <dc:description/>
  <cp:lastModifiedBy>Camilla Glismand Justesen</cp:lastModifiedBy>
  <cp:revision>299</cp:revision>
  <dcterms:created xsi:type="dcterms:W3CDTF">2016-08-02T11:07:48Z</dcterms:created>
  <dcterms:modified xsi:type="dcterms:W3CDTF">2019-04-11T09:59:14Z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