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9035" windowHeight="11640" activeTab="1"/>
  </bookViews>
  <sheets>
    <sheet name="Fermentation loss" sheetId="1" r:id="rId1"/>
    <sheet name="Aerobic loss" sheetId="4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4" i="4"/>
  <c r="W5"/>
  <c r="W3"/>
  <c r="H4"/>
  <c r="K4" s="1"/>
  <c r="I4"/>
  <c r="J4"/>
  <c r="M4"/>
  <c r="Q4" s="1"/>
  <c r="N4"/>
  <c r="R4" s="1"/>
  <c r="O4"/>
  <c r="S4" s="1"/>
  <c r="P4"/>
  <c r="T4" s="1"/>
  <c r="U4"/>
  <c r="V4" s="1"/>
  <c r="H5"/>
  <c r="K5" s="1"/>
  <c r="I5"/>
  <c r="J5"/>
  <c r="M5"/>
  <c r="Q5" s="1"/>
  <c r="N5"/>
  <c r="R5" s="1"/>
  <c r="O5"/>
  <c r="S5" s="1"/>
  <c r="P5"/>
  <c r="T5" s="1"/>
  <c r="U5"/>
  <c r="V5" s="1"/>
  <c r="AC3"/>
  <c r="AD3"/>
  <c r="AE3"/>
  <c r="AB3"/>
  <c r="X3"/>
  <c r="AA3" i="1"/>
  <c r="AB3"/>
  <c r="AC3"/>
  <c r="AA4"/>
  <c r="AB4"/>
  <c r="AC4"/>
  <c r="Z4"/>
  <c r="Z3"/>
  <c r="V3"/>
  <c r="Z3" i="4"/>
  <c r="Y3"/>
  <c r="AA3"/>
  <c r="V3"/>
  <c r="U3"/>
  <c r="S3"/>
  <c r="R3"/>
  <c r="Q3"/>
  <c r="P3"/>
  <c r="T3" s="1"/>
  <c r="O3"/>
  <c r="N3"/>
  <c r="M3"/>
  <c r="K3"/>
  <c r="J3"/>
  <c r="L3" s="1"/>
  <c r="I3"/>
  <c r="H3"/>
  <c r="Y3" i="1"/>
  <c r="Y4"/>
  <c r="V4"/>
  <c r="X3"/>
  <c r="X4"/>
  <c r="W4"/>
  <c r="W3"/>
  <c r="T4"/>
  <c r="T3"/>
  <c r="P4"/>
  <c r="P3"/>
  <c r="O3"/>
  <c r="Q3"/>
  <c r="Q4"/>
  <c r="S3"/>
  <c r="S4"/>
  <c r="R4"/>
  <c r="R3"/>
  <c r="M4"/>
  <c r="M3"/>
  <c r="U4"/>
  <c r="N3"/>
  <c r="N4"/>
  <c r="O4"/>
  <c r="J3"/>
  <c r="J4"/>
  <c r="I3"/>
  <c r="I4"/>
  <c r="U3"/>
  <c r="H3"/>
  <c r="H4"/>
  <c r="L5" i="4" l="1"/>
  <c r="AC5" s="1"/>
  <c r="Y4"/>
  <c r="AA4"/>
  <c r="L4"/>
  <c r="AC4" s="1"/>
  <c r="K3" i="1"/>
  <c r="L3" s="1"/>
  <c r="K4"/>
  <c r="L4" s="1"/>
  <c r="AD5" i="4" l="1"/>
  <c r="X5"/>
  <c r="Z5"/>
  <c r="AB5"/>
  <c r="AD4"/>
  <c r="AB4"/>
  <c r="Z4"/>
  <c r="X4"/>
  <c r="AE5"/>
  <c r="Y5"/>
  <c r="AA5"/>
  <c r="AE4"/>
</calcChain>
</file>

<file path=xl/sharedStrings.xml><?xml version="1.0" encoding="utf-8"?>
<sst xmlns="http://schemas.openxmlformats.org/spreadsheetml/2006/main" count="71" uniqueCount="28">
  <si>
    <t>DM density (kg/m3)</t>
  </si>
  <si>
    <t>P (atm)</t>
  </si>
  <si>
    <t>R (m3 atm/kg-mol)</t>
  </si>
  <si>
    <r>
      <t>T (</t>
    </r>
    <r>
      <rPr>
        <sz val="11"/>
        <color theme="1"/>
        <rFont val="Calibri"/>
        <family val="2"/>
      </rPr>
      <t>°C)</t>
    </r>
  </si>
  <si>
    <t>Wet density (kg/m3)</t>
  </si>
  <si>
    <t>DM content (kg/kg)</t>
  </si>
  <si>
    <t>Fermentation loss (kg/kg)</t>
  </si>
  <si>
    <t>Extreme</t>
  </si>
  <si>
    <t>Typical</t>
  </si>
  <si>
    <t>CO2 production (m3/m3)</t>
  </si>
  <si>
    <t>Water density (kg/m3)</t>
  </si>
  <si>
    <t>Total porosity (m3/m3)</t>
  </si>
  <si>
    <t>KH (mol/kg-atm)</t>
  </si>
  <si>
    <t>H (m3/kg)</t>
  </si>
  <si>
    <t>Gas porosity (m3/m3)</t>
  </si>
  <si>
    <t>Aq. porosity (m3/m3)</t>
  </si>
  <si>
    <t>O2 consumption (m3/m3)</t>
  </si>
  <si>
    <t>Air transfer (m3/m3)</t>
  </si>
  <si>
    <t>Acids</t>
  </si>
  <si>
    <t>Alcohols</t>
  </si>
  <si>
    <t>Aldehydes</t>
  </si>
  <si>
    <t>Esters</t>
  </si>
  <si>
    <t>Mi/Mt (kg/kg) simple</t>
  </si>
  <si>
    <t>Mi/Mt (kg/kg) declining</t>
  </si>
  <si>
    <t>Bad</t>
  </si>
  <si>
    <t>Aerobic deterioration loss (kg/kg)</t>
  </si>
  <si>
    <t>Gas exchanges</t>
  </si>
  <si>
    <t>Excellent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</si>
</sst>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X3" sqref="X3"/>
    </sheetView>
  </sheetViews>
  <sheetFormatPr defaultColWidth="9.140625" defaultRowHeight="15"/>
  <cols>
    <col min="1" max="1" width="8.42578125" style="2" bestFit="1" customWidth="1"/>
    <col min="2" max="2" width="5.7109375" style="2" customWidth="1"/>
    <col min="3" max="3" width="11" style="2" bestFit="1" customWidth="1"/>
    <col min="4" max="4" width="11.28515625" style="2" bestFit="1" customWidth="1"/>
    <col min="5" max="5" width="5.85546875" style="2" bestFit="1" customWidth="1"/>
    <col min="6" max="6" width="12.140625" style="2" bestFit="1" customWidth="1"/>
    <col min="7" max="7" width="13.28515625" style="2" customWidth="1"/>
    <col min="8" max="8" width="11.7109375" style="2" bestFit="1" customWidth="1"/>
    <col min="9" max="9" width="13.5703125" style="2" bestFit="1" customWidth="1"/>
    <col min="10" max="10" width="13.28515625" style="2" bestFit="1" customWidth="1"/>
    <col min="11" max="11" width="11.7109375" style="2" bestFit="1" customWidth="1"/>
    <col min="12" max="12" width="11.85546875" style="2" bestFit="1" customWidth="1"/>
    <col min="13" max="13" width="9.5703125" style="6" bestFit="1" customWidth="1"/>
    <col min="14" max="14" width="8.5703125" style="2" bestFit="1" customWidth="1"/>
    <col min="15" max="15" width="10.42578125" style="2" bestFit="1" customWidth="1"/>
    <col min="16" max="16" width="6.5703125" style="6" bestFit="1" customWidth="1"/>
    <col min="17" max="17" width="8.5703125" style="6" bestFit="1" customWidth="1"/>
    <col min="18" max="18" width="8.5703125" style="2" bestFit="1" customWidth="1"/>
    <col min="19" max="19" width="10.42578125" style="2" bestFit="1" customWidth="1"/>
    <col min="20" max="20" width="6.5703125" style="6" bestFit="1" customWidth="1"/>
    <col min="21" max="21" width="14.85546875" style="2" bestFit="1" customWidth="1"/>
    <col min="22" max="22" width="6.5703125" style="2" bestFit="1" customWidth="1"/>
    <col min="23" max="23" width="8.85546875" style="2" customWidth="1"/>
    <col min="24" max="24" width="10.140625" style="2" customWidth="1"/>
    <col min="25" max="25" width="6.5703125" style="2" bestFit="1" customWidth="1"/>
    <col min="26" max="16384" width="9.140625" style="2"/>
  </cols>
  <sheetData>
    <row r="1" spans="1:29" ht="30" customHeight="1">
      <c r="M1" s="11" t="s">
        <v>12</v>
      </c>
      <c r="N1" s="11"/>
      <c r="O1" s="11"/>
      <c r="P1" s="11"/>
      <c r="Q1" s="11" t="s">
        <v>13</v>
      </c>
      <c r="R1" s="11"/>
      <c r="S1" s="11"/>
      <c r="T1" s="11"/>
      <c r="V1" s="10" t="s">
        <v>22</v>
      </c>
      <c r="W1" s="10"/>
      <c r="X1" s="10"/>
      <c r="Y1" s="10"/>
      <c r="Z1" s="10" t="s">
        <v>23</v>
      </c>
      <c r="AA1" s="10"/>
      <c r="AB1" s="10"/>
      <c r="AC1" s="10"/>
    </row>
    <row r="2" spans="1:29" s="1" customFormat="1" ht="30" customHeight="1">
      <c r="B2" s="1" t="s">
        <v>3</v>
      </c>
      <c r="C2" s="1" t="s">
        <v>0</v>
      </c>
      <c r="D2" s="1" t="s">
        <v>5</v>
      </c>
      <c r="E2" s="1" t="s">
        <v>1</v>
      </c>
      <c r="F2" s="1" t="s">
        <v>2</v>
      </c>
      <c r="G2" s="1" t="s">
        <v>6</v>
      </c>
      <c r="H2" s="1" t="s">
        <v>4</v>
      </c>
      <c r="I2" s="1" t="s">
        <v>10</v>
      </c>
      <c r="J2" s="1" t="s">
        <v>11</v>
      </c>
      <c r="K2" s="1" t="s">
        <v>15</v>
      </c>
      <c r="L2" s="1" t="s">
        <v>14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18</v>
      </c>
      <c r="R2" s="5" t="s">
        <v>19</v>
      </c>
      <c r="S2" s="5" t="s">
        <v>20</v>
      </c>
      <c r="T2" s="5" t="s">
        <v>21</v>
      </c>
      <c r="U2" s="1" t="s">
        <v>9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18</v>
      </c>
      <c r="AA2" s="5" t="s">
        <v>19</v>
      </c>
      <c r="AB2" s="5" t="s">
        <v>20</v>
      </c>
      <c r="AC2" s="5" t="s">
        <v>21</v>
      </c>
    </row>
    <row r="3" spans="1:29">
      <c r="A3" s="2" t="s">
        <v>8</v>
      </c>
      <c r="B3" s="2">
        <v>20</v>
      </c>
      <c r="C3" s="2">
        <v>150</v>
      </c>
      <c r="D3" s="2">
        <v>0.35</v>
      </c>
      <c r="E3" s="2">
        <v>1</v>
      </c>
      <c r="F3" s="3">
        <v>8.2057000000000004E-5</v>
      </c>
      <c r="G3" s="4">
        <v>0.04</v>
      </c>
      <c r="H3" s="8">
        <f>C3/D3</f>
        <v>428.57142857142861</v>
      </c>
      <c r="I3" s="8">
        <f>999.887 + 0.048915899*B3 - 0.00740977565*B3^2 + 0.00003998247*B3^3 - 0.000000123288498*B3^4</f>
        <v>998.20154132031996</v>
      </c>
      <c r="J3" s="8">
        <f>1-C3/1600</f>
        <v>0.90625</v>
      </c>
      <c r="K3" s="8">
        <f>(1-D3)*H3/I3</f>
        <v>0.27907333042479832</v>
      </c>
      <c r="L3" s="8">
        <f>J3-K3</f>
        <v>0.62717666957520168</v>
      </c>
      <c r="M3" s="8">
        <f>10^(-5.439+2716/(B3+273.15))</f>
        <v>6697.0179041594511</v>
      </c>
      <c r="N3" s="8">
        <f>10^(-6.852+2713/(B3+273.15))</f>
        <v>252.724759094663</v>
      </c>
      <c r="O3" s="8">
        <f>10^(-7.524+2573/(B3+273.15))</f>
        <v>17.909216309862881</v>
      </c>
      <c r="P3" s="8">
        <f>10^(-6.884+2283/(B3+273.15))</f>
        <v>8.0134943334493478</v>
      </c>
      <c r="Q3" s="8">
        <f t="shared" ref="Q3:T4" si="0">M3*$F3*($B3+273.15)</f>
        <v>161.09682964107657</v>
      </c>
      <c r="R3" s="8">
        <f t="shared" si="0"/>
        <v>6.0792964935435672</v>
      </c>
      <c r="S3" s="8">
        <f t="shared" si="0"/>
        <v>0.43080636936676736</v>
      </c>
      <c r="T3" s="8">
        <f t="shared" si="0"/>
        <v>0.19276468271999492</v>
      </c>
      <c r="U3" s="8">
        <f>G3*C3/0.044*F3*(273.15+B3)/E3</f>
        <v>3.2802285750000002</v>
      </c>
      <c r="V3" s="8">
        <f t="shared" ref="V3:Y4" si="1">$G3*$C3/0.044*$F3*($B3+273.15)/$E3*1/(Q3*$H3*(1-$D3)+$L3)</f>
        <v>7.3092778826881985E-5</v>
      </c>
      <c r="W3" s="8">
        <f t="shared" si="1"/>
        <v>1.9362142170846481E-3</v>
      </c>
      <c r="X3" s="8">
        <f t="shared" si="1"/>
        <v>2.7190782015005192E-2</v>
      </c>
      <c r="Y3" s="8">
        <f t="shared" si="1"/>
        <v>6.0380554919909797E-2</v>
      </c>
      <c r="Z3" s="8">
        <f>1-EXP(-($G3*$C3/0.044*$F3*($B3+273.15)/$E3*1/(Q3*$H3*(1-$D3)+$L3)))</f>
        <v>7.3090107614803834E-5</v>
      </c>
      <c r="AA3" s="8">
        <f t="shared" ref="AA3:AC4" si="2">1-EXP(-($G3*$C3/0.044*$F3*($B3+273.15)/$E3*1/(R3*$H3*(1-$D3)+$L3)))</f>
        <v>1.9343409635391717E-3</v>
      </c>
      <c r="AB3" s="8">
        <f t="shared" si="2"/>
        <v>2.6824440581682762E-2</v>
      </c>
      <c r="AC3" s="8">
        <f t="shared" si="2"/>
        <v>5.8593791356919223E-2</v>
      </c>
    </row>
    <row r="4" spans="1:29">
      <c r="A4" s="2" t="s">
        <v>7</v>
      </c>
      <c r="B4" s="2">
        <v>35</v>
      </c>
      <c r="C4" s="2">
        <v>150</v>
      </c>
      <c r="D4" s="2">
        <v>0.45</v>
      </c>
      <c r="E4" s="2">
        <v>1</v>
      </c>
      <c r="F4" s="3">
        <v>8.2057000000000004E-5</v>
      </c>
      <c r="G4" s="4">
        <v>0.06</v>
      </c>
      <c r="H4" s="8">
        <f>C4/D4</f>
        <v>333.33333333333331</v>
      </c>
      <c r="I4" s="8">
        <f>999.887 + 0.048915899*B4 - 0.00740977565*B4^2 + 0.00003998247*B4^3 - 0.000000123288498*B4^4</f>
        <v>994.05131989268875</v>
      </c>
      <c r="J4" s="8">
        <f>1-C4/1600</f>
        <v>0.90625</v>
      </c>
      <c r="K4" s="8">
        <f>(1-D4)*H4/I4</f>
        <v>0.18443045108890838</v>
      </c>
      <c r="L4" s="8">
        <f>J4-K4</f>
        <v>0.72181954891109168</v>
      </c>
      <c r="M4" s="8">
        <f>10^(-5.439+2716/(B4+273.15))</f>
        <v>2370.7695448293107</v>
      </c>
      <c r="N4" s="8">
        <f>10^(-6.852+2713/(B4+273.15))</f>
        <v>89.568194772336653</v>
      </c>
      <c r="O4" s="8">
        <f>10^(-7.524+2573/(B4+273.15))</f>
        <v>6.6962186854446957</v>
      </c>
      <c r="P4" s="8">
        <f>10^(-6.884+2283/(B4+273.15))</f>
        <v>3.347568825832218</v>
      </c>
      <c r="Q4" s="8">
        <f t="shared" si="0"/>
        <v>59.9469575898191</v>
      </c>
      <c r="R4" s="8">
        <f t="shared" si="0"/>
        <v>2.2648092410013225</v>
      </c>
      <c r="S4" s="8">
        <f t="shared" si="0"/>
        <v>0.16931967867733361</v>
      </c>
      <c r="T4" s="8">
        <f t="shared" si="0"/>
        <v>8.4646171901796005E-2</v>
      </c>
      <c r="U4" s="8">
        <f>G4*C4/0.044*F4*(273.15+B4)/E4</f>
        <v>5.1721086579545457</v>
      </c>
      <c r="V4" s="8">
        <f t="shared" si="1"/>
        <v>4.7057682576257231E-4</v>
      </c>
      <c r="W4" s="8">
        <f t="shared" si="1"/>
        <v>1.2434841237174839E-2</v>
      </c>
      <c r="X4" s="8">
        <f t="shared" si="1"/>
        <v>0.16283048838622477</v>
      </c>
      <c r="Y4" s="8">
        <f t="shared" si="1"/>
        <v>0.31847401999482605</v>
      </c>
      <c r="Z4" s="8">
        <f>1-EXP(-($G4*$C4/0.044*$F4*($B4+273.15)/$E4*1/(Q4*$H4*(1-$D4)+$L4)))</f>
        <v>4.7046612185364101E-4</v>
      </c>
      <c r="AA4" s="8">
        <f t="shared" si="2"/>
        <v>1.2357848061937293E-2</v>
      </c>
      <c r="AB4" s="8">
        <f t="shared" si="2"/>
        <v>0.1502647838051665</v>
      </c>
      <c r="AC4" s="8">
        <f t="shared" si="2"/>
        <v>0.27274202812398074</v>
      </c>
    </row>
  </sheetData>
  <mergeCells count="4">
    <mergeCell ref="Z1:AC1"/>
    <mergeCell ref="M1:P1"/>
    <mergeCell ref="Q1:T1"/>
    <mergeCell ref="V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5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9" sqref="J9"/>
    </sheetView>
  </sheetViews>
  <sheetFormatPr defaultColWidth="9.140625" defaultRowHeight="15"/>
  <cols>
    <col min="1" max="1" width="8.42578125" style="6" bestFit="1" customWidth="1"/>
    <col min="2" max="2" width="5.7109375" style="6" customWidth="1"/>
    <col min="3" max="3" width="11" style="6" bestFit="1" customWidth="1"/>
    <col min="4" max="4" width="11.28515625" style="6" bestFit="1" customWidth="1"/>
    <col min="5" max="5" width="5.85546875" style="6" bestFit="1" customWidth="1"/>
    <col min="6" max="6" width="12.140625" style="6" bestFit="1" customWidth="1"/>
    <col min="7" max="7" width="21.85546875" style="6" customWidth="1"/>
    <col min="8" max="8" width="11.7109375" style="6" bestFit="1" customWidth="1"/>
    <col min="9" max="9" width="13.5703125" style="6" bestFit="1" customWidth="1"/>
    <col min="10" max="10" width="13.28515625" style="6" bestFit="1" customWidth="1"/>
    <col min="11" max="11" width="11.7109375" style="6" bestFit="1" customWidth="1"/>
    <col min="12" max="12" width="11.85546875" style="6" bestFit="1" customWidth="1"/>
    <col min="13" max="13" width="9.5703125" style="6" bestFit="1" customWidth="1"/>
    <col min="14" max="14" width="8.5703125" style="6" bestFit="1" customWidth="1"/>
    <col min="15" max="15" width="10.42578125" style="6" bestFit="1" customWidth="1"/>
    <col min="16" max="16" width="6.5703125" style="6" bestFit="1" customWidth="1"/>
    <col min="17" max="18" width="8.5703125" style="6" bestFit="1" customWidth="1"/>
    <col min="19" max="19" width="10.42578125" style="6" bestFit="1" customWidth="1"/>
    <col min="20" max="20" width="6.5703125" style="6" bestFit="1" customWidth="1"/>
    <col min="21" max="21" width="15.5703125" style="6" bestFit="1" customWidth="1"/>
    <col min="22" max="22" width="15.5703125" style="6" customWidth="1"/>
    <col min="23" max="23" width="11.7109375" style="6" bestFit="1" customWidth="1"/>
    <col min="24" max="24" width="6.5703125" style="6" bestFit="1" customWidth="1"/>
    <col min="25" max="25" width="8.85546875" style="6" customWidth="1"/>
    <col min="26" max="26" width="10.140625" style="6" customWidth="1"/>
    <col min="27" max="27" width="6.5703125" style="6" bestFit="1" customWidth="1"/>
    <col min="28" max="29" width="9.140625" style="6"/>
    <col min="30" max="30" width="11.42578125" style="6" customWidth="1"/>
    <col min="31" max="16384" width="9.140625" style="6"/>
  </cols>
  <sheetData>
    <row r="1" spans="1:31" ht="30" customHeight="1">
      <c r="M1" s="11" t="s">
        <v>12</v>
      </c>
      <c r="N1" s="11"/>
      <c r="O1" s="11"/>
      <c r="P1" s="11"/>
      <c r="Q1" s="11" t="s">
        <v>13</v>
      </c>
      <c r="R1" s="11"/>
      <c r="S1" s="11"/>
      <c r="T1" s="11"/>
      <c r="X1" s="10" t="s">
        <v>22</v>
      </c>
      <c r="Y1" s="10"/>
      <c r="Z1" s="10"/>
      <c r="AA1" s="10"/>
      <c r="AB1" s="10" t="s">
        <v>23</v>
      </c>
      <c r="AC1" s="10"/>
      <c r="AD1" s="10"/>
      <c r="AE1" s="10"/>
    </row>
    <row r="2" spans="1:31" s="5" customFormat="1" ht="30" customHeight="1">
      <c r="B2" s="5" t="s">
        <v>3</v>
      </c>
      <c r="C2" s="5" t="s">
        <v>0</v>
      </c>
      <c r="D2" s="5" t="s">
        <v>5</v>
      </c>
      <c r="E2" s="5" t="s">
        <v>1</v>
      </c>
      <c r="F2" s="5" t="s">
        <v>2</v>
      </c>
      <c r="G2" s="5" t="s">
        <v>25</v>
      </c>
      <c r="H2" s="5" t="s">
        <v>4</v>
      </c>
      <c r="I2" s="5" t="s">
        <v>10</v>
      </c>
      <c r="J2" s="5" t="s">
        <v>11</v>
      </c>
      <c r="K2" s="5" t="s">
        <v>15</v>
      </c>
      <c r="L2" s="5" t="s">
        <v>14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16</v>
      </c>
      <c r="V2" s="5" t="s">
        <v>17</v>
      </c>
      <c r="W2" s="5" t="s">
        <v>26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18</v>
      </c>
      <c r="AC2" s="5" t="s">
        <v>19</v>
      </c>
      <c r="AD2" s="5" t="s">
        <v>20</v>
      </c>
      <c r="AE2" s="5" t="s">
        <v>21</v>
      </c>
    </row>
    <row r="3" spans="1:31">
      <c r="A3" s="7" t="s">
        <v>27</v>
      </c>
      <c r="B3" s="6">
        <v>20</v>
      </c>
      <c r="C3" s="6">
        <v>150</v>
      </c>
      <c r="D3" s="6">
        <v>0.35</v>
      </c>
      <c r="E3" s="6">
        <v>1</v>
      </c>
      <c r="F3" s="3">
        <v>8.2057000000000004E-5</v>
      </c>
      <c r="G3" s="9">
        <v>3.0000000000000001E-3</v>
      </c>
      <c r="H3" s="8">
        <f>C3/D3</f>
        <v>428.57142857142861</v>
      </c>
      <c r="I3" s="8">
        <f>999.887 + 0.048915899*B3 - 0.00740977565*B3^2 + 0.00003998247*B3^3 - 0.000000123288498*B3^4</f>
        <v>998.20154132031996</v>
      </c>
      <c r="J3" s="8">
        <f>1-C3/1600</f>
        <v>0.90625</v>
      </c>
      <c r="K3" s="8">
        <f>(1-D3)*H3/I3</f>
        <v>0.27907333042479832</v>
      </c>
      <c r="L3" s="8">
        <f>J3-K3</f>
        <v>0.62717666957520168</v>
      </c>
      <c r="M3" s="8">
        <f>10^(-5.439+2716/(B3+273.15))</f>
        <v>6697.0179041594511</v>
      </c>
      <c r="N3" s="8">
        <f>10^(-6.852+2713/(B3+273.15))</f>
        <v>252.724759094663</v>
      </c>
      <c r="O3" s="8">
        <f>10^(-7.524+2573/(B3+273.15))</f>
        <v>17.909216309862881</v>
      </c>
      <c r="P3" s="8">
        <f>10^(-6.884+2283/(B3+273.15))</f>
        <v>8.0134943334493478</v>
      </c>
      <c r="Q3" s="8">
        <f t="shared" ref="Q3:T5" si="0">M3*$F3*($B3+273.15)</f>
        <v>161.09682964107657</v>
      </c>
      <c r="R3" s="8">
        <f t="shared" si="0"/>
        <v>6.0792964935435672</v>
      </c>
      <c r="S3" s="8">
        <f t="shared" si="0"/>
        <v>0.43080636936676736</v>
      </c>
      <c r="T3" s="8">
        <f t="shared" si="0"/>
        <v>0.19276468271999492</v>
      </c>
      <c r="U3" s="8">
        <f>G3*C3/0.03*F3*(273.15+B3)/E3</f>
        <v>0.36082514324999998</v>
      </c>
      <c r="V3" s="8">
        <f>U3/0.21</f>
        <v>1.7182149678571428</v>
      </c>
      <c r="W3" s="8">
        <f>V3/L3</f>
        <v>2.7396028124275116</v>
      </c>
      <c r="X3" s="8">
        <f>$G3*$C3/0.03*$F3*($B3+273.15)/$E3/0.21*1/(Q3*$H3*(1-$D3)+$L3)</f>
        <v>3.8286693671223895E-5</v>
      </c>
      <c r="Y3" s="8">
        <f>$G3*$C3/0.03*$F3*($B3+273.15)/$E3/0.21*1/(R3*$H3*(1-$D3)+$L3)</f>
        <v>1.0142074470443393E-3</v>
      </c>
      <c r="Z3" s="8">
        <f>$G3*$C3/0.03*$F3*($B3+273.15)/$E3/0.21*1/(S3*$H3*(1-$D3)+$L3)</f>
        <v>1.4242790579288433E-2</v>
      </c>
      <c r="AA3" s="8">
        <f>$G3*$C3/0.03*$F3*($B3+273.15)/$E3/0.21*1/(T3*$H3*(1-$D3)+$L3)</f>
        <v>3.1627909719952746E-2</v>
      </c>
      <c r="AB3" s="8">
        <f>1-EXP(-($G3*$C3/0.03*$F3*($B3+273.15)/$E3/0.21*1/(Q3*$H3*(1-$D3)+$L3)))</f>
        <v>3.8285960745176872E-5</v>
      </c>
      <c r="AC3" s="8">
        <f>1-EXP(-($G3*$C3/0.03*$F3*($B3+273.15)/$E3/0.21*1/(R3*$H3*(1-$D3)+$L3)))</f>
        <v>1.0136933124992309E-3</v>
      </c>
      <c r="AD3" s="8">
        <f>1-EXP(-($G3*$C3/0.03*$F3*($B3+273.15)/$E3/0.21*1/(S3*$H3*(1-$D3)+$L3)))</f>
        <v>1.4141841869619753E-2</v>
      </c>
      <c r="AE3" s="8">
        <f>1-EXP(-($G3*$C3/0.03*$F3*($B3+273.15)/$E3/0.21*1/(T3*$H3*(1-$D3)+$L3)))</f>
        <v>3.1132978981694648E-2</v>
      </c>
    </row>
    <row r="4" spans="1:31">
      <c r="A4" s="6" t="s">
        <v>8</v>
      </c>
      <c r="B4" s="6">
        <v>20</v>
      </c>
      <c r="C4" s="6">
        <v>150</v>
      </c>
      <c r="D4" s="6">
        <v>0.35</v>
      </c>
      <c r="E4" s="6">
        <v>1</v>
      </c>
      <c r="F4" s="3">
        <v>8.2057000000000004E-5</v>
      </c>
      <c r="G4" s="4">
        <v>0.05</v>
      </c>
      <c r="H4" s="8">
        <f>C4/D4</f>
        <v>428.57142857142861</v>
      </c>
      <c r="I4" s="8">
        <f>999.887 + 0.048915899*B4 - 0.00740977565*B4^2 + 0.00003998247*B4^3 - 0.000000123288498*B4^4</f>
        <v>998.20154132031996</v>
      </c>
      <c r="J4" s="8">
        <f>1-C4/1600</f>
        <v>0.90625</v>
      </c>
      <c r="K4" s="8">
        <f>(1-D4)*H4/I4</f>
        <v>0.27907333042479832</v>
      </c>
      <c r="L4" s="8">
        <f>J4-K4</f>
        <v>0.62717666957520168</v>
      </c>
      <c r="M4" s="8">
        <f>10^(-5.439+2716/(B4+273.15))</f>
        <v>6697.0179041594511</v>
      </c>
      <c r="N4" s="8">
        <f>10^(-6.852+2713/(B4+273.15))</f>
        <v>252.724759094663</v>
      </c>
      <c r="O4" s="8">
        <f>10^(-7.524+2573/(B4+273.15))</f>
        <v>17.909216309862881</v>
      </c>
      <c r="P4" s="8">
        <f>10^(-6.884+2283/(B4+273.15))</f>
        <v>8.0134943334493478</v>
      </c>
      <c r="Q4" s="8">
        <f t="shared" si="0"/>
        <v>161.09682964107657</v>
      </c>
      <c r="R4" s="8">
        <f t="shared" si="0"/>
        <v>6.0792964935435672</v>
      </c>
      <c r="S4" s="8">
        <f t="shared" si="0"/>
        <v>0.43080636936676736</v>
      </c>
      <c r="T4" s="8">
        <f t="shared" si="0"/>
        <v>0.19276468271999492</v>
      </c>
      <c r="U4" s="8">
        <f>G4*C4/0.03*F4*(273.15+B4)/E4</f>
        <v>6.0137523875000003</v>
      </c>
      <c r="V4" s="8">
        <f>U4/0.21</f>
        <v>28.636916130952383</v>
      </c>
      <c r="W4" s="8">
        <f t="shared" ref="W4:W5" si="1">V4/L4</f>
        <v>45.66004687379187</v>
      </c>
      <c r="X4" s="8">
        <f>$G4*$C4/0.03*$F4*($B4+273.15)/$E4/0.21*1/(Q4*$H4*(1-$D4)+$L4)</f>
        <v>6.3811156118706504E-4</v>
      </c>
      <c r="Y4" s="8">
        <f t="shared" ref="Y4:Y5" si="2">$G4*$C4/0.03*$F4*($B4+273.15)/$E4/0.21*1/(R4*$H4*(1-$D4)+$L4)</f>
        <v>1.6903457450738991E-2</v>
      </c>
      <c r="Z4" s="8">
        <f>$G4*$C4/0.03*$F4*($B4+273.15)/$E4/0.21*1/(S4*$H4*(1-$D4)+$L4)</f>
        <v>0.23737984298814058</v>
      </c>
      <c r="AA4" s="8">
        <f t="shared" ref="AA4:AA5" si="3">$G4*$C4/0.03*$F4*($B4+273.15)/$E4/0.21*1/(T4*$H4*(1-$D4)+$L4)</f>
        <v>0.52713182866587915</v>
      </c>
      <c r="AB4" s="8">
        <f>1-EXP(-($G4*$C4/0.03*$F4*($B4+273.15)/$E4/0.21*1/(Q4*$H4*(1-$D4)+$L4)))</f>
        <v>6.3790801130292341E-4</v>
      </c>
      <c r="AC4" s="8">
        <f t="shared" ref="AC4:AC5" si="4">1-EXP(-($G4*$C4/0.03*$F4*($B4+273.15)/$E4/0.21*1/(R4*$H4*(1-$D4)+$L4)))</f>
        <v>1.676139558566081E-2</v>
      </c>
      <c r="AD4" s="8">
        <f t="shared" ref="AD4:AD5" si="5">1-EXP(-($G4*$C4/0.03*$F4*($B4+273.15)/$E4/0.21*1/(S4*$H4*(1-$D4)+$L4)))</f>
        <v>0.21130834787994779</v>
      </c>
      <c r="AE4" s="8">
        <f t="shared" ref="AE4:AE5" si="6">1-EXP(-($G4*$C4/0.03*$F4*($B4+273.15)/$E4/0.21*1/(T4*$H4*(1-$D4)+$L4)))</f>
        <v>0.40970438705220458</v>
      </c>
    </row>
    <row r="5" spans="1:31">
      <c r="A5" s="6" t="s">
        <v>24</v>
      </c>
      <c r="B5" s="6">
        <v>35</v>
      </c>
      <c r="C5" s="6">
        <v>150</v>
      </c>
      <c r="D5" s="6">
        <v>0.45</v>
      </c>
      <c r="E5" s="6">
        <v>1</v>
      </c>
      <c r="F5" s="3">
        <v>8.2057000000000004E-5</v>
      </c>
      <c r="G5" s="4">
        <v>0.15</v>
      </c>
      <c r="H5" s="8">
        <f>C5/D5</f>
        <v>333.33333333333331</v>
      </c>
      <c r="I5" s="8">
        <f>999.887 + 0.048915899*B5 - 0.00740977565*B5^2 + 0.00003998247*B5^3 - 0.000000123288498*B5^4</f>
        <v>994.05131989268875</v>
      </c>
      <c r="J5" s="8">
        <f>1-C5/1600</f>
        <v>0.90625</v>
      </c>
      <c r="K5" s="8">
        <f>(1-D5)*H5/I5</f>
        <v>0.18443045108890838</v>
      </c>
      <c r="L5" s="8">
        <f>J5-K5</f>
        <v>0.72181954891109168</v>
      </c>
      <c r="M5" s="8">
        <f>10^(-5.439+2716/(B5+273.15))</f>
        <v>2370.7695448293107</v>
      </c>
      <c r="N5" s="8">
        <f>10^(-6.852+2713/(B5+273.15))</f>
        <v>89.568194772336653</v>
      </c>
      <c r="O5" s="8">
        <f>10^(-7.524+2573/(B5+273.15))</f>
        <v>6.6962186854446957</v>
      </c>
      <c r="P5" s="8">
        <f>10^(-6.884+2283/(B5+273.15))</f>
        <v>3.347568825832218</v>
      </c>
      <c r="Q5" s="8">
        <f t="shared" si="0"/>
        <v>59.9469575898191</v>
      </c>
      <c r="R5" s="8">
        <f t="shared" si="0"/>
        <v>2.2648092410013225</v>
      </c>
      <c r="S5" s="8">
        <f t="shared" si="0"/>
        <v>0.16931967867733361</v>
      </c>
      <c r="T5" s="8">
        <f t="shared" si="0"/>
        <v>8.4646171901796005E-2</v>
      </c>
      <c r="U5" s="8">
        <f>G5*C5/0.03*F5*(273.15+B5)/E5</f>
        <v>18.9643984125</v>
      </c>
      <c r="V5" s="8">
        <f>U5/0.21</f>
        <v>90.306659107142863</v>
      </c>
      <c r="W5" s="8">
        <f t="shared" si="1"/>
        <v>125.10974417827268</v>
      </c>
      <c r="X5" s="8">
        <f>$G5*$C5/0.03*$F5*($B5+273.15)/$E5/0.21*1/(Q5*$H5*(1-$D5)+$L5)</f>
        <v>8.21642076728301E-3</v>
      </c>
      <c r="Y5" s="8">
        <f t="shared" si="2"/>
        <v>0.21711627556971944</v>
      </c>
      <c r="Z5" s="8">
        <f t="shared" ref="Z5" si="7">$G5*$C5/0.03*$F5*($B5+273.15)/$E5/0.21*1/(S5*$H5*(1-$D5)+$L5)</f>
        <v>2.8430720194420198</v>
      </c>
      <c r="AA5" s="8">
        <f t="shared" si="3"/>
        <v>5.5606574919731537</v>
      </c>
      <c r="AB5" s="8">
        <f>1-EXP(-($G5*$C5/0.03*$F5*($B5+273.15)/$E5/0.21*1/(Q5*$H5*(1-$D5)+$L5)))</f>
        <v>8.1827582404236932E-3</v>
      </c>
      <c r="AC5" s="8">
        <f t="shared" si="4"/>
        <v>0.19516361894464473</v>
      </c>
      <c r="AD5" s="8">
        <f t="shared" si="5"/>
        <v>0.94175354340897754</v>
      </c>
      <c r="AE5" s="8">
        <f t="shared" si="6"/>
        <v>0.99615375331025491</v>
      </c>
    </row>
  </sheetData>
  <mergeCells count="4">
    <mergeCell ref="M1:P1"/>
    <mergeCell ref="Q1:T1"/>
    <mergeCell ref="X1:AA1"/>
    <mergeCell ref="AB1:A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Fermentation loss</vt:lpstr>
      <vt:lpstr>Aerobic loss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Hafner</dc:creator>
  <cp:lastModifiedBy>Change preferred owner in ~/.wine/system.reg</cp:lastModifiedBy>
  <dcterms:created xsi:type="dcterms:W3CDTF">2010-08-20T16:13:20Z</dcterms:created>
  <dcterms:modified xsi:type="dcterms:W3CDTF">2012-06-08T02:03:13Z</dcterms:modified>
</cp:coreProperties>
</file>