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sha\Git-repos\unit-converter\"/>
    </mc:Choice>
  </mc:AlternateContent>
  <xr:revisionPtr revIDLastSave="0" documentId="13_ncr:1_{8A30C500-9B89-41A4-874A-03CFA90EBD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gular" sheetId="10" r:id="rId1"/>
    <sheet name="Complex" sheetId="3" r:id="rId2"/>
    <sheet name="S" sheetId="4" r:id="rId3"/>
    <sheet name="D" sheetId="7" r:id="rId4"/>
    <sheet name="F" sheetId="2" r:id="rId5"/>
    <sheet name="C" sheetId="6" r:id="rId6"/>
    <sheet name="Er" sheetId="12" state="hidden" r:id="rId7"/>
    <sheet name="Ec" sheetId="8" state="hidden" r:id="rId8"/>
    <sheet name="Calcr" sheetId="9" state="hidden" r:id="rId9"/>
    <sheet name="Calcc" sheetId="11" state="hidden" r:id="rId10"/>
  </sheets>
  <definedNames>
    <definedName name="_xlnm._FilterDatabase" localSheetId="5" hidden="1">'C'!$A$3:$A$41</definedName>
    <definedName name="Constants">'C'!$A$3:$A$41</definedName>
    <definedName name="Prefixes">S!$A$3:$A$27</definedName>
    <definedName name="Units">F!$A$3:$A$77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6" l="1"/>
  <c r="B9" i="12"/>
  <c r="C9" i="12" s="1"/>
  <c r="B26" i="4"/>
  <c r="B25" i="4"/>
  <c r="B4" i="4"/>
  <c r="B5" i="4"/>
  <c r="B3" i="12"/>
  <c r="C28" i="10" s="1"/>
  <c r="B10" i="12"/>
  <c r="C10" i="12" s="1"/>
  <c r="B8" i="12"/>
  <c r="C8" i="12" s="1"/>
  <c r="B7" i="12"/>
  <c r="C7" i="12" s="1"/>
  <c r="B5" i="12"/>
  <c r="B2" i="12"/>
  <c r="C2" i="12" s="1"/>
  <c r="B4" i="12"/>
  <c r="B3" i="9"/>
  <c r="E35" i="6"/>
  <c r="G66" i="2"/>
  <c r="G65" i="2"/>
  <c r="G64" i="2"/>
  <c r="G63" i="2"/>
  <c r="E8" i="6"/>
  <c r="G48" i="2"/>
  <c r="E34" i="6"/>
  <c r="E25" i="6"/>
  <c r="E39" i="6"/>
  <c r="E38" i="6"/>
  <c r="E37" i="6"/>
  <c r="E36" i="6"/>
  <c r="E33" i="6"/>
  <c r="G38" i="2"/>
  <c r="E32" i="6"/>
  <c r="G49" i="2"/>
  <c r="G53" i="2"/>
  <c r="B3" i="8"/>
  <c r="C3" i="8" s="1"/>
  <c r="B8" i="8"/>
  <c r="C8" i="8" s="1"/>
  <c r="G8" i="2"/>
  <c r="G24" i="2"/>
  <c r="G4" i="2"/>
  <c r="G22" i="2"/>
  <c r="B9" i="8"/>
  <c r="C9" i="8" s="1"/>
  <c r="B11" i="8"/>
  <c r="C11" i="8" s="1"/>
  <c r="B10" i="8"/>
  <c r="C10" i="8" s="1"/>
  <c r="B2" i="8"/>
  <c r="C2" i="8" s="1"/>
  <c r="B6" i="8"/>
  <c r="B4" i="8"/>
  <c r="B5" i="8"/>
  <c r="G29" i="2"/>
  <c r="G28" i="2"/>
  <c r="B3" i="4"/>
  <c r="B3" i="11" s="1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7" i="4"/>
  <c r="E30" i="6"/>
  <c r="C30" i="6"/>
  <c r="E31" i="6"/>
  <c r="G74" i="2"/>
  <c r="G72" i="2"/>
  <c r="G73" i="2" s="1"/>
  <c r="E27" i="6"/>
  <c r="E7" i="6"/>
  <c r="E29" i="6"/>
  <c r="E16" i="6"/>
  <c r="E17" i="6"/>
  <c r="E18" i="6"/>
  <c r="E19" i="6"/>
  <c r="E20" i="6"/>
  <c r="E21" i="6"/>
  <c r="E22" i="6"/>
  <c r="E23" i="6"/>
  <c r="E24" i="6"/>
  <c r="E26" i="6"/>
  <c r="E28" i="6"/>
  <c r="E9" i="6"/>
  <c r="E10" i="6"/>
  <c r="E11" i="6"/>
  <c r="E12" i="6"/>
  <c r="E13" i="6"/>
  <c r="E14" i="6"/>
  <c r="E15" i="6"/>
  <c r="E6" i="6"/>
  <c r="E5" i="6"/>
  <c r="G56" i="2"/>
  <c r="G47" i="2"/>
  <c r="G34" i="2"/>
  <c r="G76" i="2"/>
  <c r="E4" i="6"/>
  <c r="G75" i="2"/>
  <c r="G14" i="2"/>
  <c r="G21" i="2"/>
  <c r="G62" i="2"/>
  <c r="G57" i="2"/>
  <c r="G58" i="2"/>
  <c r="G59" i="2"/>
  <c r="G60" i="2"/>
  <c r="G61" i="2"/>
  <c r="G55" i="2"/>
  <c r="G54" i="2"/>
  <c r="G50" i="2"/>
  <c r="G51" i="2"/>
  <c r="G52" i="2"/>
  <c r="G43" i="2"/>
  <c r="G44" i="2"/>
  <c r="G45" i="2"/>
  <c r="G46" i="2"/>
  <c r="G42" i="2"/>
  <c r="G35" i="2"/>
  <c r="G36" i="2"/>
  <c r="G37" i="2"/>
  <c r="G39" i="2"/>
  <c r="G40" i="2"/>
  <c r="G41" i="2"/>
  <c r="G32" i="2"/>
  <c r="G33" i="2"/>
  <c r="G30" i="2"/>
  <c r="G31" i="2"/>
  <c r="G23" i="2"/>
  <c r="G25" i="2"/>
  <c r="G26" i="2"/>
  <c r="G27" i="2"/>
  <c r="G15" i="2"/>
  <c r="G16" i="2"/>
  <c r="G17" i="2"/>
  <c r="G18" i="2"/>
  <c r="G19" i="2"/>
  <c r="G20" i="2"/>
  <c r="G13" i="2"/>
  <c r="G5" i="2"/>
  <c r="G6" i="2"/>
  <c r="G7" i="2"/>
  <c r="G9" i="2"/>
  <c r="G10" i="2"/>
  <c r="G11" i="2"/>
  <c r="G12" i="2"/>
  <c r="C36" i="3" l="1"/>
  <c r="B7" i="8"/>
  <c r="D36" i="3" s="1"/>
  <c r="B6" i="12"/>
  <c r="D28" i="10" s="1"/>
  <c r="B2" i="9"/>
  <c r="B2" i="11"/>
  <c r="E33" i="3" s="1"/>
  <c r="E100" i="3" s="1"/>
  <c r="C3" i="12"/>
  <c r="E28" i="10" s="1"/>
  <c r="E36" i="3"/>
  <c r="E25" i="10" l="1"/>
  <c r="E92" i="10" s="1"/>
</calcChain>
</file>

<file path=xl/sharedStrings.xml><?xml version="1.0" encoding="utf-8"?>
<sst xmlns="http://schemas.openxmlformats.org/spreadsheetml/2006/main" count="719" uniqueCount="355">
  <si>
    <t>m</t>
  </si>
  <si>
    <t>lbm</t>
  </si>
  <si>
    <t>in</t>
  </si>
  <si>
    <t>g</t>
  </si>
  <si>
    <t>ft</t>
  </si>
  <si>
    <t>yd</t>
  </si>
  <si>
    <t>mi</t>
  </si>
  <si>
    <t>.</t>
  </si>
  <si>
    <t>liter</t>
  </si>
  <si>
    <t>ha</t>
  </si>
  <si>
    <t>acre</t>
  </si>
  <si>
    <t>s</t>
  </si>
  <si>
    <t>min</t>
  </si>
  <si>
    <t>hr</t>
  </si>
  <si>
    <t>d</t>
  </si>
  <si>
    <t>yr</t>
  </si>
  <si>
    <t>century</t>
  </si>
  <si>
    <t>K</t>
  </si>
  <si>
    <t>Pa</t>
  </si>
  <si>
    <t>atm</t>
  </si>
  <si>
    <t>mm Hg</t>
  </si>
  <si>
    <t>bar</t>
  </si>
  <si>
    <t>in H2O</t>
  </si>
  <si>
    <t>lbf</t>
  </si>
  <si>
    <t>kgf</t>
  </si>
  <si>
    <t>Input value:</t>
  </si>
  <si>
    <t>Output value:</t>
  </si>
  <si>
    <t>Abbreviation</t>
  </si>
  <si>
    <t>Full name</t>
  </si>
  <si>
    <t>Conversion factor</t>
  </si>
  <si>
    <t>Dimension</t>
  </si>
  <si>
    <t>Dimension factor</t>
  </si>
  <si>
    <t>mass</t>
  </si>
  <si>
    <t>force</t>
  </si>
  <si>
    <t>volume</t>
  </si>
  <si>
    <t>length</t>
  </si>
  <si>
    <t>area</t>
  </si>
  <si>
    <t>time</t>
  </si>
  <si>
    <t>pressure</t>
  </si>
  <si>
    <t>Unit Conversion Calculator</t>
  </si>
  <si>
    <t>gram</t>
  </si>
  <si>
    <t>pound (mass)</t>
  </si>
  <si>
    <t>Single period--dummy unit</t>
  </si>
  <si>
    <t>t</t>
  </si>
  <si>
    <t>lt</t>
  </si>
  <si>
    <t>n</t>
  </si>
  <si>
    <t>meter</t>
  </si>
  <si>
    <t>inch</t>
  </si>
  <si>
    <t>foot</t>
  </si>
  <si>
    <t>yard</t>
  </si>
  <si>
    <t>mile</t>
  </si>
  <si>
    <t>hectare</t>
  </si>
  <si>
    <t>second</t>
  </si>
  <si>
    <t>minute</t>
  </si>
  <si>
    <t>hour</t>
  </si>
  <si>
    <t>day</t>
  </si>
  <si>
    <t>year</t>
  </si>
  <si>
    <t>degrees Farenheit</t>
  </si>
  <si>
    <t>degrees Celcius</t>
  </si>
  <si>
    <t>Kelvin</t>
  </si>
  <si>
    <t>Pascal</t>
  </si>
  <si>
    <t>atmosphere</t>
  </si>
  <si>
    <t>millimeter of mercury</t>
  </si>
  <si>
    <t>inches of water</t>
  </si>
  <si>
    <t>newton</t>
  </si>
  <si>
    <t>pound (force)</t>
  </si>
  <si>
    <t>kg (force)</t>
  </si>
  <si>
    <t>l</t>
  </si>
  <si>
    <t>gal</t>
  </si>
  <si>
    <t>Prefix</t>
  </si>
  <si>
    <t>yotta</t>
  </si>
  <si>
    <t>zetta</t>
  </si>
  <si>
    <t>E</t>
  </si>
  <si>
    <t>exa</t>
  </si>
  <si>
    <t>P</t>
  </si>
  <si>
    <t>peta</t>
  </si>
  <si>
    <t>T</t>
  </si>
  <si>
    <t>tera</t>
  </si>
  <si>
    <t>G</t>
  </si>
  <si>
    <t>giga</t>
  </si>
  <si>
    <t>mega</t>
  </si>
  <si>
    <t>k</t>
  </si>
  <si>
    <t>kilo</t>
  </si>
  <si>
    <t>h</t>
  </si>
  <si>
    <t>hecto</t>
  </si>
  <si>
    <t>da</t>
  </si>
  <si>
    <t>deka</t>
  </si>
  <si>
    <t>deci</t>
  </si>
  <si>
    <t>c</t>
  </si>
  <si>
    <t>centi</t>
  </si>
  <si>
    <t>milli</t>
  </si>
  <si>
    <t>micro</t>
  </si>
  <si>
    <t>nano</t>
  </si>
  <si>
    <t>pico</t>
  </si>
  <si>
    <t>f</t>
  </si>
  <si>
    <t>femto</t>
  </si>
  <si>
    <t>a</t>
  </si>
  <si>
    <t>atto</t>
  </si>
  <si>
    <t>zepto</t>
  </si>
  <si>
    <t>yocto</t>
  </si>
  <si>
    <t>Exponent</t>
  </si>
  <si>
    <t>energy</t>
  </si>
  <si>
    <t>power</t>
  </si>
  <si>
    <t>J</t>
  </si>
  <si>
    <t>Joule</t>
  </si>
  <si>
    <t>W</t>
  </si>
  <si>
    <t>Watt</t>
  </si>
  <si>
    <t>N</t>
  </si>
  <si>
    <t>cal</t>
  </si>
  <si>
    <t>calorie</t>
  </si>
  <si>
    <t>Btu</t>
  </si>
  <si>
    <t>British thermal unit</t>
  </si>
  <si>
    <t>Source</t>
  </si>
  <si>
    <t>Notes</t>
  </si>
  <si>
    <t>Perry 1984</t>
  </si>
  <si>
    <t>Exact</t>
  </si>
  <si>
    <t>chain</t>
  </si>
  <si>
    <t>nautical mi</t>
  </si>
  <si>
    <t>nautical mile</t>
  </si>
  <si>
    <t>fathom</t>
  </si>
  <si>
    <t>mil</t>
  </si>
  <si>
    <t>ac</t>
  </si>
  <si>
    <t>UK gal</t>
  </si>
  <si>
    <t>UK gallon</t>
  </si>
  <si>
    <t>qt</t>
  </si>
  <si>
    <t>US gallon</t>
  </si>
  <si>
    <t>US quart</t>
  </si>
  <si>
    <t>UK quart</t>
  </si>
  <si>
    <t>UK qt</t>
  </si>
  <si>
    <t>pt</t>
  </si>
  <si>
    <t>pint</t>
  </si>
  <si>
    <t>US ton (short ton)</t>
  </si>
  <si>
    <t>UK ton (long ton)</t>
  </si>
  <si>
    <t>troy oz</t>
  </si>
  <si>
    <t>oz</t>
  </si>
  <si>
    <t>ounce</t>
  </si>
  <si>
    <t>troy ounce</t>
  </si>
  <si>
    <t>gr</t>
  </si>
  <si>
    <t>grain</t>
  </si>
  <si>
    <t>degrees Rankien</t>
  </si>
  <si>
    <t>torr</t>
  </si>
  <si>
    <t>torr (mm Hg)</t>
  </si>
  <si>
    <t>therm</t>
  </si>
  <si>
    <t>erg</t>
  </si>
  <si>
    <t>hp</t>
  </si>
  <si>
    <t>horsepower (electricity)</t>
  </si>
  <si>
    <t>UK tf</t>
  </si>
  <si>
    <t>tf</t>
  </si>
  <si>
    <t>US (short) ton (force)</t>
  </si>
  <si>
    <t>UK (long) ton (force)</t>
  </si>
  <si>
    <t>dyn</t>
  </si>
  <si>
    <t>speed</t>
  </si>
  <si>
    <t>knot</t>
  </si>
  <si>
    <t>cup</t>
  </si>
  <si>
    <t>fl oz</t>
  </si>
  <si>
    <t>fluid ounce</t>
  </si>
  <si>
    <t>NIST (http://physics.nist.gov/Pubs/SP811/appenB9.html)</t>
  </si>
  <si>
    <t>μ</t>
  </si>
  <si>
    <t>mgd</t>
  </si>
  <si>
    <t>million gallons per day</t>
  </si>
  <si>
    <t>flow rate</t>
  </si>
  <si>
    <r>
      <t>°</t>
    </r>
    <r>
      <rPr>
        <sz val="10"/>
        <rFont val="Arial"/>
        <family val="2"/>
      </rPr>
      <t>F</t>
    </r>
  </si>
  <si>
    <t>°C</t>
  </si>
  <si>
    <t>°R</t>
  </si>
  <si>
    <t>%</t>
  </si>
  <si>
    <t>Percent</t>
  </si>
  <si>
    <t>Relative quantity</t>
  </si>
  <si>
    <t>ppm</t>
  </si>
  <si>
    <t>parts per million</t>
  </si>
  <si>
    <t>parts per trillion</t>
  </si>
  <si>
    <t>parts per thousand</t>
  </si>
  <si>
    <t>psi</t>
  </si>
  <si>
    <t>pounds (force) per square inch</t>
  </si>
  <si>
    <t>slug</t>
  </si>
  <si>
    <t>Input unit</t>
  </si>
  <si>
    <t>Output unit</t>
  </si>
  <si>
    <t>Unit:</t>
  </si>
  <si>
    <t>39.2 degrees F</t>
  </si>
  <si>
    <t>NIST (http://www.physics.nist.gov/Pubs/SP811/appenB8.html#I)</t>
  </si>
  <si>
    <t>kg</t>
  </si>
  <si>
    <t>kilogram</t>
  </si>
  <si>
    <t>F</t>
  </si>
  <si>
    <t>A</t>
  </si>
  <si>
    <t>ampere</t>
  </si>
  <si>
    <t>current</t>
  </si>
  <si>
    <t>C</t>
  </si>
  <si>
    <t>Coulomb</t>
  </si>
  <si>
    <t>electrical charge</t>
  </si>
  <si>
    <t>mol</t>
  </si>
  <si>
    <t>mole</t>
  </si>
  <si>
    <t>amount of a substance</t>
  </si>
  <si>
    <t>Constants:</t>
  </si>
  <si>
    <t>number</t>
  </si>
  <si>
    <t>Number</t>
  </si>
  <si>
    <t>Avogadro's constant</t>
  </si>
  <si>
    <t>e</t>
  </si>
  <si>
    <t>Number of particles etc.</t>
  </si>
  <si>
    <t>Length</t>
  </si>
  <si>
    <t>Mass</t>
  </si>
  <si>
    <t>Time</t>
  </si>
  <si>
    <t>Electric current</t>
  </si>
  <si>
    <t>Temperature</t>
  </si>
  <si>
    <t>Amount of substance</t>
  </si>
  <si>
    <t>Luminous intensity</t>
  </si>
  <si>
    <t>Factor</t>
  </si>
  <si>
    <t>Base unit</t>
  </si>
  <si>
    <t>Cd</t>
  </si>
  <si>
    <t>#</t>
  </si>
  <si>
    <t>Hz</t>
  </si>
  <si>
    <t>Hertz</t>
  </si>
  <si>
    <t>1/t</t>
  </si>
  <si>
    <t>L</t>
  </si>
  <si>
    <t>M</t>
  </si>
  <si>
    <t>I</t>
  </si>
  <si>
    <t>none</t>
  </si>
  <si>
    <r>
      <t>m</t>
    </r>
    <r>
      <rPr>
        <vertAlign val="superscript"/>
        <sz val="10"/>
        <rFont val="Arial"/>
        <family val="2"/>
      </rPr>
      <t>2</t>
    </r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</si>
  <si>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/>
    </r>
  </si>
  <si>
    <t>×</t>
  </si>
  <si>
    <t>Constants (optional)</t>
  </si>
  <si>
    <t>Conversion factors</t>
  </si>
  <si>
    <t>SI prefixes</t>
  </si>
  <si>
    <t>Constants</t>
  </si>
  <si>
    <t>Result</t>
  </si>
  <si>
    <t>Dimension match</t>
  </si>
  <si>
    <t>Temperature conversion</t>
  </si>
  <si>
    <t>Data entry order</t>
  </si>
  <si>
    <t>Message</t>
  </si>
  <si>
    <t>Temperature zero factor</t>
  </si>
  <si>
    <r>
      <t>m kg s</t>
    </r>
    <r>
      <rPr>
        <vertAlign val="superscript"/>
        <sz val="10"/>
        <rFont val="Arial"/>
        <family val="2"/>
      </rPr>
      <t>-2</t>
    </r>
    <r>
      <rPr>
        <sz val="10"/>
        <rFont val="Arial"/>
        <family val="2"/>
      </rPr>
      <t xml:space="preserve"> (N)</t>
    </r>
  </si>
  <si>
    <r>
      <t>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kg s</t>
    </r>
    <r>
      <rPr>
        <vertAlign val="superscript"/>
        <sz val="10"/>
        <rFont val="Arial"/>
        <family val="2"/>
      </rPr>
      <t>-2</t>
    </r>
    <r>
      <rPr>
        <sz val="10"/>
        <rFont val="Arial"/>
        <family val="2"/>
      </rPr>
      <t xml:space="preserve"> (J)</t>
    </r>
  </si>
  <si>
    <r>
      <t>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kg s</t>
    </r>
    <r>
      <rPr>
        <vertAlign val="superscript"/>
        <sz val="10"/>
        <rFont val="Arial"/>
        <family val="2"/>
      </rPr>
      <t>-3</t>
    </r>
    <r>
      <rPr>
        <sz val="10"/>
        <rFont val="Arial"/>
        <family val="2"/>
      </rPr>
      <t xml:space="preserve"> (W)</t>
    </r>
  </si>
  <si>
    <r>
      <t>m</t>
    </r>
    <r>
      <rPr>
        <vertAlign val="superscript"/>
        <sz val="10"/>
        <rFont val="Arial"/>
        <family val="2"/>
      </rPr>
      <t>-1</t>
    </r>
    <r>
      <rPr>
        <sz val="10"/>
        <rFont val="Arial"/>
        <family val="2"/>
      </rPr>
      <t xml:space="preserve"> kg s</t>
    </r>
    <r>
      <rPr>
        <vertAlign val="superscript"/>
        <sz val="10"/>
        <rFont val="Arial"/>
        <family val="2"/>
      </rPr>
      <t>-2</t>
    </r>
    <r>
      <rPr>
        <sz val="10"/>
        <rFont val="Arial"/>
        <family val="2"/>
      </rPr>
      <t xml:space="preserve"> (N)</t>
    </r>
  </si>
  <si>
    <r>
      <t>m s</t>
    </r>
    <r>
      <rPr>
        <vertAlign val="superscript"/>
        <sz val="10"/>
        <rFont val="Arial"/>
        <family val="2"/>
      </rPr>
      <t>-1</t>
    </r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</si>
  <si>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s</t>
    </r>
    <r>
      <rPr>
        <vertAlign val="superscript"/>
        <sz val="10"/>
        <rFont val="Arial"/>
        <family val="2"/>
      </rPr>
      <t>-1</t>
    </r>
  </si>
  <si>
    <t>A s</t>
  </si>
  <si>
    <r>
      <t>s</t>
    </r>
    <r>
      <rPr>
        <vertAlign val="superscript"/>
        <sz val="10"/>
        <rFont val="Arial"/>
        <family val="2"/>
      </rPr>
      <t>-1</t>
    </r>
  </si>
  <si>
    <t>Dummy constant</t>
  </si>
  <si>
    <t>Standard acceleration of gravity</t>
  </si>
  <si>
    <t>Unit</t>
  </si>
  <si>
    <t>None</t>
  </si>
  <si>
    <t>C/mol</t>
  </si>
  <si>
    <t>#/mol</t>
  </si>
  <si>
    <r>
      <t>m s</t>
    </r>
    <r>
      <rPr>
        <vertAlign val="superscript"/>
        <sz val="10"/>
        <rFont val="Arial"/>
        <family val="2"/>
      </rPr>
      <t>-2</t>
    </r>
  </si>
  <si>
    <t>kg/mol</t>
  </si>
  <si>
    <t>NIST (http://www.physics.nist.gov/Pubs/SP811/appenB8.html#D)</t>
  </si>
  <si>
    <t>NIST (http://www.physics.nist.gov/Pubs/SP811/appenB8.html#H)</t>
  </si>
  <si>
    <t>NIST (http://www.physics.nist.gov/Pubs/SP811/appenB8.html#M)</t>
  </si>
  <si>
    <t>NIST (http://www.physics.nist.gov/Pubs/SP811/appenB8.html#Y)</t>
  </si>
  <si>
    <t>http://www.physics.nist.gov/Pubs/SP811/appenB8.html#D</t>
  </si>
  <si>
    <t>NIST (http://www.physics.nist.gov/Pubs/SP811/appenB8.html#P)</t>
  </si>
  <si>
    <t>Calculated</t>
  </si>
  <si>
    <t>Note: to add additional units, first insert rows above the row with "." just above.</t>
  </si>
  <si>
    <t>Single period--dummy prefix</t>
  </si>
  <si>
    <t>NIST (http://www.physics.nist.gov/cgi-bin/Compositions/stand_alone.pl?ele=&amp;ascii=ascii&amp;isotype=some)</t>
  </si>
  <si>
    <t>elementary charge</t>
  </si>
  <si>
    <t>C/electron</t>
  </si>
  <si>
    <t>NIST (http://www.physics.nist.gov/cgi-bin/cuu/Value?f|search_for=faraday)</t>
  </si>
  <si>
    <t>NIST (http://www.physics.nist.gov/cgi-bin/cuu/Value?na|search_for=avogadros)</t>
  </si>
  <si>
    <t>NIST (http://www.physics.nist.gov/cgi-bin/cuu/Value?gn|search_for=acceleration)</t>
  </si>
  <si>
    <t>NIST (http://www.physics.nist.gov/cgi-bin/cuu/Value?e|search_for=electron+charge)</t>
  </si>
  <si>
    <t>Blank cell</t>
  </si>
  <si>
    <r>
      <t>ρ</t>
    </r>
    <r>
      <rPr>
        <vertAlign val="subscript"/>
        <sz val="10"/>
        <rFont val="Arial"/>
        <family val="2"/>
      </rPr>
      <t>w</t>
    </r>
  </si>
  <si>
    <r>
      <t>kg m</t>
    </r>
    <r>
      <rPr>
        <vertAlign val="superscript"/>
        <sz val="10"/>
        <rFont val="Arial"/>
        <family val="2"/>
      </rPr>
      <t>-3</t>
    </r>
  </si>
  <si>
    <t>Checks</t>
  </si>
  <si>
    <t>Faraday constant</t>
  </si>
  <si>
    <t>Fundamental dimension factors for use in dimension checking</t>
  </si>
  <si>
    <t>Density of water at 4°C</t>
  </si>
  <si>
    <t>‰</t>
  </si>
  <si>
    <t>ppt</t>
  </si>
  <si>
    <t>input unit</t>
  </si>
  <si>
    <t>Upper blank cell location</t>
  </si>
  <si>
    <t>Lower blank cell location</t>
  </si>
  <si>
    <t>Blank cells</t>
  </si>
  <si>
    <t>Middle blank cell location</t>
  </si>
  <si>
    <t>temperature</t>
  </si>
  <si>
    <t>Output value for copying:</t>
  </si>
  <si>
    <t>Code</t>
  </si>
  <si>
    <t>Z</t>
  </si>
  <si>
    <t>Y</t>
  </si>
  <si>
    <t>p</t>
  </si>
  <si>
    <t>z</t>
  </si>
  <si>
    <t>y</t>
  </si>
  <si>
    <t>Conversion type</t>
  </si>
  <si>
    <t>Non-temperature</t>
  </si>
  <si>
    <t>Output value</t>
  </si>
  <si>
    <t>Missing exponent</t>
  </si>
  <si>
    <t>Units entered</t>
  </si>
  <si>
    <t>quad</t>
  </si>
  <si>
    <t>quadrillion BTU</t>
  </si>
  <si>
    <t>Approximate energy content of natural gas (or pure methane)</t>
  </si>
  <si>
    <r>
      <t>J m</t>
    </r>
    <r>
      <rPr>
        <vertAlign val="superscript"/>
        <sz val="10"/>
        <rFont val="Arial"/>
        <family val="2"/>
      </rPr>
      <t>-3</t>
    </r>
  </si>
  <si>
    <t>EIA (http://www.eia.doe.gov/emeu/aer/txt/ptb1304.html) (calculated from 1030 BTU/cubic foot)</t>
  </si>
  <si>
    <t>STP methane yield from BOD</t>
  </si>
  <si>
    <t>Energy(NG)</t>
  </si>
  <si>
    <t>Yield(CH4/BOD)</t>
  </si>
  <si>
    <t>Ethanol formula weight</t>
  </si>
  <si>
    <t xml:space="preserve">Methanol formula weight </t>
  </si>
  <si>
    <t>Propanol formula weight</t>
  </si>
  <si>
    <t>NIST (http://webbook.nist.gov/cgi/cbook.cgi?Name=ethanol&amp;Units=SI)</t>
  </si>
  <si>
    <t>Butanol formula weight</t>
  </si>
  <si>
    <t>ppb</t>
  </si>
  <si>
    <t>parts per billion</t>
  </si>
  <si>
    <t>aw H</t>
  </si>
  <si>
    <t>aw C</t>
  </si>
  <si>
    <t>aw N</t>
  </si>
  <si>
    <t>aw O</t>
  </si>
  <si>
    <t>aw Na</t>
  </si>
  <si>
    <t>aw Mg</t>
  </si>
  <si>
    <t>aw Al</t>
  </si>
  <si>
    <t>aw Si</t>
  </si>
  <si>
    <t>aw P</t>
  </si>
  <si>
    <t>aw S</t>
  </si>
  <si>
    <t>aw Cl</t>
  </si>
  <si>
    <t>aw K</t>
  </si>
  <si>
    <t>aw Ca</t>
  </si>
  <si>
    <t>aw Cr</t>
  </si>
  <si>
    <t>aw Mn</t>
  </si>
  <si>
    <t>aw Fe</t>
  </si>
  <si>
    <t>aw Co</t>
  </si>
  <si>
    <t>aw Ni</t>
  </si>
  <si>
    <t>aw Cu</t>
  </si>
  <si>
    <t>aw Zn</t>
  </si>
  <si>
    <t>aw Pb</t>
  </si>
  <si>
    <t>aw H2O</t>
  </si>
  <si>
    <t>fw MeOH</t>
  </si>
  <si>
    <t>fw EtOH</t>
  </si>
  <si>
    <t>fw PrOH</t>
  </si>
  <si>
    <t>fw BuOH</t>
  </si>
  <si>
    <t>Vmol</t>
  </si>
  <si>
    <t>Ideal gas volume at STP</t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</si>
  <si>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/mol</t>
    </r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</si>
  <si>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kg</t>
    </r>
    <r>
      <rPr>
        <vertAlign val="superscript"/>
        <sz val="10"/>
        <rFont val="Arial"/>
        <family val="2"/>
      </rPr>
      <t>-1</t>
    </r>
  </si>
  <si>
    <t>R</t>
  </si>
  <si>
    <t>Univeral gas constant</t>
  </si>
  <si>
    <r>
      <t>J mol</t>
    </r>
    <r>
      <rPr>
        <vertAlign val="superscript"/>
        <sz val="10"/>
        <rFont val="Arial"/>
        <family val="2"/>
      </rPr>
      <t>-1</t>
    </r>
    <r>
      <rPr>
        <sz val="10"/>
        <rFont val="Arial"/>
        <family val="2"/>
      </rPr>
      <t xml:space="preserve"> K</t>
    </r>
    <r>
      <rPr>
        <vertAlign val="superscript"/>
        <sz val="10"/>
        <rFont val="Arial"/>
        <family val="2"/>
      </rPr>
      <t>-1</t>
    </r>
  </si>
  <si>
    <t>http://physics.nist.gov/cgi-bin/cuu/Value?r</t>
  </si>
  <si>
    <t>mph</t>
  </si>
  <si>
    <t>miles per hour</t>
  </si>
  <si>
    <t>SCFH</t>
  </si>
  <si>
    <t>standard cubic feet per hour</t>
  </si>
  <si>
    <t>fw CH4</t>
  </si>
  <si>
    <t>Methane formula weight</t>
  </si>
  <si>
    <t>Q</t>
  </si>
  <si>
    <t>quetta</t>
  </si>
  <si>
    <t>ronna</t>
  </si>
  <si>
    <t>r</t>
  </si>
  <si>
    <t>q</t>
  </si>
  <si>
    <t>ronto</t>
  </si>
  <si>
    <t>quecto</t>
  </si>
  <si>
    <t>log10 conversion factor</t>
  </si>
  <si>
    <t>Speed of light in a vacuum</t>
  </si>
  <si>
    <t>m/s</t>
  </si>
  <si>
    <t>https://physics.nist.gov/cgi-bin/cuu/Value?c</t>
  </si>
  <si>
    <t>Version: 1.4</t>
  </si>
  <si>
    <r>
      <rPr>
        <sz val="10"/>
        <rFont val="Arial"/>
        <family val="2"/>
      </rPr>
      <t>For latest version or help:</t>
    </r>
    <r>
      <rPr>
        <u/>
        <sz val="10"/>
        <color theme="10"/>
        <rFont val="Arial"/>
        <family val="2"/>
      </rPr>
      <t xml:space="preserve"> https://github.com/sashahafner/unit-converter/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</si>
</sst>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"/>
    <numFmt numFmtId="165" formatCode="0.000"/>
    <numFmt numFmtId="166" formatCode="0.0000"/>
    <numFmt numFmtId="167" formatCode="0.00000"/>
    <numFmt numFmtId="168" formatCode="0.000000"/>
    <numFmt numFmtId="169" formatCode="0.0000000"/>
    <numFmt numFmtId="170" formatCode="0.0000000000"/>
    <numFmt numFmtId="171" formatCode="0.00000E+00"/>
    <numFmt numFmtId="172" formatCode="0.000000E+00"/>
    <numFmt numFmtId="173" formatCode="0.00000000"/>
    <numFmt numFmtId="174" formatCode="0.0000000000000"/>
    <numFmt numFmtId="175" formatCode="0.0000000000000000E+00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sz val="10"/>
      <color indexed="12"/>
      <name val="Arial"/>
      <family val="2"/>
    </font>
    <font>
      <vertAlign val="superscript"/>
      <sz val="10"/>
      <name val="Arial"/>
      <family val="2"/>
    </font>
    <font>
      <i/>
      <sz val="11"/>
      <color indexed="10"/>
      <name val="Arial"/>
      <family val="2"/>
    </font>
    <font>
      <vertAlign val="subscript"/>
      <sz val="10"/>
      <name val="Arial"/>
      <family val="2"/>
    </font>
    <font>
      <b/>
      <i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1" fontId="0" fillId="0" borderId="0" xfId="0" applyNumberFormat="1" applyAlignment="1">
      <alignment horizontal="center"/>
    </xf>
    <xf numFmtId="0" fontId="0" fillId="0" borderId="2" xfId="0" applyBorder="1" applyAlignment="1">
      <alignment horizont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2" xfId="0" applyBorder="1"/>
    <xf numFmtId="17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2" xfId="0" applyFont="1" applyBorder="1"/>
    <xf numFmtId="164" fontId="1" fillId="0" borderId="0" xfId="0" applyNumberFormat="1" applyFont="1" applyAlignment="1">
      <alignment horizontal="center" wrapText="1"/>
    </xf>
    <xf numFmtId="0" fontId="7" fillId="0" borderId="0" xfId="0" applyFont="1"/>
    <xf numFmtId="2" fontId="1" fillId="0" borderId="0" xfId="0" applyNumberFormat="1" applyFont="1" applyAlignment="1">
      <alignment horizontal="center" wrapText="1"/>
    </xf>
    <xf numFmtId="166" fontId="1" fillId="0" borderId="0" xfId="0" applyNumberFormat="1" applyFont="1" applyAlignment="1">
      <alignment horizontal="center" wrapText="1"/>
    </xf>
    <xf numFmtId="168" fontId="1" fillId="0" borderId="0" xfId="0" applyNumberFormat="1" applyFont="1" applyAlignment="1">
      <alignment horizontal="center" wrapText="1"/>
    </xf>
    <xf numFmtId="169" fontId="1" fillId="0" borderId="0" xfId="0" applyNumberFormat="1" applyFont="1" applyAlignment="1">
      <alignment horizontal="center" wrapText="1"/>
    </xf>
    <xf numFmtId="168" fontId="4" fillId="3" borderId="1" xfId="0" applyNumberFormat="1" applyFont="1" applyFill="1" applyBorder="1" applyAlignment="1" applyProtection="1">
      <alignment horizontal="center"/>
      <protection locked="0"/>
    </xf>
    <xf numFmtId="167" fontId="1" fillId="0" borderId="0" xfId="0" applyNumberFormat="1" applyFont="1" applyAlignment="1">
      <alignment horizontal="center" wrapText="1"/>
    </xf>
    <xf numFmtId="0" fontId="4" fillId="2" borderId="0" xfId="0" applyFont="1" applyFill="1"/>
    <xf numFmtId="168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left"/>
    </xf>
    <xf numFmtId="171" fontId="6" fillId="0" borderId="1" xfId="0" applyNumberFormat="1" applyFont="1" applyBorder="1" applyAlignment="1">
      <alignment horizontal="center" wrapText="1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11" fillId="2" borderId="0" xfId="0" applyFont="1" applyFill="1"/>
    <xf numFmtId="175" fontId="7" fillId="0" borderId="3" xfId="0" applyNumberFormat="1" applyFont="1" applyBorder="1" applyAlignment="1">
      <alignment horizontal="center"/>
    </xf>
    <xf numFmtId="0" fontId="4" fillId="3" borderId="1" xfId="0" applyFont="1" applyFill="1" applyBorder="1" applyAlignment="1" applyProtection="1">
      <alignment horizontal="right"/>
      <protection locked="0"/>
    </xf>
    <xf numFmtId="0" fontId="4" fillId="3" borderId="1" xfId="0" applyFont="1" applyFill="1" applyBorder="1" applyAlignment="1" applyProtection="1">
      <alignment horizontal="left"/>
      <protection locked="0"/>
    </xf>
    <xf numFmtId="0" fontId="4" fillId="3" borderId="1" xfId="0" applyFont="1" applyFill="1" applyBorder="1" applyProtection="1">
      <protection locked="0"/>
    </xf>
    <xf numFmtId="0" fontId="4" fillId="0" borderId="0" xfId="0" applyFont="1" applyAlignment="1">
      <alignment horizontal="left" wrapText="1"/>
    </xf>
    <xf numFmtId="1" fontId="1" fillId="0" borderId="0" xfId="0" applyNumberFormat="1" applyFont="1" applyAlignment="1">
      <alignment horizontal="center" wrapText="1"/>
    </xf>
    <xf numFmtId="0" fontId="5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" fillId="3" borderId="1" xfId="0" applyFont="1" applyFill="1" applyBorder="1" applyAlignment="1" applyProtection="1">
      <alignment horizontal="right"/>
      <protection locked="0"/>
    </xf>
    <xf numFmtId="0" fontId="1" fillId="3" borderId="1" xfId="0" applyFon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2" xfId="0" applyBorder="1" applyAlignment="1" applyProtection="1">
      <alignment horizontal="center" wrapText="1"/>
    </xf>
    <xf numFmtId="0" fontId="0" fillId="0" borderId="0" xfId="0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1" fontId="0" fillId="0" borderId="0" xfId="0" applyNumberFormat="1" applyAlignment="1" applyProtection="1">
      <alignment horizontal="center"/>
    </xf>
    <xf numFmtId="0" fontId="13" fillId="2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ashahafner/unit-convert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5C8C-0E54-4BC7-A2B1-120E814B9083}">
  <sheetPr>
    <tabColor indexed="12"/>
  </sheetPr>
  <dimension ref="C1:N92"/>
  <sheetViews>
    <sheetView tabSelected="1" zoomScaleNormal="100" workbookViewId="0">
      <selection activeCell="E15" sqref="E15"/>
    </sheetView>
  </sheetViews>
  <sheetFormatPr defaultRowHeight="12.75" x14ac:dyDescent="0.2"/>
  <cols>
    <col min="1" max="1" width="9.140625" style="35"/>
    <col min="2" max="2" width="7" style="35" customWidth="1"/>
    <col min="3" max="3" width="14.85546875" style="35" customWidth="1"/>
    <col min="4" max="4" width="14" style="35" customWidth="1"/>
    <col min="5" max="5" width="19.28515625" style="37" customWidth="1"/>
    <col min="6" max="6" width="16" style="35" customWidth="1"/>
    <col min="7" max="7" width="6.28515625" style="35" customWidth="1"/>
    <col min="8" max="8" width="8.42578125" style="35" customWidth="1"/>
    <col min="9" max="9" width="7.85546875" style="35" customWidth="1"/>
    <col min="10" max="10" width="8.28515625" style="35" customWidth="1"/>
    <col min="11" max="12" width="7.42578125" style="35" customWidth="1"/>
    <col min="13" max="13" width="7" style="35" customWidth="1"/>
    <col min="14" max="14" width="8.7109375" style="35" customWidth="1"/>
    <col min="15" max="15" width="15" style="35" customWidth="1"/>
    <col min="16" max="16384" width="9.140625" style="35"/>
  </cols>
  <sheetData>
    <row r="1" spans="4:14" x14ac:dyDescent="0.2">
      <c r="D1" s="32"/>
      <c r="E1" s="33"/>
      <c r="F1" s="32"/>
      <c r="G1" s="32"/>
      <c r="H1" s="34"/>
      <c r="I1" s="34"/>
      <c r="J1" s="34"/>
      <c r="K1" s="34"/>
      <c r="L1" s="34"/>
    </row>
    <row r="2" spans="4:14" x14ac:dyDescent="0.2">
      <c r="D2" s="32"/>
      <c r="E2" s="33"/>
      <c r="F2" s="32"/>
      <c r="G2" s="32"/>
      <c r="H2" s="34"/>
      <c r="I2" s="34"/>
      <c r="J2" s="34"/>
      <c r="K2" s="34"/>
      <c r="L2" s="34"/>
    </row>
    <row r="3" spans="4:14" x14ac:dyDescent="0.2">
      <c r="D3" s="32"/>
      <c r="E3" s="33"/>
      <c r="F3" s="32"/>
      <c r="G3" s="32"/>
      <c r="H3" s="34"/>
      <c r="I3" s="34"/>
      <c r="J3" s="34"/>
      <c r="K3" s="34"/>
      <c r="L3" s="34"/>
    </row>
    <row r="4" spans="4:14" x14ac:dyDescent="0.2">
      <c r="D4" s="32"/>
      <c r="E4" s="33"/>
      <c r="F4" s="32"/>
      <c r="G4" s="32"/>
      <c r="H4" s="34"/>
      <c r="I4" s="34"/>
      <c r="J4" s="34"/>
      <c r="K4" s="34"/>
      <c r="L4" s="34"/>
    </row>
    <row r="5" spans="4:14" x14ac:dyDescent="0.2">
      <c r="D5" s="32"/>
      <c r="E5" s="33"/>
      <c r="L5" s="34"/>
    </row>
    <row r="6" spans="4:14" x14ac:dyDescent="0.2">
      <c r="D6" s="32"/>
      <c r="E6" s="33"/>
      <c r="L6" s="34"/>
    </row>
    <row r="7" spans="4:14" x14ac:dyDescent="0.2">
      <c r="D7" s="32"/>
      <c r="E7" s="33"/>
      <c r="L7" s="34"/>
    </row>
    <row r="8" spans="4:14" x14ac:dyDescent="0.2">
      <c r="D8" s="36"/>
      <c r="E8" s="36"/>
      <c r="F8" s="36"/>
      <c r="G8" s="36"/>
      <c r="H8" s="36"/>
      <c r="I8" s="36"/>
      <c r="J8" s="36"/>
      <c r="K8" s="36"/>
      <c r="L8" s="36"/>
    </row>
    <row r="9" spans="4:14" ht="25.5" customHeight="1" x14ac:dyDescent="0.25">
      <c r="D9" s="51" t="s">
        <v>39</v>
      </c>
      <c r="E9" s="51"/>
      <c r="F9" s="51"/>
      <c r="G9" s="51"/>
      <c r="H9" s="51"/>
      <c r="I9" s="51"/>
      <c r="J9" s="51"/>
      <c r="K9" s="51"/>
      <c r="L9" s="51"/>
      <c r="M9" s="51"/>
      <c r="N9" s="51"/>
    </row>
    <row r="11" spans="4:14" x14ac:dyDescent="0.2">
      <c r="D11" s="52" t="s">
        <v>174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</row>
    <row r="12" spans="4:14" ht="4.5" customHeight="1" x14ac:dyDescent="0.2"/>
    <row r="13" spans="4:14" ht="12.75" customHeight="1" x14ac:dyDescent="0.2">
      <c r="D13" s="36"/>
      <c r="E13" s="36"/>
      <c r="F13" s="36"/>
      <c r="G13" s="36"/>
      <c r="H13" s="34" t="s">
        <v>100</v>
      </c>
      <c r="I13" s="36"/>
      <c r="J13" s="34" t="s">
        <v>100</v>
      </c>
      <c r="K13" s="36"/>
      <c r="L13" s="34" t="s">
        <v>100</v>
      </c>
      <c r="M13" s="36"/>
      <c r="N13" s="34" t="s">
        <v>100</v>
      </c>
    </row>
    <row r="14" spans="4:14" x14ac:dyDescent="0.2">
      <c r="D14" s="32"/>
      <c r="E14" s="34"/>
      <c r="F14" s="38"/>
      <c r="G14" s="34" t="s">
        <v>69</v>
      </c>
      <c r="H14" s="48"/>
      <c r="I14" s="34" t="s">
        <v>69</v>
      </c>
      <c r="J14" s="48"/>
      <c r="K14" s="34" t="s">
        <v>69</v>
      </c>
      <c r="L14" s="48"/>
      <c r="M14" s="34" t="s">
        <v>69</v>
      </c>
      <c r="N14" s="48"/>
    </row>
    <row r="15" spans="4:14" ht="12.75" customHeight="1" x14ac:dyDescent="0.2">
      <c r="D15" s="32" t="s">
        <v>25</v>
      </c>
      <c r="E15" s="30">
        <v>1</v>
      </c>
      <c r="F15" s="38" t="s">
        <v>176</v>
      </c>
      <c r="G15" s="54" t="s">
        <v>7</v>
      </c>
      <c r="H15" s="55" t="s">
        <v>7</v>
      </c>
      <c r="I15" s="46" t="s">
        <v>7</v>
      </c>
      <c r="J15" s="47" t="s">
        <v>7</v>
      </c>
      <c r="K15" s="46" t="s">
        <v>7</v>
      </c>
      <c r="L15" s="47" t="s">
        <v>7</v>
      </c>
      <c r="M15" s="46" t="s">
        <v>7</v>
      </c>
      <c r="N15" s="47" t="s">
        <v>7</v>
      </c>
    </row>
    <row r="16" spans="4:14" ht="12.75" customHeight="1" x14ac:dyDescent="0.2">
      <c r="D16" s="32"/>
      <c r="E16" s="39"/>
      <c r="F16" s="38"/>
      <c r="G16" s="38"/>
      <c r="H16" s="40"/>
      <c r="I16" s="38"/>
      <c r="J16" s="40"/>
      <c r="K16" s="38"/>
      <c r="L16" s="40"/>
      <c r="M16" s="38"/>
      <c r="N16" s="40"/>
    </row>
    <row r="17" spans="3:14" ht="12.75" customHeight="1" x14ac:dyDescent="0.2">
      <c r="D17" s="32"/>
      <c r="E17" s="39"/>
      <c r="F17" s="38"/>
      <c r="G17" s="38"/>
      <c r="H17" s="40"/>
      <c r="I17" s="38"/>
      <c r="J17" s="40"/>
      <c r="K17" s="38"/>
      <c r="L17" s="40"/>
      <c r="M17" s="38"/>
      <c r="N17" s="40"/>
    </row>
    <row r="18" spans="3:14" ht="12.75" customHeight="1" x14ac:dyDescent="0.2">
      <c r="D18" s="32"/>
      <c r="E18" s="39"/>
      <c r="F18" s="38"/>
      <c r="G18" s="38"/>
      <c r="H18" s="40"/>
      <c r="I18" s="38"/>
      <c r="J18" s="40"/>
      <c r="K18" s="38"/>
      <c r="L18" s="40"/>
      <c r="M18" s="38"/>
      <c r="N18" s="40"/>
    </row>
    <row r="19" spans="3:14" ht="12.75" customHeight="1" x14ac:dyDescent="0.2">
      <c r="D19" s="32"/>
      <c r="E19" s="39"/>
      <c r="F19" s="38"/>
      <c r="G19" s="38"/>
      <c r="H19" s="40"/>
      <c r="I19" s="38"/>
      <c r="J19" s="40"/>
      <c r="K19" s="38"/>
      <c r="L19" s="40"/>
      <c r="M19" s="38"/>
      <c r="N19" s="40"/>
    </row>
    <row r="21" spans="3:14" x14ac:dyDescent="0.2">
      <c r="D21" s="52" t="s">
        <v>175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</row>
    <row r="22" spans="3:14" ht="4.5" customHeight="1" x14ac:dyDescent="0.2"/>
    <row r="23" spans="3:14" ht="12.75" customHeight="1" x14ac:dyDescent="0.2">
      <c r="D23" s="36"/>
      <c r="E23" s="36"/>
      <c r="F23" s="36"/>
      <c r="G23" s="36"/>
      <c r="H23" s="34" t="s">
        <v>100</v>
      </c>
      <c r="I23" s="36"/>
      <c r="J23" s="34" t="s">
        <v>100</v>
      </c>
      <c r="K23" s="36"/>
      <c r="L23" s="34" t="s">
        <v>100</v>
      </c>
      <c r="M23" s="36"/>
      <c r="N23" s="34" t="s">
        <v>100</v>
      </c>
    </row>
    <row r="24" spans="3:14" ht="12.75" customHeight="1" x14ac:dyDescent="0.2">
      <c r="D24" s="32"/>
      <c r="E24" s="34"/>
      <c r="F24" s="38"/>
      <c r="G24" s="34" t="s">
        <v>69</v>
      </c>
      <c r="H24" s="48"/>
      <c r="I24" s="34" t="s">
        <v>69</v>
      </c>
      <c r="J24" s="48"/>
      <c r="K24" s="34" t="s">
        <v>69</v>
      </c>
      <c r="L24" s="48"/>
      <c r="M24" s="34" t="s">
        <v>69</v>
      </c>
      <c r="N24" s="48"/>
    </row>
    <row r="25" spans="3:14" ht="12.75" customHeight="1" x14ac:dyDescent="0.2">
      <c r="D25" s="32" t="s">
        <v>26</v>
      </c>
      <c r="E25" s="41" t="str">
        <f>IF(Er!B3+Er!B7+Er!B8+Er!B9=0,IF(Er!B10=0,Calcr!B2,Calcr!B3),"Error")</f>
        <v>Error</v>
      </c>
      <c r="F25" s="38" t="s">
        <v>176</v>
      </c>
      <c r="G25" s="46" t="s">
        <v>7</v>
      </c>
      <c r="H25" s="47" t="s">
        <v>7</v>
      </c>
      <c r="I25" s="46" t="s">
        <v>7</v>
      </c>
      <c r="J25" s="47" t="s">
        <v>7</v>
      </c>
      <c r="K25" s="46" t="s">
        <v>7</v>
      </c>
      <c r="L25" s="47" t="s">
        <v>7</v>
      </c>
      <c r="M25" s="46" t="s">
        <v>7</v>
      </c>
      <c r="N25" s="47" t="s">
        <v>7</v>
      </c>
    </row>
    <row r="26" spans="3:14" ht="12.75" customHeight="1" x14ac:dyDescent="0.2"/>
    <row r="27" spans="3:14" ht="14.25" x14ac:dyDescent="0.2">
      <c r="E27" s="42"/>
    </row>
    <row r="28" spans="3:14" ht="14.25" x14ac:dyDescent="0.2">
      <c r="C28" s="43" t="str">
        <f>IF(Er!B3=1,"Error in cell(s):","")</f>
        <v/>
      </c>
      <c r="D28" s="42" t="str">
        <f>Er!B6</f>
        <v xml:space="preserve"> </v>
      </c>
      <c r="E28" s="43" t="str">
        <f>IF(Er!B2=1,Er!C2,IF(Er!B3=1,Er!C3,IF(Er!B3+Er!B7+Er!B8+Er!B9=0,"",IF(Er!B7=1,Er!C7,IF(Er!B8=1,Er!C8,Er!C9)))))</f>
        <v>Input and output units not entered.</v>
      </c>
    </row>
    <row r="30" spans="3:14" x14ac:dyDescent="0.2">
      <c r="D30" s="44"/>
    </row>
    <row r="31" spans="3:14" x14ac:dyDescent="0.2">
      <c r="D31" s="44"/>
    </row>
    <row r="32" spans="3:14" x14ac:dyDescent="0.2">
      <c r="D32" s="44"/>
    </row>
    <row r="33" spans="4:8" x14ac:dyDescent="0.2">
      <c r="D33" s="44"/>
    </row>
    <row r="34" spans="4:8" x14ac:dyDescent="0.2">
      <c r="D34" s="35" t="s">
        <v>353</v>
      </c>
    </row>
    <row r="35" spans="4:8" x14ac:dyDescent="0.2">
      <c r="D35" s="62" t="s">
        <v>354</v>
      </c>
      <c r="E35" s="62"/>
      <c r="F35" s="62"/>
      <c r="G35" s="62"/>
      <c r="H35" s="62"/>
    </row>
    <row r="92" spans="4:5" x14ac:dyDescent="0.2">
      <c r="D92" s="38" t="s">
        <v>275</v>
      </c>
      <c r="E92" s="45" t="str">
        <f>E25</f>
        <v>Error</v>
      </c>
    </row>
  </sheetData>
  <sheetProtection sheet="1" objects="1" scenarios="1"/>
  <mergeCells count="4">
    <mergeCell ref="D9:N9"/>
    <mergeCell ref="D11:N11"/>
    <mergeCell ref="D21:N21"/>
    <mergeCell ref="D35:H35"/>
  </mergeCells>
  <dataValidations count="2">
    <dataValidation type="list" allowBlank="1" showErrorMessage="1" errorTitle="Error" error="Unit not recognized.  Select a unit from the drop-down list, or see the worksheet &quot;F&quot; for available units.  Additional units can be added in the worksheet &quot;F&quot;." sqref="H15 J15 L15 N15 H25 J25 L25 N25" xr:uid="{F06C0B88-1DFB-4209-B877-0834A1BB2E2B}">
      <formula1>Units</formula1>
    </dataValidation>
    <dataValidation type="list" allowBlank="1" showInputMessage="1" showErrorMessage="1" errorTitle="Error" error="Prefix not recognized.  Select an abbreviation from the drop-down list or see the &quot;SI&quot; worksheet for available prefixes." sqref="G15 I15 K15 M15 G25 I25 K25 M25" xr:uid="{077D2B57-9F12-4C4A-8A05-EBC4AA1976EA}">
      <formula1>Prefixes</formula1>
    </dataValidation>
  </dataValidations>
  <hyperlinks>
    <hyperlink ref="D35" r:id="rId1" xr:uid="{16052C8B-64AC-4687-9998-DC6585D8B958}"/>
  </hyperlinks>
  <pageMargins left="0.75" right="0.75" top="1" bottom="1" header="0.5" footer="0.5"/>
  <pageSetup orientation="portrait" verticalDpi="1200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DB980-AE4D-4309-931F-74E87F325435}">
  <dimension ref="A1:B3"/>
  <sheetViews>
    <sheetView workbookViewId="0">
      <selection activeCell="E28" sqref="E28"/>
    </sheetView>
  </sheetViews>
  <sheetFormatPr defaultRowHeight="12.75" x14ac:dyDescent="0.2"/>
  <cols>
    <col min="1" max="1" width="15.7109375" bestFit="1" customWidth="1"/>
    <col min="2" max="2" width="12" bestFit="1" customWidth="1"/>
  </cols>
  <sheetData>
    <row r="1" spans="1:2" x14ac:dyDescent="0.2">
      <c r="A1" s="23" t="s">
        <v>282</v>
      </c>
      <c r="B1" s="19" t="s">
        <v>284</v>
      </c>
    </row>
    <row r="2" spans="1:2" x14ac:dyDescent="0.2">
      <c r="A2" t="s">
        <v>283</v>
      </c>
      <c r="B2" s="25">
        <f>Complex!E15*(10^VLOOKUP(CODE(Complex!G15),S!B3:D27,3,FALSE))^Complex!H14*(10^VLOOKUP(CODE(Complex!I15),S!B3:D27,3,FALSE))^Complex!J14*(10^VLOOKUP(CODE(Complex!K15),S!B3:D27,3,FALSE))^Complex!L14*(10^VLOOKUP(CODE(Complex!M15),S!B3:D27,3,FALSE))^Complex!N14*(10^VLOOKUP(CODE(Complex!G33),S!B3:D27,3,FALSE))^(-Complex!H32)*(10^VLOOKUP(CODE(Complex!I33),S!B3:D27,3,FALSE))^(-Complex!J32)*(10^VLOOKUP(CODE(Complex!K33),S!B3:D27,3,FALSE))^(-Complex!L32)*(10^VLOOKUP(CODE(Complex!M33),S!B3:D27,3,FALSE))^(-Complex!N32)*VLOOKUP(Complex!H15,F!A3:D78,4,FALSE)^Complex!H14*VLOOKUP(Complex!J15,F!A3:D78,4,FALSE)^Complex!J14*VLOOKUP(Complex!L15,F!A3:D78,4,FALSE)^Complex!L14*VLOOKUP(Complex!N15,F!A3:D78,4,FALSE)^Complex!N14*VLOOKUP(Complex!H24,'C'!A3:C41,3,FALSE)^Complex!H23*VLOOKUP(Complex!J24,'C'!A3:C41,3,FALSE)^Complex!J23*VLOOKUP(Complex!L24,'C'!A3:C41,3,FALSE)^Complex!L23*VLOOKUP(Complex!H33,F!A3:D78,4,FALSE)^(-Complex!H32)*VLOOKUP(Complex!J33,F!A3:D78,4,FALSE)^(-Complex!J32)*VLOOKUP(Complex!L33,F!A3:D78,4,FALSE)^(-Complex!L32)*VLOOKUP(Complex!N33,F!A3:D78,4,FALSE)^(-Complex!N32)</f>
        <v>1</v>
      </c>
    </row>
    <row r="3" spans="1:2" x14ac:dyDescent="0.2">
      <c r="A3" t="s">
        <v>201</v>
      </c>
      <c r="B3" s="5" t="e">
        <f>(Complex!E15*(10^VLOOKUP(CODE(Complex!G15),S!B3:D27,3,FALSE))^Complex!H14*(10^VLOOKUP(CODE(Complex!G33),S!B3:D27,3,FALSE))^(-Complex!H32)*VLOOKUP(Complex!H15,F!A3:D78,4,FALSE)^Complex!H14+VLOOKUP(Complex!H15,F!A3:E78,5,FALSE)^Complex!H14-VLOOKUP(Complex!H33,F!A3:E78,5,FALSE)^Complex!H32)*VLOOKUP(Complex!H33,F!A3:D78,4,FALSE)^(-Complex!H32)</f>
        <v>#NUM!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indexed="12"/>
  </sheetPr>
  <dimension ref="C1:N100"/>
  <sheetViews>
    <sheetView zoomScaleNormal="100" workbookViewId="0">
      <selection activeCell="E15" sqref="E15"/>
    </sheetView>
  </sheetViews>
  <sheetFormatPr defaultRowHeight="12.75" x14ac:dyDescent="0.2"/>
  <cols>
    <col min="1" max="1" width="9.140625" style="35"/>
    <col min="2" max="2" width="7" style="35" customWidth="1"/>
    <col min="3" max="3" width="14.85546875" style="35" customWidth="1"/>
    <col min="4" max="4" width="14" style="35" customWidth="1"/>
    <col min="5" max="5" width="19.28515625" style="37" customWidth="1"/>
    <col min="6" max="6" width="16" style="35" customWidth="1"/>
    <col min="7" max="7" width="6.28515625" style="35" customWidth="1"/>
    <col min="8" max="8" width="8.42578125" style="35" customWidth="1"/>
    <col min="9" max="9" width="7.85546875" style="35" customWidth="1"/>
    <col min="10" max="10" width="8.28515625" style="35" customWidth="1"/>
    <col min="11" max="12" width="7.42578125" style="35" customWidth="1"/>
    <col min="13" max="13" width="7" style="35" customWidth="1"/>
    <col min="14" max="14" width="8.7109375" style="35" customWidth="1"/>
    <col min="15" max="15" width="15" style="35" customWidth="1"/>
    <col min="16" max="16384" width="9.140625" style="35"/>
  </cols>
  <sheetData>
    <row r="1" spans="4:14" x14ac:dyDescent="0.2">
      <c r="D1" s="32"/>
      <c r="E1" s="33"/>
      <c r="F1" s="32"/>
      <c r="G1" s="32"/>
      <c r="H1" s="34"/>
      <c r="I1" s="34"/>
      <c r="J1" s="34"/>
      <c r="K1" s="34"/>
      <c r="L1" s="34"/>
    </row>
    <row r="2" spans="4:14" x14ac:dyDescent="0.2">
      <c r="D2" s="32"/>
      <c r="E2" s="33"/>
      <c r="F2" s="32"/>
      <c r="G2" s="32"/>
      <c r="H2" s="34"/>
      <c r="I2" s="34"/>
      <c r="J2" s="34"/>
      <c r="K2" s="34"/>
      <c r="L2" s="34"/>
    </row>
    <row r="3" spans="4:14" x14ac:dyDescent="0.2">
      <c r="D3" s="32"/>
      <c r="E3" s="33"/>
      <c r="F3" s="32"/>
      <c r="G3" s="32"/>
      <c r="H3" s="34"/>
      <c r="I3" s="34"/>
      <c r="J3" s="34"/>
      <c r="K3" s="34"/>
      <c r="L3" s="34"/>
    </row>
    <row r="4" spans="4:14" x14ac:dyDescent="0.2">
      <c r="D4" s="32"/>
      <c r="E4" s="33"/>
      <c r="F4" s="32"/>
      <c r="G4" s="32"/>
      <c r="H4" s="34"/>
      <c r="I4" s="34"/>
      <c r="J4" s="34"/>
      <c r="K4" s="34"/>
      <c r="L4" s="34"/>
    </row>
    <row r="5" spans="4:14" x14ac:dyDescent="0.2">
      <c r="D5" s="32"/>
      <c r="E5" s="33"/>
      <c r="L5" s="34"/>
    </row>
    <row r="6" spans="4:14" x14ac:dyDescent="0.2">
      <c r="D6" s="32"/>
      <c r="E6" s="33"/>
      <c r="L6" s="34"/>
    </row>
    <row r="7" spans="4:14" x14ac:dyDescent="0.2">
      <c r="D7" s="32"/>
      <c r="E7" s="33"/>
      <c r="L7" s="34"/>
    </row>
    <row r="8" spans="4:14" x14ac:dyDescent="0.2">
      <c r="D8" s="36"/>
      <c r="E8" s="36"/>
      <c r="F8" s="36"/>
      <c r="G8" s="36"/>
      <c r="H8" s="36"/>
      <c r="I8" s="36"/>
      <c r="J8" s="36"/>
      <c r="K8" s="36"/>
      <c r="L8" s="36"/>
    </row>
    <row r="9" spans="4:14" ht="25.5" customHeight="1" x14ac:dyDescent="0.25">
      <c r="D9" s="51" t="s">
        <v>39</v>
      </c>
      <c r="E9" s="51"/>
      <c r="F9" s="51"/>
      <c r="G9" s="51"/>
      <c r="H9" s="51"/>
      <c r="I9" s="51"/>
      <c r="J9" s="51"/>
      <c r="K9" s="51"/>
      <c r="L9" s="51"/>
      <c r="M9" s="51"/>
      <c r="N9" s="51"/>
    </row>
    <row r="11" spans="4:14" x14ac:dyDescent="0.2">
      <c r="D11" s="52" t="s">
        <v>174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</row>
    <row r="12" spans="4:14" ht="4.5" customHeight="1" x14ac:dyDescent="0.2"/>
    <row r="13" spans="4:14" ht="12.75" customHeight="1" x14ac:dyDescent="0.2">
      <c r="D13" s="36"/>
      <c r="E13" s="36"/>
      <c r="F13" s="36"/>
      <c r="G13" s="36"/>
      <c r="H13" s="34" t="s">
        <v>100</v>
      </c>
      <c r="I13" s="36"/>
      <c r="J13" s="34" t="s">
        <v>100</v>
      </c>
      <c r="K13" s="36"/>
      <c r="L13" s="34" t="s">
        <v>100</v>
      </c>
      <c r="M13" s="36"/>
      <c r="N13" s="34" t="s">
        <v>100</v>
      </c>
    </row>
    <row r="14" spans="4:14" x14ac:dyDescent="0.2">
      <c r="D14" s="32"/>
      <c r="E14" s="34"/>
      <c r="F14" s="38"/>
      <c r="G14" s="34" t="s">
        <v>69</v>
      </c>
      <c r="H14" s="48"/>
      <c r="I14" s="34" t="s">
        <v>69</v>
      </c>
      <c r="J14" s="48"/>
      <c r="K14" s="34" t="s">
        <v>69</v>
      </c>
      <c r="L14" s="48"/>
      <c r="M14" s="34" t="s">
        <v>69</v>
      </c>
      <c r="N14" s="48"/>
    </row>
    <row r="15" spans="4:14" ht="12.75" customHeight="1" x14ac:dyDescent="0.2">
      <c r="D15" s="32" t="s">
        <v>25</v>
      </c>
      <c r="E15" s="30">
        <v>1</v>
      </c>
      <c r="F15" s="38" t="s">
        <v>176</v>
      </c>
      <c r="G15" s="46" t="s">
        <v>7</v>
      </c>
      <c r="H15" s="47" t="s">
        <v>7</v>
      </c>
      <c r="I15" s="46" t="s">
        <v>7</v>
      </c>
      <c r="J15" s="47" t="s">
        <v>7</v>
      </c>
      <c r="K15" s="46" t="s">
        <v>7</v>
      </c>
      <c r="L15" s="47" t="s">
        <v>7</v>
      </c>
      <c r="M15" s="46" t="s">
        <v>7</v>
      </c>
      <c r="N15" s="47" t="s">
        <v>7</v>
      </c>
    </row>
    <row r="16" spans="4:14" ht="12.75" customHeight="1" x14ac:dyDescent="0.2">
      <c r="D16" s="32"/>
      <c r="E16" s="39"/>
      <c r="F16" s="38"/>
      <c r="G16" s="38"/>
      <c r="H16" s="40"/>
      <c r="I16" s="38"/>
      <c r="J16" s="40"/>
      <c r="K16" s="38"/>
      <c r="L16" s="40"/>
      <c r="M16" s="38"/>
      <c r="N16" s="40"/>
    </row>
    <row r="17" spans="4:14" ht="12.75" customHeight="1" x14ac:dyDescent="0.2">
      <c r="D17" s="32"/>
      <c r="E17" s="39"/>
      <c r="F17" s="38"/>
      <c r="G17" s="38"/>
      <c r="H17" s="40"/>
      <c r="I17" s="38"/>
      <c r="J17" s="40"/>
      <c r="K17" s="38"/>
      <c r="L17" s="40"/>
      <c r="M17" s="38"/>
      <c r="N17" s="40"/>
    </row>
    <row r="18" spans="4:14" ht="12.75" customHeight="1" x14ac:dyDescent="0.2">
      <c r="D18" s="32"/>
      <c r="E18" s="39"/>
      <c r="F18" s="38"/>
      <c r="G18" s="38"/>
      <c r="H18" s="40"/>
      <c r="I18" s="38"/>
      <c r="J18" s="40"/>
      <c r="K18" s="38"/>
      <c r="L18" s="40"/>
      <c r="M18" s="38"/>
      <c r="N18" s="40"/>
    </row>
    <row r="19" spans="4:14" ht="12.75" customHeight="1" x14ac:dyDescent="0.2">
      <c r="D19" s="32"/>
      <c r="E19" s="39"/>
      <c r="F19" s="38"/>
      <c r="G19" s="38"/>
      <c r="H19" s="40"/>
      <c r="I19" s="38"/>
      <c r="J19" s="40"/>
      <c r="K19" s="38"/>
      <c r="L19" s="40"/>
      <c r="M19" s="38"/>
      <c r="N19" s="40"/>
    </row>
    <row r="20" spans="4:14" ht="12.75" customHeight="1" x14ac:dyDescent="0.2">
      <c r="D20" s="52" t="s">
        <v>218</v>
      </c>
      <c r="E20" s="52"/>
      <c r="F20" s="52"/>
      <c r="G20" s="52"/>
      <c r="H20" s="52"/>
      <c r="I20" s="52"/>
      <c r="J20" s="52"/>
      <c r="K20" s="52"/>
      <c r="L20" s="52"/>
      <c r="M20" s="52"/>
      <c r="N20" s="52"/>
    </row>
    <row r="21" spans="4:14" ht="4.5" customHeight="1" x14ac:dyDescent="0.2"/>
    <row r="22" spans="4:14" x14ac:dyDescent="0.2">
      <c r="E22" s="32"/>
      <c r="G22" s="32"/>
      <c r="H22" s="34" t="s">
        <v>100</v>
      </c>
      <c r="J22" s="34" t="s">
        <v>100</v>
      </c>
      <c r="L22" s="34" t="s">
        <v>100</v>
      </c>
      <c r="N22" s="34"/>
    </row>
    <row r="23" spans="4:14" x14ac:dyDescent="0.2">
      <c r="E23" s="32"/>
      <c r="G23" s="32"/>
      <c r="H23" s="48"/>
      <c r="J23" s="48"/>
      <c r="L23" s="48"/>
      <c r="N23" s="32"/>
    </row>
    <row r="24" spans="4:14" x14ac:dyDescent="0.2">
      <c r="E24" s="32"/>
      <c r="G24" s="38" t="s">
        <v>191</v>
      </c>
      <c r="H24" s="47" t="s">
        <v>7</v>
      </c>
      <c r="I24" s="37" t="s">
        <v>217</v>
      </c>
      <c r="J24" s="47" t="s">
        <v>7</v>
      </c>
      <c r="K24" s="37" t="s">
        <v>217</v>
      </c>
      <c r="L24" s="47" t="s">
        <v>7</v>
      </c>
      <c r="M24" s="37" t="s">
        <v>217</v>
      </c>
      <c r="N24" s="40" t="s">
        <v>269</v>
      </c>
    </row>
    <row r="29" spans="4:14" x14ac:dyDescent="0.2">
      <c r="D29" s="52" t="s">
        <v>175</v>
      </c>
      <c r="E29" s="52"/>
      <c r="F29" s="52"/>
      <c r="G29" s="52"/>
      <c r="H29" s="52"/>
      <c r="I29" s="52"/>
      <c r="J29" s="52"/>
      <c r="K29" s="52"/>
      <c r="L29" s="52"/>
      <c r="M29" s="52"/>
      <c r="N29" s="52"/>
    </row>
    <row r="30" spans="4:14" ht="4.5" customHeight="1" x14ac:dyDescent="0.2"/>
    <row r="31" spans="4:14" ht="12.75" customHeight="1" x14ac:dyDescent="0.2">
      <c r="D31" s="36"/>
      <c r="E31" s="36"/>
      <c r="F31" s="36"/>
      <c r="G31" s="36"/>
      <c r="H31" s="34" t="s">
        <v>100</v>
      </c>
      <c r="I31" s="36"/>
      <c r="J31" s="34" t="s">
        <v>100</v>
      </c>
      <c r="K31" s="36"/>
      <c r="L31" s="34" t="s">
        <v>100</v>
      </c>
      <c r="M31" s="36"/>
      <c r="N31" s="34" t="s">
        <v>100</v>
      </c>
    </row>
    <row r="32" spans="4:14" ht="12.75" customHeight="1" x14ac:dyDescent="0.2">
      <c r="D32" s="32"/>
      <c r="E32" s="34"/>
      <c r="F32" s="38"/>
      <c r="G32" s="34" t="s">
        <v>69</v>
      </c>
      <c r="H32" s="48"/>
      <c r="I32" s="34" t="s">
        <v>69</v>
      </c>
      <c r="J32" s="48"/>
      <c r="K32" s="34" t="s">
        <v>69</v>
      </c>
      <c r="L32" s="48"/>
      <c r="M32" s="34" t="s">
        <v>69</v>
      </c>
      <c r="N32" s="48"/>
    </row>
    <row r="33" spans="3:14" ht="12.75" customHeight="1" x14ac:dyDescent="0.2">
      <c r="D33" s="32" t="s">
        <v>26</v>
      </c>
      <c r="E33" s="41" t="str">
        <f>IF(Ec!B3+Ec!B8+Ec!B9+Ec!B10=0,IF(Ec!B11=0,Calcc!B2,Calcc!B3),"Error")</f>
        <v>Error</v>
      </c>
      <c r="F33" s="38" t="s">
        <v>176</v>
      </c>
      <c r="G33" s="46" t="s">
        <v>7</v>
      </c>
      <c r="H33" s="47" t="s">
        <v>7</v>
      </c>
      <c r="I33" s="46" t="s">
        <v>7</v>
      </c>
      <c r="J33" s="47" t="s">
        <v>7</v>
      </c>
      <c r="K33" s="46" t="s">
        <v>7</v>
      </c>
      <c r="L33" s="47" t="s">
        <v>7</v>
      </c>
      <c r="M33" s="46" t="s">
        <v>7</v>
      </c>
      <c r="N33" s="47" t="s">
        <v>7</v>
      </c>
    </row>
    <row r="34" spans="3:14" ht="12.75" customHeight="1" x14ac:dyDescent="0.2"/>
    <row r="35" spans="3:14" ht="14.25" x14ac:dyDescent="0.2">
      <c r="E35" s="42"/>
    </row>
    <row r="36" spans="3:14" ht="14.25" x14ac:dyDescent="0.2">
      <c r="C36" s="43" t="str">
        <f>IF(Ec!B3=1,"Error in cell(s):","")</f>
        <v/>
      </c>
      <c r="D36" s="42" t="str">
        <f>Ec!B7</f>
        <v xml:space="preserve">  </v>
      </c>
      <c r="E36" s="43" t="str">
        <f>IF(Ec!B2=1,Ec!C2,IF(Ec!B3=1,Ec!C3,IF(Ec!B3+Ec!B8+Ec!B9+Ec!B10=0,"",IF(Ec!B8=1,Ec!C8,IF(Ec!B9=1,Ec!C9,Ec!C10)))))</f>
        <v>Input and output units not entered.</v>
      </c>
    </row>
    <row r="38" spans="3:14" x14ac:dyDescent="0.2">
      <c r="D38" s="44"/>
    </row>
    <row r="39" spans="3:14" x14ac:dyDescent="0.2">
      <c r="D39" s="44"/>
    </row>
    <row r="40" spans="3:14" x14ac:dyDescent="0.2">
      <c r="D40" s="44"/>
    </row>
    <row r="41" spans="3:14" x14ac:dyDescent="0.2">
      <c r="D41" s="44"/>
    </row>
    <row r="100" spans="4:5" x14ac:dyDescent="0.2">
      <c r="D100" s="38" t="s">
        <v>275</v>
      </c>
      <c r="E100" s="45" t="str">
        <f>E33</f>
        <v>Error</v>
      </c>
    </row>
  </sheetData>
  <sheetProtection sheet="1" objects="1" scenarios="1" formatCells="0"/>
  <mergeCells count="4">
    <mergeCell ref="D29:N29"/>
    <mergeCell ref="D11:N11"/>
    <mergeCell ref="D9:N9"/>
    <mergeCell ref="D20:N20"/>
  </mergeCells>
  <phoneticPr fontId="2" type="noConversion"/>
  <dataValidations count="4">
    <dataValidation allowBlank="1" showInputMessage="1" showErrorMessage="1" errorTitle="Error." error="Constant not recognized.  Select a constant from the drop-down list.  Add new constants to sheet &quot;C&quot;." sqref="O22:O23 O25:O27 M22:N27" xr:uid="{00000000-0002-0000-0000-000000000000}"/>
    <dataValidation type="list" allowBlank="1" showErrorMessage="1" errorTitle="Error" error="Constant not recognized.  Select a constant from the drop-down list, or see the worksheet &quot;Co&quot; for available constants.  Additional constants can be added in the worksheet &quot;Co&quot;." sqref="H24 J24 L24" xr:uid="{00000000-0002-0000-0000-000001000000}">
      <formula1>Constants</formula1>
    </dataValidation>
    <dataValidation type="list" allowBlank="1" showInputMessage="1" showErrorMessage="1" errorTitle="Error" error="Prefix not recognized.  Select an abbreviation from the drop-down list or see the &quot;SI&quot; worksheet for available prefixes." sqref="G15 I15 K15 M15 G33 I33 K33 M33" xr:uid="{00000000-0002-0000-0000-000002000000}">
      <formula1>Prefixes</formula1>
    </dataValidation>
    <dataValidation type="list" allowBlank="1" showErrorMessage="1" errorTitle="Error" error="Unit not recognized.  Select a unit from the drop-down list, or see the worksheet &quot;F&quot; for available units.  Additional units can be added in the worksheet &quot;F&quot;." sqref="H15 J15 L15 N15 H33 J33 L33 N33" xr:uid="{00000000-0002-0000-0000-000003000000}">
      <formula1>Units</formula1>
    </dataValidation>
  </dataValidations>
  <pageMargins left="0.75" right="0.75" top="1" bottom="1" header="0.5" footer="0.5"/>
  <pageSetup orientation="portrait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D27"/>
  <sheetViews>
    <sheetView workbookViewId="0">
      <pane ySplit="2" topLeftCell="A3" activePane="bottomLeft" state="frozen"/>
      <selection pane="bottomLeft" activeCell="B14" sqref="B14"/>
    </sheetView>
  </sheetViews>
  <sheetFormatPr defaultRowHeight="12.75" x14ac:dyDescent="0.2"/>
  <cols>
    <col min="1" max="2" width="13.42578125" style="57" customWidth="1"/>
    <col min="3" max="3" width="24.85546875" style="57" customWidth="1"/>
    <col min="4" max="4" width="16.85546875" style="57" customWidth="1"/>
    <col min="5" max="5" width="9.85546875" style="57" customWidth="1"/>
    <col min="6" max="16384" width="9.140625" style="57"/>
  </cols>
  <sheetData>
    <row r="1" spans="1:4" s="57" customFormat="1" x14ac:dyDescent="0.2">
      <c r="A1" s="56" t="s">
        <v>220</v>
      </c>
      <c r="B1" s="56"/>
    </row>
    <row r="2" spans="1:4" s="59" customFormat="1" ht="12.75" customHeight="1" x14ac:dyDescent="0.2">
      <c r="A2" s="58" t="s">
        <v>69</v>
      </c>
      <c r="B2" s="58" t="s">
        <v>276</v>
      </c>
      <c r="C2" s="58" t="s">
        <v>28</v>
      </c>
      <c r="D2" s="58" t="s">
        <v>349</v>
      </c>
    </row>
    <row r="3" spans="1:4" s="59" customFormat="1" ht="12.75" customHeight="1" x14ac:dyDescent="0.2">
      <c r="A3" s="59" t="s">
        <v>7</v>
      </c>
      <c r="B3" s="60">
        <f t="shared" ref="B3:B27" si="0">CODE(A3)</f>
        <v>46</v>
      </c>
      <c r="C3" s="59" t="s">
        <v>252</v>
      </c>
      <c r="D3" s="59">
        <v>0</v>
      </c>
    </row>
    <row r="4" spans="1:4" s="59" customFormat="1" ht="12.75" customHeight="1" x14ac:dyDescent="0.2">
      <c r="A4" s="59" t="s">
        <v>342</v>
      </c>
      <c r="B4" s="60">
        <f t="shared" si="0"/>
        <v>81</v>
      </c>
      <c r="C4" s="59" t="s">
        <v>343</v>
      </c>
      <c r="D4" s="59">
        <v>30</v>
      </c>
    </row>
    <row r="5" spans="1:4" s="59" customFormat="1" ht="12.75" customHeight="1" x14ac:dyDescent="0.2">
      <c r="A5" s="59" t="s">
        <v>332</v>
      </c>
      <c r="B5" s="60">
        <f t="shared" si="0"/>
        <v>82</v>
      </c>
      <c r="C5" s="59" t="s">
        <v>344</v>
      </c>
      <c r="D5" s="59">
        <v>27</v>
      </c>
    </row>
    <row r="6" spans="1:4" s="57" customFormat="1" x14ac:dyDescent="0.2">
      <c r="A6" s="57" t="s">
        <v>278</v>
      </c>
      <c r="B6" s="60">
        <f t="shared" si="0"/>
        <v>89</v>
      </c>
      <c r="C6" s="57" t="s">
        <v>70</v>
      </c>
      <c r="D6" s="61">
        <v>24</v>
      </c>
    </row>
    <row r="7" spans="1:4" s="57" customFormat="1" x14ac:dyDescent="0.2">
      <c r="A7" s="57" t="s">
        <v>277</v>
      </c>
      <c r="B7" s="60">
        <f t="shared" si="0"/>
        <v>90</v>
      </c>
      <c r="C7" s="57" t="s">
        <v>71</v>
      </c>
      <c r="D7" s="61">
        <v>21</v>
      </c>
    </row>
    <row r="8" spans="1:4" s="57" customFormat="1" x14ac:dyDescent="0.2">
      <c r="A8" s="57" t="s">
        <v>72</v>
      </c>
      <c r="B8" s="60">
        <f t="shared" si="0"/>
        <v>69</v>
      </c>
      <c r="C8" s="57" t="s">
        <v>73</v>
      </c>
      <c r="D8" s="61">
        <v>18</v>
      </c>
    </row>
    <row r="9" spans="1:4" s="57" customFormat="1" x14ac:dyDescent="0.2">
      <c r="A9" s="57" t="s">
        <v>74</v>
      </c>
      <c r="B9" s="60">
        <f t="shared" si="0"/>
        <v>80</v>
      </c>
      <c r="C9" s="57" t="s">
        <v>75</v>
      </c>
      <c r="D9" s="61">
        <v>15</v>
      </c>
    </row>
    <row r="10" spans="1:4" s="57" customFormat="1" x14ac:dyDescent="0.2">
      <c r="A10" s="57" t="s">
        <v>76</v>
      </c>
      <c r="B10" s="60">
        <f t="shared" si="0"/>
        <v>84</v>
      </c>
      <c r="C10" s="57" t="s">
        <v>77</v>
      </c>
      <c r="D10" s="61">
        <v>12</v>
      </c>
    </row>
    <row r="11" spans="1:4" s="57" customFormat="1" x14ac:dyDescent="0.2">
      <c r="A11" s="57" t="s">
        <v>78</v>
      </c>
      <c r="B11" s="60">
        <f t="shared" si="0"/>
        <v>71</v>
      </c>
      <c r="C11" s="57" t="s">
        <v>79</v>
      </c>
      <c r="D11" s="61">
        <v>9</v>
      </c>
    </row>
    <row r="12" spans="1:4" s="57" customFormat="1" x14ac:dyDescent="0.2">
      <c r="A12" s="57" t="s">
        <v>212</v>
      </c>
      <c r="B12" s="60">
        <f t="shared" si="0"/>
        <v>77</v>
      </c>
      <c r="C12" s="57" t="s">
        <v>80</v>
      </c>
      <c r="D12" s="61">
        <v>6</v>
      </c>
    </row>
    <row r="13" spans="1:4" s="57" customFormat="1" x14ac:dyDescent="0.2">
      <c r="A13" s="57" t="s">
        <v>81</v>
      </c>
      <c r="B13" s="60">
        <f t="shared" si="0"/>
        <v>107</v>
      </c>
      <c r="C13" s="57" t="s">
        <v>82</v>
      </c>
      <c r="D13" s="61">
        <v>3</v>
      </c>
    </row>
    <row r="14" spans="1:4" s="57" customFormat="1" x14ac:dyDescent="0.2">
      <c r="A14" s="57" t="s">
        <v>83</v>
      </c>
      <c r="B14" s="60">
        <f t="shared" si="0"/>
        <v>104</v>
      </c>
      <c r="C14" s="57" t="s">
        <v>84</v>
      </c>
      <c r="D14" s="61">
        <v>2</v>
      </c>
    </row>
    <row r="15" spans="1:4" s="57" customFormat="1" x14ac:dyDescent="0.2">
      <c r="A15" s="57" t="s">
        <v>85</v>
      </c>
      <c r="B15" s="60">
        <f t="shared" si="0"/>
        <v>100</v>
      </c>
      <c r="C15" s="57" t="s">
        <v>86</v>
      </c>
      <c r="D15" s="61">
        <v>1</v>
      </c>
    </row>
    <row r="16" spans="1:4" s="57" customFormat="1" x14ac:dyDescent="0.2">
      <c r="A16" s="57" t="s">
        <v>14</v>
      </c>
      <c r="B16" s="60">
        <f t="shared" si="0"/>
        <v>100</v>
      </c>
      <c r="C16" s="57" t="s">
        <v>87</v>
      </c>
      <c r="D16" s="61">
        <v>-1</v>
      </c>
    </row>
    <row r="17" spans="1:4" s="57" customFormat="1" x14ac:dyDescent="0.2">
      <c r="A17" s="57" t="s">
        <v>88</v>
      </c>
      <c r="B17" s="60">
        <f t="shared" si="0"/>
        <v>99</v>
      </c>
      <c r="C17" s="57" t="s">
        <v>89</v>
      </c>
      <c r="D17" s="61">
        <v>-2</v>
      </c>
    </row>
    <row r="18" spans="1:4" s="57" customFormat="1" x14ac:dyDescent="0.2">
      <c r="A18" s="57" t="s">
        <v>0</v>
      </c>
      <c r="B18" s="60">
        <f t="shared" si="0"/>
        <v>109</v>
      </c>
      <c r="C18" s="57" t="s">
        <v>90</v>
      </c>
      <c r="D18" s="61">
        <v>-3</v>
      </c>
    </row>
    <row r="19" spans="1:4" s="57" customFormat="1" x14ac:dyDescent="0.2">
      <c r="A19" s="57" t="s">
        <v>157</v>
      </c>
      <c r="B19" s="60">
        <f t="shared" si="0"/>
        <v>63</v>
      </c>
      <c r="C19" s="57" t="s">
        <v>91</v>
      </c>
      <c r="D19" s="61">
        <v>-6</v>
      </c>
    </row>
    <row r="20" spans="1:4" s="57" customFormat="1" x14ac:dyDescent="0.2">
      <c r="A20" s="57" t="s">
        <v>45</v>
      </c>
      <c r="B20" s="60">
        <f t="shared" si="0"/>
        <v>110</v>
      </c>
      <c r="C20" s="57" t="s">
        <v>92</v>
      </c>
      <c r="D20" s="61">
        <v>-9</v>
      </c>
    </row>
    <row r="21" spans="1:4" s="57" customFormat="1" x14ac:dyDescent="0.2">
      <c r="A21" s="57" t="s">
        <v>279</v>
      </c>
      <c r="B21" s="60">
        <f t="shared" si="0"/>
        <v>112</v>
      </c>
      <c r="C21" s="57" t="s">
        <v>93</v>
      </c>
      <c r="D21" s="61">
        <v>-12</v>
      </c>
    </row>
    <row r="22" spans="1:4" s="57" customFormat="1" x14ac:dyDescent="0.2">
      <c r="A22" s="57" t="s">
        <v>94</v>
      </c>
      <c r="B22" s="60">
        <f t="shared" si="0"/>
        <v>102</v>
      </c>
      <c r="C22" s="57" t="s">
        <v>95</v>
      </c>
      <c r="D22" s="61">
        <v>-15</v>
      </c>
    </row>
    <row r="23" spans="1:4" s="57" customFormat="1" x14ac:dyDescent="0.2">
      <c r="A23" s="57" t="s">
        <v>96</v>
      </c>
      <c r="B23" s="60">
        <f t="shared" si="0"/>
        <v>97</v>
      </c>
      <c r="C23" s="57" t="s">
        <v>97</v>
      </c>
      <c r="D23" s="61">
        <v>-18</v>
      </c>
    </row>
    <row r="24" spans="1:4" s="57" customFormat="1" x14ac:dyDescent="0.2">
      <c r="A24" s="57" t="s">
        <v>280</v>
      </c>
      <c r="B24" s="60">
        <f t="shared" si="0"/>
        <v>122</v>
      </c>
      <c r="C24" s="57" t="s">
        <v>98</v>
      </c>
      <c r="D24" s="61">
        <v>-21</v>
      </c>
    </row>
    <row r="25" spans="1:4" s="57" customFormat="1" x14ac:dyDescent="0.2">
      <c r="A25" s="57" t="s">
        <v>281</v>
      </c>
      <c r="B25" s="60">
        <f t="shared" si="0"/>
        <v>121</v>
      </c>
      <c r="C25" s="57" t="s">
        <v>99</v>
      </c>
      <c r="D25" s="61">
        <v>-24</v>
      </c>
    </row>
    <row r="26" spans="1:4" s="57" customFormat="1" x14ac:dyDescent="0.2">
      <c r="A26" s="57" t="s">
        <v>345</v>
      </c>
      <c r="B26" s="60">
        <f t="shared" si="0"/>
        <v>114</v>
      </c>
      <c r="C26" s="57" t="s">
        <v>347</v>
      </c>
      <c r="D26" s="61">
        <v>-27</v>
      </c>
    </row>
    <row r="27" spans="1:4" s="57" customFormat="1" x14ac:dyDescent="0.2">
      <c r="A27" s="57" t="s">
        <v>346</v>
      </c>
      <c r="B27" s="60">
        <f t="shared" si="0"/>
        <v>113</v>
      </c>
      <c r="C27" s="57" t="s">
        <v>348</v>
      </c>
      <c r="D27" s="61">
        <v>-30</v>
      </c>
    </row>
  </sheetData>
  <sheetProtection sheet="1" objects="1" scenarios="1"/>
  <phoneticPr fontId="2" type="noConversion"/>
  <pageMargins left="0.75" right="0.75" top="1" bottom="1" header="0.5" footer="0.5"/>
  <pageSetup orientation="portrait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D10"/>
  <sheetViews>
    <sheetView workbookViewId="0">
      <pane ySplit="2" topLeftCell="A3" activePane="bottomLeft" state="frozen"/>
      <selection pane="bottomLeft" activeCell="C8" sqref="C8"/>
    </sheetView>
  </sheetViews>
  <sheetFormatPr defaultRowHeight="12.75" x14ac:dyDescent="0.2"/>
  <cols>
    <col min="1" max="1" width="22" customWidth="1"/>
    <col min="2" max="2" width="14.42578125" style="1" customWidth="1"/>
    <col min="3" max="3" width="13.140625" style="1" customWidth="1"/>
    <col min="4" max="4" width="14.7109375" style="1" customWidth="1"/>
  </cols>
  <sheetData>
    <row r="1" spans="1:4" x14ac:dyDescent="0.2">
      <c r="A1" s="17" t="s">
        <v>265</v>
      </c>
    </row>
    <row r="2" spans="1:4" x14ac:dyDescent="0.2">
      <c r="A2" t="s">
        <v>30</v>
      </c>
      <c r="B2" s="1" t="s">
        <v>27</v>
      </c>
      <c r="C2" s="1" t="s">
        <v>205</v>
      </c>
      <c r="D2" s="1" t="s">
        <v>204</v>
      </c>
    </row>
    <row r="3" spans="1:4" x14ac:dyDescent="0.2">
      <c r="A3" t="s">
        <v>197</v>
      </c>
      <c r="B3" s="1" t="s">
        <v>211</v>
      </c>
      <c r="C3" s="1" t="s">
        <v>0</v>
      </c>
      <c r="D3" s="2">
        <v>1</v>
      </c>
    </row>
    <row r="4" spans="1:4" x14ac:dyDescent="0.2">
      <c r="A4" t="s">
        <v>198</v>
      </c>
      <c r="B4" s="1" t="s">
        <v>212</v>
      </c>
      <c r="C4" s="1" t="s">
        <v>179</v>
      </c>
      <c r="D4" s="2">
        <v>10</v>
      </c>
    </row>
    <row r="5" spans="1:4" x14ac:dyDescent="0.2">
      <c r="A5" t="s">
        <v>199</v>
      </c>
      <c r="B5" s="1" t="s">
        <v>43</v>
      </c>
      <c r="C5" s="1" t="s">
        <v>11</v>
      </c>
      <c r="D5" s="2">
        <v>100</v>
      </c>
    </row>
    <row r="6" spans="1:4" x14ac:dyDescent="0.2">
      <c r="A6" t="s">
        <v>200</v>
      </c>
      <c r="B6" s="1" t="s">
        <v>185</v>
      </c>
      <c r="C6" s="1" t="s">
        <v>182</v>
      </c>
      <c r="D6" s="2">
        <v>1000</v>
      </c>
    </row>
    <row r="7" spans="1:4" x14ac:dyDescent="0.2">
      <c r="A7" t="s">
        <v>201</v>
      </c>
      <c r="B7" s="1" t="s">
        <v>76</v>
      </c>
      <c r="C7" s="1" t="s">
        <v>17</v>
      </c>
      <c r="D7" s="2">
        <v>10000</v>
      </c>
    </row>
    <row r="8" spans="1:4" x14ac:dyDescent="0.2">
      <c r="A8" t="s">
        <v>202</v>
      </c>
      <c r="B8" s="1" t="s">
        <v>188</v>
      </c>
      <c r="C8" s="1" t="s">
        <v>188</v>
      </c>
      <c r="D8" s="2">
        <v>100000</v>
      </c>
    </row>
    <row r="9" spans="1:4" x14ac:dyDescent="0.2">
      <c r="A9" t="s">
        <v>203</v>
      </c>
      <c r="B9" s="1" t="s">
        <v>213</v>
      </c>
      <c r="C9" s="1" t="s">
        <v>206</v>
      </c>
      <c r="D9" s="2">
        <v>1000000</v>
      </c>
    </row>
    <row r="10" spans="1:4" x14ac:dyDescent="0.2">
      <c r="A10" t="s">
        <v>193</v>
      </c>
      <c r="B10" s="1" t="s">
        <v>207</v>
      </c>
      <c r="C10" s="1" t="s">
        <v>207</v>
      </c>
      <c r="D10" s="2">
        <v>10000000</v>
      </c>
    </row>
  </sheetData>
  <sheetProtection sheet="1" objects="1" scenarios="1"/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O79"/>
  <sheetViews>
    <sheetView workbookViewId="0">
      <pane ySplit="2" topLeftCell="A3" activePane="bottomLeft" state="frozen"/>
      <selection pane="bottomLeft" activeCell="C18" sqref="C18"/>
    </sheetView>
  </sheetViews>
  <sheetFormatPr defaultRowHeight="12.75" x14ac:dyDescent="0.2"/>
  <cols>
    <col min="1" max="1" width="13.42578125" style="1" customWidth="1"/>
    <col min="2" max="2" width="26.140625" style="1" customWidth="1"/>
    <col min="3" max="3" width="21.140625" style="1" customWidth="1"/>
    <col min="4" max="4" width="14.7109375" style="1" customWidth="1"/>
    <col min="5" max="5" width="16.28515625" style="1" customWidth="1"/>
    <col min="6" max="6" width="16.7109375" style="1" customWidth="1"/>
    <col min="7" max="7" width="17.42578125" style="1" customWidth="1"/>
    <col min="8" max="8" width="17.28515625" style="6" customWidth="1"/>
    <col min="9" max="9" width="26" style="1" customWidth="1"/>
    <col min="10" max="10" width="9.85546875" style="1" customWidth="1"/>
    <col min="11" max="16" width="20.85546875" style="1" customWidth="1"/>
    <col min="17" max="16384" width="9.140625" style="1"/>
  </cols>
  <sheetData>
    <row r="1" spans="1:15" x14ac:dyDescent="0.2">
      <c r="A1" s="16" t="s">
        <v>219</v>
      </c>
    </row>
    <row r="2" spans="1:15" s="2" customFormat="1" ht="25.5" customHeight="1" x14ac:dyDescent="0.2">
      <c r="A2" s="4" t="s">
        <v>27</v>
      </c>
      <c r="B2" s="4" t="s">
        <v>28</v>
      </c>
      <c r="C2" s="4" t="s">
        <v>205</v>
      </c>
      <c r="D2" s="4" t="s">
        <v>29</v>
      </c>
      <c r="E2" s="4" t="s">
        <v>227</v>
      </c>
      <c r="F2" s="4" t="s">
        <v>30</v>
      </c>
      <c r="G2" s="4" t="s">
        <v>31</v>
      </c>
      <c r="H2" s="4" t="s">
        <v>112</v>
      </c>
      <c r="I2" s="4" t="s">
        <v>113</v>
      </c>
    </row>
    <row r="3" spans="1:15" s="2" customFormat="1" ht="12.75" customHeight="1" x14ac:dyDescent="0.2">
      <c r="A3" s="2" t="s">
        <v>7</v>
      </c>
      <c r="B3" s="2" t="s">
        <v>42</v>
      </c>
      <c r="C3" s="2" t="s">
        <v>214</v>
      </c>
      <c r="D3" s="2">
        <v>1</v>
      </c>
      <c r="F3" s="2" t="s">
        <v>214</v>
      </c>
      <c r="G3" s="2">
        <v>0</v>
      </c>
      <c r="H3" s="15"/>
    </row>
    <row r="4" spans="1:15" s="2" customFormat="1" ht="12.75" customHeight="1" x14ac:dyDescent="0.2">
      <c r="A4" s="1" t="s">
        <v>0</v>
      </c>
      <c r="B4" s="1" t="s">
        <v>46</v>
      </c>
      <c r="C4" s="1" t="s">
        <v>0</v>
      </c>
      <c r="D4" s="1">
        <v>1</v>
      </c>
      <c r="E4" s="1"/>
      <c r="F4" s="1" t="s">
        <v>35</v>
      </c>
      <c r="G4" s="5">
        <f>D!D$3</f>
        <v>1</v>
      </c>
      <c r="H4" s="15"/>
    </row>
    <row r="5" spans="1:15" s="2" customFormat="1" ht="12.75" customHeight="1" x14ac:dyDescent="0.2">
      <c r="A5" s="1" t="s">
        <v>2</v>
      </c>
      <c r="B5" s="1" t="s">
        <v>47</v>
      </c>
      <c r="C5" s="1" t="s">
        <v>0</v>
      </c>
      <c r="D5" s="1">
        <v>2.5399999999999999E-2</v>
      </c>
      <c r="E5" s="1"/>
      <c r="F5" s="1" t="s">
        <v>35</v>
      </c>
      <c r="G5" s="5">
        <f>D!D$3</f>
        <v>1</v>
      </c>
      <c r="H5" s="15" t="s">
        <v>114</v>
      </c>
      <c r="I5" s="2" t="s">
        <v>115</v>
      </c>
    </row>
    <row r="6" spans="1:15" s="2" customFormat="1" ht="12.75" customHeight="1" x14ac:dyDescent="0.2">
      <c r="A6" s="1" t="s">
        <v>4</v>
      </c>
      <c r="B6" s="1" t="s">
        <v>48</v>
      </c>
      <c r="C6" s="1" t="s">
        <v>0</v>
      </c>
      <c r="D6" s="1">
        <v>0.30480000000000002</v>
      </c>
      <c r="E6" s="1"/>
      <c r="F6" s="1" t="s">
        <v>35</v>
      </c>
      <c r="G6" s="5">
        <f>D!D$3</f>
        <v>1</v>
      </c>
      <c r="H6" s="15" t="s">
        <v>114</v>
      </c>
      <c r="I6" s="2" t="s">
        <v>115</v>
      </c>
    </row>
    <row r="7" spans="1:15" s="2" customFormat="1" ht="12.75" customHeight="1" x14ac:dyDescent="0.2">
      <c r="A7" s="1" t="s">
        <v>5</v>
      </c>
      <c r="B7" s="1" t="s">
        <v>49</v>
      </c>
      <c r="C7" s="1" t="s">
        <v>0</v>
      </c>
      <c r="D7" s="1">
        <v>0.91439999999999999</v>
      </c>
      <c r="E7" s="1"/>
      <c r="F7" s="1" t="s">
        <v>35</v>
      </c>
      <c r="G7" s="5">
        <f>D!D$3</f>
        <v>1</v>
      </c>
      <c r="H7" s="15" t="s">
        <v>114</v>
      </c>
      <c r="I7" s="2" t="s">
        <v>115</v>
      </c>
    </row>
    <row r="8" spans="1:15" s="2" customFormat="1" ht="12.75" customHeight="1" x14ac:dyDescent="0.2">
      <c r="A8" s="1" t="s">
        <v>6</v>
      </c>
      <c r="B8" s="1" t="s">
        <v>50</v>
      </c>
      <c r="C8" s="1" t="s">
        <v>0</v>
      </c>
      <c r="D8" s="1">
        <v>1609.3440000000001</v>
      </c>
      <c r="E8" s="1"/>
      <c r="F8" s="1" t="s">
        <v>35</v>
      </c>
      <c r="G8" s="5">
        <f>D!D$3</f>
        <v>1</v>
      </c>
      <c r="H8" s="15" t="s">
        <v>114</v>
      </c>
      <c r="I8" s="2" t="s">
        <v>115</v>
      </c>
    </row>
    <row r="9" spans="1:15" s="2" customFormat="1" ht="12.75" customHeight="1" x14ac:dyDescent="0.2">
      <c r="A9" s="1" t="s">
        <v>116</v>
      </c>
      <c r="B9" s="1" t="s">
        <v>116</v>
      </c>
      <c r="C9" s="1" t="s">
        <v>0</v>
      </c>
      <c r="D9" s="1">
        <v>20.116800000000001</v>
      </c>
      <c r="E9" s="1"/>
      <c r="F9" s="1" t="s">
        <v>35</v>
      </c>
      <c r="G9" s="5">
        <f>D!D$3</f>
        <v>1</v>
      </c>
      <c r="H9" s="15" t="s">
        <v>114</v>
      </c>
      <c r="I9" s="2" t="s">
        <v>115</v>
      </c>
    </row>
    <row r="10" spans="1:15" s="2" customFormat="1" ht="12.75" customHeight="1" x14ac:dyDescent="0.2">
      <c r="A10" s="1" t="s">
        <v>117</v>
      </c>
      <c r="B10" s="1" t="s">
        <v>118</v>
      </c>
      <c r="C10" s="1" t="s">
        <v>0</v>
      </c>
      <c r="D10" s="1">
        <v>1852</v>
      </c>
      <c r="E10" s="1"/>
      <c r="F10" s="1" t="s">
        <v>35</v>
      </c>
      <c r="G10" s="5">
        <f>D!D$3</f>
        <v>1</v>
      </c>
      <c r="H10" s="15" t="s">
        <v>114</v>
      </c>
      <c r="I10" s="2" t="s">
        <v>115</v>
      </c>
    </row>
    <row r="11" spans="1:15" s="2" customFormat="1" ht="12.75" customHeight="1" x14ac:dyDescent="0.2">
      <c r="A11" s="1" t="s">
        <v>119</v>
      </c>
      <c r="B11" s="1" t="s">
        <v>119</v>
      </c>
      <c r="C11" s="1" t="s">
        <v>0</v>
      </c>
      <c r="D11" s="1">
        <v>1.8288</v>
      </c>
      <c r="E11" s="1"/>
      <c r="F11" s="1" t="s">
        <v>35</v>
      </c>
      <c r="G11" s="5">
        <f>D!D$3</f>
        <v>1</v>
      </c>
      <c r="H11" s="15" t="s">
        <v>114</v>
      </c>
      <c r="I11" s="2" t="s">
        <v>115</v>
      </c>
    </row>
    <row r="12" spans="1:15" s="2" customFormat="1" ht="12.75" customHeight="1" x14ac:dyDescent="0.2">
      <c r="A12" s="1" t="s">
        <v>120</v>
      </c>
      <c r="B12" s="1" t="s">
        <v>120</v>
      </c>
      <c r="C12" s="1" t="s">
        <v>0</v>
      </c>
      <c r="D12" s="3">
        <v>2.5400000000000001E-5</v>
      </c>
      <c r="E12" s="3"/>
      <c r="F12" s="1" t="s">
        <v>35</v>
      </c>
      <c r="G12" s="5">
        <f>D!D$3</f>
        <v>1</v>
      </c>
      <c r="H12" s="15" t="s">
        <v>114</v>
      </c>
      <c r="I12" s="2" t="s">
        <v>115</v>
      </c>
    </row>
    <row r="13" spans="1:15" x14ac:dyDescent="0.2">
      <c r="A13" s="1" t="s">
        <v>3</v>
      </c>
      <c r="B13" s="1" t="s">
        <v>40</v>
      </c>
      <c r="C13" s="1" t="s">
        <v>179</v>
      </c>
      <c r="D13" s="1">
        <v>1E-3</v>
      </c>
      <c r="F13" s="1" t="s">
        <v>32</v>
      </c>
      <c r="G13" s="5">
        <f>D!D$4</f>
        <v>10</v>
      </c>
      <c r="O13" s="2"/>
    </row>
    <row r="14" spans="1:15" x14ac:dyDescent="0.2">
      <c r="A14" s="1" t="s">
        <v>179</v>
      </c>
      <c r="B14" s="1" t="s">
        <v>180</v>
      </c>
      <c r="C14" s="1" t="s">
        <v>179</v>
      </c>
      <c r="D14" s="1">
        <v>1</v>
      </c>
      <c r="F14" s="1" t="s">
        <v>32</v>
      </c>
      <c r="G14" s="5">
        <f>D!D$4</f>
        <v>10</v>
      </c>
      <c r="O14" s="2"/>
    </row>
    <row r="15" spans="1:15" x14ac:dyDescent="0.2">
      <c r="A15" s="1" t="s">
        <v>1</v>
      </c>
      <c r="B15" s="1" t="s">
        <v>41</v>
      </c>
      <c r="C15" s="1" t="s">
        <v>179</v>
      </c>
      <c r="D15" s="1">
        <v>0.45359240000000001</v>
      </c>
      <c r="F15" s="1" t="s">
        <v>32</v>
      </c>
      <c r="G15" s="5">
        <f>D!D$4</f>
        <v>10</v>
      </c>
      <c r="H15" s="6" t="s">
        <v>114</v>
      </c>
      <c r="O15" s="2"/>
    </row>
    <row r="16" spans="1:15" x14ac:dyDescent="0.2">
      <c r="A16" s="1" t="s">
        <v>43</v>
      </c>
      <c r="B16" s="1" t="s">
        <v>131</v>
      </c>
      <c r="C16" s="1" t="s">
        <v>179</v>
      </c>
      <c r="D16" s="1">
        <v>907.18470000000002</v>
      </c>
      <c r="F16" s="1" t="s">
        <v>32</v>
      </c>
      <c r="G16" s="5">
        <f>D!D$4</f>
        <v>10</v>
      </c>
      <c r="H16" s="6" t="s">
        <v>114</v>
      </c>
      <c r="O16" s="2"/>
    </row>
    <row r="17" spans="1:15" x14ac:dyDescent="0.2">
      <c r="A17" s="1" t="s">
        <v>44</v>
      </c>
      <c r="B17" s="1" t="s">
        <v>132</v>
      </c>
      <c r="C17" s="1" t="s">
        <v>179</v>
      </c>
      <c r="D17" s="1">
        <v>1016.047</v>
      </c>
      <c r="F17" s="1" t="s">
        <v>32</v>
      </c>
      <c r="G17" s="5">
        <f>D!D$4</f>
        <v>10</v>
      </c>
      <c r="H17" s="6" t="s">
        <v>114</v>
      </c>
      <c r="O17" s="2"/>
    </row>
    <row r="18" spans="1:15" x14ac:dyDescent="0.2">
      <c r="A18" s="1" t="s">
        <v>133</v>
      </c>
      <c r="B18" s="1" t="s">
        <v>136</v>
      </c>
      <c r="C18" s="1" t="s">
        <v>179</v>
      </c>
      <c r="D18" s="9">
        <v>3.1103479999999999E-2</v>
      </c>
      <c r="E18" s="9"/>
      <c r="F18" s="1" t="s">
        <v>32</v>
      </c>
      <c r="G18" s="5">
        <f>D!D$4</f>
        <v>10</v>
      </c>
      <c r="H18" s="6" t="s">
        <v>114</v>
      </c>
      <c r="O18" s="2"/>
    </row>
    <row r="19" spans="1:15" x14ac:dyDescent="0.2">
      <c r="A19" s="1" t="s">
        <v>134</v>
      </c>
      <c r="B19" s="1" t="s">
        <v>135</v>
      </c>
      <c r="C19" s="1" t="s">
        <v>179</v>
      </c>
      <c r="D19" s="9">
        <v>2.834952E-2</v>
      </c>
      <c r="E19" s="9"/>
      <c r="F19" s="1" t="s">
        <v>32</v>
      </c>
      <c r="G19" s="5">
        <f>D!D$4</f>
        <v>10</v>
      </c>
      <c r="H19" s="6" t="s">
        <v>114</v>
      </c>
      <c r="O19" s="2"/>
    </row>
    <row r="20" spans="1:15" x14ac:dyDescent="0.2">
      <c r="A20" s="1" t="s">
        <v>137</v>
      </c>
      <c r="B20" s="1" t="s">
        <v>138</v>
      </c>
      <c r="C20" s="1" t="s">
        <v>179</v>
      </c>
      <c r="D20" s="8">
        <v>6.4798909999999995E-5</v>
      </c>
      <c r="E20" s="8"/>
      <c r="F20" s="1" t="s">
        <v>32</v>
      </c>
      <c r="G20" s="5">
        <f>D!D$4</f>
        <v>10</v>
      </c>
      <c r="H20" s="6" t="s">
        <v>114</v>
      </c>
      <c r="O20" s="2"/>
    </row>
    <row r="21" spans="1:15" x14ac:dyDescent="0.2">
      <c r="A21" s="1" t="s">
        <v>173</v>
      </c>
      <c r="B21" s="1" t="s">
        <v>173</v>
      </c>
      <c r="C21" s="1" t="s">
        <v>179</v>
      </c>
      <c r="D21" s="8">
        <v>14.5939</v>
      </c>
      <c r="E21" s="8"/>
      <c r="F21" s="1" t="s">
        <v>32</v>
      </c>
      <c r="G21" s="5">
        <f>D!D$4</f>
        <v>10</v>
      </c>
      <c r="H21" s="6" t="s">
        <v>156</v>
      </c>
      <c r="O21" s="2"/>
    </row>
    <row r="22" spans="1:15" x14ac:dyDescent="0.2">
      <c r="A22" s="1" t="s">
        <v>11</v>
      </c>
      <c r="B22" s="1" t="s">
        <v>52</v>
      </c>
      <c r="C22" s="1" t="s">
        <v>11</v>
      </c>
      <c r="D22" s="1">
        <v>1</v>
      </c>
      <c r="F22" s="1" t="s">
        <v>37</v>
      </c>
      <c r="G22" s="5">
        <f>D!D$5</f>
        <v>100</v>
      </c>
      <c r="O22" s="2"/>
    </row>
    <row r="23" spans="1:15" x14ac:dyDescent="0.2">
      <c r="A23" s="1" t="s">
        <v>12</v>
      </c>
      <c r="B23" s="1" t="s">
        <v>53</v>
      </c>
      <c r="C23" s="1" t="s">
        <v>11</v>
      </c>
      <c r="D23" s="1">
        <v>60</v>
      </c>
      <c r="F23" s="1" t="s">
        <v>37</v>
      </c>
      <c r="G23" s="5">
        <f>D!D$5</f>
        <v>100</v>
      </c>
      <c r="H23" s="6" t="s">
        <v>246</v>
      </c>
      <c r="O23" s="2"/>
    </row>
    <row r="24" spans="1:15" x14ac:dyDescent="0.2">
      <c r="A24" s="1" t="s">
        <v>13</v>
      </c>
      <c r="B24" s="1" t="s">
        <v>54</v>
      </c>
      <c r="C24" s="1" t="s">
        <v>11</v>
      </c>
      <c r="D24" s="1">
        <v>3600</v>
      </c>
      <c r="F24" s="1" t="s">
        <v>37</v>
      </c>
      <c r="G24" s="5">
        <f>D!D$5</f>
        <v>100</v>
      </c>
      <c r="H24" s="6" t="s">
        <v>245</v>
      </c>
      <c r="O24" s="2"/>
    </row>
    <row r="25" spans="1:15" x14ac:dyDescent="0.2">
      <c r="A25" s="1" t="s">
        <v>14</v>
      </c>
      <c r="B25" s="1" t="s">
        <v>55</v>
      </c>
      <c r="C25" s="1" t="s">
        <v>11</v>
      </c>
      <c r="D25" s="1">
        <v>86400</v>
      </c>
      <c r="F25" s="1" t="s">
        <v>37</v>
      </c>
      <c r="G25" s="5">
        <f>D!D$5</f>
        <v>100</v>
      </c>
      <c r="H25" s="6" t="s">
        <v>244</v>
      </c>
      <c r="O25" s="2"/>
    </row>
    <row r="26" spans="1:15" x14ac:dyDescent="0.2">
      <c r="A26" s="1" t="s">
        <v>15</v>
      </c>
      <c r="B26" s="1" t="s">
        <v>56</v>
      </c>
      <c r="C26" s="1" t="s">
        <v>11</v>
      </c>
      <c r="D26" s="1">
        <v>31536000</v>
      </c>
      <c r="F26" s="1" t="s">
        <v>37</v>
      </c>
      <c r="G26" s="5">
        <f>D!D$5</f>
        <v>100</v>
      </c>
      <c r="H26" s="6" t="s">
        <v>247</v>
      </c>
      <c r="O26" s="2"/>
    </row>
    <row r="27" spans="1:15" x14ac:dyDescent="0.2">
      <c r="A27" s="1" t="s">
        <v>16</v>
      </c>
      <c r="B27" s="1" t="s">
        <v>16</v>
      </c>
      <c r="C27" s="1" t="s">
        <v>11</v>
      </c>
      <c r="D27" s="1">
        <v>3153600000</v>
      </c>
      <c r="F27" s="1" t="s">
        <v>37</v>
      </c>
      <c r="G27" s="5">
        <f>D!D$5</f>
        <v>100</v>
      </c>
      <c r="O27" s="2"/>
    </row>
    <row r="28" spans="1:15" x14ac:dyDescent="0.2">
      <c r="A28" s="12" t="s">
        <v>161</v>
      </c>
      <c r="B28" s="1" t="s">
        <v>57</v>
      </c>
      <c r="C28" s="1" t="s">
        <v>17</v>
      </c>
      <c r="D28" s="1">
        <v>0.55555555499999998</v>
      </c>
      <c r="E28" s="9">
        <v>255.37222222222223</v>
      </c>
      <c r="F28" s="1" t="s">
        <v>274</v>
      </c>
      <c r="G28" s="5">
        <f>D!D$7</f>
        <v>10000</v>
      </c>
      <c r="H28" s="6" t="s">
        <v>248</v>
      </c>
      <c r="O28" s="2"/>
    </row>
    <row r="29" spans="1:15" x14ac:dyDescent="0.2">
      <c r="A29" s="1" t="s">
        <v>162</v>
      </c>
      <c r="B29" s="1" t="s">
        <v>58</v>
      </c>
      <c r="C29" s="1" t="s">
        <v>17</v>
      </c>
      <c r="D29" s="1">
        <v>1</v>
      </c>
      <c r="E29" s="1">
        <v>273.14999999999998</v>
      </c>
      <c r="F29" s="1" t="s">
        <v>274</v>
      </c>
      <c r="G29" s="5">
        <f>D!D$7</f>
        <v>10000</v>
      </c>
      <c r="H29" s="6" t="s">
        <v>248</v>
      </c>
      <c r="I29" s="20"/>
      <c r="O29" s="2"/>
    </row>
    <row r="30" spans="1:15" x14ac:dyDescent="0.2">
      <c r="A30" s="1" t="s">
        <v>17</v>
      </c>
      <c r="B30" s="1" t="s">
        <v>59</v>
      </c>
      <c r="C30" s="1" t="s">
        <v>17</v>
      </c>
      <c r="D30" s="1">
        <v>1</v>
      </c>
      <c r="E30" s="1">
        <v>0</v>
      </c>
      <c r="F30" s="1" t="s">
        <v>274</v>
      </c>
      <c r="G30" s="5">
        <f>D!D$7</f>
        <v>10000</v>
      </c>
      <c r="H30" s="6" t="s">
        <v>248</v>
      </c>
      <c r="O30" s="2"/>
    </row>
    <row r="31" spans="1:15" x14ac:dyDescent="0.2">
      <c r="A31" s="1" t="s">
        <v>163</v>
      </c>
      <c r="B31" s="1" t="s">
        <v>139</v>
      </c>
      <c r="C31" s="1" t="s">
        <v>17</v>
      </c>
      <c r="D31" s="1">
        <v>0.55555555499999998</v>
      </c>
      <c r="E31" s="1">
        <v>0</v>
      </c>
      <c r="F31" s="1" t="s">
        <v>274</v>
      </c>
      <c r="G31" s="5">
        <f>D!D$7</f>
        <v>10000</v>
      </c>
      <c r="H31" s="6" t="s">
        <v>248</v>
      </c>
      <c r="O31" s="2"/>
    </row>
    <row r="32" spans="1:15" ht="14.25" x14ac:dyDescent="0.2">
      <c r="A32" s="1" t="s">
        <v>9</v>
      </c>
      <c r="B32" s="1" t="s">
        <v>51</v>
      </c>
      <c r="C32" s="1" t="s">
        <v>215</v>
      </c>
      <c r="D32" s="1">
        <v>10000</v>
      </c>
      <c r="F32" s="1" t="s">
        <v>36</v>
      </c>
      <c r="G32" s="5">
        <f>2*D!D$3</f>
        <v>2</v>
      </c>
      <c r="O32" s="2"/>
    </row>
    <row r="33" spans="1:15" ht="14.25" x14ac:dyDescent="0.2">
      <c r="A33" s="1" t="s">
        <v>121</v>
      </c>
      <c r="B33" s="1" t="s">
        <v>10</v>
      </c>
      <c r="C33" s="1" t="s">
        <v>215</v>
      </c>
      <c r="D33" s="1">
        <v>4046.8560000000002</v>
      </c>
      <c r="F33" s="1" t="s">
        <v>36</v>
      </c>
      <c r="G33" s="5">
        <f>2*D!D$3</f>
        <v>2</v>
      </c>
      <c r="H33" s="6" t="s">
        <v>114</v>
      </c>
      <c r="O33" s="2"/>
    </row>
    <row r="34" spans="1:15" ht="14.25" x14ac:dyDescent="0.2">
      <c r="A34" s="1" t="s">
        <v>67</v>
      </c>
      <c r="B34" s="1" t="s">
        <v>8</v>
      </c>
      <c r="C34" s="1" t="s">
        <v>216</v>
      </c>
      <c r="D34" s="1">
        <v>1E-3</v>
      </c>
      <c r="F34" s="1" t="s">
        <v>34</v>
      </c>
      <c r="G34" s="5">
        <f>3*D!D$3</f>
        <v>3</v>
      </c>
      <c r="O34" s="2"/>
    </row>
    <row r="35" spans="1:15" ht="14.25" x14ac:dyDescent="0.2">
      <c r="A35" s="1" t="s">
        <v>68</v>
      </c>
      <c r="B35" s="1" t="s">
        <v>125</v>
      </c>
      <c r="C35" s="1" t="s">
        <v>216</v>
      </c>
      <c r="D35" s="1">
        <v>3.7854120000000002E-3</v>
      </c>
      <c r="F35" s="1" t="s">
        <v>34</v>
      </c>
      <c r="G35" s="5">
        <f>3*D!D$3</f>
        <v>3</v>
      </c>
      <c r="H35" s="6" t="s">
        <v>114</v>
      </c>
      <c r="O35" s="2"/>
    </row>
    <row r="36" spans="1:15" ht="14.25" x14ac:dyDescent="0.2">
      <c r="A36" s="1" t="s">
        <v>122</v>
      </c>
      <c r="B36" s="1" t="s">
        <v>123</v>
      </c>
      <c r="C36" s="1" t="s">
        <v>216</v>
      </c>
      <c r="D36" s="1">
        <v>4.5460919999999998E-3</v>
      </c>
      <c r="F36" s="1" t="s">
        <v>34</v>
      </c>
      <c r="G36" s="5">
        <f>3*D!D$3</f>
        <v>3</v>
      </c>
      <c r="H36" s="6" t="s">
        <v>114</v>
      </c>
      <c r="O36" s="2"/>
    </row>
    <row r="37" spans="1:15" ht="14.25" x14ac:dyDescent="0.2">
      <c r="A37" s="1" t="s">
        <v>124</v>
      </c>
      <c r="B37" s="1" t="s">
        <v>126</v>
      </c>
      <c r="C37" s="1" t="s">
        <v>216</v>
      </c>
      <c r="D37" s="7">
        <v>9.463529E-4</v>
      </c>
      <c r="E37" s="7"/>
      <c r="F37" s="1" t="s">
        <v>34</v>
      </c>
      <c r="G37" s="5">
        <f>3*D!D$3</f>
        <v>3</v>
      </c>
      <c r="H37" s="6" t="s">
        <v>114</v>
      </c>
      <c r="O37" s="2"/>
    </row>
    <row r="38" spans="1:15" ht="14.25" x14ac:dyDescent="0.2">
      <c r="A38" s="1" t="s">
        <v>128</v>
      </c>
      <c r="B38" s="1" t="s">
        <v>127</v>
      </c>
      <c r="C38" s="1" t="s">
        <v>216</v>
      </c>
      <c r="D38" s="1">
        <v>1.136523E-3</v>
      </c>
      <c r="F38" s="1" t="s">
        <v>34</v>
      </c>
      <c r="G38" s="5">
        <f>3*D!D$3</f>
        <v>3</v>
      </c>
      <c r="H38" s="6" t="s">
        <v>114</v>
      </c>
      <c r="O38" s="2"/>
    </row>
    <row r="39" spans="1:15" ht="14.25" x14ac:dyDescent="0.2">
      <c r="A39" s="1" t="s">
        <v>129</v>
      </c>
      <c r="B39" s="1" t="s">
        <v>130</v>
      </c>
      <c r="C39" s="1" t="s">
        <v>216</v>
      </c>
      <c r="D39" s="7">
        <v>4.7317650000000002E-4</v>
      </c>
      <c r="E39" s="7"/>
      <c r="F39" s="1" t="s">
        <v>34</v>
      </c>
      <c r="G39" s="5">
        <f>3*D!D$3</f>
        <v>3</v>
      </c>
      <c r="H39" s="6" t="s">
        <v>114</v>
      </c>
      <c r="O39" s="2"/>
    </row>
    <row r="40" spans="1:15" ht="14.25" x14ac:dyDescent="0.2">
      <c r="A40" s="1" t="s">
        <v>153</v>
      </c>
      <c r="B40" s="1" t="s">
        <v>153</v>
      </c>
      <c r="C40" s="1" t="s">
        <v>216</v>
      </c>
      <c r="D40" s="8">
        <v>2.3658819999999999E-4</v>
      </c>
      <c r="E40" s="8"/>
      <c r="F40" s="1" t="s">
        <v>34</v>
      </c>
      <c r="G40" s="5">
        <f>3*D!D$3</f>
        <v>3</v>
      </c>
      <c r="H40" s="6" t="s">
        <v>156</v>
      </c>
      <c r="O40" s="2"/>
    </row>
    <row r="41" spans="1:15" ht="14.25" x14ac:dyDescent="0.2">
      <c r="A41" s="1" t="s">
        <v>154</v>
      </c>
      <c r="B41" s="1" t="s">
        <v>155</v>
      </c>
      <c r="C41" s="1" t="s">
        <v>216</v>
      </c>
      <c r="D41" s="8">
        <v>2.9573529999999999E-5</v>
      </c>
      <c r="E41" s="8"/>
      <c r="F41" s="1" t="s">
        <v>34</v>
      </c>
      <c r="G41" s="5">
        <f>3*D!D$3</f>
        <v>3</v>
      </c>
      <c r="H41" s="6" t="s">
        <v>156</v>
      </c>
      <c r="O41" s="2"/>
    </row>
    <row r="42" spans="1:15" ht="14.25" x14ac:dyDescent="0.2">
      <c r="A42" s="1" t="s">
        <v>107</v>
      </c>
      <c r="B42" s="1" t="s">
        <v>64</v>
      </c>
      <c r="C42" s="1" t="s">
        <v>228</v>
      </c>
      <c r="D42" s="1">
        <v>1</v>
      </c>
      <c r="F42" s="1" t="s">
        <v>33</v>
      </c>
      <c r="G42" s="5">
        <f>D!D$3+D!D$4-2*D!D$5</f>
        <v>-189</v>
      </c>
      <c r="O42" s="2"/>
    </row>
    <row r="43" spans="1:15" ht="14.25" x14ac:dyDescent="0.2">
      <c r="A43" s="1" t="s">
        <v>23</v>
      </c>
      <c r="B43" s="1" t="s">
        <v>65</v>
      </c>
      <c r="C43" s="1" t="s">
        <v>228</v>
      </c>
      <c r="D43" s="1">
        <v>4.4482220000000003</v>
      </c>
      <c r="F43" s="1" t="s">
        <v>33</v>
      </c>
      <c r="G43" s="5">
        <f>D!D$3+D!D$4-2*D!D$5</f>
        <v>-189</v>
      </c>
      <c r="H43" s="6" t="s">
        <v>114</v>
      </c>
      <c r="O43" s="2"/>
    </row>
    <row r="44" spans="1:15" ht="14.25" x14ac:dyDescent="0.2">
      <c r="A44" s="1" t="s">
        <v>24</v>
      </c>
      <c r="B44" s="1" t="s">
        <v>66</v>
      </c>
      <c r="C44" s="1" t="s">
        <v>228</v>
      </c>
      <c r="D44" s="11">
        <v>9.8066499999999994</v>
      </c>
      <c r="E44" s="11"/>
      <c r="F44" s="1" t="s">
        <v>33</v>
      </c>
      <c r="G44" s="5">
        <f>D!D$3+D!D$4-2*D!D$5</f>
        <v>-189</v>
      </c>
      <c r="H44" s="6" t="s">
        <v>114</v>
      </c>
      <c r="I44" s="1" t="s">
        <v>115</v>
      </c>
      <c r="O44" s="2"/>
    </row>
    <row r="45" spans="1:15" ht="14.25" x14ac:dyDescent="0.2">
      <c r="A45" s="1" t="s">
        <v>146</v>
      </c>
      <c r="B45" s="1" t="s">
        <v>149</v>
      </c>
      <c r="C45" s="1" t="s">
        <v>228</v>
      </c>
      <c r="D45" s="1">
        <v>9964.0159999999996</v>
      </c>
      <c r="F45" s="1" t="s">
        <v>33</v>
      </c>
      <c r="G45" s="5">
        <f>D!D$3+D!D$4-2*D!D$5</f>
        <v>-189</v>
      </c>
      <c r="H45" s="6" t="s">
        <v>114</v>
      </c>
      <c r="O45" s="2"/>
    </row>
    <row r="46" spans="1:15" ht="14.25" x14ac:dyDescent="0.2">
      <c r="A46" s="1" t="s">
        <v>147</v>
      </c>
      <c r="B46" s="1" t="s">
        <v>148</v>
      </c>
      <c r="C46" s="1" t="s">
        <v>228</v>
      </c>
      <c r="D46" s="1">
        <v>8896.4429999999993</v>
      </c>
      <c r="F46" s="1" t="s">
        <v>33</v>
      </c>
      <c r="G46" s="5">
        <f>D!D$3+D!D$4-2*D!D$5</f>
        <v>-189</v>
      </c>
      <c r="H46" s="6" t="s">
        <v>114</v>
      </c>
      <c r="O46" s="2"/>
    </row>
    <row r="47" spans="1:15" ht="14.25" x14ac:dyDescent="0.2">
      <c r="A47" s="1" t="s">
        <v>150</v>
      </c>
      <c r="B47" s="1" t="s">
        <v>150</v>
      </c>
      <c r="C47" s="1" t="s">
        <v>228</v>
      </c>
      <c r="D47" s="3">
        <v>1.0000000000000001E-5</v>
      </c>
      <c r="E47" s="3"/>
      <c r="F47" s="1" t="s">
        <v>33</v>
      </c>
      <c r="G47" s="5">
        <f>D!D$3+D!D$4-2*D!D$5</f>
        <v>-189</v>
      </c>
      <c r="H47" s="6" t="s">
        <v>114</v>
      </c>
      <c r="O47" s="2"/>
    </row>
    <row r="48" spans="1:15" ht="14.25" x14ac:dyDescent="0.2">
      <c r="A48" s="1" t="s">
        <v>103</v>
      </c>
      <c r="B48" s="1" t="s">
        <v>104</v>
      </c>
      <c r="C48" s="1" t="s">
        <v>229</v>
      </c>
      <c r="D48" s="1">
        <v>1</v>
      </c>
      <c r="F48" s="1" t="s">
        <v>101</v>
      </c>
      <c r="G48" s="5">
        <f>2*D!D$3+D!D$4-2*D!D$5</f>
        <v>-188</v>
      </c>
      <c r="O48" s="2"/>
    </row>
    <row r="49" spans="1:15" ht="14.25" x14ac:dyDescent="0.2">
      <c r="A49" s="1" t="s">
        <v>108</v>
      </c>
      <c r="B49" s="1" t="s">
        <v>109</v>
      </c>
      <c r="C49" s="1" t="s">
        <v>229</v>
      </c>
      <c r="D49" s="1">
        <v>4.1840000000000002</v>
      </c>
      <c r="F49" s="1" t="s">
        <v>101</v>
      </c>
      <c r="G49" s="5">
        <f>2*D!D$3+D!D$4-2*D!D$5</f>
        <v>-188</v>
      </c>
      <c r="H49" s="6" t="s">
        <v>114</v>
      </c>
      <c r="I49" s="1" t="s">
        <v>115</v>
      </c>
      <c r="O49" s="2"/>
    </row>
    <row r="50" spans="1:15" ht="14.25" x14ac:dyDescent="0.2">
      <c r="A50" s="1" t="s">
        <v>110</v>
      </c>
      <c r="B50" s="1" t="s">
        <v>111</v>
      </c>
      <c r="C50" s="1" t="s">
        <v>229</v>
      </c>
      <c r="D50" s="1">
        <v>1055.056</v>
      </c>
      <c r="F50" s="1" t="s">
        <v>101</v>
      </c>
      <c r="G50" s="5">
        <f>2*D!D$3+D!D$4-2*D!D$5</f>
        <v>-188</v>
      </c>
      <c r="H50" s="6" t="s">
        <v>114</v>
      </c>
      <c r="O50" s="2"/>
    </row>
    <row r="51" spans="1:15" ht="14.25" x14ac:dyDescent="0.2">
      <c r="A51" s="1" t="s">
        <v>143</v>
      </c>
      <c r="B51" s="1" t="s">
        <v>143</v>
      </c>
      <c r="C51" s="1" t="s">
        <v>229</v>
      </c>
      <c r="D51" s="3">
        <v>9.9999999999999995E-8</v>
      </c>
      <c r="E51" s="3"/>
      <c r="F51" s="1" t="s">
        <v>101</v>
      </c>
      <c r="G51" s="5">
        <f>2*D!D$3+D!D$4-2*D!D$5</f>
        <v>-188</v>
      </c>
      <c r="H51" s="6" t="s">
        <v>114</v>
      </c>
      <c r="I51" s="1" t="s">
        <v>115</v>
      </c>
      <c r="O51" s="2"/>
    </row>
    <row r="52" spans="1:15" ht="14.25" x14ac:dyDescent="0.2">
      <c r="A52" s="1" t="s">
        <v>142</v>
      </c>
      <c r="B52" s="1" t="s">
        <v>142</v>
      </c>
      <c r="C52" s="1" t="s">
        <v>229</v>
      </c>
      <c r="D52" s="8">
        <v>105505600</v>
      </c>
      <c r="E52" s="8"/>
      <c r="F52" s="1" t="s">
        <v>101</v>
      </c>
      <c r="G52" s="5">
        <f>2*D!D$3+D!D$4-2*D!D$5</f>
        <v>-188</v>
      </c>
      <c r="H52" s="6" t="s">
        <v>114</v>
      </c>
      <c r="O52" s="2"/>
    </row>
    <row r="53" spans="1:15" ht="14.25" x14ac:dyDescent="0.2">
      <c r="A53" s="1" t="s">
        <v>287</v>
      </c>
      <c r="B53" s="1" t="s">
        <v>288</v>
      </c>
      <c r="C53" s="1" t="s">
        <v>229</v>
      </c>
      <c r="D53" s="3">
        <v>1.055056E+18</v>
      </c>
      <c r="F53" s="1" t="s">
        <v>101</v>
      </c>
      <c r="G53" s="5">
        <f>2*D!D$3+D!D$4-2*D!D$5</f>
        <v>-188</v>
      </c>
      <c r="O53" s="2"/>
    </row>
    <row r="54" spans="1:15" ht="14.25" x14ac:dyDescent="0.2">
      <c r="A54" s="1" t="s">
        <v>105</v>
      </c>
      <c r="B54" s="1" t="s">
        <v>106</v>
      </c>
      <c r="C54" s="1" t="s">
        <v>230</v>
      </c>
      <c r="D54" s="1">
        <v>1</v>
      </c>
      <c r="F54" s="1" t="s">
        <v>102</v>
      </c>
      <c r="G54" s="5">
        <f>2*D!D$3+D!D$4-3*D!D$5</f>
        <v>-288</v>
      </c>
      <c r="O54" s="2"/>
    </row>
    <row r="55" spans="1:15" ht="14.25" x14ac:dyDescent="0.2">
      <c r="A55" s="1" t="s">
        <v>144</v>
      </c>
      <c r="B55" s="1" t="s">
        <v>145</v>
      </c>
      <c r="C55" s="1" t="s">
        <v>230</v>
      </c>
      <c r="D55" s="1">
        <v>746</v>
      </c>
      <c r="F55" s="1" t="s">
        <v>102</v>
      </c>
      <c r="G55" s="5">
        <f>2*D!D$3+D!D$4-3*D!D$5</f>
        <v>-288</v>
      </c>
      <c r="H55" s="6" t="s">
        <v>114</v>
      </c>
      <c r="I55" s="1" t="s">
        <v>115</v>
      </c>
      <c r="O55" s="2"/>
    </row>
    <row r="56" spans="1:15" ht="14.25" x14ac:dyDescent="0.2">
      <c r="A56" s="1" t="s">
        <v>18</v>
      </c>
      <c r="B56" s="1" t="s">
        <v>60</v>
      </c>
      <c r="C56" s="1" t="s">
        <v>231</v>
      </c>
      <c r="D56" s="1">
        <v>1</v>
      </c>
      <c r="F56" s="1" t="s">
        <v>38</v>
      </c>
      <c r="G56" s="5">
        <f>-1*D!D$3+D!D$4-2*D!D$5</f>
        <v>-191</v>
      </c>
      <c r="O56" s="2"/>
    </row>
    <row r="57" spans="1:15" ht="14.25" x14ac:dyDescent="0.2">
      <c r="A57" s="1" t="s">
        <v>19</v>
      </c>
      <c r="B57" s="1" t="s">
        <v>61</v>
      </c>
      <c r="C57" s="1" t="s">
        <v>231</v>
      </c>
      <c r="D57" s="10">
        <v>101325</v>
      </c>
      <c r="E57" s="10"/>
      <c r="F57" s="1" t="s">
        <v>38</v>
      </c>
      <c r="G57" s="5">
        <f>-1*D!D$3+D!D$4-2*D!D$5</f>
        <v>-191</v>
      </c>
      <c r="H57" s="6" t="s">
        <v>114</v>
      </c>
      <c r="O57" s="2"/>
    </row>
    <row r="58" spans="1:15" ht="14.25" x14ac:dyDescent="0.2">
      <c r="A58" s="1" t="s">
        <v>140</v>
      </c>
      <c r="B58" s="1" t="s">
        <v>141</v>
      </c>
      <c r="C58" s="1" t="s">
        <v>231</v>
      </c>
      <c r="D58" s="1">
        <v>133.32239999999999</v>
      </c>
      <c r="F58" s="1" t="s">
        <v>38</v>
      </c>
      <c r="G58" s="5">
        <f>-1*D!D$3+D!D$4-2*D!D$5</f>
        <v>-191</v>
      </c>
      <c r="H58" s="6" t="s">
        <v>178</v>
      </c>
      <c r="O58" s="2"/>
    </row>
    <row r="59" spans="1:15" ht="14.25" x14ac:dyDescent="0.2">
      <c r="A59" s="1" t="s">
        <v>20</v>
      </c>
      <c r="B59" s="1" t="s">
        <v>62</v>
      </c>
      <c r="C59" s="1" t="s">
        <v>231</v>
      </c>
      <c r="D59" s="1">
        <v>133.32239999999999</v>
      </c>
      <c r="F59" s="1" t="s">
        <v>38</v>
      </c>
      <c r="G59" s="5">
        <f>-1*D!D$3+D!D$4-2*D!D$5</f>
        <v>-191</v>
      </c>
      <c r="H59" s="6" t="s">
        <v>178</v>
      </c>
      <c r="O59" s="2"/>
    </row>
    <row r="60" spans="1:15" ht="14.25" x14ac:dyDescent="0.2">
      <c r="A60" s="1" t="s">
        <v>21</v>
      </c>
      <c r="B60" s="1" t="s">
        <v>21</v>
      </c>
      <c r="C60" s="1" t="s">
        <v>231</v>
      </c>
      <c r="D60" s="1">
        <v>100000</v>
      </c>
      <c r="F60" s="1" t="s">
        <v>38</v>
      </c>
      <c r="G60" s="5">
        <f>-1*D!D$3+D!D$4-2*D!D$5</f>
        <v>-191</v>
      </c>
      <c r="H60" s="6" t="s">
        <v>114</v>
      </c>
      <c r="O60" s="2"/>
    </row>
    <row r="61" spans="1:15" ht="14.25" x14ac:dyDescent="0.2">
      <c r="A61" s="1" t="s">
        <v>22</v>
      </c>
      <c r="B61" s="1" t="s">
        <v>63</v>
      </c>
      <c r="C61" s="1" t="s">
        <v>231</v>
      </c>
      <c r="D61" s="1">
        <v>249.08199999999999</v>
      </c>
      <c r="F61" s="1" t="s">
        <v>38</v>
      </c>
      <c r="G61" s="5">
        <f>-1*D!D$3+D!D$4-2*D!D$5</f>
        <v>-191</v>
      </c>
      <c r="H61" s="6" t="s">
        <v>178</v>
      </c>
      <c r="I61" s="1" t="s">
        <v>177</v>
      </c>
      <c r="O61" s="2"/>
    </row>
    <row r="62" spans="1:15" ht="14.25" x14ac:dyDescent="0.2">
      <c r="A62" s="1" t="s">
        <v>171</v>
      </c>
      <c r="B62" s="1" t="s">
        <v>172</v>
      </c>
      <c r="C62" s="1" t="s">
        <v>231</v>
      </c>
      <c r="D62" s="21">
        <v>6894.7569999999996</v>
      </c>
      <c r="F62" s="1" t="s">
        <v>38</v>
      </c>
      <c r="G62" s="5">
        <f>-1*D!D$3+D!D$4-2*D!D$5</f>
        <v>-191</v>
      </c>
      <c r="H62" s="6" t="s">
        <v>249</v>
      </c>
      <c r="O62" s="2"/>
    </row>
    <row r="63" spans="1:15" ht="14.25" x14ac:dyDescent="0.2">
      <c r="A63" s="1" t="s">
        <v>152</v>
      </c>
      <c r="B63" s="1" t="s">
        <v>152</v>
      </c>
      <c r="C63" s="1" t="s">
        <v>232</v>
      </c>
      <c r="D63" s="1">
        <v>0.51444440000000002</v>
      </c>
      <c r="F63" s="1" t="s">
        <v>151</v>
      </c>
      <c r="G63" s="5">
        <f>D!D3-D!D5</f>
        <v>-99</v>
      </c>
      <c r="H63" s="6" t="s">
        <v>178</v>
      </c>
      <c r="O63" s="2"/>
    </row>
    <row r="64" spans="1:15" ht="14.25" x14ac:dyDescent="0.2">
      <c r="A64" s="1" t="s">
        <v>336</v>
      </c>
      <c r="B64" s="1" t="s">
        <v>337</v>
      </c>
      <c r="C64" s="1" t="s">
        <v>232</v>
      </c>
      <c r="D64" s="1">
        <v>3.5763199999999999</v>
      </c>
      <c r="F64" s="1" t="s">
        <v>151</v>
      </c>
      <c r="G64" s="5">
        <f>D!D3-D!D5</f>
        <v>-99</v>
      </c>
      <c r="H64" s="6" t="s">
        <v>250</v>
      </c>
      <c r="O64" s="2"/>
    </row>
    <row r="65" spans="1:15" ht="14.25" x14ac:dyDescent="0.2">
      <c r="A65" s="1" t="s">
        <v>158</v>
      </c>
      <c r="B65" s="1" t="s">
        <v>159</v>
      </c>
      <c r="C65" s="1" t="s">
        <v>233</v>
      </c>
      <c r="D65" s="1">
        <v>4.3812638888888887E-2</v>
      </c>
      <c r="F65" s="1" t="s">
        <v>160</v>
      </c>
      <c r="G65" s="5">
        <f>3*D!D3-D!D5</f>
        <v>-97</v>
      </c>
      <c r="H65" s="6" t="s">
        <v>250</v>
      </c>
      <c r="O65" s="2"/>
    </row>
    <row r="66" spans="1:15" ht="14.25" x14ac:dyDescent="0.2">
      <c r="A66" s="1" t="s">
        <v>338</v>
      </c>
      <c r="B66" s="1" t="s">
        <v>339</v>
      </c>
      <c r="C66" s="1" t="s">
        <v>233</v>
      </c>
      <c r="D66" s="1">
        <v>7.8657907200000004E-6</v>
      </c>
      <c r="F66" s="1" t="s">
        <v>160</v>
      </c>
      <c r="G66" s="5">
        <f>3*D!D3-D!D5</f>
        <v>-97</v>
      </c>
      <c r="H66" s="6" t="s">
        <v>250</v>
      </c>
      <c r="O66" s="2"/>
    </row>
    <row r="67" spans="1:15" x14ac:dyDescent="0.2">
      <c r="A67" s="12" t="s">
        <v>267</v>
      </c>
      <c r="B67" s="1" t="s">
        <v>170</v>
      </c>
      <c r="C67" s="1" t="s">
        <v>214</v>
      </c>
      <c r="D67" s="3">
        <v>1E-3</v>
      </c>
      <c r="E67" s="3"/>
      <c r="F67" s="1" t="s">
        <v>166</v>
      </c>
      <c r="G67" s="13">
        <v>0</v>
      </c>
      <c r="O67" s="2"/>
    </row>
    <row r="68" spans="1:15" x14ac:dyDescent="0.2">
      <c r="A68" s="1" t="s">
        <v>167</v>
      </c>
      <c r="B68" s="1" t="s">
        <v>168</v>
      </c>
      <c r="C68" s="1" t="s">
        <v>214</v>
      </c>
      <c r="D68" s="3">
        <v>9.9999999999999995E-7</v>
      </c>
      <c r="E68" s="3"/>
      <c r="F68" s="1" t="s">
        <v>166</v>
      </c>
      <c r="G68" s="13">
        <v>0</v>
      </c>
      <c r="O68" s="2"/>
    </row>
    <row r="69" spans="1:15" x14ac:dyDescent="0.2">
      <c r="A69" s="1" t="s">
        <v>300</v>
      </c>
      <c r="B69" s="1" t="s">
        <v>301</v>
      </c>
      <c r="C69" s="1" t="s">
        <v>214</v>
      </c>
      <c r="D69" s="3">
        <v>1.0000000000000001E-9</v>
      </c>
      <c r="E69" s="3"/>
      <c r="F69" s="1" t="s">
        <v>166</v>
      </c>
      <c r="G69" s="13">
        <v>0</v>
      </c>
      <c r="O69" s="2"/>
    </row>
    <row r="70" spans="1:15" x14ac:dyDescent="0.2">
      <c r="A70" s="1" t="s">
        <v>268</v>
      </c>
      <c r="B70" s="1" t="s">
        <v>169</v>
      </c>
      <c r="C70" s="1" t="s">
        <v>214</v>
      </c>
      <c r="D70" s="3">
        <v>9.9999999999999998E-13</v>
      </c>
      <c r="E70" s="3"/>
      <c r="F70" s="1" t="s">
        <v>166</v>
      </c>
      <c r="G70" s="13">
        <v>0</v>
      </c>
      <c r="O70" s="2"/>
    </row>
    <row r="71" spans="1:15" x14ac:dyDescent="0.2">
      <c r="A71" s="1" t="s">
        <v>164</v>
      </c>
      <c r="B71" s="1" t="s">
        <v>165</v>
      </c>
      <c r="C71" s="1" t="s">
        <v>214</v>
      </c>
      <c r="D71" s="3">
        <v>0.01</v>
      </c>
      <c r="E71" s="3"/>
      <c r="F71" s="1" t="s">
        <v>166</v>
      </c>
      <c r="G71" s="13">
        <v>0</v>
      </c>
      <c r="O71" s="2"/>
    </row>
    <row r="72" spans="1:15" x14ac:dyDescent="0.2">
      <c r="A72" s="1" t="s">
        <v>182</v>
      </c>
      <c r="B72" s="1" t="s">
        <v>183</v>
      </c>
      <c r="C72" s="1" t="s">
        <v>182</v>
      </c>
      <c r="D72" s="3">
        <v>1</v>
      </c>
      <c r="E72" s="3"/>
      <c r="F72" s="1" t="s">
        <v>184</v>
      </c>
      <c r="G72" s="5">
        <f>D!D$6</f>
        <v>1000</v>
      </c>
      <c r="O72" s="2"/>
    </row>
    <row r="73" spans="1:15" x14ac:dyDescent="0.2">
      <c r="A73" s="1" t="s">
        <v>185</v>
      </c>
      <c r="B73" s="1" t="s">
        <v>186</v>
      </c>
      <c r="C73" s="1" t="s">
        <v>234</v>
      </c>
      <c r="D73" s="3">
        <v>1</v>
      </c>
      <c r="E73" s="3"/>
      <c r="F73" s="1" t="s">
        <v>187</v>
      </c>
      <c r="G73" s="5">
        <f>G$72+D!D$5</f>
        <v>1100</v>
      </c>
      <c r="O73" s="2"/>
    </row>
    <row r="74" spans="1:15" x14ac:dyDescent="0.2">
      <c r="A74" s="1" t="s">
        <v>188</v>
      </c>
      <c r="B74" s="1" t="s">
        <v>189</v>
      </c>
      <c r="C74" s="1" t="s">
        <v>188</v>
      </c>
      <c r="D74" s="3">
        <v>1</v>
      </c>
      <c r="E74" s="3"/>
      <c r="F74" s="1" t="s">
        <v>190</v>
      </c>
      <c r="G74" s="5">
        <f>D!D$8</f>
        <v>100000</v>
      </c>
      <c r="O74" s="2"/>
    </row>
    <row r="75" spans="1:15" x14ac:dyDescent="0.2">
      <c r="A75" s="1" t="s">
        <v>207</v>
      </c>
      <c r="B75" s="1" t="s">
        <v>192</v>
      </c>
      <c r="C75" s="1" t="s">
        <v>207</v>
      </c>
      <c r="D75" s="3">
        <v>1</v>
      </c>
      <c r="E75" s="3"/>
      <c r="F75" s="1" t="s">
        <v>196</v>
      </c>
      <c r="G75" s="5">
        <f>D!D10</f>
        <v>10000000</v>
      </c>
      <c r="O75" s="2"/>
    </row>
    <row r="76" spans="1:15" ht="14.25" x14ac:dyDescent="0.2">
      <c r="A76" s="1" t="s">
        <v>208</v>
      </c>
      <c r="B76" s="1" t="s">
        <v>209</v>
      </c>
      <c r="C76" s="1" t="s">
        <v>235</v>
      </c>
      <c r="D76" s="3">
        <v>1</v>
      </c>
      <c r="E76" s="3"/>
      <c r="F76" s="1" t="s">
        <v>210</v>
      </c>
      <c r="G76" s="5">
        <f>-D!D$5</f>
        <v>-100</v>
      </c>
      <c r="O76" s="2"/>
    </row>
    <row r="77" spans="1:15" x14ac:dyDescent="0.2">
      <c r="A77" s="1" t="s">
        <v>164</v>
      </c>
      <c r="B77" s="1" t="s">
        <v>165</v>
      </c>
      <c r="D77" s="3">
        <v>0.01</v>
      </c>
      <c r="E77" s="3"/>
      <c r="F77" s="1" t="s">
        <v>166</v>
      </c>
      <c r="G77" s="13">
        <v>0</v>
      </c>
      <c r="O77" s="2"/>
    </row>
    <row r="78" spans="1:15" x14ac:dyDescent="0.2">
      <c r="A78" s="1" t="s">
        <v>7</v>
      </c>
      <c r="D78" s="3"/>
      <c r="E78" s="3"/>
      <c r="G78" s="13"/>
      <c r="O78" s="2"/>
    </row>
    <row r="79" spans="1:15" x14ac:dyDescent="0.2">
      <c r="A79" s="6" t="s">
        <v>251</v>
      </c>
    </row>
  </sheetData>
  <sheetProtection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M96"/>
  <sheetViews>
    <sheetView workbookViewId="0">
      <pane ySplit="2" topLeftCell="A3" activePane="bottomLeft" state="frozen"/>
      <selection pane="bottomLeft" activeCell="B5" sqref="B5"/>
    </sheetView>
  </sheetViews>
  <sheetFormatPr defaultRowHeight="12.75" x14ac:dyDescent="0.2"/>
  <cols>
    <col min="1" max="1" width="13.42578125" style="1" customWidth="1"/>
    <col min="2" max="2" width="52.42578125" style="1" bestFit="1" customWidth="1"/>
    <col min="3" max="3" width="21.140625" style="1" customWidth="1"/>
    <col min="4" max="4" width="25.85546875" style="1" customWidth="1"/>
    <col min="5" max="5" width="17.42578125" style="1" customWidth="1"/>
    <col min="6" max="6" width="90" style="1" customWidth="1"/>
    <col min="7" max="7" width="13.140625" style="1" customWidth="1"/>
    <col min="8" max="8" width="9.85546875" style="1" customWidth="1"/>
    <col min="9" max="11" width="9.140625" style="1"/>
    <col min="12" max="12" width="11.7109375" style="1" customWidth="1"/>
    <col min="13" max="13" width="16" style="1" customWidth="1"/>
    <col min="14" max="16384" width="9.140625" style="1"/>
  </cols>
  <sheetData>
    <row r="1" spans="1:12" x14ac:dyDescent="0.2">
      <c r="A1" s="18" t="s">
        <v>221</v>
      </c>
    </row>
    <row r="2" spans="1:12" s="2" customFormat="1" ht="25.5" customHeight="1" x14ac:dyDescent="0.2">
      <c r="A2" s="4" t="s">
        <v>27</v>
      </c>
      <c r="B2" s="4" t="s">
        <v>28</v>
      </c>
      <c r="C2" s="4" t="s">
        <v>29</v>
      </c>
      <c r="D2" s="4" t="s">
        <v>238</v>
      </c>
      <c r="E2" s="4" t="s">
        <v>31</v>
      </c>
      <c r="F2" s="4" t="s">
        <v>112</v>
      </c>
      <c r="G2" s="4" t="s">
        <v>113</v>
      </c>
      <c r="I2" s="53"/>
      <c r="J2" s="53"/>
      <c r="K2" s="53"/>
      <c r="L2" s="53"/>
    </row>
    <row r="3" spans="1:12" s="2" customFormat="1" ht="12.75" customHeight="1" x14ac:dyDescent="0.2">
      <c r="A3" s="1" t="s">
        <v>7</v>
      </c>
      <c r="B3" s="1" t="s">
        <v>236</v>
      </c>
      <c r="C3" s="11">
        <v>1</v>
      </c>
      <c r="D3" s="1" t="s">
        <v>239</v>
      </c>
    </row>
    <row r="4" spans="1:12" s="2" customFormat="1" ht="12.75" customHeight="1" x14ac:dyDescent="0.2">
      <c r="A4" s="1" t="s">
        <v>181</v>
      </c>
      <c r="B4" s="1" t="s">
        <v>264</v>
      </c>
      <c r="C4" s="11">
        <v>96485.338300000003</v>
      </c>
      <c r="D4" s="1" t="s">
        <v>240</v>
      </c>
      <c r="E4" s="14">
        <f>D!D$6+D!D$5-D!D$8</f>
        <v>-98900</v>
      </c>
      <c r="F4" s="2" t="s">
        <v>256</v>
      </c>
    </row>
    <row r="5" spans="1:12" s="2" customFormat="1" ht="12.75" customHeight="1" x14ac:dyDescent="0.2">
      <c r="A5" s="1" t="s">
        <v>107</v>
      </c>
      <c r="B5" s="1" t="s">
        <v>194</v>
      </c>
      <c r="C5" s="8">
        <v>6.0221415000000003E+23</v>
      </c>
      <c r="D5" s="1" t="s">
        <v>241</v>
      </c>
      <c r="E5" s="14">
        <f>D!D$10-D!D$8</f>
        <v>9900000</v>
      </c>
      <c r="F5" s="2" t="s">
        <v>257</v>
      </c>
    </row>
    <row r="6" spans="1:12" s="2" customFormat="1" ht="12.75" customHeight="1" x14ac:dyDescent="0.2">
      <c r="A6" s="1" t="s">
        <v>3</v>
      </c>
      <c r="B6" s="1" t="s">
        <v>237</v>
      </c>
      <c r="C6" s="11">
        <v>9.8066499999999994</v>
      </c>
      <c r="D6" s="1" t="s">
        <v>242</v>
      </c>
      <c r="E6" s="14">
        <f>D!D$3-2*D!D$5</f>
        <v>-199</v>
      </c>
      <c r="F6" s="2" t="s">
        <v>258</v>
      </c>
    </row>
    <row r="7" spans="1:12" s="2" customFormat="1" ht="12.75" customHeight="1" x14ac:dyDescent="0.2">
      <c r="A7" s="1" t="s">
        <v>195</v>
      </c>
      <c r="B7" s="1" t="s">
        <v>254</v>
      </c>
      <c r="C7" s="8">
        <v>1.60217653E-19</v>
      </c>
      <c r="D7" s="1" t="s">
        <v>255</v>
      </c>
      <c r="E7" s="14">
        <f>D!D$6+D!D$5-D!D$10</f>
        <v>-9998900</v>
      </c>
      <c r="F7" s="2" t="s">
        <v>259</v>
      </c>
    </row>
    <row r="8" spans="1:12" s="2" customFormat="1" ht="12.75" customHeight="1" x14ac:dyDescent="0.2">
      <c r="A8" s="1" t="s">
        <v>332</v>
      </c>
      <c r="B8" s="1" t="s">
        <v>333</v>
      </c>
      <c r="C8" s="11">
        <v>8.3144720000000003</v>
      </c>
      <c r="D8" s="1" t="s">
        <v>334</v>
      </c>
      <c r="E8" s="14">
        <f>2*D!D$3+D!D$4-2*D!D$5-D!D$8-D!D$7</f>
        <v>-110188</v>
      </c>
      <c r="F8" s="2" t="s">
        <v>335</v>
      </c>
    </row>
    <row r="9" spans="1:12" s="2" customFormat="1" ht="12.75" customHeight="1" x14ac:dyDescent="0.2">
      <c r="A9" s="1" t="s">
        <v>302</v>
      </c>
      <c r="B9" s="1"/>
      <c r="C9" s="22">
        <v>1.0079400000000001E-3</v>
      </c>
      <c r="D9" s="1" t="s">
        <v>243</v>
      </c>
      <c r="E9" s="14">
        <f>D!D$4-D!D$8</f>
        <v>-99990</v>
      </c>
      <c r="F9" s="15" t="s">
        <v>253</v>
      </c>
    </row>
    <row r="10" spans="1:12" s="2" customFormat="1" ht="12.75" customHeight="1" x14ac:dyDescent="0.2">
      <c r="A10" s="1" t="s">
        <v>303</v>
      </c>
      <c r="B10" s="1"/>
      <c r="C10" s="22">
        <v>1.2010699999999999E-2</v>
      </c>
      <c r="D10" s="1" t="s">
        <v>243</v>
      </c>
      <c r="E10" s="14">
        <f>D!D$4-D!D$8</f>
        <v>-99990</v>
      </c>
      <c r="F10" s="15" t="s">
        <v>253</v>
      </c>
    </row>
    <row r="11" spans="1:12" s="2" customFormat="1" ht="12.75" customHeight="1" x14ac:dyDescent="0.2">
      <c r="A11" s="1" t="s">
        <v>304</v>
      </c>
      <c r="B11" s="1"/>
      <c r="C11" s="22">
        <v>1.40067E-2</v>
      </c>
      <c r="D11" s="1" t="s">
        <v>243</v>
      </c>
      <c r="E11" s="14">
        <f>D!D$4-D!D$8</f>
        <v>-99990</v>
      </c>
      <c r="F11" s="15" t="s">
        <v>253</v>
      </c>
    </row>
    <row r="12" spans="1:12" s="2" customFormat="1" ht="12.75" customHeight="1" x14ac:dyDescent="0.2">
      <c r="A12" s="1" t="s">
        <v>305</v>
      </c>
      <c r="B12" s="1"/>
      <c r="C12" s="22">
        <v>1.59994E-2</v>
      </c>
      <c r="D12" s="1" t="s">
        <v>243</v>
      </c>
      <c r="E12" s="14">
        <f>D!D$4-D!D$8</f>
        <v>-99990</v>
      </c>
      <c r="F12" s="15" t="s">
        <v>253</v>
      </c>
    </row>
    <row r="13" spans="1:12" s="2" customFormat="1" ht="12.75" customHeight="1" x14ac:dyDescent="0.2">
      <c r="A13" s="1" t="s">
        <v>306</v>
      </c>
      <c r="B13" s="1"/>
      <c r="C13" s="22">
        <v>2.298977E-2</v>
      </c>
      <c r="D13" s="1" t="s">
        <v>243</v>
      </c>
      <c r="E13" s="14">
        <f>D!D$4-D!D$8</f>
        <v>-99990</v>
      </c>
      <c r="F13" s="15" t="s">
        <v>253</v>
      </c>
    </row>
    <row r="14" spans="1:12" s="2" customFormat="1" ht="12.75" customHeight="1" x14ac:dyDescent="0.2">
      <c r="A14" s="1" t="s">
        <v>307</v>
      </c>
      <c r="B14" s="1"/>
      <c r="C14" s="22">
        <v>2.4305E-2</v>
      </c>
      <c r="D14" s="1" t="s">
        <v>243</v>
      </c>
      <c r="E14" s="14">
        <f>D!D$4-D!D$8</f>
        <v>-99990</v>
      </c>
      <c r="F14" s="15" t="s">
        <v>253</v>
      </c>
    </row>
    <row r="15" spans="1:12" s="2" customFormat="1" ht="12.75" customHeight="1" x14ac:dyDescent="0.2">
      <c r="A15" s="1" t="s">
        <v>308</v>
      </c>
      <c r="B15" s="1"/>
      <c r="C15" s="22">
        <v>2.6981537999999999E-2</v>
      </c>
      <c r="D15" s="1" t="s">
        <v>243</v>
      </c>
      <c r="E15" s="14">
        <f>D!D$4-D!D$8</f>
        <v>-99990</v>
      </c>
      <c r="F15" s="15" t="s">
        <v>253</v>
      </c>
    </row>
    <row r="16" spans="1:12" s="2" customFormat="1" ht="12.75" customHeight="1" x14ac:dyDescent="0.2">
      <c r="A16" s="1" t="s">
        <v>309</v>
      </c>
      <c r="B16" s="1"/>
      <c r="C16" s="22">
        <v>2.8085499999999999E-2</v>
      </c>
      <c r="D16" s="1" t="s">
        <v>243</v>
      </c>
      <c r="E16" s="14">
        <f>D!D$4-D!D$8</f>
        <v>-99990</v>
      </c>
      <c r="F16" s="15" t="s">
        <v>253</v>
      </c>
    </row>
    <row r="17" spans="1:6" s="2" customFormat="1" ht="12.75" customHeight="1" x14ac:dyDescent="0.2">
      <c r="A17" s="1" t="s">
        <v>310</v>
      </c>
      <c r="B17" s="1"/>
      <c r="C17" s="22">
        <v>3.0973760999999999E-2</v>
      </c>
      <c r="D17" s="1" t="s">
        <v>243</v>
      </c>
      <c r="E17" s="14">
        <f>D!D$4-D!D$8</f>
        <v>-99990</v>
      </c>
      <c r="F17" s="15" t="s">
        <v>253</v>
      </c>
    </row>
    <row r="18" spans="1:6" s="2" customFormat="1" ht="12.75" customHeight="1" x14ac:dyDescent="0.2">
      <c r="A18" s="1" t="s">
        <v>311</v>
      </c>
      <c r="B18" s="1"/>
      <c r="C18" s="22">
        <v>3.2064999999999996E-2</v>
      </c>
      <c r="D18" s="1" t="s">
        <v>243</v>
      </c>
      <c r="E18" s="14">
        <f>D!D$4-D!D$8</f>
        <v>-99990</v>
      </c>
      <c r="F18" s="15" t="s">
        <v>253</v>
      </c>
    </row>
    <row r="19" spans="1:6" s="2" customFormat="1" ht="12.75" customHeight="1" x14ac:dyDescent="0.2">
      <c r="A19" s="1" t="s">
        <v>312</v>
      </c>
      <c r="B19" s="1"/>
      <c r="C19" s="22">
        <v>3.5453000000000005E-2</v>
      </c>
      <c r="D19" s="1" t="s">
        <v>243</v>
      </c>
      <c r="E19" s="14">
        <f>D!D$4-D!D$8</f>
        <v>-99990</v>
      </c>
      <c r="F19" s="15" t="s">
        <v>253</v>
      </c>
    </row>
    <row r="20" spans="1:6" s="2" customFormat="1" ht="12.75" customHeight="1" x14ac:dyDescent="0.2">
      <c r="A20" s="1" t="s">
        <v>313</v>
      </c>
      <c r="B20" s="1"/>
      <c r="C20" s="22">
        <v>3.9098300000000002E-2</v>
      </c>
      <c r="D20" s="1" t="s">
        <v>243</v>
      </c>
      <c r="E20" s="14">
        <f>D!D$4-D!D$8</f>
        <v>-99990</v>
      </c>
      <c r="F20" s="15" t="s">
        <v>253</v>
      </c>
    </row>
    <row r="21" spans="1:6" s="2" customFormat="1" ht="12.75" customHeight="1" x14ac:dyDescent="0.2">
      <c r="A21" s="1" t="s">
        <v>314</v>
      </c>
      <c r="B21" s="1"/>
      <c r="C21" s="22">
        <v>4.0078000000000003E-2</v>
      </c>
      <c r="D21" s="1" t="s">
        <v>243</v>
      </c>
      <c r="E21" s="14">
        <f>D!D$4-D!D$8</f>
        <v>-99990</v>
      </c>
      <c r="F21" s="15" t="s">
        <v>253</v>
      </c>
    </row>
    <row r="22" spans="1:6" s="2" customFormat="1" ht="12.75" customHeight="1" x14ac:dyDescent="0.2">
      <c r="A22" s="2" t="s">
        <v>315</v>
      </c>
      <c r="C22" s="22">
        <v>5.1996099999999996E-2</v>
      </c>
      <c r="D22" s="1" t="s">
        <v>243</v>
      </c>
      <c r="E22" s="14">
        <f>D!D$4-D!D$8</f>
        <v>-99990</v>
      </c>
      <c r="F22" s="15" t="s">
        <v>253</v>
      </c>
    </row>
    <row r="23" spans="1:6" s="2" customFormat="1" ht="12.75" customHeight="1" x14ac:dyDescent="0.2">
      <c r="A23" s="2" t="s">
        <v>316</v>
      </c>
      <c r="C23" s="22">
        <v>5.4938049000000003E-2</v>
      </c>
      <c r="D23" s="1" t="s">
        <v>243</v>
      </c>
      <c r="E23" s="14">
        <f>D!D$4-D!D$8</f>
        <v>-99990</v>
      </c>
      <c r="F23" s="15" t="s">
        <v>253</v>
      </c>
    </row>
    <row r="24" spans="1:6" s="2" customFormat="1" ht="12.75" customHeight="1" x14ac:dyDescent="0.2">
      <c r="A24" s="2" t="s">
        <v>317</v>
      </c>
      <c r="C24" s="22">
        <v>5.5844999999999999E-2</v>
      </c>
      <c r="D24" s="1" t="s">
        <v>243</v>
      </c>
      <c r="E24" s="14">
        <f>D!D$4-D!D$8</f>
        <v>-99990</v>
      </c>
      <c r="F24" s="15" t="s">
        <v>253</v>
      </c>
    </row>
    <row r="25" spans="1:6" s="2" customFormat="1" ht="12.75" customHeight="1" x14ac:dyDescent="0.2">
      <c r="A25" s="2" t="s">
        <v>318</v>
      </c>
      <c r="C25" s="22">
        <v>5.8933199999999998E-2</v>
      </c>
      <c r="D25" s="1" t="s">
        <v>243</v>
      </c>
      <c r="E25" s="14">
        <f>D!D$4-D!D$8</f>
        <v>-99990</v>
      </c>
      <c r="F25" s="15" t="s">
        <v>253</v>
      </c>
    </row>
    <row r="26" spans="1:6" s="2" customFormat="1" ht="12.75" customHeight="1" x14ac:dyDescent="0.2">
      <c r="A26" s="2" t="s">
        <v>319</v>
      </c>
      <c r="C26" s="22">
        <v>5.86934E-2</v>
      </c>
      <c r="D26" s="1" t="s">
        <v>243</v>
      </c>
      <c r="E26" s="14">
        <f>D!D$4-D!D$8</f>
        <v>-99990</v>
      </c>
      <c r="F26" s="15" t="s">
        <v>253</v>
      </c>
    </row>
    <row r="27" spans="1:6" s="2" customFormat="1" ht="12.75" customHeight="1" x14ac:dyDescent="0.2">
      <c r="A27" s="2" t="s">
        <v>320</v>
      </c>
      <c r="C27" s="22">
        <v>6.3546000000000005E-2</v>
      </c>
      <c r="D27" s="1" t="s">
        <v>243</v>
      </c>
      <c r="E27" s="14">
        <f>D!D$4-D!D$8</f>
        <v>-99990</v>
      </c>
      <c r="F27" s="15" t="s">
        <v>253</v>
      </c>
    </row>
    <row r="28" spans="1:6" s="2" customFormat="1" ht="12.75" customHeight="1" x14ac:dyDescent="0.2">
      <c r="A28" s="2" t="s">
        <v>321</v>
      </c>
      <c r="C28" s="22">
        <v>6.5409000000000009E-2</v>
      </c>
      <c r="D28" s="1" t="s">
        <v>243</v>
      </c>
      <c r="E28" s="14">
        <f>D!D$4-D!D$8</f>
        <v>-99990</v>
      </c>
      <c r="F28" s="15" t="s">
        <v>253</v>
      </c>
    </row>
    <row r="29" spans="1:6" s="2" customFormat="1" ht="12.75" customHeight="1" x14ac:dyDescent="0.2">
      <c r="A29" s="1" t="s">
        <v>322</v>
      </c>
      <c r="B29" s="1"/>
      <c r="C29" s="22">
        <v>0.2072</v>
      </c>
      <c r="D29" s="1" t="s">
        <v>243</v>
      </c>
      <c r="E29" s="14">
        <f>D!D$4-D!D$8</f>
        <v>-99990</v>
      </c>
      <c r="F29" s="15" t="s">
        <v>253</v>
      </c>
    </row>
    <row r="30" spans="1:6" s="2" customFormat="1" x14ac:dyDescent="0.2">
      <c r="A30" s="1" t="s">
        <v>323</v>
      </c>
      <c r="B30" s="1"/>
      <c r="C30" s="14">
        <f>2*C9+C12</f>
        <v>1.8015280000000002E-2</v>
      </c>
      <c r="D30" s="1" t="s">
        <v>243</v>
      </c>
      <c r="E30" s="14">
        <f>D!D$4-D!D$8</f>
        <v>-99990</v>
      </c>
      <c r="F30" s="15"/>
    </row>
    <row r="31" spans="1:6" s="2" customFormat="1" ht="16.5" customHeight="1" x14ac:dyDescent="0.3">
      <c r="A31" s="1" t="s">
        <v>261</v>
      </c>
      <c r="B31" s="1" t="s">
        <v>266</v>
      </c>
      <c r="C31" s="24">
        <v>1000</v>
      </c>
      <c r="D31" s="1" t="s">
        <v>262</v>
      </c>
      <c r="E31" s="14">
        <f>D!D$4-3*D!D$3</f>
        <v>7</v>
      </c>
      <c r="F31" s="15"/>
    </row>
    <row r="32" spans="1:6" s="2" customFormat="1" ht="16.5" customHeight="1" x14ac:dyDescent="0.2">
      <c r="A32" s="13" t="s">
        <v>293</v>
      </c>
      <c r="B32" s="1" t="s">
        <v>289</v>
      </c>
      <c r="C32" s="24">
        <v>38376719.5</v>
      </c>
      <c r="D32" s="1" t="s">
        <v>290</v>
      </c>
      <c r="E32" s="14">
        <f>2*D!D$3+D!D$4-2*D!D$5-3*D!D$3</f>
        <v>-191</v>
      </c>
      <c r="F32" s="15" t="s">
        <v>291</v>
      </c>
    </row>
    <row r="33" spans="1:13" s="2" customFormat="1" ht="16.5" customHeight="1" x14ac:dyDescent="0.2">
      <c r="A33" s="13" t="s">
        <v>294</v>
      </c>
      <c r="B33" s="1" t="s">
        <v>292</v>
      </c>
      <c r="C33" s="26">
        <v>0.35</v>
      </c>
      <c r="D33" s="1" t="s">
        <v>331</v>
      </c>
      <c r="E33" s="14">
        <f>3*D!D$3-D!D$4</f>
        <v>-7</v>
      </c>
      <c r="F33" s="15"/>
    </row>
    <row r="34" spans="1:13" s="2" customFormat="1" ht="16.5" customHeight="1" x14ac:dyDescent="0.2">
      <c r="A34" s="13" t="s">
        <v>328</v>
      </c>
      <c r="B34" s="1" t="s">
        <v>329</v>
      </c>
      <c r="C34" s="27">
        <v>2.24E-2</v>
      </c>
      <c r="D34" s="1" t="s">
        <v>330</v>
      </c>
      <c r="E34" s="14">
        <f>3*D!D$3-D!D8</f>
        <v>-99997</v>
      </c>
      <c r="F34" s="15"/>
    </row>
    <row r="35" spans="1:13" s="2" customFormat="1" ht="16.5" customHeight="1" x14ac:dyDescent="0.2">
      <c r="A35" s="1" t="s">
        <v>340</v>
      </c>
      <c r="B35" s="1" t="s">
        <v>341</v>
      </c>
      <c r="C35" s="31">
        <v>1.6042460000000001E-2</v>
      </c>
      <c r="D35" s="1" t="s">
        <v>330</v>
      </c>
      <c r="E35" s="14">
        <f>3*D!D$3-D!D9</f>
        <v>-999997</v>
      </c>
      <c r="F35" s="15"/>
    </row>
    <row r="36" spans="1:13" s="2" customFormat="1" ht="16.5" customHeight="1" x14ac:dyDescent="0.2">
      <c r="A36" s="13" t="s">
        <v>324</v>
      </c>
      <c r="B36" s="1" t="s">
        <v>296</v>
      </c>
      <c r="C36" s="29">
        <v>3.2041899999999998E-2</v>
      </c>
      <c r="D36" s="1" t="s">
        <v>243</v>
      </c>
      <c r="E36" s="14">
        <f>D!D$4-D!D$8</f>
        <v>-99990</v>
      </c>
      <c r="F36" s="15"/>
    </row>
    <row r="37" spans="1:13" s="2" customFormat="1" ht="16.5" customHeight="1" x14ac:dyDescent="0.2">
      <c r="A37" s="13" t="s">
        <v>325</v>
      </c>
      <c r="B37" s="1" t="s">
        <v>295</v>
      </c>
      <c r="C37" s="29">
        <v>4.6068400000000002E-2</v>
      </c>
      <c r="D37" s="1" t="s">
        <v>243</v>
      </c>
      <c r="E37" s="14">
        <f>D!D$4-D!D$8</f>
        <v>-99990</v>
      </c>
      <c r="F37" s="15" t="s">
        <v>298</v>
      </c>
    </row>
    <row r="38" spans="1:13" s="2" customFormat="1" ht="16.5" customHeight="1" x14ac:dyDescent="0.2">
      <c r="A38" s="13" t="s">
        <v>326</v>
      </c>
      <c r="B38" s="1" t="s">
        <v>297</v>
      </c>
      <c r="C38" s="28">
        <v>6.0095000000000003E-2</v>
      </c>
      <c r="D38" s="1" t="s">
        <v>243</v>
      </c>
      <c r="E38" s="14">
        <f>D!D$4-D!D$8</f>
        <v>-99990</v>
      </c>
      <c r="F38" s="15" t="s">
        <v>298</v>
      </c>
    </row>
    <row r="39" spans="1:13" s="2" customFormat="1" ht="16.5" customHeight="1" x14ac:dyDescent="0.2">
      <c r="A39" s="13" t="s">
        <v>327</v>
      </c>
      <c r="B39" s="1" t="s">
        <v>299</v>
      </c>
      <c r="C39" s="28">
        <v>7.4121599999999996E-2</v>
      </c>
      <c r="D39" s="1" t="s">
        <v>243</v>
      </c>
      <c r="E39" s="14">
        <f>D!D$4-D!D$8</f>
        <v>-99990</v>
      </c>
      <c r="F39" s="15" t="s">
        <v>298</v>
      </c>
    </row>
    <row r="40" spans="1:13" s="2" customFormat="1" ht="16.5" customHeight="1" x14ac:dyDescent="0.2">
      <c r="A40" s="12" t="s">
        <v>88</v>
      </c>
      <c r="B40" s="12" t="s">
        <v>350</v>
      </c>
      <c r="C40" s="50">
        <v>299792458</v>
      </c>
      <c r="D40" s="12" t="s">
        <v>351</v>
      </c>
      <c r="E40" s="14">
        <f>D!D3-D!D5</f>
        <v>-99</v>
      </c>
      <c r="F40" s="49" t="s">
        <v>352</v>
      </c>
    </row>
    <row r="41" spans="1:13" s="2" customFormat="1" ht="12.75" customHeight="1" x14ac:dyDescent="0.2">
      <c r="A41" s="1" t="s">
        <v>7</v>
      </c>
      <c r="B41" s="1"/>
      <c r="C41" s="1"/>
      <c r="D41" s="1"/>
      <c r="E41" s="5"/>
    </row>
    <row r="42" spans="1:13" x14ac:dyDescent="0.2">
      <c r="A42" s="6" t="s">
        <v>251</v>
      </c>
      <c r="C42" s="11"/>
      <c r="E42" s="5"/>
      <c r="F42" s="6"/>
      <c r="M42" s="2"/>
    </row>
    <row r="43" spans="1:13" x14ac:dyDescent="0.2">
      <c r="C43" s="11"/>
      <c r="E43" s="5"/>
      <c r="F43" s="6"/>
      <c r="M43" s="2"/>
    </row>
    <row r="44" spans="1:13" x14ac:dyDescent="0.2">
      <c r="C44" s="11"/>
      <c r="E44" s="5"/>
      <c r="F44" s="6"/>
      <c r="M44" s="2"/>
    </row>
    <row r="45" spans="1:13" x14ac:dyDescent="0.2">
      <c r="C45" s="11"/>
      <c r="E45" s="5"/>
      <c r="F45" s="6"/>
      <c r="M45" s="2"/>
    </row>
    <row r="46" spans="1:13" x14ac:dyDescent="0.2">
      <c r="C46" s="11"/>
      <c r="E46" s="5"/>
      <c r="F46" s="6"/>
      <c r="M46" s="2"/>
    </row>
    <row r="47" spans="1:13" x14ac:dyDescent="0.2">
      <c r="C47" s="11"/>
      <c r="E47" s="5"/>
      <c r="F47" s="6"/>
      <c r="M47" s="2"/>
    </row>
    <row r="48" spans="1:13" x14ac:dyDescent="0.2">
      <c r="C48" s="11"/>
      <c r="E48" s="5"/>
      <c r="F48" s="6"/>
      <c r="M48" s="2"/>
    </row>
    <row r="49" spans="1:13" x14ac:dyDescent="0.2">
      <c r="E49" s="5"/>
      <c r="M49" s="2"/>
    </row>
    <row r="50" spans="1:13" x14ac:dyDescent="0.2">
      <c r="E50" s="5"/>
      <c r="M50" s="2"/>
    </row>
    <row r="51" spans="1:13" x14ac:dyDescent="0.2">
      <c r="E51" s="5"/>
      <c r="M51" s="2"/>
    </row>
    <row r="52" spans="1:13" x14ac:dyDescent="0.2">
      <c r="E52" s="5"/>
      <c r="M52" s="2"/>
    </row>
    <row r="53" spans="1:13" x14ac:dyDescent="0.2">
      <c r="E53" s="5"/>
      <c r="M53" s="2"/>
    </row>
    <row r="54" spans="1:13" x14ac:dyDescent="0.2">
      <c r="E54" s="5"/>
      <c r="M54" s="2"/>
    </row>
    <row r="55" spans="1:13" x14ac:dyDescent="0.2">
      <c r="A55" s="12"/>
      <c r="E55" s="5"/>
      <c r="M55" s="2"/>
    </row>
    <row r="56" spans="1:13" x14ac:dyDescent="0.2">
      <c r="E56" s="5"/>
      <c r="M56" s="2"/>
    </row>
    <row r="57" spans="1:13" x14ac:dyDescent="0.2">
      <c r="E57" s="5"/>
      <c r="M57" s="2"/>
    </row>
    <row r="58" spans="1:13" x14ac:dyDescent="0.2">
      <c r="E58" s="5"/>
      <c r="M58" s="2"/>
    </row>
    <row r="59" spans="1:13" x14ac:dyDescent="0.2">
      <c r="E59" s="5"/>
      <c r="M59" s="2"/>
    </row>
    <row r="60" spans="1:13" x14ac:dyDescent="0.2">
      <c r="E60" s="5"/>
      <c r="M60" s="2"/>
    </row>
    <row r="61" spans="1:13" x14ac:dyDescent="0.2">
      <c r="E61" s="5"/>
      <c r="M61" s="2"/>
    </row>
    <row r="62" spans="1:13" x14ac:dyDescent="0.2">
      <c r="E62" s="5"/>
      <c r="M62" s="2"/>
    </row>
    <row r="63" spans="1:13" x14ac:dyDescent="0.2">
      <c r="E63" s="5"/>
      <c r="M63" s="2"/>
    </row>
    <row r="64" spans="1:13" x14ac:dyDescent="0.2">
      <c r="C64" s="7"/>
      <c r="E64" s="5"/>
      <c r="M64" s="2"/>
    </row>
    <row r="65" spans="3:13" x14ac:dyDescent="0.2">
      <c r="E65" s="5"/>
      <c r="M65" s="2"/>
    </row>
    <row r="66" spans="3:13" x14ac:dyDescent="0.2">
      <c r="C66" s="7"/>
      <c r="E66" s="5"/>
      <c r="M66" s="2"/>
    </row>
    <row r="67" spans="3:13" x14ac:dyDescent="0.2">
      <c r="C67" s="8"/>
      <c r="E67" s="5"/>
      <c r="F67" s="6"/>
      <c r="M67" s="2"/>
    </row>
    <row r="68" spans="3:13" x14ac:dyDescent="0.2">
      <c r="C68" s="8"/>
      <c r="E68" s="5"/>
      <c r="F68" s="6"/>
      <c r="M68" s="2"/>
    </row>
    <row r="69" spans="3:13" x14ac:dyDescent="0.2">
      <c r="E69" s="5"/>
      <c r="M69" s="2"/>
    </row>
    <row r="70" spans="3:13" x14ac:dyDescent="0.2">
      <c r="E70" s="5"/>
      <c r="M70" s="2"/>
    </row>
    <row r="71" spans="3:13" x14ac:dyDescent="0.2">
      <c r="C71" s="11"/>
      <c r="E71" s="5"/>
      <c r="M71" s="2"/>
    </row>
    <row r="72" spans="3:13" x14ac:dyDescent="0.2">
      <c r="E72" s="5"/>
      <c r="M72" s="2"/>
    </row>
    <row r="73" spans="3:13" x14ac:dyDescent="0.2">
      <c r="E73" s="5"/>
      <c r="M73" s="2"/>
    </row>
    <row r="74" spans="3:13" x14ac:dyDescent="0.2">
      <c r="C74" s="3"/>
      <c r="E74" s="5"/>
      <c r="M74" s="2"/>
    </row>
    <row r="75" spans="3:13" x14ac:dyDescent="0.2">
      <c r="E75" s="5"/>
      <c r="M75" s="2"/>
    </row>
    <row r="76" spans="3:13" x14ac:dyDescent="0.2">
      <c r="E76" s="5"/>
      <c r="M76" s="2"/>
    </row>
    <row r="77" spans="3:13" x14ac:dyDescent="0.2">
      <c r="E77" s="5"/>
      <c r="M77" s="2"/>
    </row>
    <row r="78" spans="3:13" x14ac:dyDescent="0.2">
      <c r="C78" s="3"/>
      <c r="E78" s="5"/>
      <c r="M78" s="2"/>
    </row>
    <row r="79" spans="3:13" x14ac:dyDescent="0.2">
      <c r="C79" s="8"/>
      <c r="E79" s="5"/>
      <c r="M79" s="2"/>
    </row>
    <row r="80" spans="3:13" x14ac:dyDescent="0.2">
      <c r="E80" s="5"/>
      <c r="M80" s="2"/>
    </row>
    <row r="81" spans="1:13" x14ac:dyDescent="0.2">
      <c r="E81" s="5"/>
      <c r="M81" s="2"/>
    </row>
    <row r="82" spans="1:13" x14ac:dyDescent="0.2">
      <c r="E82" s="5"/>
      <c r="M82" s="2"/>
    </row>
    <row r="83" spans="1:13" x14ac:dyDescent="0.2">
      <c r="C83" s="10"/>
      <c r="E83" s="5"/>
      <c r="M83" s="2"/>
    </row>
    <row r="84" spans="1:13" x14ac:dyDescent="0.2">
      <c r="E84" s="5"/>
      <c r="F84" s="6"/>
      <c r="M84" s="2"/>
    </row>
    <row r="85" spans="1:13" x14ac:dyDescent="0.2">
      <c r="E85" s="5"/>
      <c r="F85" s="6"/>
      <c r="M85" s="2"/>
    </row>
    <row r="86" spans="1:13" x14ac:dyDescent="0.2">
      <c r="E86" s="5"/>
      <c r="M86" s="2"/>
    </row>
    <row r="87" spans="1:13" x14ac:dyDescent="0.2">
      <c r="E87" s="5"/>
      <c r="F87" s="6"/>
      <c r="M87" s="2"/>
    </row>
    <row r="88" spans="1:13" x14ac:dyDescent="0.2">
      <c r="E88" s="5"/>
      <c r="M88" s="2"/>
    </row>
    <row r="89" spans="1:13" x14ac:dyDescent="0.2">
      <c r="E89" s="5"/>
      <c r="F89" s="6"/>
      <c r="M89" s="2"/>
    </row>
    <row r="90" spans="1:13" x14ac:dyDescent="0.2">
      <c r="E90" s="5"/>
      <c r="M90" s="2"/>
    </row>
    <row r="91" spans="1:13" x14ac:dyDescent="0.2">
      <c r="C91" s="3"/>
      <c r="E91" s="13"/>
      <c r="M91" s="2"/>
    </row>
    <row r="92" spans="1:13" x14ac:dyDescent="0.2">
      <c r="C92" s="3"/>
      <c r="E92" s="13"/>
      <c r="M92" s="2"/>
    </row>
    <row r="93" spans="1:13" x14ac:dyDescent="0.2">
      <c r="C93" s="3"/>
      <c r="E93" s="13"/>
      <c r="M93" s="2"/>
    </row>
    <row r="94" spans="1:13" x14ac:dyDescent="0.2">
      <c r="C94" s="3"/>
      <c r="E94" s="13"/>
      <c r="M94" s="2"/>
    </row>
    <row r="95" spans="1:13" x14ac:dyDescent="0.2">
      <c r="M95" s="2"/>
    </row>
    <row r="96" spans="1:13" x14ac:dyDescent="0.2">
      <c r="A96" s="6"/>
    </row>
  </sheetData>
  <sheetProtection sheet="1" objects="1" scenarios="1"/>
  <mergeCells count="1">
    <mergeCell ref="I2:L2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0F38-741C-4289-858E-C165BAE490A7}">
  <dimension ref="A1:C26"/>
  <sheetViews>
    <sheetView workbookViewId="0">
      <selection activeCell="B9" sqref="B9"/>
    </sheetView>
  </sheetViews>
  <sheetFormatPr defaultRowHeight="12.75" x14ac:dyDescent="0.2"/>
  <cols>
    <col min="1" max="1" width="22.85546875" customWidth="1"/>
    <col min="2" max="2" width="8.42578125" bestFit="1" customWidth="1"/>
    <col min="3" max="3" width="115.140625" customWidth="1"/>
  </cols>
  <sheetData>
    <row r="1" spans="1:3" x14ac:dyDescent="0.2">
      <c r="A1" s="23" t="s">
        <v>263</v>
      </c>
      <c r="B1" s="19" t="s">
        <v>222</v>
      </c>
      <c r="C1" s="19" t="s">
        <v>226</v>
      </c>
    </row>
    <row r="2" spans="1:3" x14ac:dyDescent="0.2">
      <c r="A2" t="s">
        <v>286</v>
      </c>
      <c r="B2" s="5">
        <f>IF(OR(COUNTIF(Regular!G15:N15,".")=8,COUNTIF(Regular!G25:N25,".")=8),1,0)</f>
        <v>1</v>
      </c>
      <c r="C2" t="str">
        <f>IF(B2=1,"Input and output units not entered.","No error")</f>
        <v>Input and output units not entered.</v>
      </c>
    </row>
    <row r="3" spans="1:3" x14ac:dyDescent="0.2">
      <c r="A3" t="s">
        <v>260</v>
      </c>
      <c r="B3" s="5">
        <f>IF(COUNTA(Regular!G15:N15,Regular!G25:N25)&lt;16,1,0)</f>
        <v>0</v>
      </c>
      <c r="C3" t="str">
        <f>IF(B3=1,"All data cells other than exponent cells must have some entry. Use a '.' for unused cells","No error")</f>
        <v>No error</v>
      </c>
    </row>
    <row r="4" spans="1:3" x14ac:dyDescent="0.2">
      <c r="A4" t="s">
        <v>270</v>
      </c>
      <c r="B4" s="5" t="str">
        <f>IF(Regular!G15="","G15",IF(Regular!H15="","H15",IF(Regular!I15="","I15",IF(Regular!J15="","J15",IF(Regular!K15="","k15",IF(Regular!L15="","L15",IF(Regular!M15="","M15",IF(Regular!N15="","N15",""))))))))</f>
        <v/>
      </c>
    </row>
    <row r="5" spans="1:3" x14ac:dyDescent="0.2">
      <c r="A5" t="s">
        <v>271</v>
      </c>
      <c r="B5" s="5" t="str">
        <f>IF(Regular!G25="","G25",IF(Regular!H25="","H25",IF(Regular!I25="","I25",IF(Regular!J25="","J25",IF(Regular!K25="","k25",IF(Regular!L25="","L25",IF(Regular!M25="","M25",IF(Regular!N25="","N25",""))))))))</f>
        <v/>
      </c>
    </row>
    <row r="6" spans="1:3" x14ac:dyDescent="0.2">
      <c r="A6" t="s">
        <v>272</v>
      </c>
      <c r="B6" s="5" t="str">
        <f>CONCATENATE(B4," ",B5)</f>
        <v xml:space="preserve"> </v>
      </c>
    </row>
    <row r="7" spans="1:3" x14ac:dyDescent="0.2">
      <c r="A7" t="s">
        <v>225</v>
      </c>
      <c r="B7" s="5">
        <f>IF(OR(AND(Regular!H15=".",NOT(Regular!J15=".")),AND(Regular!J15=".",NOT(Regular!L15=".")),AND(Regular!L15=".",NOT(Regular!N15=".")),AND(Regular!H25=".",NOT(Regular!J25=".")),AND(Regular!J25=".",NOT(Regular!L25=".")),AND(Regular!L25=".",NOT(Regular!N25="."))),1,0)</f>
        <v>0</v>
      </c>
      <c r="C7" t="str">
        <f>IF(B7=1,"Enter input and output units starting from the left-most cell","No error")</f>
        <v>No error</v>
      </c>
    </row>
    <row r="8" spans="1:3" x14ac:dyDescent="0.2">
      <c r="A8" t="s">
        <v>223</v>
      </c>
      <c r="B8" s="5">
        <f>IF(ABS(Regular!H14*VLOOKUP(Regular!H15,F!A3:G78,7,FALSE)+Regular!J14*VLOOKUP(Regular!J15,F!A3:G78,7,FALSE)+Regular!L14*VLOOKUP(Regular!L15,F!A3:G78,7,FALSE)+Regular!N14*VLOOKUP(Regular!N15,F!A3:G78,7,FALSE)-Regular!H24*VLOOKUP(Regular!H25,F!A3:G78,7,FALSE)-Regular!J24*VLOOKUP(Regular!J25,F!A3:G78,7,FALSE)-Regular!L24*VLOOKUP(Regular!L25,F!A3:G78,7,FALSE)-Regular!N24*VLOOKUP(Regular!N25,F!A3:G78,7,FALSE))&gt;0.0000000001,1,0)</f>
        <v>0</v>
      </c>
      <c r="C8" t="str">
        <f>IF(B8=1,"Dimension error. Check input unit, output unit, and constants.","No error")</f>
        <v>No error</v>
      </c>
    </row>
    <row r="9" spans="1:3" x14ac:dyDescent="0.2">
      <c r="A9" t="s">
        <v>285</v>
      </c>
      <c r="B9" s="5">
        <f>IF(COUNTA(Regular!H14,Regular!J14,Regular!L14,Regular!N14,Regular!H24,Regular!J24,Regular!L24,Regular!N24)&gt;0,0,1)</f>
        <v>1</v>
      </c>
      <c r="C9" t="str">
        <f>IF(B9=1,"Missing exponent(s).","No error")</f>
        <v>Missing exponent(s).</v>
      </c>
    </row>
    <row r="10" spans="1:3" x14ac:dyDescent="0.2">
      <c r="A10" t="s">
        <v>224</v>
      </c>
      <c r="B10" s="5">
        <f>IF(AND(Regular!J15=".",Regular!L15=".",Regular!N15=".",Regular!H24=".",Regular!J24=".",Regular!L24=".",Regular!J25=".",Regular!L25=".",Regular!N25=".",VLOOKUP(Regular!H15,F!A3:G78,7,FALSE)=D!D7,VLOOKUP(Regular!H25,F!A3:G78,7,FALSE)=D!D7),1,0)</f>
        <v>0</v>
      </c>
      <c r="C10" t="str">
        <f>IF(B10=1,"Temperature conversion","No message")</f>
        <v>No message</v>
      </c>
    </row>
    <row r="23" spans="2:2" x14ac:dyDescent="0.2">
      <c r="B23" s="5"/>
    </row>
    <row r="26" spans="2:2" x14ac:dyDescent="0.2">
      <c r="B26" s="5"/>
    </row>
  </sheetData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C27"/>
  <sheetViews>
    <sheetView workbookViewId="0">
      <selection activeCell="B10" sqref="B10"/>
    </sheetView>
  </sheetViews>
  <sheetFormatPr defaultRowHeight="12.75" x14ac:dyDescent="0.2"/>
  <cols>
    <col min="1" max="1" width="22.85546875" customWidth="1"/>
    <col min="2" max="2" width="8.42578125" bestFit="1" customWidth="1"/>
    <col min="3" max="3" width="115.140625" customWidth="1"/>
  </cols>
  <sheetData>
    <row r="1" spans="1:3" x14ac:dyDescent="0.2">
      <c r="A1" s="23" t="s">
        <v>263</v>
      </c>
      <c r="B1" s="19" t="s">
        <v>222</v>
      </c>
      <c r="C1" s="19" t="s">
        <v>226</v>
      </c>
    </row>
    <row r="2" spans="1:3" x14ac:dyDescent="0.2">
      <c r="A2" t="s">
        <v>286</v>
      </c>
      <c r="B2" s="5">
        <f>IF(OR(COUNTIF(Complex!G15:N15,".")=8,COUNTIF(Complex!G33:N33,".")=8),1,0)</f>
        <v>1</v>
      </c>
      <c r="C2" t="str">
        <f>IF(B2=1,"Input and output units not entered.","No error")</f>
        <v>Input and output units not entered.</v>
      </c>
    </row>
    <row r="3" spans="1:3" x14ac:dyDescent="0.2">
      <c r="A3" t="s">
        <v>260</v>
      </c>
      <c r="B3" s="5">
        <f>IF(COUNTA(Complex!G15:N15,Complex!H24,Complex!J24,Complex!L24,Complex!G33:N33)&lt;19,1,0)</f>
        <v>0</v>
      </c>
      <c r="C3" t="str">
        <f>IF(B3=1,"All data cells other than exponent cells must have some entry. Use a '.' for unused cells","No error")</f>
        <v>No error</v>
      </c>
    </row>
    <row r="4" spans="1:3" x14ac:dyDescent="0.2">
      <c r="A4" t="s">
        <v>270</v>
      </c>
      <c r="B4" s="5" t="str">
        <f>IF(Complex!G15="","G15",IF(Complex!H15="","H15",IF(Complex!I15="","I15",IF(Complex!J15="","J15",IF(Complex!K15="","k15",IF(Complex!L15="","L15",IF(Complex!M15="","M15",IF(Complex!N15="","N15",""))))))))</f>
        <v/>
      </c>
    </row>
    <row r="5" spans="1:3" x14ac:dyDescent="0.2">
      <c r="A5" t="s">
        <v>273</v>
      </c>
      <c r="B5" s="5" t="str">
        <f>IF(Complex!H24="","H24",IF(Complex!J24="","J24",IF(Complex!L24="","K24","")))</f>
        <v/>
      </c>
    </row>
    <row r="6" spans="1:3" x14ac:dyDescent="0.2">
      <c r="A6" t="s">
        <v>271</v>
      </c>
      <c r="B6" s="5" t="str">
        <f>IF(Complex!G33="","G33",IF(Complex!H33="","H33",IF(Complex!I33="","I33",IF(Complex!J33="","J33",IF(Complex!K33="","k33",IF(Complex!L33="","L33",IF(Complex!M33="","M33",IF(Complex!N33="","N33",""))))))))</f>
        <v/>
      </c>
    </row>
    <row r="7" spans="1:3" x14ac:dyDescent="0.2">
      <c r="A7" t="s">
        <v>272</v>
      </c>
      <c r="B7" s="5" t="str">
        <f>CONCATENATE(B4," ",B5," ",B6)</f>
        <v xml:space="preserve">  </v>
      </c>
    </row>
    <row r="8" spans="1:3" x14ac:dyDescent="0.2">
      <c r="A8" t="s">
        <v>225</v>
      </c>
      <c r="B8" s="5">
        <f>IF(OR(AND(Complex!H15=".",NOT(Complex!J15=".")),AND(Complex!J15=".",NOT(Complex!L15=".")),AND(Complex!L15=".",NOT(Complex!N15=".")),AND(Complex!H33=".",NOT(Complex!J33=".")),AND(Complex!J33=".",NOT(Complex!L33=".")),AND(Complex!L33=".",NOT(Complex!N33="."))),1,0)</f>
        <v>0</v>
      </c>
      <c r="C8" t="str">
        <f>IF(B8=1,"Enter input and output units starting from the left-most cell","No error")</f>
        <v>No error</v>
      </c>
    </row>
    <row r="9" spans="1:3" x14ac:dyDescent="0.2">
      <c r="A9" t="s">
        <v>223</v>
      </c>
      <c r="B9" s="5">
        <f>IF(ABS(Complex!H14*VLOOKUP(Complex!H15,F!A3:G78,7,FALSE)+Complex!J14*VLOOKUP(Complex!J15,F!A3:G78,7,FALSE)+Complex!L14*VLOOKUP(Complex!L15,F!A3:G78,7,FALSE)+Complex!N14*VLOOKUP(Complex!N15,F!A3:G78,7,FALSE)+Complex!H23*VLOOKUP(Complex!H24,'C'!A3:E41,5,FALSE)+Complex!J23*VLOOKUP(Complex!J24,'C'!A3:E41,5,FALSE)+Complex!L23*VLOOKUP(Complex!L24,'C'!A3:E41,5,FALSE)-Complex!H32*VLOOKUP(Complex!H33,F!A3:G78,7,FALSE)-Complex!J32*VLOOKUP(Complex!J33,F!A3:G78,7,FALSE)-Complex!L32*VLOOKUP(Complex!L33,F!A3:G78,7,FALSE)-Complex!N32*VLOOKUP(Complex!N33,F!A3:G78,7,FALSE))&gt;0.0000000001,1,0)</f>
        <v>0</v>
      </c>
      <c r="C9" t="str">
        <f>IF(B9=1,"Dimension error. Check input unit, output unit, and constants.","No error")</f>
        <v>No error</v>
      </c>
    </row>
    <row r="10" spans="1:3" x14ac:dyDescent="0.2">
      <c r="A10" t="s">
        <v>285</v>
      </c>
      <c r="B10" s="5">
        <f>IF(COUNTA(Complex!H14,Complex!J14,Complex!L14,Complex!N14,Complex!H23,Complex!J23,Complex!L23,Complex!H32,Complex!J32,Complex!L32,Complex!N32)&gt;0,0,1)</f>
        <v>1</v>
      </c>
      <c r="C10" t="str">
        <f>IF(B10=1,"Missing exponent(s).","No error")</f>
        <v>Missing exponent(s).</v>
      </c>
    </row>
    <row r="11" spans="1:3" x14ac:dyDescent="0.2">
      <c r="A11" t="s">
        <v>224</v>
      </c>
      <c r="B11" s="5">
        <f>IF(AND(Complex!J15=".",Complex!L15=".",Complex!N15=".",Complex!H24=".",Complex!J24=".",Complex!L24=".",Complex!J33=".",Complex!L33=".",Complex!N33=".",VLOOKUP(Complex!H15,F!A3:G78,7,FALSE)=D!D7,VLOOKUP(Complex!H33,F!A3:G78,7,FALSE)=D!D7),1,0)</f>
        <v>0</v>
      </c>
      <c r="C11" t="str">
        <f>IF(B11=1,"Temperature conversion","No message")</f>
        <v>No message</v>
      </c>
    </row>
    <row r="24" spans="2:2" x14ac:dyDescent="0.2">
      <c r="B24" s="5"/>
    </row>
    <row r="27" spans="2:2" x14ac:dyDescent="0.2">
      <c r="B27" s="5"/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B3"/>
  <sheetViews>
    <sheetView workbookViewId="0">
      <selection activeCell="B2" sqref="B2"/>
    </sheetView>
  </sheetViews>
  <sheetFormatPr defaultRowHeight="12.75" x14ac:dyDescent="0.2"/>
  <cols>
    <col min="1" max="1" width="15.7109375" bestFit="1" customWidth="1"/>
    <col min="2" max="2" width="12" bestFit="1" customWidth="1"/>
  </cols>
  <sheetData>
    <row r="1" spans="1:2" x14ac:dyDescent="0.2">
      <c r="A1" s="23" t="s">
        <v>282</v>
      </c>
      <c r="B1" s="19" t="s">
        <v>284</v>
      </c>
    </row>
    <row r="2" spans="1:2" x14ac:dyDescent="0.2">
      <c r="A2" t="s">
        <v>283</v>
      </c>
      <c r="B2" s="25">
        <f>Regular!E15*(10^VLOOKUP(CODE(Regular!G15),S!B3:D27,3,FALSE))^Regular!H14*(10^VLOOKUP(CODE(Regular!I15),S!B3:D27,3,FALSE))^Regular!J14*(10^VLOOKUP(CODE(Regular!K15),S!B3:D27,3,FALSE))^Regular!L14*(10^VLOOKUP(CODE(Regular!M15),S!B3:D27,3,FALSE))^Regular!N14*(10^VLOOKUP(CODE(Regular!G25),S!B3:D27,3,FALSE))^(-Regular!H24)*(10^VLOOKUP(CODE(Regular!I25),S!B3:D27,3,FALSE))^(-Regular!J24)*(10^VLOOKUP(CODE(Regular!K25),S!B3:D27,3,FALSE))^(-Regular!L24)*(10^VLOOKUP(CODE(Regular!M25),S!B3:D27,3,FALSE))^(-Regular!N24)*VLOOKUP(Regular!H15,F!A3:D78,4,FALSE)^Regular!H14*VLOOKUP(Regular!J15,F!A3:D78,4,FALSE)^Regular!J14*VLOOKUP(Regular!L15,F!A3:D78,4,FALSE)^Regular!L14*VLOOKUP(Regular!N15,F!A3:D78,4,FALSE)^Regular!N14*VLOOKUP(Regular!H25,F!A3:D78,4,FALSE)^(-Regular!H24)*VLOOKUP(Regular!J25,F!A3:D78,4,FALSE)^(-Regular!J24)*VLOOKUP(Regular!L25,F!A3:D78,4,FALSE)^(-Regular!L24)*VLOOKUP(Regular!N25,F!A3:D78,4,FALSE)^(-Regular!N24)</f>
        <v>1</v>
      </c>
    </row>
    <row r="3" spans="1:2" x14ac:dyDescent="0.2">
      <c r="A3" t="s">
        <v>201</v>
      </c>
      <c r="B3" s="5" t="e">
        <f>(Regular!E15*(10^VLOOKUP(CODE(Regular!G15),S!B3:D27,3,FALSE))^Regular!H14*(10^VLOOKUP(CODE(Regular!G25),S!B3:D27,3,FALSE))^(-Regular!H24)*VLOOKUP(Regular!H15,F!A3:D78,4,FALSE)^Regular!H14+VLOOKUP(Regular!H15,F!A3:E78,5,FALSE)^Regular!H14-VLOOKUP(Regular!H25,F!A3:E78,5,FALSE)^Regular!H24)*VLOOKUP(Regular!H25,F!A3:D78,4,FALSE)^(-Regular!H24)</f>
        <v>#NUM!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Regular</vt:lpstr>
      <vt:lpstr>Complex</vt:lpstr>
      <vt:lpstr>S</vt:lpstr>
      <vt:lpstr>D</vt:lpstr>
      <vt:lpstr>F</vt:lpstr>
      <vt:lpstr>C</vt:lpstr>
      <vt:lpstr>Er</vt:lpstr>
      <vt:lpstr>Ec</vt:lpstr>
      <vt:lpstr>Calcr</vt:lpstr>
      <vt:lpstr>Calcc</vt:lpstr>
      <vt:lpstr>Constants</vt:lpstr>
      <vt:lpstr>Prefixes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Sasha Hafner</cp:lastModifiedBy>
  <dcterms:created xsi:type="dcterms:W3CDTF">2006-09-22T23:34:13Z</dcterms:created>
  <dcterms:modified xsi:type="dcterms:W3CDTF">2023-01-12T20:05:17Z</dcterms:modified>
</cp:coreProperties>
</file>