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C412313-C0EA-4FFB-A585-913AA886A4DD}" xr6:coauthVersionLast="38" xr6:coauthVersionMax="38" xr10:uidLastSave="{00000000-0000-0000-0000-000000000000}"/>
  <bookViews>
    <workbookView xWindow="0" yWindow="0" windowWidth="23040" windowHeight="8532" xr2:uid="{B89F0938-9CCF-41E2-9AB2-30E46C40ADF6}"/>
  </bookViews>
  <sheets>
    <sheet name="No Column" sheetId="3" r:id="rId1"/>
    <sheet name="Single Column" sheetId="2" r:id="rId2"/>
    <sheet name="Double Column" sheetId="1" r:id="rId3"/>
    <sheet name="Triple Column" sheetId="6" r:id="rId4"/>
  </sheets>
  <definedNames>
    <definedName name="_xlchart.v1.0" hidden="1">'Single Column'!$A$1</definedName>
    <definedName name="_xlchart.v1.1" hidden="1">'Single Column'!$A$2:$A$100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08" i="3" l="1"/>
  <c r="B109" i="3" s="1"/>
  <c r="E105" i="3"/>
  <c r="E92" i="3"/>
  <c r="B94" i="3"/>
  <c r="B95" i="3" s="1"/>
  <c r="B85" i="3"/>
  <c r="B87" i="3" s="1"/>
  <c r="B110" i="3" l="1"/>
  <c r="B111" i="3" s="1"/>
  <c r="B86" i="3"/>
  <c r="B70" i="3"/>
  <c r="B71" i="3"/>
  <c r="B59" i="3"/>
  <c r="M39" i="3"/>
  <c r="L32" i="3"/>
  <c r="R39" i="3"/>
  <c r="R40" i="3"/>
  <c r="M40" i="3"/>
  <c r="B60" i="3" l="1"/>
  <c r="B61" i="3" s="1"/>
  <c r="B72" i="3"/>
  <c r="B73" i="3" s="1"/>
  <c r="B36" i="3"/>
  <c r="B35" i="3"/>
  <c r="B41" i="3"/>
  <c r="D42" i="3" s="1"/>
  <c r="B75" i="3" l="1"/>
  <c r="B76" i="3"/>
  <c r="B74" i="3"/>
  <c r="B64" i="3"/>
  <c r="B63" i="3"/>
  <c r="B62" i="3"/>
  <c r="J6" i="3"/>
  <c r="D14" i="1" l="1"/>
  <c r="D13" i="1"/>
  <c r="D12" i="1"/>
  <c r="D11" i="1"/>
  <c r="D10" i="1"/>
  <c r="D9" i="1"/>
  <c r="D5" i="1"/>
  <c r="D4" i="1"/>
  <c r="D3" i="1"/>
  <c r="D3" i="6"/>
  <c r="F3" i="6" s="1"/>
  <c r="D4" i="6"/>
  <c r="E4" i="6" s="1"/>
  <c r="D5" i="6"/>
  <c r="E5" i="6" s="1"/>
  <c r="D6" i="6"/>
  <c r="E6" i="6" s="1"/>
  <c r="D7" i="6"/>
  <c r="E7" i="6"/>
  <c r="F7" i="6"/>
  <c r="D8" i="6"/>
  <c r="E8" i="6"/>
  <c r="F8" i="6"/>
  <c r="D9" i="6"/>
  <c r="E9" i="6"/>
  <c r="F9" i="6"/>
  <c r="D10" i="6"/>
  <c r="E10" i="6"/>
  <c r="F10" i="6"/>
  <c r="D11" i="6"/>
  <c r="E11" i="6"/>
  <c r="F11" i="6"/>
  <c r="D12" i="6"/>
  <c r="E12" i="6"/>
  <c r="F12" i="6"/>
  <c r="D13" i="6"/>
  <c r="E13" i="6"/>
  <c r="F13" i="6"/>
  <c r="D14" i="6"/>
  <c r="E14" i="6"/>
  <c r="F14" i="6"/>
  <c r="D15" i="6"/>
  <c r="E15" i="6"/>
  <c r="F15" i="6"/>
  <c r="D16" i="6"/>
  <c r="E16" i="6"/>
  <c r="F16" i="6"/>
  <c r="D17" i="6"/>
  <c r="E17" i="6"/>
  <c r="F17" i="6"/>
  <c r="D18" i="6"/>
  <c r="E18" i="6"/>
  <c r="F18" i="6"/>
  <c r="D19" i="6"/>
  <c r="E19" i="6"/>
  <c r="F19" i="6"/>
  <c r="D20" i="6"/>
  <c r="E20" i="6"/>
  <c r="F20" i="6"/>
  <c r="D21" i="6"/>
  <c r="E21" i="6"/>
  <c r="F21" i="6"/>
  <c r="D22" i="6"/>
  <c r="E22" i="6"/>
  <c r="F22" i="6"/>
  <c r="D23" i="6"/>
  <c r="E23" i="6"/>
  <c r="F23" i="6"/>
  <c r="D24" i="6"/>
  <c r="E24" i="6"/>
  <c r="F24" i="6"/>
  <c r="D25" i="6"/>
  <c r="E25" i="6"/>
  <c r="F25" i="6"/>
  <c r="D26" i="6"/>
  <c r="E26" i="6"/>
  <c r="F26" i="6"/>
  <c r="D27" i="6"/>
  <c r="E27" i="6"/>
  <c r="F27" i="6"/>
  <c r="D28" i="6"/>
  <c r="E28" i="6"/>
  <c r="F28" i="6"/>
  <c r="D29" i="6"/>
  <c r="E29" i="6"/>
  <c r="F29" i="6"/>
  <c r="D30" i="6"/>
  <c r="E30" i="6"/>
  <c r="F30" i="6"/>
  <c r="D2" i="6"/>
  <c r="F2" i="6" s="1"/>
  <c r="J2" i="6"/>
  <c r="F20" i="2"/>
  <c r="F21" i="2"/>
  <c r="F18" i="2"/>
  <c r="F22" i="2"/>
  <c r="F19" i="2"/>
  <c r="F26" i="2"/>
  <c r="F11" i="2" a="1"/>
  <c r="F12" i="2" s="1"/>
  <c r="F14" i="2"/>
  <c r="F4" i="6" l="1"/>
  <c r="D8" i="1"/>
  <c r="D7" i="1"/>
  <c r="D18" i="1" s="1"/>
  <c r="D19" i="1" s="1"/>
  <c r="F5" i="6"/>
  <c r="E2" i="6"/>
  <c r="E3" i="6"/>
  <c r="F6" i="6"/>
  <c r="F17" i="2"/>
  <c r="F38" i="2" s="1"/>
  <c r="F11" i="2"/>
  <c r="F13" i="2"/>
  <c r="AD14" i="6"/>
  <c r="AR9" i="6"/>
  <c r="AE19" i="6"/>
  <c r="AN6" i="6"/>
  <c r="AD19" i="6"/>
  <c r="AE18" i="6"/>
  <c r="AD18" i="6"/>
  <c r="AE17" i="6"/>
  <c r="AD17" i="6"/>
  <c r="Y8" i="6"/>
  <c r="Y7" i="6"/>
  <c r="Y6" i="6"/>
  <c r="Y5" i="6"/>
  <c r="Y4" i="6"/>
  <c r="Y3" i="6"/>
  <c r="J3" i="6" l="1"/>
  <c r="J4" i="6" s="1"/>
  <c r="F39" i="2"/>
  <c r="Y12" i="6"/>
  <c r="Y11" i="6"/>
  <c r="Z13" i="6"/>
  <c r="Y10" i="6"/>
  <c r="J5" i="6"/>
  <c r="B16" i="3"/>
  <c r="B11" i="3"/>
  <c r="F27" i="3"/>
  <c r="F26" i="3"/>
  <c r="F15" i="3"/>
  <c r="F14" i="3"/>
  <c r="F13" i="3"/>
  <c r="B4" i="3"/>
  <c r="B5" i="3" s="1"/>
  <c r="F10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F3" i="2"/>
  <c r="F2" i="2"/>
  <c r="C31" i="2" l="1"/>
  <c r="B31" i="2"/>
  <c r="C30" i="2"/>
  <c r="B30" i="2"/>
  <c r="C29" i="2"/>
  <c r="B29" i="2"/>
  <c r="C28" i="2"/>
  <c r="B28" i="2"/>
  <c r="B27" i="2"/>
  <c r="C27" i="2"/>
  <c r="C26" i="2"/>
  <c r="B26" i="2"/>
  <c r="B25" i="2"/>
  <c r="C25" i="2"/>
  <c r="B24" i="2"/>
  <c r="C24" i="2"/>
  <c r="B23" i="2"/>
  <c r="C23" i="2"/>
  <c r="C22" i="2"/>
  <c r="B22" i="2"/>
  <c r="B21" i="2"/>
  <c r="C21" i="2"/>
  <c r="C20" i="2"/>
  <c r="B20" i="2"/>
  <c r="B19" i="2"/>
  <c r="C19" i="2"/>
  <c r="B18" i="2"/>
  <c r="C18" i="2"/>
  <c r="B17" i="2"/>
  <c r="C17" i="2"/>
  <c r="C16" i="2"/>
  <c r="B16" i="2"/>
  <c r="B15" i="2"/>
  <c r="C15" i="2"/>
  <c r="B14" i="2"/>
  <c r="C14" i="2"/>
  <c r="B13" i="2"/>
  <c r="C13" i="2"/>
  <c r="B12" i="2"/>
  <c r="C12" i="2"/>
  <c r="F34" i="2"/>
  <c r="F35" i="2" s="1"/>
  <c r="C3" i="2"/>
  <c r="C7" i="2"/>
  <c r="C11" i="2"/>
  <c r="C5" i="2"/>
  <c r="B2" i="2"/>
  <c r="C9" i="2"/>
  <c r="B5" i="2"/>
  <c r="C4" i="2"/>
  <c r="C10" i="2"/>
  <c r="C6" i="2"/>
  <c r="C2" i="2"/>
  <c r="B11" i="2"/>
  <c r="B7" i="2"/>
  <c r="C8" i="2"/>
  <c r="B3" i="2"/>
  <c r="B8" i="2"/>
  <c r="B4" i="2"/>
  <c r="B10" i="2"/>
  <c r="B6" i="2"/>
  <c r="B9" i="2"/>
  <c r="F30" i="2"/>
  <c r="J11" i="6"/>
  <c r="F4" i="2" l="1"/>
  <c r="F6" i="2" s="1"/>
  <c r="F5" i="2"/>
  <c r="F7" i="2" s="1"/>
  <c r="J8" i="6"/>
  <c r="J10" i="6" s="1"/>
  <c r="J7" i="6" l="1"/>
  <c r="J9" i="6" s="1"/>
</calcChain>
</file>

<file path=xl/sharedStrings.xml><?xml version="1.0" encoding="utf-8"?>
<sst xmlns="http://schemas.openxmlformats.org/spreadsheetml/2006/main" count="299" uniqueCount="216">
  <si>
    <t>n</t>
  </si>
  <si>
    <t>Mean</t>
  </si>
  <si>
    <t>Median</t>
  </si>
  <si>
    <t>Average</t>
  </si>
  <si>
    <t>|</t>
  </si>
  <si>
    <t>Moving Average</t>
  </si>
  <si>
    <t>x</t>
  </si>
  <si>
    <t>Variance</t>
  </si>
  <si>
    <t>SD</t>
  </si>
  <si>
    <t>median</t>
  </si>
  <si>
    <t>mean</t>
  </si>
  <si>
    <t>IQR</t>
  </si>
  <si>
    <t>Lower Bound</t>
  </si>
  <si>
    <t>Upper Bound</t>
  </si>
  <si>
    <t>Z</t>
  </si>
  <si>
    <t>Percentile</t>
  </si>
  <si>
    <t># Data in percentile</t>
  </si>
  <si>
    <t>Total data points</t>
  </si>
  <si>
    <t>lower quartile</t>
  </si>
  <si>
    <t>upper quartile</t>
  </si>
  <si>
    <t>percentile</t>
  </si>
  <si>
    <t>count</t>
  </si>
  <si>
    <t>data point</t>
  </si>
  <si>
    <t>Below</t>
  </si>
  <si>
    <t>Data position</t>
  </si>
  <si>
    <t>MULTIPLE SCORES, MEANS, AND STANDARD DEVIATIONS</t>
  </si>
  <si>
    <t>mean 1</t>
  </si>
  <si>
    <t>mean 2</t>
  </si>
  <si>
    <t>mean 3</t>
  </si>
  <si>
    <t>score 1</t>
  </si>
  <si>
    <t>score 2</t>
  </si>
  <si>
    <t>score 3</t>
  </si>
  <si>
    <t>SD 1</t>
  </si>
  <si>
    <t>SD 2</t>
  </si>
  <si>
    <t>SD 3</t>
  </si>
  <si>
    <t>Ratio 1</t>
  </si>
  <si>
    <t>Ratio 2</t>
  </si>
  <si>
    <t>Ratio 3</t>
  </si>
  <si>
    <t>Lower bound</t>
  </si>
  <si>
    <t>Outliers are highlighted</t>
  </si>
  <si>
    <t>BEST MANUFACTURING PROCESS</t>
  </si>
  <si>
    <t>average 1</t>
  </si>
  <si>
    <t>average 2</t>
  </si>
  <si>
    <t>data 1</t>
  </si>
  <si>
    <t>data 2</t>
  </si>
  <si>
    <t>CALCULATING Z-SCORE</t>
  </si>
  <si>
    <t>INTERQUARTILE RANGE CALCULATION</t>
  </si>
  <si>
    <t>Upper bound</t>
  </si>
  <si>
    <t>SLOPE</t>
  </si>
  <si>
    <t>y=mx+b</t>
  </si>
  <si>
    <t>y</t>
  </si>
  <si>
    <t>m</t>
  </si>
  <si>
    <t>b</t>
  </si>
  <si>
    <t>slope</t>
  </si>
  <si>
    <t>y-intercept</t>
  </si>
  <si>
    <t>R^2</t>
  </si>
  <si>
    <t>correlation coefficient</t>
  </si>
  <si>
    <t>Predicted</t>
  </si>
  <si>
    <t>Observed</t>
  </si>
  <si>
    <t>Error</t>
  </si>
  <si>
    <t>Frequency</t>
  </si>
  <si>
    <t>fi * Mi</t>
  </si>
  <si>
    <t>fi *Mi^2</t>
  </si>
  <si>
    <t>Answer=</t>
  </si>
  <si>
    <t>SD=</t>
  </si>
  <si>
    <t>A:</t>
  </si>
  <si>
    <t>B:</t>
  </si>
  <si>
    <t>Coefficient of Variation</t>
  </si>
  <si>
    <t>Mean 1</t>
  </si>
  <si>
    <t>Mean 2</t>
  </si>
  <si>
    <t>Population SD 1=</t>
  </si>
  <si>
    <t>Population SD 2=</t>
  </si>
  <si>
    <t>Sample SD 1=</t>
  </si>
  <si>
    <t>Sample SD 2=</t>
  </si>
  <si>
    <t>Population 1 CV=</t>
  </si>
  <si>
    <t>Population 2 CV=</t>
  </si>
  <si>
    <t>Sample 1 CV=</t>
  </si>
  <si>
    <t>Sample 2 CV=</t>
  </si>
  <si>
    <t>Lower has smaller variation/spread</t>
  </si>
  <si>
    <t>CHEBYCHEV's</t>
  </si>
  <si>
    <t>Mean=</t>
  </si>
  <si>
    <t>k=</t>
  </si>
  <si>
    <t>1 SD away=</t>
  </si>
  <si>
    <t>2 SD away=</t>
  </si>
  <si>
    <t>3 SD away=</t>
  </si>
  <si>
    <t>How many standard deviations away (trial and error, start at 1 and go up)</t>
  </si>
  <si>
    <t>PROPORTIONS</t>
  </si>
  <si>
    <t>Larger Number=</t>
  </si>
  <si>
    <t>Smaller Number=</t>
  </si>
  <si>
    <t>Empirical Rule</t>
  </si>
  <si>
    <t>Upper Bound=</t>
  </si>
  <si>
    <t>Lower Bound=</t>
  </si>
  <si>
    <t>SD's away=</t>
  </si>
  <si>
    <t>0 SD away=</t>
  </si>
  <si>
    <t>k=1 =</t>
  </si>
  <si>
    <t>k=2 =</t>
  </si>
  <si>
    <t>k=3 =</t>
  </si>
  <si>
    <t>k=4 =</t>
  </si>
  <si>
    <t>k=5 =</t>
  </si>
  <si>
    <t>Min</t>
  </si>
  <si>
    <t>Max</t>
  </si>
  <si>
    <t>R</t>
  </si>
  <si>
    <t>Sum of products of x and y</t>
  </si>
  <si>
    <t>sum of x</t>
  </si>
  <si>
    <t>sum of y</t>
  </si>
  <si>
    <t>sum of x^2</t>
  </si>
  <si>
    <t>sum of y^2</t>
  </si>
  <si>
    <t>coefficient of determination</t>
  </si>
  <si>
    <t>Data Column</t>
  </si>
  <si>
    <t>P</t>
  </si>
  <si>
    <t>STATS</t>
  </si>
  <si>
    <t>P/S</t>
  </si>
  <si>
    <t>S</t>
  </si>
  <si>
    <t>Mode 1</t>
  </si>
  <si>
    <t>Mode 2</t>
  </si>
  <si>
    <t>Mode 3</t>
  </si>
  <si>
    <t>Range</t>
  </si>
  <si>
    <t>P-Variance</t>
  </si>
  <si>
    <t>S-Variance</t>
  </si>
  <si>
    <t>If Unimodal, all modes will say the same thing</t>
  </si>
  <si>
    <t>Bimodal will should two</t>
  </si>
  <si>
    <t>Multimodal will show three</t>
  </si>
  <si>
    <t>% Trim Average</t>
  </si>
  <si>
    <t>% Trim=</t>
  </si>
  <si>
    <t>Trimmed Average</t>
  </si>
  <si>
    <t>Center</t>
  </si>
  <si>
    <t>Quartiles</t>
  </si>
  <si>
    <t>Data -&gt; Percentile</t>
  </si>
  <si>
    <t>Data Point</t>
  </si>
  <si>
    <t>Percentile -&gt; Data</t>
  </si>
  <si>
    <t>Count</t>
  </si>
  <si>
    <t>Max - Min</t>
  </si>
  <si>
    <t>Middle data</t>
  </si>
  <si>
    <t>Most occurring data</t>
  </si>
  <si>
    <t>Explanation</t>
  </si>
  <si>
    <t>Outliers</t>
  </si>
  <si>
    <t>"</t>
  </si>
  <si>
    <t>No modes will show none</t>
  </si>
  <si>
    <t>E(fi)</t>
  </si>
  <si>
    <t>E(fi*Mi)</t>
  </si>
  <si>
    <t>E(fi *Mi^2)</t>
  </si>
  <si>
    <t>E(fi*Mi)^2</t>
  </si>
  <si>
    <t>x value</t>
  </si>
  <si>
    <t>y value</t>
  </si>
  <si>
    <t>E(xy)</t>
  </si>
  <si>
    <t>E(x)</t>
  </si>
  <si>
    <t>E(y)</t>
  </si>
  <si>
    <t>E(x^2)</t>
  </si>
  <si>
    <t>E(y^2)</t>
  </si>
  <si>
    <t>Midpoints (Mi)</t>
  </si>
  <si>
    <t>Periods</t>
  </si>
  <si>
    <t>Start</t>
  </si>
  <si>
    <t>Starting at the green highlited cell, highlight the data in column 2 and drag up the amount of periods.</t>
  </si>
  <si>
    <t>The average is written in the bottom right corner of Excel.</t>
  </si>
  <si>
    <t>Error Calculation</t>
  </si>
  <si>
    <t>&lt;-----</t>
  </si>
  <si>
    <t>TOTAL DATA POINTS IN SAMPLE</t>
  </si>
  <si>
    <t>Weeks of Gestation</t>
  </si>
  <si>
    <t>Weight (in pounds)</t>
  </si>
  <si>
    <t>X</t>
  </si>
  <si>
    <t>mu</t>
  </si>
  <si>
    <t>sigma</t>
  </si>
  <si>
    <t>Answer</t>
  </si>
  <si>
    <t>Double Area Calculator</t>
  </si>
  <si>
    <t>Area 1</t>
  </si>
  <si>
    <t>Area 2</t>
  </si>
  <si>
    <t>No answer can be over 1</t>
  </si>
  <si>
    <t>Answers can not be negative</t>
  </si>
  <si>
    <t>Section 8.4a Normal probability Density Function (calculating Z-score)</t>
  </si>
  <si>
    <t>Standard Deviation</t>
  </si>
  <si>
    <t>Answer (Variance)</t>
  </si>
  <si>
    <t>Answer (SD)</t>
  </si>
  <si>
    <t>Z score can not be beyond 3.49</t>
  </si>
  <si>
    <t>Subtracted from 1 answer</t>
  </si>
  <si>
    <t>&lt;--------</t>
  </si>
  <si>
    <t>Find Z score of percentage 1</t>
  </si>
  <si>
    <t>Find Z score of Percentage 2</t>
  </si>
  <si>
    <t>Calculate Data Point from Percentages (Between)</t>
  </si>
  <si>
    <t>%</t>
  </si>
  <si>
    <t>Probability</t>
  </si>
  <si>
    <t>Single Data</t>
  </si>
  <si>
    <t>Double Data</t>
  </si>
  <si>
    <t>Probability 1</t>
  </si>
  <si>
    <t>Probability 2</t>
  </si>
  <si>
    <t>Divide by 2</t>
  </si>
  <si>
    <t>Central Limit Theory Section</t>
  </si>
  <si>
    <t>Bound</t>
  </si>
  <si>
    <t>Sigma</t>
  </si>
  <si>
    <t>Use if you have SD</t>
  </si>
  <si>
    <t>Use if you have Variance</t>
  </si>
  <si>
    <t>Remember to add number to mean if not given a bound</t>
  </si>
  <si>
    <t>Area of 2 tails</t>
  </si>
  <si>
    <t>Area of 1 tail</t>
  </si>
  <si>
    <t>Area minus 2 tail</t>
  </si>
  <si>
    <t>Area minus 1 tail</t>
  </si>
  <si>
    <t>Confidence Intervals</t>
  </si>
  <si>
    <t>CI</t>
  </si>
  <si>
    <t>critical value</t>
  </si>
  <si>
    <t>Critical Value</t>
  </si>
  <si>
    <t>Answer Upper</t>
  </si>
  <si>
    <t>Answer Lower</t>
  </si>
  <si>
    <t>Za</t>
  </si>
  <si>
    <t>Za/c</t>
  </si>
  <si>
    <t>Precision and Sample Size</t>
  </si>
  <si>
    <t>Variance -&gt; SD</t>
  </si>
  <si>
    <t>Hypothesis</t>
  </si>
  <si>
    <t>The alternative hypothesis has no equality</t>
  </si>
  <si>
    <t>Above means less than</t>
  </si>
  <si>
    <t>Below means greater than</t>
  </si>
  <si>
    <t>sample mean (x-bar)</t>
  </si>
  <si>
    <t>null mean</t>
  </si>
  <si>
    <t>z/t-stat for Mean</t>
  </si>
  <si>
    <t>Z score (or t)</t>
  </si>
  <si>
    <t>2-tail test</t>
  </si>
  <si>
    <t>Reject or Fail?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</si>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</sst>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"/>
    <numFmt numFmtId="167" formatCode="0.0%"/>
    <numFmt numFmtId="168" formatCode="0.000000"/>
    <numFmt numFmtId="169" formatCode="0.00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Border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quotePrefix="1" applyFill="1" applyBorder="1"/>
    <xf numFmtId="0" fontId="2" fillId="0" borderId="0" xfId="0" applyFont="1" applyFill="1" applyBorder="1"/>
    <xf numFmtId="1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167" fontId="0" fillId="0" borderId="0" xfId="0" applyNumberFormat="1"/>
    <xf numFmtId="166" fontId="0" fillId="3" borderId="0" xfId="0" applyNumberFormat="1" applyFill="1"/>
    <xf numFmtId="167" fontId="0" fillId="0" borderId="0" xfId="0" applyNumberFormat="1" applyFill="1"/>
    <xf numFmtId="9" fontId="0" fillId="3" borderId="0" xfId="0" applyNumberFormat="1" applyFill="1"/>
    <xf numFmtId="167" fontId="0" fillId="3" borderId="0" xfId="0" applyNumberFormat="1" applyFill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2" fillId="0" borderId="4" xfId="0" applyFont="1" applyBorder="1"/>
    <xf numFmtId="0" fontId="0" fillId="0" borderId="5" xfId="0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/>
    <xf numFmtId="0" fontId="0" fillId="0" borderId="2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5" borderId="3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8" xfId="0" applyFill="1" applyBorder="1"/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0" borderId="0" xfId="0" applyAlignment="1"/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4" borderId="0" xfId="0" applyFill="1"/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0" fillId="3" borderId="0" xfId="0" applyNumberFormat="1" applyFont="1" applyFill="1"/>
    <xf numFmtId="0" fontId="0" fillId="4" borderId="0" xfId="0" applyFill="1" applyAlignment="1">
      <alignment horizontal="center"/>
    </xf>
    <xf numFmtId="165" fontId="0" fillId="6" borderId="0" xfId="0" applyNumberFormat="1" applyFill="1"/>
    <xf numFmtId="2" fontId="0" fillId="6" borderId="0" xfId="0" applyNumberFormat="1" applyFill="1"/>
    <xf numFmtId="165" fontId="0" fillId="3" borderId="0" xfId="0" applyNumberFormat="1" applyFill="1"/>
    <xf numFmtId="0" fontId="1" fillId="0" borderId="0" xfId="0" applyFont="1"/>
    <xf numFmtId="169" fontId="0" fillId="6" borderId="0" xfId="0" applyNumberFormat="1" applyFill="1"/>
    <xf numFmtId="0" fontId="0" fillId="0" borderId="0" xfId="0" applyFill="1"/>
    <xf numFmtId="0" fontId="2" fillId="0" borderId="4" xfId="0" applyFont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2" borderId="0" xfId="0" applyNumberFormat="1" applyFill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6" xfId="0" applyNumberFormat="1" applyBorder="1"/>
    <xf numFmtId="0" fontId="0" fillId="0" borderId="17" xfId="0" applyBorder="1"/>
    <xf numFmtId="2" fontId="0" fillId="0" borderId="18" xfId="0" applyNumberFormat="1" applyBorder="1"/>
    <xf numFmtId="0" fontId="0" fillId="0" borderId="19" xfId="0" applyBorder="1"/>
    <xf numFmtId="0" fontId="0" fillId="0" borderId="20" xfId="0" applyBorder="1"/>
    <xf numFmtId="0" fontId="0" fillId="6" borderId="0" xfId="0" applyFill="1"/>
  </cellXfs>
  <cellStyles count="1"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'Double Column'!$B$1</c:f>
              <c:strCache>
                <c:ptCount val="1"/>
                <c:pt idx="0">
                  <c:v>Weight (in pounds)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389720034995626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'Double Column'!$A$2:$A$8</c:f>
              <c:numCache>
                <c:formatCode>General</c:formatCode>
                <c:ptCount val="7"/>
                <c:pt idx="0">
                  <c:v>34</c:v>
                </c:pt>
                <c:pt idx="1">
                  <c:v>36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</c:numCache>
            </c:numRef>
          </c:xVal>
          <c:yVal>
            <c:numRef>
              <c:f>'Double Column'!$B$2:$B$8</c:f>
              <c:numCache>
                <c:formatCode>General</c:formatCode>
                <c:ptCount val="7"/>
                <c:pt idx="0">
                  <c:v>7.7</c:v>
                </c:pt>
                <c:pt idx="1">
                  <c:v>8</c:v>
                </c:pt>
                <c:pt idx="2">
                  <c:v>8.4</c:v>
                </c:pt>
                <c:pt idx="3">
                  <c:v>9</c:v>
                </c:pt>
                <c:pt idx="4">
                  <c:v>9.1999999999999993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9E-49F4-B3CE-E46209920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514224"/>
        <c:axId val="556515208"/>
      </c:scatterChart>
      <c:valAx>
        <c:axId val="55651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15208"/>
        <c:crosses val="autoZero"/>
        <c:crossBetween val="midCat"/>
      </c:valAx>
      <c:valAx>
        <c:axId val="55651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1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4AD35658-6696-429A-A411-11125695DC6C}">
          <cx:tx>
            <cx:txData>
              <cx:f>_xlchart.v1.0</cx:f>
              <cx:v>Data Column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.10000002"/>
        <cx:tickLabels/>
      </cx:axis>
      <cx:axis id="1" hidden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15</xdr:row>
      <xdr:rowOff>0</xdr:rowOff>
    </xdr:from>
    <xdr:to>
      <xdr:col>10</xdr:col>
      <xdr:colOff>9525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45E3E65-D8EE-4596-8B02-AA476C2A96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70221" y="2743200"/>
              <a:ext cx="1838324" cy="1280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B44A58-9F37-405F-9306-D7EE17876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7944-3EED-478B-856E-B076CB42DC58}">
  <dimension ref="A1:V112"/>
  <sheetViews>
    <sheetView tabSelected="1" topLeftCell="A93" zoomScale="85" zoomScaleNormal="85" workbookViewId="0">
      <selection activeCell="C107" sqref="C107"/>
    </sheetView>
  </sheetViews>
  <sheetFormatPr defaultRowHeight="14.4" x14ac:dyDescent="0.3"/>
  <cols>
    <col min="1" max="1" width="18.77734375" customWidth="1"/>
    <col min="4" max="4" width="13.44140625" customWidth="1"/>
    <col min="13" max="13" width="7.21875" bestFit="1" customWidth="1"/>
    <col min="14" max="14" width="9.88671875" bestFit="1" customWidth="1"/>
    <col min="15" max="16" width="7.21875" bestFit="1" customWidth="1"/>
    <col min="18" max="18" width="7.21875" bestFit="1" customWidth="1"/>
    <col min="19" max="20" width="11.44140625" bestFit="1" customWidth="1"/>
    <col min="21" max="21" width="5.77734375" bestFit="1" customWidth="1"/>
    <col min="22" max="22" width="5.109375" bestFit="1" customWidth="1"/>
  </cols>
  <sheetData>
    <row r="1" spans="1:10" x14ac:dyDescent="0.3">
      <c r="A1" s="18" t="s">
        <v>156</v>
      </c>
      <c r="C1" s="7"/>
      <c r="E1" s="21" t="s">
        <v>25</v>
      </c>
    </row>
    <row r="2" spans="1:10" x14ac:dyDescent="0.3">
      <c r="A2" s="15" t="s">
        <v>15</v>
      </c>
      <c r="B2">
        <v>7</v>
      </c>
      <c r="C2" s="15"/>
      <c r="D2" s="19"/>
      <c r="E2" s="19"/>
      <c r="G2" s="19"/>
      <c r="H2" s="19"/>
      <c r="I2" s="19"/>
      <c r="J2" s="19"/>
    </row>
    <row r="3" spans="1:10" x14ac:dyDescent="0.3">
      <c r="A3" s="15" t="s">
        <v>16</v>
      </c>
      <c r="B3">
        <v>24</v>
      </c>
      <c r="C3" s="15"/>
      <c r="D3" s="19"/>
      <c r="E3" s="19" t="s">
        <v>29</v>
      </c>
      <c r="F3" s="2">
        <v>84.8</v>
      </c>
      <c r="G3" s="19"/>
      <c r="H3" s="19"/>
      <c r="I3" s="19"/>
      <c r="J3" s="19"/>
    </row>
    <row r="4" spans="1:10" x14ac:dyDescent="0.3">
      <c r="A4" t="s">
        <v>17</v>
      </c>
      <c r="B4" s="22">
        <f>B3/B2*100</f>
        <v>342.85714285714283</v>
      </c>
      <c r="C4" s="15"/>
      <c r="D4" s="20"/>
      <c r="E4" t="s">
        <v>30</v>
      </c>
      <c r="F4" s="2">
        <v>271</v>
      </c>
      <c r="G4" s="19"/>
      <c r="H4" s="19"/>
      <c r="I4" s="19"/>
      <c r="J4" s="19"/>
    </row>
    <row r="5" spans="1:10" x14ac:dyDescent="0.3">
      <c r="A5" t="s">
        <v>2</v>
      </c>
      <c r="B5" s="12">
        <f>B4/2</f>
        <v>171.42857142857142</v>
      </c>
      <c r="C5" s="17"/>
      <c r="E5" t="s">
        <v>31</v>
      </c>
      <c r="F5" s="2">
        <v>7.9</v>
      </c>
    </row>
    <row r="6" spans="1:10" x14ac:dyDescent="0.3">
      <c r="C6" s="16"/>
      <c r="E6" s="19" t="s">
        <v>26</v>
      </c>
      <c r="F6" s="2">
        <v>72.2</v>
      </c>
      <c r="J6" s="10">
        <f>120/188</f>
        <v>0.63829787234042556</v>
      </c>
    </row>
    <row r="7" spans="1:10" x14ac:dyDescent="0.3">
      <c r="A7" s="11" t="s">
        <v>45</v>
      </c>
      <c r="C7" s="16"/>
      <c r="E7" t="s">
        <v>27</v>
      </c>
      <c r="F7" s="2">
        <v>246</v>
      </c>
    </row>
    <row r="8" spans="1:10" x14ac:dyDescent="0.3">
      <c r="A8" t="s">
        <v>22</v>
      </c>
      <c r="B8" s="2">
        <v>61.5</v>
      </c>
      <c r="C8" s="16"/>
      <c r="E8" t="s">
        <v>28</v>
      </c>
      <c r="F8" s="2">
        <v>6.8</v>
      </c>
    </row>
    <row r="9" spans="1:10" x14ac:dyDescent="0.3">
      <c r="A9" t="s">
        <v>10</v>
      </c>
      <c r="B9" s="2">
        <v>54.1</v>
      </c>
      <c r="C9" s="16"/>
      <c r="E9" t="s">
        <v>32</v>
      </c>
      <c r="F9" s="2">
        <v>14</v>
      </c>
    </row>
    <row r="10" spans="1:10" x14ac:dyDescent="0.3">
      <c r="A10" t="s">
        <v>8</v>
      </c>
      <c r="B10" s="2">
        <v>3.7</v>
      </c>
      <c r="C10" s="16"/>
      <c r="E10" t="s">
        <v>33</v>
      </c>
      <c r="F10" s="2">
        <v>25</v>
      </c>
    </row>
    <row r="11" spans="1:10" x14ac:dyDescent="0.3">
      <c r="A11" t="s">
        <v>14</v>
      </c>
      <c r="B11" s="23">
        <f>(B8-B9)/B10</f>
        <v>1.9999999999999996</v>
      </c>
      <c r="C11" s="14"/>
      <c r="E11" t="s">
        <v>34</v>
      </c>
      <c r="F11" s="2">
        <v>0.5</v>
      </c>
    </row>
    <row r="12" spans="1:10" x14ac:dyDescent="0.3">
      <c r="C12" s="13"/>
    </row>
    <row r="13" spans="1:10" x14ac:dyDescent="0.3">
      <c r="A13" s="11" t="s">
        <v>46</v>
      </c>
      <c r="E13" t="s">
        <v>35</v>
      </c>
      <c r="F13" s="6">
        <f>(F3-F6)/F9</f>
        <v>0.89999999999999958</v>
      </c>
    </row>
    <row r="14" spans="1:10" x14ac:dyDescent="0.3">
      <c r="A14" t="s">
        <v>47</v>
      </c>
      <c r="B14" s="2">
        <v>241</v>
      </c>
      <c r="E14" t="s">
        <v>36</v>
      </c>
      <c r="F14" s="6">
        <f>(F4-F7)/F10</f>
        <v>1</v>
      </c>
    </row>
    <row r="15" spans="1:10" x14ac:dyDescent="0.3">
      <c r="A15" t="s">
        <v>12</v>
      </c>
      <c r="B15" s="2">
        <v>174</v>
      </c>
      <c r="E15" t="s">
        <v>37</v>
      </c>
      <c r="F15" s="6">
        <f>(F5-F8)/F11</f>
        <v>2.2000000000000011</v>
      </c>
    </row>
    <row r="16" spans="1:10" x14ac:dyDescent="0.3">
      <c r="A16" t="s">
        <v>11</v>
      </c>
      <c r="B16" s="6">
        <f>B14-B15</f>
        <v>67</v>
      </c>
      <c r="E16" s="12"/>
    </row>
    <row r="17" spans="1:13" x14ac:dyDescent="0.3">
      <c r="E17" s="11" t="s">
        <v>40</v>
      </c>
    </row>
    <row r="19" spans="1:13" x14ac:dyDescent="0.3">
      <c r="E19" t="s">
        <v>41</v>
      </c>
      <c r="F19" s="2">
        <v>3.05</v>
      </c>
    </row>
    <row r="20" spans="1:13" x14ac:dyDescent="0.3">
      <c r="E20" t="s">
        <v>42</v>
      </c>
      <c r="F20" s="2">
        <v>5.01</v>
      </c>
    </row>
    <row r="21" spans="1:13" x14ac:dyDescent="0.3">
      <c r="E21" t="s">
        <v>32</v>
      </c>
      <c r="F21" s="2">
        <v>0.04</v>
      </c>
    </row>
    <row r="22" spans="1:13" x14ac:dyDescent="0.3">
      <c r="E22" t="s">
        <v>33</v>
      </c>
      <c r="F22" s="2">
        <v>0.05</v>
      </c>
    </row>
    <row r="23" spans="1:13" x14ac:dyDescent="0.3">
      <c r="E23" t="s">
        <v>43</v>
      </c>
      <c r="F23" s="2">
        <v>3.03</v>
      </c>
    </row>
    <row r="24" spans="1:13" x14ac:dyDescent="0.3">
      <c r="E24" t="s">
        <v>44</v>
      </c>
      <c r="F24" s="2">
        <v>5.07</v>
      </c>
    </row>
    <row r="26" spans="1:13" x14ac:dyDescent="0.3">
      <c r="E26" t="s">
        <v>35</v>
      </c>
      <c r="F26" s="6">
        <f>F21/ABS(F19-F23)</f>
        <v>1.9999999999999982</v>
      </c>
    </row>
    <row r="27" spans="1:13" x14ac:dyDescent="0.3">
      <c r="E27" t="s">
        <v>36</v>
      </c>
      <c r="F27" s="6">
        <f>F22/ABS(F20-F24)</f>
        <v>0.83333333333332649</v>
      </c>
    </row>
    <row r="30" spans="1:13" x14ac:dyDescent="0.3">
      <c r="A30" t="s">
        <v>168</v>
      </c>
    </row>
    <row r="31" spans="1:13" x14ac:dyDescent="0.3">
      <c r="A31" t="s">
        <v>159</v>
      </c>
      <c r="B31" s="2">
        <v>80</v>
      </c>
      <c r="D31" t="s">
        <v>128</v>
      </c>
      <c r="M31" t="s">
        <v>184</v>
      </c>
    </row>
    <row r="32" spans="1:13" x14ac:dyDescent="0.3">
      <c r="A32" t="s">
        <v>160</v>
      </c>
      <c r="B32" s="2">
        <v>67.599999999999994</v>
      </c>
      <c r="D32" t="s">
        <v>1</v>
      </c>
      <c r="G32" s="77" t="s">
        <v>172</v>
      </c>
      <c r="H32" s="77"/>
      <c r="I32" s="77"/>
      <c r="L32" s="6">
        <f>M32/2</f>
        <v>0.34129999999999999</v>
      </c>
      <c r="M32" s="2">
        <v>0.68259999999999998</v>
      </c>
    </row>
    <row r="33" spans="1:22" x14ac:dyDescent="0.3">
      <c r="A33" t="s">
        <v>7</v>
      </c>
      <c r="B33" s="2">
        <v>40000</v>
      </c>
      <c r="D33" t="s">
        <v>7</v>
      </c>
    </row>
    <row r="34" spans="1:22" x14ac:dyDescent="0.3">
      <c r="A34" t="s">
        <v>161</v>
      </c>
      <c r="B34" s="2">
        <v>9</v>
      </c>
      <c r="D34" t="s">
        <v>169</v>
      </c>
    </row>
    <row r="35" spans="1:22" x14ac:dyDescent="0.3">
      <c r="A35" t="s">
        <v>171</v>
      </c>
      <c r="B35" s="23">
        <f>(B31-B32)/B34</f>
        <v>1.3777777777777784</v>
      </c>
    </row>
    <row r="36" spans="1:22" x14ac:dyDescent="0.3">
      <c r="A36" t="s">
        <v>170</v>
      </c>
      <c r="B36" s="23">
        <f>(B31-B32)/SQRT(B33)</f>
        <v>6.2000000000000027E-2</v>
      </c>
    </row>
    <row r="37" spans="1:22" x14ac:dyDescent="0.3">
      <c r="M37" t="s">
        <v>180</v>
      </c>
      <c r="S37" t="s">
        <v>181</v>
      </c>
    </row>
    <row r="38" spans="1:22" x14ac:dyDescent="0.3">
      <c r="A38" t="s">
        <v>163</v>
      </c>
      <c r="N38" t="s">
        <v>179</v>
      </c>
      <c r="O38" t="s">
        <v>1</v>
      </c>
      <c r="P38" t="s">
        <v>8</v>
      </c>
      <c r="S38" t="s">
        <v>182</v>
      </c>
      <c r="T38" t="s">
        <v>183</v>
      </c>
      <c r="U38" t="s">
        <v>1</v>
      </c>
      <c r="V38" t="s">
        <v>8</v>
      </c>
    </row>
    <row r="39" spans="1:22" x14ac:dyDescent="0.3">
      <c r="A39" t="s">
        <v>164</v>
      </c>
      <c r="B39" s="2">
        <v>0.9032</v>
      </c>
      <c r="M39" s="22">
        <f>_xlfn.NORM.INV((100-N39)/100,O39,P39)</f>
        <v>85.9491434756942</v>
      </c>
      <c r="N39" s="2">
        <v>6</v>
      </c>
      <c r="O39" s="2">
        <v>73.2</v>
      </c>
      <c r="P39" s="2">
        <v>8.1999999999999993</v>
      </c>
      <c r="R39" s="82">
        <f>_xlfn.NORM.INV((100-S39)/100,U39,V39)</f>
        <v>5.2602535780154822</v>
      </c>
      <c r="S39" s="2">
        <v>8</v>
      </c>
      <c r="T39" s="2">
        <v>8</v>
      </c>
      <c r="U39" s="2">
        <v>5.19</v>
      </c>
      <c r="V39" s="2">
        <v>0.05</v>
      </c>
    </row>
    <row r="40" spans="1:22" x14ac:dyDescent="0.3">
      <c r="A40" t="s">
        <v>165</v>
      </c>
      <c r="B40" s="2">
        <v>2.87E-2</v>
      </c>
      <c r="M40" s="23">
        <f>_xlfn.NORM.S.INV(N40)</f>
        <v>1.2286581587682872</v>
      </c>
      <c r="N40" s="2">
        <v>0.89039999999999997</v>
      </c>
      <c r="R40" s="82">
        <f>_xlfn.NORM.INV(T39/100,U39,V39)</f>
        <v>5.1197464219845186</v>
      </c>
    </row>
    <row r="41" spans="1:22" x14ac:dyDescent="0.3">
      <c r="A41" t="s">
        <v>162</v>
      </c>
      <c r="B41" s="6">
        <f>B39+B40</f>
        <v>0.93189999999999995</v>
      </c>
    </row>
    <row r="42" spans="1:22" x14ac:dyDescent="0.3">
      <c r="D42" s="6">
        <f>1-B41</f>
        <v>6.8100000000000049E-2</v>
      </c>
      <c r="E42" s="77" t="s">
        <v>174</v>
      </c>
      <c r="F42" s="77" t="s">
        <v>173</v>
      </c>
      <c r="G42" s="77"/>
      <c r="H42" s="77"/>
      <c r="K42" s="83">
        <v>1</v>
      </c>
      <c r="L42" s="77"/>
      <c r="M42" s="77"/>
      <c r="N42" s="77"/>
      <c r="O42" s="77"/>
    </row>
    <row r="43" spans="1:22" x14ac:dyDescent="0.3">
      <c r="A43" s="77" t="s">
        <v>166</v>
      </c>
      <c r="B43" s="77"/>
      <c r="K43" s="83">
        <v>2</v>
      </c>
      <c r="L43" s="77"/>
      <c r="M43" s="77"/>
      <c r="N43" s="77"/>
      <c r="O43" s="77"/>
    </row>
    <row r="44" spans="1:22" x14ac:dyDescent="0.3">
      <c r="A44" s="77" t="s">
        <v>167</v>
      </c>
      <c r="B44" s="77"/>
      <c r="K44" s="83">
        <v>3</v>
      </c>
      <c r="L44" s="77"/>
      <c r="M44" s="77"/>
      <c r="N44" s="77"/>
      <c r="O44" s="77"/>
    </row>
    <row r="45" spans="1:22" x14ac:dyDescent="0.3">
      <c r="K45" s="83">
        <v>4</v>
      </c>
      <c r="L45" s="77"/>
      <c r="M45" s="77"/>
      <c r="N45" s="77"/>
      <c r="O45" s="77"/>
    </row>
    <row r="46" spans="1:22" x14ac:dyDescent="0.3">
      <c r="I46" s="80"/>
    </row>
    <row r="47" spans="1:22" x14ac:dyDescent="0.3">
      <c r="A47" t="s">
        <v>177</v>
      </c>
      <c r="I47" s="81"/>
    </row>
    <row r="48" spans="1:22" x14ac:dyDescent="0.3">
      <c r="C48" s="78" t="s">
        <v>178</v>
      </c>
      <c r="D48" s="78" t="s">
        <v>14</v>
      </c>
    </row>
    <row r="49" spans="1:10" x14ac:dyDescent="0.3">
      <c r="A49" t="s">
        <v>175</v>
      </c>
      <c r="C49" s="79">
        <v>80</v>
      </c>
      <c r="D49" s="79"/>
    </row>
    <row r="50" spans="1:10" x14ac:dyDescent="0.3">
      <c r="A50" t="s">
        <v>176</v>
      </c>
      <c r="C50" s="79">
        <v>7</v>
      </c>
      <c r="D50" s="79"/>
    </row>
    <row r="53" spans="1:10" x14ac:dyDescent="0.3">
      <c r="A53" s="11" t="s">
        <v>185</v>
      </c>
    </row>
    <row r="54" spans="1:10" x14ac:dyDescent="0.3">
      <c r="A54" s="87" t="s">
        <v>189</v>
      </c>
    </row>
    <row r="55" spans="1:10" x14ac:dyDescent="0.3">
      <c r="A55" t="s">
        <v>1</v>
      </c>
      <c r="B55" s="2">
        <v>141</v>
      </c>
    </row>
    <row r="56" spans="1:10" x14ac:dyDescent="0.3">
      <c r="A56" t="s">
        <v>7</v>
      </c>
      <c r="B56" s="2">
        <v>25</v>
      </c>
    </row>
    <row r="57" spans="1:10" x14ac:dyDescent="0.3">
      <c r="A57" t="s">
        <v>0</v>
      </c>
      <c r="B57" s="2">
        <v>44</v>
      </c>
    </row>
    <row r="58" spans="1:10" x14ac:dyDescent="0.3">
      <c r="A58" t="s">
        <v>186</v>
      </c>
      <c r="B58" s="2">
        <v>143.19999999999999</v>
      </c>
      <c r="C58" s="77" t="s">
        <v>190</v>
      </c>
      <c r="D58" s="77"/>
      <c r="E58" s="77"/>
      <c r="F58" s="77"/>
      <c r="G58" s="77"/>
      <c r="H58" s="77"/>
    </row>
    <row r="59" spans="1:10" x14ac:dyDescent="0.3">
      <c r="A59" t="s">
        <v>187</v>
      </c>
      <c r="B59" s="88">
        <f>SQRT(B56)/SQRT(B57)</f>
        <v>0.75377836144440902</v>
      </c>
    </row>
    <row r="60" spans="1:10" x14ac:dyDescent="0.3">
      <c r="A60" t="s">
        <v>14</v>
      </c>
      <c r="B60" s="85" t="str">
        <f>TEXT((B58-B55)/B59,"0.00")</f>
        <v>2.92</v>
      </c>
    </row>
    <row r="61" spans="1:10" x14ac:dyDescent="0.3">
      <c r="A61" t="s">
        <v>194</v>
      </c>
      <c r="B61" s="86">
        <f>_xlfn.NORM.S.DIST(B60,TRUE)</f>
        <v>0.99824984307132392</v>
      </c>
      <c r="C61" s="89"/>
      <c r="D61" s="89"/>
      <c r="E61" s="89"/>
      <c r="F61" s="89"/>
      <c r="G61" s="89"/>
      <c r="H61" s="89"/>
      <c r="I61" s="89"/>
      <c r="J61" s="89"/>
    </row>
    <row r="62" spans="1:10" x14ac:dyDescent="0.3">
      <c r="A62" t="s">
        <v>192</v>
      </c>
      <c r="B62" s="86">
        <f>ABS(1-B61)</f>
        <v>1.7501569286760832E-3</v>
      </c>
      <c r="C62" s="89"/>
      <c r="D62" s="89"/>
      <c r="E62" s="89"/>
      <c r="F62" s="89"/>
      <c r="G62" s="89"/>
      <c r="H62" s="89"/>
      <c r="I62" s="89"/>
      <c r="J62" s="89"/>
    </row>
    <row r="63" spans="1:10" x14ac:dyDescent="0.3">
      <c r="A63" t="s">
        <v>191</v>
      </c>
      <c r="B63" s="86">
        <f>ABS((1-B61)*2)</f>
        <v>3.5003138573521664E-3</v>
      </c>
      <c r="C63" s="89"/>
      <c r="D63" s="89"/>
      <c r="E63" s="89"/>
      <c r="F63" s="89"/>
      <c r="G63" s="89"/>
      <c r="H63" s="89"/>
      <c r="I63" s="89"/>
      <c r="J63" s="89"/>
    </row>
    <row r="64" spans="1:10" x14ac:dyDescent="0.3">
      <c r="A64" t="s">
        <v>193</v>
      </c>
      <c r="B64" s="86">
        <f>ABS(1-B61-B61)</f>
        <v>0.99649968614264783</v>
      </c>
      <c r="C64" s="89"/>
      <c r="D64" s="89"/>
      <c r="E64" s="89"/>
      <c r="F64" s="89"/>
      <c r="G64" s="89"/>
      <c r="H64" s="89"/>
      <c r="I64" s="89"/>
      <c r="J64" s="89"/>
    </row>
    <row r="66" spans="1:12" x14ac:dyDescent="0.3">
      <c r="A66" s="87" t="s">
        <v>188</v>
      </c>
    </row>
    <row r="67" spans="1:12" x14ac:dyDescent="0.3">
      <c r="A67" t="s">
        <v>1</v>
      </c>
      <c r="B67" s="2">
        <v>131</v>
      </c>
    </row>
    <row r="68" spans="1:12" x14ac:dyDescent="0.3">
      <c r="A68" t="s">
        <v>8</v>
      </c>
      <c r="B68" s="2">
        <v>7</v>
      </c>
    </row>
    <row r="69" spans="1:12" x14ac:dyDescent="0.3">
      <c r="A69" t="s">
        <v>0</v>
      </c>
      <c r="B69" s="2">
        <v>31</v>
      </c>
    </row>
    <row r="70" spans="1:12" x14ac:dyDescent="0.3">
      <c r="A70" t="s">
        <v>186</v>
      </c>
      <c r="B70" s="2">
        <f>B67+1.9</f>
        <v>132.9</v>
      </c>
      <c r="C70" s="77" t="s">
        <v>190</v>
      </c>
      <c r="D70" s="77"/>
      <c r="E70" s="77"/>
      <c r="F70" s="77"/>
      <c r="G70" s="77"/>
      <c r="H70" s="77"/>
    </row>
    <row r="71" spans="1:12" x14ac:dyDescent="0.3">
      <c r="A71" t="s">
        <v>187</v>
      </c>
      <c r="B71" s="84">
        <f>B68/SQRT(B69)</f>
        <v>1.2572371141874243</v>
      </c>
    </row>
    <row r="72" spans="1:12" x14ac:dyDescent="0.3">
      <c r="A72" t="s">
        <v>14</v>
      </c>
      <c r="B72" s="85" t="str">
        <f>TEXT((B70-B67)/B71,"0.00")</f>
        <v>1.51</v>
      </c>
    </row>
    <row r="73" spans="1:12" x14ac:dyDescent="0.3">
      <c r="A73" t="s">
        <v>194</v>
      </c>
      <c r="B73" s="86">
        <f>_xlfn.NORM.S.DIST(B72,TRUE)</f>
        <v>0.93447828791108356</v>
      </c>
      <c r="C73" s="89"/>
      <c r="D73" s="89"/>
      <c r="E73" s="89"/>
      <c r="F73" s="89"/>
      <c r="G73" s="89"/>
      <c r="H73" s="89"/>
      <c r="I73" s="89"/>
      <c r="J73" s="89"/>
    </row>
    <row r="74" spans="1:12" x14ac:dyDescent="0.3">
      <c r="A74" t="s">
        <v>192</v>
      </c>
      <c r="B74" s="86">
        <f>ABS(1-B73)</f>
        <v>6.5521712088916439E-2</v>
      </c>
      <c r="C74" s="89"/>
      <c r="D74" s="89"/>
      <c r="E74" s="89"/>
      <c r="F74" s="89"/>
      <c r="G74" s="89"/>
      <c r="H74" s="89"/>
      <c r="I74" s="89"/>
      <c r="J74" s="89"/>
    </row>
    <row r="75" spans="1:12" x14ac:dyDescent="0.3">
      <c r="A75" t="s">
        <v>191</v>
      </c>
      <c r="B75" s="86">
        <f>ABS((1-B73)*2)</f>
        <v>0.13104342417783288</v>
      </c>
      <c r="C75" s="89"/>
      <c r="D75" s="89"/>
      <c r="E75" s="89"/>
      <c r="F75" s="89"/>
      <c r="G75" s="89"/>
      <c r="H75" s="89"/>
      <c r="I75" s="89"/>
      <c r="J75" s="89"/>
    </row>
    <row r="76" spans="1:12" x14ac:dyDescent="0.3">
      <c r="A76" t="s">
        <v>193</v>
      </c>
      <c r="B76" s="86">
        <f>ABS(1-B73-B73)</f>
        <v>0.86895657582216712</v>
      </c>
      <c r="C76" s="89"/>
      <c r="D76" s="89"/>
      <c r="E76" s="89"/>
      <c r="F76" s="89"/>
      <c r="G76" s="89"/>
      <c r="H76" s="89"/>
      <c r="I76" s="89"/>
      <c r="J76" s="89"/>
    </row>
    <row r="78" spans="1:12" x14ac:dyDescent="0.3">
      <c r="L78" s="9"/>
    </row>
    <row r="79" spans="1:12" ht="15" thickBot="1" x14ac:dyDescent="0.35"/>
    <row r="80" spans="1:12" x14ac:dyDescent="0.3">
      <c r="A80" s="11" t="s">
        <v>195</v>
      </c>
      <c r="D80" s="97" t="s">
        <v>198</v>
      </c>
      <c r="E80" s="98" t="s">
        <v>201</v>
      </c>
      <c r="F80" s="99" t="s">
        <v>202</v>
      </c>
      <c r="J80" s="9"/>
    </row>
    <row r="81" spans="1:6" x14ac:dyDescent="0.3">
      <c r="A81" t="s">
        <v>1</v>
      </c>
      <c r="B81" s="2">
        <v>6.8</v>
      </c>
      <c r="D81" s="100">
        <v>0.2</v>
      </c>
      <c r="E81" s="7">
        <v>0.84</v>
      </c>
      <c r="F81" s="101">
        <v>1.28</v>
      </c>
    </row>
    <row r="82" spans="1:6" x14ac:dyDescent="0.3">
      <c r="A82" t="s">
        <v>8</v>
      </c>
      <c r="B82" s="2">
        <v>2.5</v>
      </c>
      <c r="D82" s="100">
        <v>0.15</v>
      </c>
      <c r="E82" s="7">
        <v>1.04</v>
      </c>
      <c r="F82" s="101">
        <v>1.44</v>
      </c>
    </row>
    <row r="83" spans="1:6" x14ac:dyDescent="0.3">
      <c r="A83" t="s">
        <v>0</v>
      </c>
      <c r="B83" s="2">
        <v>3820</v>
      </c>
      <c r="D83" s="100">
        <v>0.1</v>
      </c>
      <c r="E83" s="7">
        <v>1.28</v>
      </c>
      <c r="F83" s="101">
        <v>1.645</v>
      </c>
    </row>
    <row r="84" spans="1:6" x14ac:dyDescent="0.3">
      <c r="A84" t="s">
        <v>196</v>
      </c>
      <c r="B84" s="96">
        <v>99</v>
      </c>
      <c r="D84" s="100">
        <v>0.05</v>
      </c>
      <c r="E84" s="7">
        <v>1.645</v>
      </c>
      <c r="F84" s="101">
        <v>1.96</v>
      </c>
    </row>
    <row r="85" spans="1:6" x14ac:dyDescent="0.3">
      <c r="A85" t="s">
        <v>197</v>
      </c>
      <c r="B85" s="85">
        <f>(100-B84)/100</f>
        <v>0.01</v>
      </c>
      <c r="D85" s="100">
        <v>0.04</v>
      </c>
      <c r="E85" s="7">
        <v>1.75</v>
      </c>
      <c r="F85" s="101">
        <v>2.0499999999999998</v>
      </c>
    </row>
    <row r="86" spans="1:6" x14ac:dyDescent="0.3">
      <c r="A86" t="s">
        <v>200</v>
      </c>
      <c r="B86" s="26">
        <f>B81-(INDEX(F81:F87,MATCH(B85,D81:D87,0))*(B82/SQRT(B83)))</f>
        <v>6.6958436959779233</v>
      </c>
      <c r="D86" s="100">
        <v>0.02</v>
      </c>
      <c r="E86" s="7">
        <v>2.0499999999999998</v>
      </c>
      <c r="F86" s="101">
        <v>2.33</v>
      </c>
    </row>
    <row r="87" spans="1:6" ht="15" thickBot="1" x14ac:dyDescent="0.35">
      <c r="A87" t="s">
        <v>199</v>
      </c>
      <c r="B87" s="26">
        <f>B81+(INDEX(F81:F87,MATCH(B85,D81:D87,0))*(B82/SQRT(B83)))</f>
        <v>6.9041563040220764</v>
      </c>
      <c r="D87" s="102">
        <v>0.01</v>
      </c>
      <c r="E87" s="103">
        <v>2.33</v>
      </c>
      <c r="F87" s="104">
        <v>2.5750000000000002</v>
      </c>
    </row>
    <row r="90" spans="1:6" x14ac:dyDescent="0.3">
      <c r="A90" s="11" t="s">
        <v>203</v>
      </c>
    </row>
    <row r="91" spans="1:6" x14ac:dyDescent="0.3">
      <c r="A91" t="s">
        <v>59</v>
      </c>
      <c r="B91" s="2">
        <v>0.14000000000000001</v>
      </c>
      <c r="D91" t="s">
        <v>204</v>
      </c>
      <c r="E91" s="2">
        <v>0.81</v>
      </c>
    </row>
    <row r="92" spans="1:6" x14ac:dyDescent="0.3">
      <c r="A92" t="s">
        <v>8</v>
      </c>
      <c r="B92" s="2">
        <v>2.4</v>
      </c>
      <c r="D92" t="s">
        <v>8</v>
      </c>
      <c r="E92" s="105">
        <f>SQRT(E91)</f>
        <v>0.9</v>
      </c>
    </row>
    <row r="93" spans="1:6" x14ac:dyDescent="0.3">
      <c r="A93" t="s">
        <v>196</v>
      </c>
      <c r="B93" s="96">
        <v>95</v>
      </c>
    </row>
    <row r="94" spans="1:6" x14ac:dyDescent="0.3">
      <c r="A94" t="s">
        <v>197</v>
      </c>
      <c r="B94" s="85">
        <f>(100-B93)/100</f>
        <v>0.05</v>
      </c>
    </row>
    <row r="95" spans="1:6" x14ac:dyDescent="0.3">
      <c r="A95" t="s">
        <v>162</v>
      </c>
      <c r="B95" s="22">
        <f>ROUNDUP(((INDEX(F81:F87,MATCH(B94,D81:D87,0))*B92)/B91)^2,0)</f>
        <v>1129</v>
      </c>
    </row>
    <row r="97" spans="1:5" x14ac:dyDescent="0.3">
      <c r="A97" s="11" t="s">
        <v>205</v>
      </c>
    </row>
    <row r="98" spans="1:5" x14ac:dyDescent="0.3">
      <c r="A98" t="s">
        <v>206</v>
      </c>
    </row>
    <row r="99" spans="1:5" x14ac:dyDescent="0.3">
      <c r="A99" t="s">
        <v>207</v>
      </c>
    </row>
    <row r="100" spans="1:5" x14ac:dyDescent="0.3">
      <c r="A100" t="s">
        <v>208</v>
      </c>
    </row>
    <row r="102" spans="1:5" x14ac:dyDescent="0.3">
      <c r="A102" s="11" t="s">
        <v>211</v>
      </c>
    </row>
    <row r="103" spans="1:5" x14ac:dyDescent="0.3">
      <c r="A103" t="s">
        <v>209</v>
      </c>
      <c r="B103" s="2">
        <v>7.8</v>
      </c>
    </row>
    <row r="104" spans="1:5" x14ac:dyDescent="0.3">
      <c r="A104" t="s">
        <v>210</v>
      </c>
      <c r="B104" s="2">
        <v>7.5</v>
      </c>
      <c r="D104" t="s">
        <v>204</v>
      </c>
      <c r="E104" s="2">
        <v>1.21</v>
      </c>
    </row>
    <row r="105" spans="1:5" x14ac:dyDescent="0.3">
      <c r="A105" t="s">
        <v>8</v>
      </c>
      <c r="B105" s="2">
        <v>0.8</v>
      </c>
      <c r="D105" t="s">
        <v>8</v>
      </c>
      <c r="E105" s="105">
        <f>SQRT(E104)</f>
        <v>1.1000000000000001</v>
      </c>
    </row>
    <row r="106" spans="1:5" x14ac:dyDescent="0.3">
      <c r="A106" t="s">
        <v>0</v>
      </c>
      <c r="B106" s="2">
        <v>16</v>
      </c>
    </row>
    <row r="107" spans="1:5" x14ac:dyDescent="0.3">
      <c r="A107" t="s">
        <v>215</v>
      </c>
      <c r="B107" s="2">
        <v>0.01</v>
      </c>
    </row>
    <row r="108" spans="1:5" x14ac:dyDescent="0.3">
      <c r="A108" t="s">
        <v>212</v>
      </c>
      <c r="B108" s="24" t="str">
        <f>TEXT((B103-B104)/(B105/(SQRT(B106))),"0.00")</f>
        <v>1.50</v>
      </c>
    </row>
    <row r="109" spans="1:5" x14ac:dyDescent="0.3">
      <c r="A109" t="s">
        <v>192</v>
      </c>
      <c r="B109" s="86">
        <f>1-_xlfn.NORM.S.DIST(B108,TRUE)</f>
        <v>6.6807201268858085E-2</v>
      </c>
    </row>
    <row r="110" spans="1:5" x14ac:dyDescent="0.3">
      <c r="A110" t="s">
        <v>213</v>
      </c>
      <c r="B110" s="84">
        <f>_xlfn.T.DIST.2T(ABS(B108),B106-1)</f>
        <v>0.15436666038169994</v>
      </c>
    </row>
    <row r="111" spans="1:5" x14ac:dyDescent="0.3">
      <c r="A111" t="s">
        <v>214</v>
      </c>
      <c r="B111" s="86" t="str">
        <f>IF(B110&gt;B107,"Fail","Reject")</f>
        <v>Fail</v>
      </c>
    </row>
    <row r="112" spans="1:5" x14ac:dyDescent="0.3">
      <c r="B11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C9CD-91C9-414E-B940-7E315CFFB8C1}">
  <dimension ref="A1:P101"/>
  <sheetViews>
    <sheetView zoomScaleNormal="100" workbookViewId="0">
      <selection activeCell="F2" sqref="F2"/>
    </sheetView>
  </sheetViews>
  <sheetFormatPr defaultRowHeight="14.4" x14ac:dyDescent="0.3"/>
  <cols>
    <col min="1" max="1" width="12.33203125" style="3" bestFit="1" customWidth="1"/>
    <col min="2" max="2" width="18.33203125" style="5" bestFit="1" customWidth="1"/>
    <col min="3" max="3" width="13.6640625" style="5" bestFit="1" customWidth="1"/>
    <col min="4" max="4" width="4" style="3" bestFit="1" customWidth="1"/>
    <col min="5" max="5" width="16.88671875" style="3" bestFit="1" customWidth="1"/>
    <col min="6" max="6" width="7.109375" style="57" bestFit="1" customWidth="1"/>
  </cols>
  <sheetData>
    <row r="1" spans="1:16" s="37" customFormat="1" x14ac:dyDescent="0.3">
      <c r="A1" s="35" t="s">
        <v>108</v>
      </c>
      <c r="B1" s="40" t="s">
        <v>117</v>
      </c>
      <c r="C1" s="41" t="s">
        <v>118</v>
      </c>
      <c r="D1" s="64" t="s">
        <v>111</v>
      </c>
      <c r="E1" s="90" t="s">
        <v>110</v>
      </c>
      <c r="F1" s="90"/>
      <c r="H1" s="37" t="s">
        <v>134</v>
      </c>
    </row>
    <row r="2" spans="1:16" x14ac:dyDescent="0.3">
      <c r="A2" s="3">
        <v>0</v>
      </c>
      <c r="B2" s="44">
        <f>IF(A2="","",((A2-$F$14)^2)/$F$3)</f>
        <v>0.16666666666666666</v>
      </c>
      <c r="C2" s="43">
        <f>IF(A2="","",((A2-$F$14)^2)/($F$3-1))</f>
        <v>0.2</v>
      </c>
      <c r="D2" s="65"/>
      <c r="E2" s="3" t="s">
        <v>116</v>
      </c>
      <c r="F2" s="57">
        <f>MAX(A:A)-MIN(A:A)</f>
        <v>2</v>
      </c>
      <c r="H2" t="s">
        <v>131</v>
      </c>
    </row>
    <row r="3" spans="1:16" x14ac:dyDescent="0.3">
      <c r="A3" s="3">
        <v>-2</v>
      </c>
      <c r="B3" s="44">
        <f t="shared" ref="B3:B31" si="0">IF(A3="","",((A3-$F$14)^2)/$F$3)</f>
        <v>0.16666666666666666</v>
      </c>
      <c r="C3" s="43">
        <f t="shared" ref="C3:C30" si="1">IF(A3="","",((A3-$F$14)^2)/($F$3-1))</f>
        <v>0.2</v>
      </c>
      <c r="D3" s="65"/>
      <c r="E3" s="3" t="s">
        <v>0</v>
      </c>
      <c r="F3" s="57">
        <f>COUNT(A:A)</f>
        <v>6</v>
      </c>
      <c r="H3" t="s">
        <v>130</v>
      </c>
    </row>
    <row r="4" spans="1:16" x14ac:dyDescent="0.3">
      <c r="A4" s="3">
        <v>-2</v>
      </c>
      <c r="B4" s="44">
        <f t="shared" si="0"/>
        <v>0.16666666666666666</v>
      </c>
      <c r="C4" s="43">
        <f t="shared" si="1"/>
        <v>0.2</v>
      </c>
      <c r="D4" s="65" t="s">
        <v>109</v>
      </c>
      <c r="E4" s="3" t="s">
        <v>7</v>
      </c>
      <c r="F4" s="57">
        <f>SUM(B:B)</f>
        <v>0.99999999999999989</v>
      </c>
    </row>
    <row r="5" spans="1:16" x14ac:dyDescent="0.3">
      <c r="A5" s="3">
        <v>0</v>
      </c>
      <c r="B5" s="44">
        <f t="shared" si="0"/>
        <v>0.16666666666666666</v>
      </c>
      <c r="C5" s="43">
        <f t="shared" si="1"/>
        <v>0.2</v>
      </c>
      <c r="D5" s="65" t="s">
        <v>112</v>
      </c>
      <c r="E5" s="3" t="s">
        <v>7</v>
      </c>
      <c r="F5" s="57">
        <f>SUM(C:C)</f>
        <v>1.2</v>
      </c>
    </row>
    <row r="6" spans="1:16" x14ac:dyDescent="0.3">
      <c r="A6" s="3">
        <v>-2</v>
      </c>
      <c r="B6" s="44">
        <f t="shared" si="0"/>
        <v>0.16666666666666666</v>
      </c>
      <c r="C6" s="43">
        <f t="shared" si="1"/>
        <v>0.2</v>
      </c>
      <c r="D6" s="65" t="s">
        <v>109</v>
      </c>
      <c r="E6" s="3" t="s">
        <v>8</v>
      </c>
      <c r="F6" s="57">
        <f>SQRT(F4)</f>
        <v>1</v>
      </c>
    </row>
    <row r="7" spans="1:16" x14ac:dyDescent="0.3">
      <c r="A7" s="3">
        <v>0</v>
      </c>
      <c r="B7" s="44">
        <f t="shared" si="0"/>
        <v>0.16666666666666666</v>
      </c>
      <c r="C7" s="43">
        <f t="shared" si="1"/>
        <v>0.2</v>
      </c>
      <c r="D7" s="65" t="s">
        <v>112</v>
      </c>
      <c r="E7" s="3" t="s">
        <v>8</v>
      </c>
      <c r="F7" s="76">
        <f>SQRT(F5)</f>
        <v>1.0954451150103321</v>
      </c>
    </row>
    <row r="8" spans="1:16" x14ac:dyDescent="0.3">
      <c r="B8" s="44" t="str">
        <f t="shared" si="0"/>
        <v/>
      </c>
      <c r="C8" s="43" t="str">
        <f t="shared" si="1"/>
        <v/>
      </c>
      <c r="D8" s="65"/>
    </row>
    <row r="9" spans="1:16" x14ac:dyDescent="0.3">
      <c r="B9" s="44" t="str">
        <f t="shared" si="0"/>
        <v/>
      </c>
      <c r="C9" s="43" t="str">
        <f t="shared" si="1"/>
        <v/>
      </c>
      <c r="D9" s="65"/>
      <c r="E9" s="92" t="s">
        <v>125</v>
      </c>
      <c r="F9" s="92"/>
    </row>
    <row r="10" spans="1:16" x14ac:dyDescent="0.3">
      <c r="B10" s="44" t="str">
        <f t="shared" si="0"/>
        <v/>
      </c>
      <c r="C10" s="43" t="str">
        <f t="shared" si="1"/>
        <v/>
      </c>
      <c r="D10" s="65"/>
      <c r="E10" s="3" t="s">
        <v>2</v>
      </c>
      <c r="F10" s="57">
        <f>MEDIAN(A:A)</f>
        <v>-1</v>
      </c>
      <c r="H10" t="s">
        <v>132</v>
      </c>
      <c r="K10" s="45" t="s">
        <v>119</v>
      </c>
      <c r="L10" s="46"/>
      <c r="M10" s="46"/>
      <c r="N10" s="46"/>
      <c r="O10" s="46"/>
      <c r="P10" s="47"/>
    </row>
    <row r="11" spans="1:16" x14ac:dyDescent="0.3">
      <c r="B11" s="44" t="str">
        <f t="shared" si="0"/>
        <v/>
      </c>
      <c r="C11" s="43" t="str">
        <f t="shared" si="1"/>
        <v/>
      </c>
      <c r="D11" s="65"/>
      <c r="E11" s="3" t="s">
        <v>113</v>
      </c>
      <c r="F11" s="57">
        <f t="array" ref="F11:F13">_xlfn.MODE.MULT(A:A)</f>
        <v>0</v>
      </c>
      <c r="H11" t="s">
        <v>133</v>
      </c>
      <c r="K11" s="48" t="s">
        <v>120</v>
      </c>
      <c r="L11" s="49"/>
      <c r="M11" s="49"/>
      <c r="N11" s="49"/>
      <c r="O11" s="49"/>
      <c r="P11" s="50"/>
    </row>
    <row r="12" spans="1:16" x14ac:dyDescent="0.3">
      <c r="B12" s="44" t="str">
        <f t="shared" si="0"/>
        <v/>
      </c>
      <c r="C12" s="43" t="str">
        <f t="shared" si="1"/>
        <v/>
      </c>
      <c r="D12" s="65"/>
      <c r="E12" s="3" t="s">
        <v>114</v>
      </c>
      <c r="F12" s="57">
        <v>-2</v>
      </c>
      <c r="H12" t="s">
        <v>136</v>
      </c>
      <c r="K12" s="48" t="s">
        <v>121</v>
      </c>
      <c r="L12" s="49"/>
      <c r="M12" s="49"/>
      <c r="N12" s="49"/>
      <c r="O12" s="49"/>
      <c r="P12" s="50"/>
    </row>
    <row r="13" spans="1:16" x14ac:dyDescent="0.3">
      <c r="B13" s="44" t="str">
        <f t="shared" si="0"/>
        <v/>
      </c>
      <c r="C13" s="43" t="str">
        <f t="shared" si="1"/>
        <v/>
      </c>
      <c r="D13" s="65"/>
      <c r="E13" s="3" t="s">
        <v>115</v>
      </c>
      <c r="F13" s="57" t="e">
        <v>#N/A</v>
      </c>
      <c r="H13" t="s">
        <v>136</v>
      </c>
      <c r="K13" s="51" t="s">
        <v>137</v>
      </c>
      <c r="L13" s="52"/>
      <c r="M13" s="52"/>
      <c r="N13" s="52"/>
      <c r="O13" s="52"/>
      <c r="P13" s="53"/>
    </row>
    <row r="14" spans="1:16" x14ac:dyDescent="0.3">
      <c r="B14" s="44" t="str">
        <f t="shared" si="0"/>
        <v/>
      </c>
      <c r="C14" s="43" t="str">
        <f t="shared" si="1"/>
        <v/>
      </c>
      <c r="D14" s="65"/>
      <c r="E14" s="3" t="s">
        <v>1</v>
      </c>
      <c r="F14" s="57">
        <f>AVERAGE(A:A)</f>
        <v>-1</v>
      </c>
      <c r="H14" t="s">
        <v>3</v>
      </c>
    </row>
    <row r="15" spans="1:16" x14ac:dyDescent="0.3">
      <c r="B15" s="44" t="str">
        <f t="shared" si="0"/>
        <v/>
      </c>
      <c r="C15" s="43" t="str">
        <f t="shared" si="1"/>
        <v/>
      </c>
      <c r="D15" s="65"/>
    </row>
    <row r="16" spans="1:16" x14ac:dyDescent="0.3">
      <c r="B16" s="44" t="str">
        <f t="shared" si="0"/>
        <v/>
      </c>
      <c r="C16" s="43" t="str">
        <f t="shared" si="1"/>
        <v/>
      </c>
      <c r="D16" s="65"/>
      <c r="E16" s="92" t="s">
        <v>126</v>
      </c>
      <c r="F16" s="92"/>
    </row>
    <row r="17" spans="1:6" x14ac:dyDescent="0.3">
      <c r="B17" s="44" t="str">
        <f t="shared" si="0"/>
        <v/>
      </c>
      <c r="C17" s="43" t="str">
        <f t="shared" si="1"/>
        <v/>
      </c>
      <c r="D17" s="65"/>
      <c r="E17" s="3" t="s">
        <v>11</v>
      </c>
      <c r="F17" s="57">
        <f>F19-F21</f>
        <v>2</v>
      </c>
    </row>
    <row r="18" spans="1:6" x14ac:dyDescent="0.3">
      <c r="B18" s="44" t="str">
        <f t="shared" si="0"/>
        <v/>
      </c>
      <c r="C18" s="43" t="str">
        <f t="shared" si="1"/>
        <v/>
      </c>
      <c r="D18" s="65"/>
      <c r="E18" s="3" t="s">
        <v>100</v>
      </c>
      <c r="F18" s="57">
        <f>MAX(A:A)</f>
        <v>0</v>
      </c>
    </row>
    <row r="19" spans="1:6" x14ac:dyDescent="0.3">
      <c r="B19" s="44" t="str">
        <f t="shared" si="0"/>
        <v/>
      </c>
      <c r="C19" s="43" t="str">
        <f t="shared" si="1"/>
        <v/>
      </c>
      <c r="D19" s="65"/>
      <c r="E19" s="3" t="s">
        <v>19</v>
      </c>
      <c r="F19" s="57">
        <f>_xlfn.QUARTILE.EXC(A:A,3)</f>
        <v>0</v>
      </c>
    </row>
    <row r="20" spans="1:6" x14ac:dyDescent="0.3">
      <c r="B20" s="44" t="str">
        <f t="shared" si="0"/>
        <v/>
      </c>
      <c r="C20" s="43" t="str">
        <f t="shared" si="1"/>
        <v/>
      </c>
      <c r="D20" s="65"/>
      <c r="E20" s="3" t="s">
        <v>9</v>
      </c>
      <c r="F20" s="57">
        <f>_xlfn.QUARTILE.EXC(A:A,2)</f>
        <v>-1</v>
      </c>
    </row>
    <row r="21" spans="1:6" x14ac:dyDescent="0.3">
      <c r="B21" s="44" t="str">
        <f t="shared" si="0"/>
        <v/>
      </c>
      <c r="C21" s="43" t="str">
        <f t="shared" si="1"/>
        <v/>
      </c>
      <c r="D21" s="65"/>
      <c r="E21" s="3" t="s">
        <v>18</v>
      </c>
      <c r="F21" s="57">
        <f>_xlfn.QUARTILE.EXC(A:A,1)</f>
        <v>-2</v>
      </c>
    </row>
    <row r="22" spans="1:6" x14ac:dyDescent="0.3">
      <c r="B22" s="44" t="str">
        <f t="shared" si="0"/>
        <v/>
      </c>
      <c r="C22" s="43" t="str">
        <f t="shared" si="1"/>
        <v/>
      </c>
      <c r="D22" s="65"/>
      <c r="E22" s="3" t="s">
        <v>99</v>
      </c>
      <c r="F22" s="57">
        <f>MIN(A:A)</f>
        <v>-2</v>
      </c>
    </row>
    <row r="23" spans="1:6" x14ac:dyDescent="0.3">
      <c r="B23" s="44" t="str">
        <f t="shared" si="0"/>
        <v/>
      </c>
      <c r="C23" s="43" t="str">
        <f t="shared" si="1"/>
        <v/>
      </c>
      <c r="D23" s="65"/>
    </row>
    <row r="24" spans="1:6" x14ac:dyDescent="0.3">
      <c r="B24" s="44" t="str">
        <f t="shared" si="0"/>
        <v/>
      </c>
      <c r="C24" s="43" t="str">
        <f t="shared" si="1"/>
        <v/>
      </c>
      <c r="D24" s="65"/>
      <c r="E24" s="92" t="s">
        <v>122</v>
      </c>
      <c r="F24" s="92"/>
    </row>
    <row r="25" spans="1:6" x14ac:dyDescent="0.3">
      <c r="B25" s="44" t="str">
        <f t="shared" si="0"/>
        <v/>
      </c>
      <c r="C25" s="43" t="str">
        <f t="shared" si="1"/>
        <v/>
      </c>
      <c r="D25" s="65"/>
      <c r="E25" s="3" t="s">
        <v>123</v>
      </c>
      <c r="F25" s="55">
        <v>0.2</v>
      </c>
    </row>
    <row r="26" spans="1:6" x14ac:dyDescent="0.3">
      <c r="B26" s="44" t="str">
        <f t="shared" si="0"/>
        <v/>
      </c>
      <c r="C26" s="43" t="str">
        <f t="shared" si="1"/>
        <v/>
      </c>
      <c r="D26" s="65"/>
      <c r="E26" s="3" t="s">
        <v>124</v>
      </c>
      <c r="F26" s="59">
        <f>TRIMMEAN(A:A,F25)</f>
        <v>-1</v>
      </c>
    </row>
    <row r="27" spans="1:6" x14ac:dyDescent="0.3">
      <c r="B27" s="44" t="str">
        <f t="shared" si="0"/>
        <v/>
      </c>
      <c r="C27" s="43" t="str">
        <f t="shared" si="1"/>
        <v/>
      </c>
      <c r="D27" s="65"/>
    </row>
    <row r="28" spans="1:6" x14ac:dyDescent="0.3">
      <c r="B28" s="44" t="str">
        <f t="shared" si="0"/>
        <v/>
      </c>
      <c r="C28" s="43" t="str">
        <f t="shared" si="1"/>
        <v/>
      </c>
      <c r="D28" s="65"/>
      <c r="E28" s="91" t="s">
        <v>127</v>
      </c>
      <c r="F28" s="91"/>
    </row>
    <row r="29" spans="1:6" x14ac:dyDescent="0.3">
      <c r="B29" s="44" t="str">
        <f t="shared" si="0"/>
        <v/>
      </c>
      <c r="C29" s="43" t="str">
        <f t="shared" si="1"/>
        <v/>
      </c>
      <c r="D29" s="65"/>
      <c r="E29" s="3" t="s">
        <v>23</v>
      </c>
      <c r="F29" s="58">
        <v>7</v>
      </c>
    </row>
    <row r="30" spans="1:6" x14ac:dyDescent="0.3">
      <c r="B30" s="44" t="str">
        <f t="shared" si="0"/>
        <v/>
      </c>
      <c r="C30" s="43" t="str">
        <f t="shared" si="1"/>
        <v/>
      </c>
      <c r="D30" s="65"/>
      <c r="E30" s="3" t="s">
        <v>15</v>
      </c>
      <c r="F30" s="59">
        <f>F29/F3*100</f>
        <v>116.66666666666667</v>
      </c>
    </row>
    <row r="31" spans="1:6" x14ac:dyDescent="0.3">
      <c r="B31" s="44" t="str">
        <f t="shared" si="0"/>
        <v/>
      </c>
      <c r="C31" s="43" t="str">
        <f t="shared" ref="C31" si="2">IF(A31="","",((A31-$F$14)^2)/($F$3-1))</f>
        <v/>
      </c>
      <c r="D31" s="65"/>
    </row>
    <row r="32" spans="1:6" x14ac:dyDescent="0.3">
      <c r="A32" s="39"/>
      <c r="B32" s="42" t="str">
        <f>IF(A32="","",((A32-#REF!)^2)/$F$3)</f>
        <v/>
      </c>
      <c r="C32" s="42"/>
      <c r="E32" s="91" t="s">
        <v>129</v>
      </c>
      <c r="F32" s="91"/>
    </row>
    <row r="33" spans="2:13" x14ac:dyDescent="0.3">
      <c r="B33" s="5" t="str">
        <f>IF(A33="","",((A33-#REF!)^2)/$F$3)</f>
        <v/>
      </c>
      <c r="E33" s="3" t="s">
        <v>20</v>
      </c>
      <c r="F33" s="58">
        <v>50</v>
      </c>
    </row>
    <row r="34" spans="2:13" x14ac:dyDescent="0.3">
      <c r="B34" s="5" t="str">
        <f>IF(A34="","",((A34-#REF!)^2)/$F$3)</f>
        <v/>
      </c>
      <c r="E34" s="3" t="s">
        <v>24</v>
      </c>
      <c r="F34" s="60">
        <f>ROUNDUP(F3*F33/100,0)</f>
        <v>3</v>
      </c>
    </row>
    <row r="35" spans="2:13" x14ac:dyDescent="0.3">
      <c r="B35" s="5" t="str">
        <f>IF(A35="","",((A35-#REF!)^2)/$F$3)</f>
        <v/>
      </c>
      <c r="E35" s="3" t="s">
        <v>128</v>
      </c>
      <c r="F35" s="59">
        <f>INDEX(A:A,F34+1)</f>
        <v>-2</v>
      </c>
    </row>
    <row r="36" spans="2:13" x14ac:dyDescent="0.3">
      <c r="B36" s="5" t="str">
        <f>IF(A36="","",((A36-#REF!)^2)/$F$3)</f>
        <v/>
      </c>
    </row>
    <row r="37" spans="2:13" x14ac:dyDescent="0.3">
      <c r="B37" s="5" t="str">
        <f>IF(A37="","",((A37-#REF!)^2)/$F$3)</f>
        <v/>
      </c>
      <c r="E37" s="91" t="s">
        <v>135</v>
      </c>
      <c r="F37" s="91"/>
    </row>
    <row r="38" spans="2:13" x14ac:dyDescent="0.3">
      <c r="B38" s="5" t="str">
        <f>IF(A38="","",((A38-#REF!)^2)/$F$3)</f>
        <v/>
      </c>
      <c r="E38" t="s">
        <v>38</v>
      </c>
      <c r="F38">
        <f>'Single Column'!F21-(1.5*'Single Column'!F17)</f>
        <v>-5</v>
      </c>
      <c r="K38" s="61" t="s">
        <v>39</v>
      </c>
      <c r="L38" s="62"/>
      <c r="M38" s="63"/>
    </row>
    <row r="39" spans="2:13" x14ac:dyDescent="0.3">
      <c r="B39" s="5" t="str">
        <f>IF(A39="","",((A39-#REF!)^2)/$F$3)</f>
        <v/>
      </c>
      <c r="E39" t="s">
        <v>13</v>
      </c>
      <c r="F39">
        <f>'Single Column'!F19+(1.5*'Single Column'!F17)</f>
        <v>3</v>
      </c>
    </row>
    <row r="40" spans="2:13" x14ac:dyDescent="0.3">
      <c r="B40" s="5" t="str">
        <f>IF(A40="","",((A40-#REF!)^2)/$F$3)</f>
        <v/>
      </c>
    </row>
    <row r="41" spans="2:13" x14ac:dyDescent="0.3">
      <c r="B41" s="5" t="str">
        <f>IF(A41="","",((A41-#REF!)^2)/$F$3)</f>
        <v/>
      </c>
      <c r="E41"/>
      <c r="F41"/>
    </row>
    <row r="42" spans="2:13" x14ac:dyDescent="0.3">
      <c r="B42" s="5" t="str">
        <f>IF(A42="","",((A42-#REF!)^2)/$F$3)</f>
        <v/>
      </c>
    </row>
    <row r="43" spans="2:13" x14ac:dyDescent="0.3">
      <c r="B43" s="5" t="str">
        <f>IF(A43="","",((A43-#REF!)^2)/$F$3)</f>
        <v/>
      </c>
    </row>
    <row r="44" spans="2:13" x14ac:dyDescent="0.3">
      <c r="B44" s="5" t="str">
        <f>IF(A44="","",((A44-#REF!)^2)/$F$3)</f>
        <v/>
      </c>
    </row>
    <row r="45" spans="2:13" x14ac:dyDescent="0.3">
      <c r="B45" s="5" t="str">
        <f>IF(A45="","",((A45-#REF!)^2)/$F$3)</f>
        <v/>
      </c>
    </row>
    <row r="46" spans="2:13" x14ac:dyDescent="0.3">
      <c r="B46" s="5" t="str">
        <f>IF(A46="","",((A46-#REF!)^2)/$F$3)</f>
        <v/>
      </c>
    </row>
    <row r="47" spans="2:13" x14ac:dyDescent="0.3">
      <c r="B47" s="5" t="str">
        <f>IF(A47="","",((A47-#REF!)^2)/$F$3)</f>
        <v/>
      </c>
    </row>
    <row r="48" spans="2:13" x14ac:dyDescent="0.3">
      <c r="B48" s="5" t="str">
        <f>IF(A48="","",((A48-#REF!)^2)/$F$3)</f>
        <v/>
      </c>
    </row>
    <row r="49" spans="2:2" x14ac:dyDescent="0.3">
      <c r="B49" s="5" t="str">
        <f>IF(A49="","",((A49-#REF!)^2)/$F$3)</f>
        <v/>
      </c>
    </row>
    <row r="50" spans="2:2" x14ac:dyDescent="0.3">
      <c r="B50" s="5" t="str">
        <f>IF(A50="","",((A50-#REF!)^2)/$F$3)</f>
        <v/>
      </c>
    </row>
    <row r="51" spans="2:2" x14ac:dyDescent="0.3">
      <c r="B51" s="5" t="str">
        <f>IF(A51="","",((A51-#REF!)^2)/$F$3)</f>
        <v/>
      </c>
    </row>
    <row r="52" spans="2:2" x14ac:dyDescent="0.3">
      <c r="B52" s="5" t="str">
        <f>IF(A52="","",((A52-#REF!)^2)/$F$3)</f>
        <v/>
      </c>
    </row>
    <row r="53" spans="2:2" x14ac:dyDescent="0.3">
      <c r="B53" s="5" t="str">
        <f>IF(A53="","",((A53-#REF!)^2)/$F$3)</f>
        <v/>
      </c>
    </row>
    <row r="54" spans="2:2" x14ac:dyDescent="0.3">
      <c r="B54" s="5" t="str">
        <f>IF(A54="","",((A54-#REF!)^2)/$F$3)</f>
        <v/>
      </c>
    </row>
    <row r="55" spans="2:2" x14ac:dyDescent="0.3">
      <c r="B55" s="5" t="str">
        <f>IF(A55="","",((A55-#REF!)^2)/$F$3)</f>
        <v/>
      </c>
    </row>
    <row r="56" spans="2:2" x14ac:dyDescent="0.3">
      <c r="B56" s="5" t="str">
        <f>IF(A56="","",((A56-#REF!)^2)/$F$3)</f>
        <v/>
      </c>
    </row>
    <row r="57" spans="2:2" x14ac:dyDescent="0.3">
      <c r="B57" s="5" t="str">
        <f>IF(A57="","",((A57-#REF!)^2)/$F$3)</f>
        <v/>
      </c>
    </row>
    <row r="58" spans="2:2" x14ac:dyDescent="0.3">
      <c r="B58" s="5" t="str">
        <f>IF(A58="","",((A58-#REF!)^2)/$F$3)</f>
        <v/>
      </c>
    </row>
    <row r="59" spans="2:2" x14ac:dyDescent="0.3">
      <c r="B59" s="5" t="str">
        <f>IF(A59="","",((A59-#REF!)^2)/$F$3)</f>
        <v/>
      </c>
    </row>
    <row r="60" spans="2:2" x14ac:dyDescent="0.3">
      <c r="B60" s="5" t="str">
        <f>IF(A60="","",((A60-#REF!)^2)/$F$3)</f>
        <v/>
      </c>
    </row>
    <row r="61" spans="2:2" x14ac:dyDescent="0.3">
      <c r="B61" s="5" t="str">
        <f>IF(A61="","",((A61-#REF!)^2)/$F$3)</f>
        <v/>
      </c>
    </row>
    <row r="62" spans="2:2" x14ac:dyDescent="0.3">
      <c r="B62" s="5" t="str">
        <f>IF(A62="","",((A62-#REF!)^2)/$F$3)</f>
        <v/>
      </c>
    </row>
    <row r="63" spans="2:2" x14ac:dyDescent="0.3">
      <c r="B63" s="5" t="str">
        <f>IF(A63="","",((A63-#REF!)^2)/$F$3)</f>
        <v/>
      </c>
    </row>
    <row r="64" spans="2:2" x14ac:dyDescent="0.3">
      <c r="B64" s="5" t="str">
        <f>IF(A64="","",((A64-#REF!)^2)/$F$3)</f>
        <v/>
      </c>
    </row>
    <row r="65" spans="2:2" x14ac:dyDescent="0.3">
      <c r="B65" s="5" t="str">
        <f>IF(A65="","",((A65-#REF!)^2)/$F$3)</f>
        <v/>
      </c>
    </row>
    <row r="66" spans="2:2" x14ac:dyDescent="0.3">
      <c r="B66" s="5" t="str">
        <f>IF(A66="","",((A66-#REF!)^2)/$F$3)</f>
        <v/>
      </c>
    </row>
    <row r="67" spans="2:2" x14ac:dyDescent="0.3">
      <c r="B67" s="5" t="str">
        <f>IF(A67="","",((A67-#REF!)^2)/$F$3)</f>
        <v/>
      </c>
    </row>
    <row r="68" spans="2:2" x14ac:dyDescent="0.3">
      <c r="B68" s="5" t="str">
        <f>IF(A68="","",((A68-#REF!)^2)/$F$3)</f>
        <v/>
      </c>
    </row>
    <row r="69" spans="2:2" x14ac:dyDescent="0.3">
      <c r="B69" s="5" t="str">
        <f>IF(A69="","",((A69-#REF!)^2)/$F$3)</f>
        <v/>
      </c>
    </row>
    <row r="70" spans="2:2" x14ac:dyDescent="0.3">
      <c r="B70" s="5" t="str">
        <f>IF(A70="","",((A70-#REF!)^2)/$F$3)</f>
        <v/>
      </c>
    </row>
    <row r="71" spans="2:2" x14ac:dyDescent="0.3">
      <c r="B71" s="5" t="str">
        <f>IF(A71="","",((A71-#REF!)^2)/$F$3)</f>
        <v/>
      </c>
    </row>
    <row r="72" spans="2:2" x14ac:dyDescent="0.3">
      <c r="B72" s="5" t="str">
        <f>IF(A72="","",((A72-#REF!)^2)/$F$3)</f>
        <v/>
      </c>
    </row>
    <row r="73" spans="2:2" x14ac:dyDescent="0.3">
      <c r="B73" s="5" t="str">
        <f>IF(A73="","",((A73-#REF!)^2)/$F$3)</f>
        <v/>
      </c>
    </row>
    <row r="74" spans="2:2" x14ac:dyDescent="0.3">
      <c r="B74" s="5" t="str">
        <f>IF(A74="","",((A74-#REF!)^2)/$F$3)</f>
        <v/>
      </c>
    </row>
    <row r="75" spans="2:2" x14ac:dyDescent="0.3">
      <c r="B75" s="5" t="str">
        <f>IF(A75="","",((A75-#REF!)^2)/$F$3)</f>
        <v/>
      </c>
    </row>
    <row r="76" spans="2:2" x14ac:dyDescent="0.3">
      <c r="B76" s="5" t="str">
        <f>IF(A76="","",((A76-#REF!)^2)/$F$3)</f>
        <v/>
      </c>
    </row>
    <row r="77" spans="2:2" x14ac:dyDescent="0.3">
      <c r="B77" s="5" t="str">
        <f>IF(A77="","",((A77-#REF!)^2)/$F$3)</f>
        <v/>
      </c>
    </row>
    <row r="78" spans="2:2" x14ac:dyDescent="0.3">
      <c r="B78" s="5" t="str">
        <f>IF(A78="","",((A78-#REF!)^2)/$F$3)</f>
        <v/>
      </c>
    </row>
    <row r="79" spans="2:2" x14ac:dyDescent="0.3">
      <c r="B79" s="5" t="str">
        <f>IF(A79="","",((A79-#REF!)^2)/$F$3)</f>
        <v/>
      </c>
    </row>
    <row r="80" spans="2:2" x14ac:dyDescent="0.3">
      <c r="B80" s="5" t="str">
        <f>IF(A80="","",((A80-#REF!)^2)/$F$3)</f>
        <v/>
      </c>
    </row>
    <row r="81" spans="2:2" x14ac:dyDescent="0.3">
      <c r="B81" s="5" t="str">
        <f>IF(A81="","",((A81-#REF!)^2)/$F$3)</f>
        <v/>
      </c>
    </row>
    <row r="82" spans="2:2" x14ac:dyDescent="0.3">
      <c r="B82" s="5" t="str">
        <f>IF(A82="","",((A82-#REF!)^2)/$F$3)</f>
        <v/>
      </c>
    </row>
    <row r="83" spans="2:2" x14ac:dyDescent="0.3">
      <c r="B83" s="5" t="str">
        <f>IF(A83="","",((A83-#REF!)^2)/$F$3)</f>
        <v/>
      </c>
    </row>
    <row r="84" spans="2:2" x14ac:dyDescent="0.3">
      <c r="B84" s="5" t="str">
        <f>IF(A84="","",((A84-#REF!)^2)/$F$3)</f>
        <v/>
      </c>
    </row>
    <row r="85" spans="2:2" x14ac:dyDescent="0.3">
      <c r="B85" s="5" t="str">
        <f>IF(A85="","",((A85-#REF!)^2)/$F$3)</f>
        <v/>
      </c>
    </row>
    <row r="86" spans="2:2" x14ac:dyDescent="0.3">
      <c r="B86" s="5" t="str">
        <f>IF(A86="","",((A86-#REF!)^2)/$F$3)</f>
        <v/>
      </c>
    </row>
    <row r="87" spans="2:2" x14ac:dyDescent="0.3">
      <c r="B87" s="5" t="str">
        <f>IF(A87="","",((A87-#REF!)^2)/$F$3)</f>
        <v/>
      </c>
    </row>
    <row r="88" spans="2:2" x14ac:dyDescent="0.3">
      <c r="B88" s="5" t="str">
        <f>IF(A88="","",((A88-#REF!)^2)/$F$3)</f>
        <v/>
      </c>
    </row>
    <row r="89" spans="2:2" x14ac:dyDescent="0.3">
      <c r="B89" s="5" t="str">
        <f>IF(A89="","",((A89-#REF!)^2)/$F$3)</f>
        <v/>
      </c>
    </row>
    <row r="90" spans="2:2" x14ac:dyDescent="0.3">
      <c r="B90" s="5" t="str">
        <f>IF(A90="","",((A90-#REF!)^2)/$F$3)</f>
        <v/>
      </c>
    </row>
    <row r="91" spans="2:2" x14ac:dyDescent="0.3">
      <c r="B91" s="5" t="str">
        <f>IF(A91="","",((A91-#REF!)^2)/$F$3)</f>
        <v/>
      </c>
    </row>
    <row r="92" spans="2:2" x14ac:dyDescent="0.3">
      <c r="B92" s="5" t="str">
        <f>IF(A92="","",((A92-#REF!)^2)/$F$3)</f>
        <v/>
      </c>
    </row>
    <row r="93" spans="2:2" x14ac:dyDescent="0.3">
      <c r="B93" s="5" t="str">
        <f>IF(A93="","",((A93-#REF!)^2)/$F$3)</f>
        <v/>
      </c>
    </row>
    <row r="94" spans="2:2" x14ac:dyDescent="0.3">
      <c r="B94" s="5" t="str">
        <f>IF(A94="","",((A94-#REF!)^2)/$F$3)</f>
        <v/>
      </c>
    </row>
    <row r="95" spans="2:2" x14ac:dyDescent="0.3">
      <c r="B95" s="5" t="str">
        <f>IF(A95="","",((A95-#REF!)^2)/$F$3)</f>
        <v/>
      </c>
    </row>
    <row r="96" spans="2:2" x14ac:dyDescent="0.3">
      <c r="B96" s="5" t="str">
        <f>IF(A96="","",((A96-#REF!)^2)/$F$3)</f>
        <v/>
      </c>
    </row>
    <row r="97" spans="2:2" x14ac:dyDescent="0.3">
      <c r="B97" s="5" t="str">
        <f>IF(A97="","",((A97-#REF!)^2)/$F$3)</f>
        <v/>
      </c>
    </row>
    <row r="98" spans="2:2" x14ac:dyDescent="0.3">
      <c r="B98" s="5" t="str">
        <f>IF(A98="","",((A98-#REF!)^2)/$F$3)</f>
        <v/>
      </c>
    </row>
    <row r="99" spans="2:2" x14ac:dyDescent="0.3">
      <c r="B99" s="5" t="str">
        <f>IF(A99="","",((A99-#REF!)^2)/$F$3)</f>
        <v/>
      </c>
    </row>
    <row r="100" spans="2:2" x14ac:dyDescent="0.3">
      <c r="B100" s="5" t="str">
        <f>IF(A100="","",((A100-#REF!)^2)/$F$3)</f>
        <v/>
      </c>
    </row>
    <row r="101" spans="2:2" x14ac:dyDescent="0.3">
      <c r="B101" s="5" t="str">
        <f>IF(A101="","",((A101-#REF!)^2)/$F$3)</f>
        <v/>
      </c>
    </row>
  </sheetData>
  <sortState ref="A2:A102">
    <sortCondition ref="A1"/>
  </sortState>
  <mergeCells count="7">
    <mergeCell ref="E1:F1"/>
    <mergeCell ref="E32:F32"/>
    <mergeCell ref="E37:F37"/>
    <mergeCell ref="E24:F24"/>
    <mergeCell ref="E9:F9"/>
    <mergeCell ref="E16:F16"/>
    <mergeCell ref="E28:F28"/>
  </mergeCells>
  <conditionalFormatting sqref="A20:A31">
    <cfRule type="cellIs" dxfId="2" priority="2" operator="notBetween">
      <formula>$F$38</formula>
      <formula>$F$39</formula>
    </cfRule>
  </conditionalFormatting>
  <conditionalFormatting sqref="A2:A19">
    <cfRule type="cellIs" dxfId="1" priority="1" operator="equal">
      <formula>$D$22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A190-4987-4421-9D1B-757688E4B1B5}">
  <dimension ref="A1:O45"/>
  <sheetViews>
    <sheetView workbookViewId="0">
      <selection activeCell="D9" sqref="D9"/>
    </sheetView>
  </sheetViews>
  <sheetFormatPr defaultRowHeight="14.4" x14ac:dyDescent="0.3"/>
  <cols>
    <col min="1" max="1" width="13.109375" style="3" bestFit="1" customWidth="1"/>
    <col min="2" max="2" width="13.6640625" style="3" bestFit="1" customWidth="1"/>
    <col min="3" max="3" width="9.5546875" style="65" bestFit="1" customWidth="1"/>
    <col min="4" max="4" width="10.33203125" style="3" bestFit="1" customWidth="1"/>
  </cols>
  <sheetData>
    <row r="1" spans="1:6" s="37" customFormat="1" x14ac:dyDescent="0.3">
      <c r="A1" s="36" t="s">
        <v>157</v>
      </c>
      <c r="B1" s="36" t="s">
        <v>158</v>
      </c>
      <c r="C1" s="68"/>
      <c r="D1" s="36"/>
    </row>
    <row r="2" spans="1:6" x14ac:dyDescent="0.3">
      <c r="A2" s="3">
        <v>34</v>
      </c>
      <c r="B2" s="3">
        <v>7.7</v>
      </c>
      <c r="C2" s="69" t="s">
        <v>48</v>
      </c>
      <c r="D2" s="66" t="s">
        <v>49</v>
      </c>
    </row>
    <row r="3" spans="1:6" x14ac:dyDescent="0.3">
      <c r="A3" s="3">
        <v>36</v>
      </c>
      <c r="B3" s="3">
        <v>8</v>
      </c>
      <c r="C3" s="70" t="s">
        <v>0</v>
      </c>
      <c r="D3" s="3">
        <f>COUNT('Double Column'!A:A)</f>
        <v>5</v>
      </c>
      <c r="F3" t="s">
        <v>21</v>
      </c>
    </row>
    <row r="4" spans="1:6" x14ac:dyDescent="0.3">
      <c r="A4" s="3">
        <v>38</v>
      </c>
      <c r="B4" s="3">
        <v>8.4</v>
      </c>
      <c r="C4" s="65" t="s">
        <v>51</v>
      </c>
      <c r="D4" s="4">
        <f>SLOPE('Double Column'!B:B,'Double Column'!A:A)</f>
        <v>0.2577586206896551</v>
      </c>
      <c r="F4" t="s">
        <v>53</v>
      </c>
    </row>
    <row r="5" spans="1:6" x14ac:dyDescent="0.3">
      <c r="A5" s="3">
        <v>39</v>
      </c>
      <c r="B5" s="3">
        <v>9</v>
      </c>
      <c r="C5" s="65" t="s">
        <v>52</v>
      </c>
      <c r="D5" s="4">
        <f>INTERCEPT('Double Column'!B:B,'Double Column'!A:A)</f>
        <v>-1.1801724137931018</v>
      </c>
      <c r="F5" t="s">
        <v>54</v>
      </c>
    </row>
    <row r="6" spans="1:6" x14ac:dyDescent="0.3">
      <c r="A6" s="3">
        <v>40</v>
      </c>
      <c r="B6" s="3">
        <v>9.1999999999999993</v>
      </c>
      <c r="C6" s="65" t="s">
        <v>6</v>
      </c>
      <c r="D6" s="54">
        <v>40</v>
      </c>
      <c r="F6" t="s">
        <v>142</v>
      </c>
    </row>
    <row r="7" spans="1:6" x14ac:dyDescent="0.3">
      <c r="C7" s="65" t="s">
        <v>50</v>
      </c>
      <c r="D7" s="4">
        <f>(D4*D6)+D5</f>
        <v>9.1301724137931028</v>
      </c>
      <c r="E7" t="s">
        <v>155</v>
      </c>
      <c r="F7" t="s">
        <v>143</v>
      </c>
    </row>
    <row r="8" spans="1:6" x14ac:dyDescent="0.3">
      <c r="C8" s="65" t="s">
        <v>101</v>
      </c>
      <c r="D8" s="75">
        <f>((D3*D10)-(D11*D12))/(SQRT((D3*D13)-(D11^2))*SQRT((D3*D14)-(D12^2)))</f>
        <v>0.97184524550131679</v>
      </c>
      <c r="E8" s="3" t="s">
        <v>4</v>
      </c>
      <c r="F8" t="s">
        <v>56</v>
      </c>
    </row>
    <row r="9" spans="1:6" x14ac:dyDescent="0.3">
      <c r="C9" s="71" t="s">
        <v>55</v>
      </c>
      <c r="D9" s="4">
        <f>RSQ('Double Column'!B:B,'Double Column'!A:A)</f>
        <v>0.94448318120351626</v>
      </c>
      <c r="E9" s="3" t="s">
        <v>4</v>
      </c>
      <c r="F9" t="s">
        <v>107</v>
      </c>
    </row>
    <row r="10" spans="1:6" x14ac:dyDescent="0.3">
      <c r="C10" s="65" t="s">
        <v>144</v>
      </c>
      <c r="D10" s="3">
        <f>SUMPRODUCT('Double Column'!A:A,'Double Column'!B:B)</f>
        <v>1588</v>
      </c>
      <c r="E10" s="3" t="s">
        <v>4</v>
      </c>
      <c r="F10" t="s">
        <v>102</v>
      </c>
    </row>
    <row r="11" spans="1:6" x14ac:dyDescent="0.3">
      <c r="C11" s="65" t="s">
        <v>145</v>
      </c>
      <c r="D11" s="3">
        <f>SUM('Double Column'!A:A)</f>
        <v>187</v>
      </c>
      <c r="E11" s="3" t="s">
        <v>4</v>
      </c>
      <c r="F11" t="s">
        <v>103</v>
      </c>
    </row>
    <row r="12" spans="1:6" x14ac:dyDescent="0.3">
      <c r="C12" s="65" t="s">
        <v>146</v>
      </c>
      <c r="D12" s="3">
        <f>SUM('Double Column'!B:B)</f>
        <v>42.3</v>
      </c>
      <c r="E12" s="3" t="s">
        <v>4</v>
      </c>
      <c r="F12" t="s">
        <v>104</v>
      </c>
    </row>
    <row r="13" spans="1:6" x14ac:dyDescent="0.3">
      <c r="C13" s="65" t="s">
        <v>147</v>
      </c>
      <c r="D13" s="3">
        <f>SUMSQ('Double Column'!A:A)</f>
        <v>7017</v>
      </c>
      <c r="E13" s="3" t="s">
        <v>4</v>
      </c>
      <c r="F13" t="s">
        <v>105</v>
      </c>
    </row>
    <row r="14" spans="1:6" x14ac:dyDescent="0.3">
      <c r="C14" s="65" t="s">
        <v>148</v>
      </c>
      <c r="D14" s="3">
        <f>SUMSQ('Double Column'!B:B)</f>
        <v>359.49</v>
      </c>
      <c r="E14" s="3" t="s">
        <v>4</v>
      </c>
      <c r="F14" t="s">
        <v>106</v>
      </c>
    </row>
    <row r="15" spans="1:6" x14ac:dyDescent="0.3">
      <c r="E15" s="3" t="s">
        <v>4</v>
      </c>
    </row>
    <row r="16" spans="1:6" x14ac:dyDescent="0.3">
      <c r="B16"/>
      <c r="C16" s="93" t="s">
        <v>154</v>
      </c>
      <c r="D16" s="94"/>
      <c r="E16" s="3" t="s">
        <v>4</v>
      </c>
    </row>
    <row r="17" spans="3:15" x14ac:dyDescent="0.3">
      <c r="C17" s="65" t="s">
        <v>58</v>
      </c>
      <c r="D17" s="54">
        <v>9.1999999999999993</v>
      </c>
      <c r="E17" s="3" t="s">
        <v>4</v>
      </c>
    </row>
    <row r="18" spans="3:15" x14ac:dyDescent="0.3">
      <c r="C18" s="65" t="s">
        <v>57</v>
      </c>
      <c r="D18" s="4">
        <f>D7</f>
        <v>9.1301724137931028</v>
      </c>
      <c r="E18" s="30" t="s">
        <v>155</v>
      </c>
    </row>
    <row r="19" spans="3:15" x14ac:dyDescent="0.3">
      <c r="C19" s="65" t="s">
        <v>59</v>
      </c>
      <c r="D19" s="67">
        <f>D17-D18</f>
        <v>6.9827586206896441E-2</v>
      </c>
    </row>
    <row r="21" spans="3:15" x14ac:dyDescent="0.3">
      <c r="C21" s="93" t="s">
        <v>5</v>
      </c>
      <c r="D21" s="94"/>
    </row>
    <row r="22" spans="3:15" x14ac:dyDescent="0.3">
      <c r="C22" s="73" t="s">
        <v>151</v>
      </c>
      <c r="D22" s="74">
        <v>2013</v>
      </c>
      <c r="F22" s="45" t="s">
        <v>152</v>
      </c>
      <c r="G22" s="46"/>
      <c r="H22" s="46"/>
      <c r="I22" s="46"/>
      <c r="J22" s="46"/>
      <c r="K22" s="46"/>
      <c r="L22" s="46"/>
      <c r="M22" s="46"/>
      <c r="N22" s="46"/>
      <c r="O22" s="47"/>
    </row>
    <row r="23" spans="3:15" x14ac:dyDescent="0.3">
      <c r="C23" s="65" t="s">
        <v>150</v>
      </c>
      <c r="D23" s="54">
        <v>3</v>
      </c>
      <c r="F23" s="51" t="s">
        <v>153</v>
      </c>
      <c r="G23" s="52"/>
      <c r="H23" s="52"/>
      <c r="I23" s="52"/>
      <c r="J23" s="52"/>
      <c r="K23" s="52"/>
      <c r="L23" s="52"/>
      <c r="M23" s="52"/>
      <c r="N23" s="52"/>
      <c r="O23" s="53"/>
    </row>
    <row r="45" spans="3:3" x14ac:dyDescent="0.3">
      <c r="C45" s="72"/>
    </row>
  </sheetData>
  <mergeCells count="2">
    <mergeCell ref="C21:D21"/>
    <mergeCell ref="C16:D16"/>
  </mergeCells>
  <conditionalFormatting sqref="A1:A1048576">
    <cfRule type="cellIs" dxfId="0" priority="1" operator="equal">
      <formula>$D$22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73DE-AB8C-4514-947C-40EF9F82DD2A}">
  <dimension ref="A1:AS32"/>
  <sheetViews>
    <sheetView workbookViewId="0">
      <selection activeCell="I17" sqref="I17"/>
    </sheetView>
  </sheetViews>
  <sheetFormatPr defaultRowHeight="14.4" x14ac:dyDescent="0.3"/>
  <cols>
    <col min="1" max="2" width="12.5546875" style="3" bestFit="1" customWidth="1"/>
    <col min="3" max="3" width="10.33203125" style="3" bestFit="1" customWidth="1"/>
    <col min="4" max="4" width="14.44140625" bestFit="1" customWidth="1"/>
    <col min="6" max="6" width="12.5546875" bestFit="1" customWidth="1"/>
    <col min="7" max="8" width="12.5546875" customWidth="1"/>
    <col min="9" max="9" width="10.44140625" bestFit="1" customWidth="1"/>
    <col min="14" max="14" width="10.6640625" bestFit="1" customWidth="1"/>
    <col min="17" max="17" width="18.6640625" customWidth="1"/>
    <col min="18" max="18" width="12" bestFit="1" customWidth="1"/>
    <col min="19" max="19" width="11" bestFit="1" customWidth="1"/>
    <col min="24" max="24" width="15.33203125" customWidth="1"/>
    <col min="28" max="28" width="12.33203125" bestFit="1" customWidth="1"/>
    <col min="29" max="29" width="11.6640625" bestFit="1" customWidth="1"/>
    <col min="30" max="30" width="11.5546875" bestFit="1" customWidth="1"/>
    <col min="39" max="39" width="15.109375" bestFit="1" customWidth="1"/>
    <col min="43" max="43" width="12.6640625" bestFit="1" customWidth="1"/>
  </cols>
  <sheetData>
    <row r="1" spans="1:45" s="11" customFormat="1" x14ac:dyDescent="0.3">
      <c r="A1" s="35" t="s">
        <v>12</v>
      </c>
      <c r="B1" s="35" t="s">
        <v>13</v>
      </c>
      <c r="C1" s="35" t="s">
        <v>60</v>
      </c>
      <c r="D1" s="38" t="s">
        <v>149</v>
      </c>
      <c r="E1" s="33" t="s">
        <v>61</v>
      </c>
      <c r="F1" s="33" t="s">
        <v>62</v>
      </c>
      <c r="G1" s="33"/>
      <c r="H1" s="33" t="s">
        <v>111</v>
      </c>
      <c r="I1" s="95" t="s">
        <v>110</v>
      </c>
      <c r="J1" s="95"/>
      <c r="U1" s="11" t="s">
        <v>65</v>
      </c>
      <c r="V1" s="11" t="s">
        <v>66</v>
      </c>
      <c r="X1" s="11" t="s">
        <v>67</v>
      </c>
      <c r="AB1" s="11" t="s">
        <v>79</v>
      </c>
      <c r="AM1" s="11" t="s">
        <v>86</v>
      </c>
      <c r="AQ1" s="11" t="s">
        <v>89</v>
      </c>
    </row>
    <row r="2" spans="1:45" x14ac:dyDescent="0.3">
      <c r="A2" s="3">
        <v>61</v>
      </c>
      <c r="B2" s="3">
        <v>66</v>
      </c>
      <c r="C2" s="3">
        <v>2</v>
      </c>
      <c r="D2" s="31">
        <f t="shared" ref="D2:D30" si="0">IF(A2="","",AVERAGE(A2:B2))</f>
        <v>63.5</v>
      </c>
      <c r="E2">
        <f t="shared" ref="E2:E30" si="1">IF(C2="","",D2*C2)</f>
        <v>127</v>
      </c>
      <c r="F2" s="8">
        <f t="shared" ref="F2:F30" si="2">IF(C2="","",C2*(D2^2))</f>
        <v>8064.5</v>
      </c>
      <c r="G2" s="8"/>
      <c r="H2" s="8"/>
      <c r="I2" s="56" t="s">
        <v>138</v>
      </c>
      <c r="J2">
        <f>SUM(C:C)</f>
        <v>35</v>
      </c>
      <c r="U2">
        <v>36700</v>
      </c>
      <c r="V2">
        <v>21253</v>
      </c>
    </row>
    <row r="3" spans="1:45" x14ac:dyDescent="0.3">
      <c r="A3" s="3">
        <v>67</v>
      </c>
      <c r="B3" s="3">
        <v>72</v>
      </c>
      <c r="C3" s="3">
        <v>11</v>
      </c>
      <c r="D3" s="31">
        <f t="shared" si="0"/>
        <v>69.5</v>
      </c>
      <c r="E3">
        <f t="shared" si="1"/>
        <v>764.5</v>
      </c>
      <c r="F3" s="8">
        <f t="shared" si="2"/>
        <v>53132.75</v>
      </c>
      <c r="I3" t="s">
        <v>139</v>
      </c>
      <c r="J3">
        <f>SUM(E:E)</f>
        <v>2666.5</v>
      </c>
      <c r="U3">
        <v>30300</v>
      </c>
      <c r="V3">
        <v>21065</v>
      </c>
      <c r="X3" t="s">
        <v>68</v>
      </c>
      <c r="Y3" s="10">
        <f>AVERAGE(U:U)</f>
        <v>30763.636363636364</v>
      </c>
      <c r="AB3" t="s">
        <v>80</v>
      </c>
      <c r="AC3" s="2">
        <v>25700</v>
      </c>
      <c r="AM3" t="s">
        <v>87</v>
      </c>
      <c r="AN3" s="2">
        <v>27</v>
      </c>
      <c r="AQ3" t="s">
        <v>80</v>
      </c>
      <c r="AR3" s="2">
        <v>101</v>
      </c>
    </row>
    <row r="4" spans="1:45" x14ac:dyDescent="0.3">
      <c r="A4" s="3">
        <v>73</v>
      </c>
      <c r="B4" s="3">
        <v>78</v>
      </c>
      <c r="C4" s="3">
        <v>11</v>
      </c>
      <c r="D4" s="31">
        <f t="shared" si="0"/>
        <v>75.5</v>
      </c>
      <c r="E4">
        <f t="shared" si="1"/>
        <v>830.5</v>
      </c>
      <c r="F4" s="8">
        <f t="shared" si="2"/>
        <v>62702.75</v>
      </c>
      <c r="I4" t="s">
        <v>141</v>
      </c>
      <c r="J4">
        <f>J3^2</f>
        <v>7110222.25</v>
      </c>
      <c r="U4">
        <v>22800</v>
      </c>
      <c r="V4">
        <v>20747</v>
      </c>
      <c r="X4" t="s">
        <v>69</v>
      </c>
      <c r="Y4" s="10">
        <f>AVERAGE(V:V)</f>
        <v>23981.642857142859</v>
      </c>
      <c r="AB4" t="s">
        <v>64</v>
      </c>
      <c r="AC4" s="2">
        <v>1350</v>
      </c>
      <c r="AM4" t="s">
        <v>88</v>
      </c>
      <c r="AN4" s="2">
        <v>3</v>
      </c>
      <c r="AQ4" t="s">
        <v>64</v>
      </c>
      <c r="AR4" s="2">
        <v>12</v>
      </c>
    </row>
    <row r="5" spans="1:45" x14ac:dyDescent="0.3">
      <c r="A5" s="3">
        <v>79</v>
      </c>
      <c r="B5" s="3">
        <v>84</v>
      </c>
      <c r="C5" s="3">
        <v>3</v>
      </c>
      <c r="D5" s="31">
        <f t="shared" si="0"/>
        <v>81.5</v>
      </c>
      <c r="E5">
        <f t="shared" si="1"/>
        <v>244.5</v>
      </c>
      <c r="F5" s="8">
        <f t="shared" si="2"/>
        <v>19926.75</v>
      </c>
      <c r="I5" t="s">
        <v>140</v>
      </c>
      <c r="J5">
        <f>SUM(F:F)</f>
        <v>205076.75</v>
      </c>
      <c r="U5">
        <v>27700</v>
      </c>
      <c r="V5">
        <v>21905</v>
      </c>
      <c r="X5" t="s">
        <v>70</v>
      </c>
      <c r="Y5" s="10">
        <f>_xlfn.STDEV.P(U:U)</f>
        <v>5287.2527197320587</v>
      </c>
      <c r="AB5" t="s">
        <v>81</v>
      </c>
      <c r="AC5" s="2">
        <v>2</v>
      </c>
      <c r="AE5" t="s">
        <v>85</v>
      </c>
    </row>
    <row r="6" spans="1:45" x14ac:dyDescent="0.3">
      <c r="A6" s="3">
        <v>85</v>
      </c>
      <c r="B6" s="3">
        <v>90</v>
      </c>
      <c r="C6" s="3">
        <v>8</v>
      </c>
      <c r="D6" s="31">
        <f t="shared" si="0"/>
        <v>87.5</v>
      </c>
      <c r="E6">
        <f t="shared" si="1"/>
        <v>700</v>
      </c>
      <c r="F6" s="8">
        <f t="shared" si="2"/>
        <v>61250</v>
      </c>
      <c r="U6">
        <v>37700</v>
      </c>
      <c r="V6">
        <v>20546</v>
      </c>
      <c r="X6" t="s">
        <v>71</v>
      </c>
      <c r="Y6" s="10">
        <f>_xlfn.STDEV.P(V:V)</f>
        <v>5774.5700842714914</v>
      </c>
      <c r="AM6" t="s">
        <v>63</v>
      </c>
      <c r="AN6" s="9">
        <f>AN4/AN3</f>
        <v>0.1111111111111111</v>
      </c>
      <c r="AQ6" t="s">
        <v>91</v>
      </c>
      <c r="AR6" s="2">
        <v>77</v>
      </c>
    </row>
    <row r="7" spans="1:45" x14ac:dyDescent="0.3">
      <c r="D7" s="31" t="str">
        <f t="shared" si="0"/>
        <v/>
      </c>
      <c r="E7" t="str">
        <f t="shared" si="1"/>
        <v/>
      </c>
      <c r="F7" s="8" t="str">
        <f t="shared" si="2"/>
        <v/>
      </c>
      <c r="H7" t="s">
        <v>109</v>
      </c>
      <c r="I7" t="s">
        <v>7</v>
      </c>
      <c r="J7" s="23">
        <f>(J5-(J4/J2))/J2</f>
        <v>55.072653061224678</v>
      </c>
      <c r="U7">
        <v>39800</v>
      </c>
      <c r="V7">
        <v>21580</v>
      </c>
      <c r="X7" t="s">
        <v>72</v>
      </c>
      <c r="Y7" s="10">
        <f>_xlfn.STDEV.S(U:U)</f>
        <v>5545.317434966677</v>
      </c>
      <c r="AB7" t="s">
        <v>94</v>
      </c>
      <c r="AC7" s="27">
        <v>0</v>
      </c>
      <c r="AQ7" t="s">
        <v>90</v>
      </c>
      <c r="AR7" s="2">
        <v>125</v>
      </c>
    </row>
    <row r="8" spans="1:45" x14ac:dyDescent="0.3">
      <c r="D8" s="31" t="str">
        <f t="shared" si="0"/>
        <v/>
      </c>
      <c r="E8" t="str">
        <f t="shared" si="1"/>
        <v/>
      </c>
      <c r="F8" s="8" t="str">
        <f t="shared" si="2"/>
        <v/>
      </c>
      <c r="H8" t="s">
        <v>112</v>
      </c>
      <c r="I8" t="s">
        <v>7</v>
      </c>
      <c r="J8" s="26">
        <f>(J5-(J4/J2))/(J2-1)</f>
        <v>56.692436974790112</v>
      </c>
      <c r="U8">
        <v>27000</v>
      </c>
      <c r="V8">
        <v>22292</v>
      </c>
      <c r="X8" t="s">
        <v>73</v>
      </c>
      <c r="Y8" s="10">
        <f>_xlfn.STDEV.S(V:V)</f>
        <v>5992.5545805690344</v>
      </c>
      <c r="AB8" t="s">
        <v>95</v>
      </c>
      <c r="AC8" s="25">
        <v>0.75</v>
      </c>
    </row>
    <row r="9" spans="1:45" x14ac:dyDescent="0.3">
      <c r="D9" s="31" t="str">
        <f t="shared" si="0"/>
        <v/>
      </c>
      <c r="E9" t="str">
        <f t="shared" si="1"/>
        <v/>
      </c>
      <c r="F9" s="8" t="str">
        <f t="shared" si="2"/>
        <v/>
      </c>
      <c r="H9" t="s">
        <v>109</v>
      </c>
      <c r="I9" t="s">
        <v>8</v>
      </c>
      <c r="J9" s="24">
        <f>SQRT(J7)</f>
        <v>7.4210951389417366</v>
      </c>
      <c r="U9">
        <v>30100</v>
      </c>
      <c r="V9">
        <v>20072</v>
      </c>
      <c r="AB9" t="s">
        <v>96</v>
      </c>
      <c r="AC9" s="25">
        <v>0.88900000000000001</v>
      </c>
      <c r="AQ9" t="s">
        <v>92</v>
      </c>
      <c r="AR9">
        <f>(AR3-AR6)/AR4</f>
        <v>2</v>
      </c>
    </row>
    <row r="10" spans="1:45" x14ac:dyDescent="0.3">
      <c r="D10" s="31" t="str">
        <f t="shared" si="0"/>
        <v/>
      </c>
      <c r="E10" t="str">
        <f t="shared" si="1"/>
        <v/>
      </c>
      <c r="F10" s="8" t="str">
        <f t="shared" si="2"/>
        <v/>
      </c>
      <c r="H10" t="s">
        <v>112</v>
      </c>
      <c r="I10" t="s">
        <v>8</v>
      </c>
      <c r="J10" s="26">
        <f>SQRT(J8)</f>
        <v>7.5294380251643025</v>
      </c>
      <c r="U10">
        <v>33900</v>
      </c>
      <c r="V10">
        <v>20518</v>
      </c>
      <c r="X10" t="s">
        <v>74</v>
      </c>
      <c r="Y10" s="10">
        <f>Y5/Y3*100</f>
        <v>17.18669619298246</v>
      </c>
      <c r="AB10" t="s">
        <v>97</v>
      </c>
      <c r="AC10" s="25">
        <v>0.93799999999999994</v>
      </c>
    </row>
    <row r="11" spans="1:45" x14ac:dyDescent="0.3">
      <c r="D11" s="31" t="str">
        <f t="shared" si="0"/>
        <v/>
      </c>
      <c r="E11" t="str">
        <f t="shared" si="1"/>
        <v/>
      </c>
      <c r="F11" s="8" t="str">
        <f t="shared" si="2"/>
        <v/>
      </c>
      <c r="I11" t="s">
        <v>1</v>
      </c>
      <c r="J11" s="26">
        <f>J3/SUM(C:C)</f>
        <v>76.185714285714283</v>
      </c>
      <c r="U11">
        <v>24900</v>
      </c>
      <c r="V11">
        <v>20426</v>
      </c>
      <c r="X11" t="s">
        <v>75</v>
      </c>
      <c r="Y11" s="10">
        <f>Y6/Y4*100</f>
        <v>24.079126349559299</v>
      </c>
      <c r="AB11" t="s">
        <v>98</v>
      </c>
      <c r="AC11" s="25">
        <v>0.96</v>
      </c>
      <c r="AQ11" t="s">
        <v>93</v>
      </c>
      <c r="AR11" s="28">
        <v>0.5</v>
      </c>
    </row>
    <row r="12" spans="1:45" x14ac:dyDescent="0.3">
      <c r="D12" s="31" t="str">
        <f t="shared" si="0"/>
        <v/>
      </c>
      <c r="E12" t="str">
        <f t="shared" si="1"/>
        <v/>
      </c>
      <c r="F12" s="8" t="str">
        <f t="shared" si="2"/>
        <v/>
      </c>
      <c r="U12">
        <v>27500</v>
      </c>
      <c r="V12">
        <v>20839</v>
      </c>
      <c r="X12" t="s">
        <v>76</v>
      </c>
      <c r="Y12" s="10">
        <f>Y7/Y3*100</f>
        <v>18.025559038012247</v>
      </c>
      <c r="AC12" s="1"/>
      <c r="AQ12" t="s">
        <v>82</v>
      </c>
      <c r="AR12" s="28">
        <v>0.68</v>
      </c>
    </row>
    <row r="13" spans="1:45" x14ac:dyDescent="0.3">
      <c r="D13" s="31" t="str">
        <f t="shared" si="0"/>
        <v/>
      </c>
      <c r="E13" t="str">
        <f t="shared" si="1"/>
        <v/>
      </c>
      <c r="F13" s="8" t="str">
        <f t="shared" si="2"/>
        <v/>
      </c>
      <c r="V13">
        <v>37600</v>
      </c>
      <c r="Y13" t="s">
        <v>77</v>
      </c>
      <c r="Z13" s="10">
        <f>Y8/Y4*100</f>
        <v>24.98809033337001</v>
      </c>
      <c r="AR13" t="s">
        <v>83</v>
      </c>
      <c r="AS13" s="28">
        <v>0.95</v>
      </c>
    </row>
    <row r="14" spans="1:45" x14ac:dyDescent="0.3">
      <c r="D14" s="31" t="str">
        <f t="shared" si="0"/>
        <v/>
      </c>
      <c r="E14" t="str">
        <f t="shared" si="1"/>
        <v/>
      </c>
      <c r="F14" s="8" t="str">
        <f t="shared" si="2"/>
        <v/>
      </c>
      <c r="V14">
        <v>32700</v>
      </c>
      <c r="AC14" t="s">
        <v>63</v>
      </c>
      <c r="AD14" s="10">
        <f>(1-(1/(AC5^2)))*100</f>
        <v>75</v>
      </c>
      <c r="AR14" t="s">
        <v>84</v>
      </c>
      <c r="AS14" s="29">
        <v>0.997</v>
      </c>
    </row>
    <row r="15" spans="1:45" x14ac:dyDescent="0.3">
      <c r="D15" s="31" t="str">
        <f t="shared" si="0"/>
        <v/>
      </c>
      <c r="E15" t="str">
        <f t="shared" si="1"/>
        <v/>
      </c>
      <c r="F15" s="8" t="str">
        <f t="shared" si="2"/>
        <v/>
      </c>
      <c r="V15">
        <v>34200</v>
      </c>
      <c r="Y15" t="s">
        <v>78</v>
      </c>
    </row>
    <row r="16" spans="1:45" x14ac:dyDescent="0.3">
      <c r="D16" s="31" t="str">
        <f t="shared" si="0"/>
        <v/>
      </c>
      <c r="E16" t="str">
        <f t="shared" si="1"/>
        <v/>
      </c>
      <c r="F16" s="8" t="str">
        <f t="shared" si="2"/>
        <v/>
      </c>
      <c r="AD16" t="s">
        <v>38</v>
      </c>
      <c r="AE16" t="s">
        <v>47</v>
      </c>
    </row>
    <row r="17" spans="1:31" x14ac:dyDescent="0.3">
      <c r="D17" s="31" t="str">
        <f t="shared" si="0"/>
        <v/>
      </c>
      <c r="E17" t="str">
        <f t="shared" si="1"/>
        <v/>
      </c>
      <c r="F17" s="8" t="str">
        <f t="shared" si="2"/>
        <v/>
      </c>
      <c r="AC17" t="s">
        <v>82</v>
      </c>
      <c r="AD17" s="6">
        <f>AC3-AC4</f>
        <v>24350</v>
      </c>
      <c r="AE17" s="6">
        <f>AC3+AC4</f>
        <v>27050</v>
      </c>
    </row>
    <row r="18" spans="1:31" x14ac:dyDescent="0.3">
      <c r="D18" s="31" t="str">
        <f t="shared" si="0"/>
        <v/>
      </c>
      <c r="E18" t="str">
        <f t="shared" si="1"/>
        <v/>
      </c>
      <c r="F18" s="8" t="str">
        <f t="shared" si="2"/>
        <v/>
      </c>
      <c r="AC18" t="s">
        <v>83</v>
      </c>
      <c r="AD18" s="6">
        <f>AC3-(AC4*2)</f>
        <v>23000</v>
      </c>
      <c r="AE18" s="6">
        <f>AC3+(AC4*2)</f>
        <v>28400</v>
      </c>
    </row>
    <row r="19" spans="1:31" x14ac:dyDescent="0.3">
      <c r="D19" s="31" t="str">
        <f t="shared" si="0"/>
        <v/>
      </c>
      <c r="E19" t="str">
        <f t="shared" si="1"/>
        <v/>
      </c>
      <c r="F19" s="8" t="str">
        <f t="shared" si="2"/>
        <v/>
      </c>
      <c r="AC19" t="s">
        <v>84</v>
      </c>
      <c r="AD19" s="6">
        <f>AC3-(AC4*3)</f>
        <v>21650</v>
      </c>
      <c r="AE19" s="6">
        <f>AC3+(AC4*3)</f>
        <v>29750</v>
      </c>
    </row>
    <row r="20" spans="1:31" x14ac:dyDescent="0.3">
      <c r="D20" s="31" t="str">
        <f t="shared" si="0"/>
        <v/>
      </c>
      <c r="E20" t="str">
        <f t="shared" si="1"/>
        <v/>
      </c>
      <c r="F20" s="8" t="str">
        <f t="shared" si="2"/>
        <v/>
      </c>
    </row>
    <row r="21" spans="1:31" x14ac:dyDescent="0.3">
      <c r="D21" s="31" t="str">
        <f t="shared" si="0"/>
        <v/>
      </c>
      <c r="E21" t="str">
        <f t="shared" si="1"/>
        <v/>
      </c>
      <c r="F21" s="8" t="str">
        <f t="shared" si="2"/>
        <v/>
      </c>
    </row>
    <row r="22" spans="1:31" x14ac:dyDescent="0.3">
      <c r="D22" s="31" t="str">
        <f t="shared" si="0"/>
        <v/>
      </c>
      <c r="E22" t="str">
        <f t="shared" si="1"/>
        <v/>
      </c>
      <c r="F22" s="8" t="str">
        <f t="shared" si="2"/>
        <v/>
      </c>
    </row>
    <row r="23" spans="1:31" x14ac:dyDescent="0.3">
      <c r="D23" s="31" t="str">
        <f t="shared" si="0"/>
        <v/>
      </c>
      <c r="E23" t="str">
        <f t="shared" si="1"/>
        <v/>
      </c>
      <c r="F23" s="8" t="str">
        <f t="shared" si="2"/>
        <v/>
      </c>
    </row>
    <row r="24" spans="1:31" x14ac:dyDescent="0.3">
      <c r="D24" s="31" t="str">
        <f t="shared" si="0"/>
        <v/>
      </c>
      <c r="E24" t="str">
        <f t="shared" si="1"/>
        <v/>
      </c>
      <c r="F24" s="8" t="str">
        <f t="shared" si="2"/>
        <v/>
      </c>
    </row>
    <row r="25" spans="1:31" x14ac:dyDescent="0.3">
      <c r="D25" s="31" t="str">
        <f t="shared" si="0"/>
        <v/>
      </c>
      <c r="E25" t="str">
        <f t="shared" si="1"/>
        <v/>
      </c>
      <c r="F25" s="8" t="str">
        <f t="shared" si="2"/>
        <v/>
      </c>
    </row>
    <row r="26" spans="1:31" x14ac:dyDescent="0.3">
      <c r="D26" s="31" t="str">
        <f t="shared" si="0"/>
        <v/>
      </c>
      <c r="E26" t="str">
        <f t="shared" si="1"/>
        <v/>
      </c>
      <c r="F26" s="8" t="str">
        <f t="shared" si="2"/>
        <v/>
      </c>
    </row>
    <row r="27" spans="1:31" x14ac:dyDescent="0.3">
      <c r="D27" s="31" t="str">
        <f t="shared" si="0"/>
        <v/>
      </c>
      <c r="E27" t="str">
        <f t="shared" si="1"/>
        <v/>
      </c>
      <c r="F27" s="8" t="str">
        <f t="shared" si="2"/>
        <v/>
      </c>
    </row>
    <row r="28" spans="1:31" x14ac:dyDescent="0.3">
      <c r="D28" s="31" t="str">
        <f t="shared" si="0"/>
        <v/>
      </c>
      <c r="E28" t="str">
        <f t="shared" si="1"/>
        <v/>
      </c>
      <c r="F28" s="8" t="str">
        <f t="shared" si="2"/>
        <v/>
      </c>
    </row>
    <row r="29" spans="1:31" x14ac:dyDescent="0.3">
      <c r="D29" s="31" t="str">
        <f t="shared" si="0"/>
        <v/>
      </c>
      <c r="E29" t="str">
        <f t="shared" si="1"/>
        <v/>
      </c>
      <c r="F29" s="8" t="str">
        <f t="shared" si="2"/>
        <v/>
      </c>
    </row>
    <row r="30" spans="1:31" x14ac:dyDescent="0.3">
      <c r="D30" s="31" t="str">
        <f t="shared" si="0"/>
        <v/>
      </c>
      <c r="E30" t="str">
        <f t="shared" si="1"/>
        <v/>
      </c>
      <c r="F30" s="8" t="str">
        <f t="shared" si="2"/>
        <v/>
      </c>
    </row>
    <row r="31" spans="1:31" x14ac:dyDescent="0.3">
      <c r="D31" s="34"/>
    </row>
    <row r="32" spans="1:31" x14ac:dyDescent="0.3">
      <c r="A32" s="39"/>
      <c r="B32" s="39"/>
      <c r="C32" s="39"/>
      <c r="D32" s="32"/>
      <c r="E32" s="32"/>
      <c r="F32" s="32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Column</vt:lpstr>
      <vt:lpstr>Single Column</vt:lpstr>
      <vt:lpstr>Double Column</vt:lpstr>
      <vt:lpstr>Triple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Naudrey</dc:creator>
  <cp:lastModifiedBy>Naudrey</cp:lastModifiedBy>
  <dcterms:created xsi:type="dcterms:W3CDTF">2018-10-12T23:53:13Z</dcterms:created>
  <dcterms:modified xsi:type="dcterms:W3CDTF">2018-11-04T21:39:02Z</dcterms:modified>
</cp:coreProperties>
</file>