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Yassin\workspaceJBoss\PFE_GP\WebContent\Planification\template\"/>
    </mc:Choice>
  </mc:AlternateContent>
  <bookViews>
    <workbookView xWindow="0" yWindow="0" windowWidth="20490" windowHeight="7755" tabRatio="614" firstSheet="3" activeTab="3"/>
  </bookViews>
  <sheets>
    <sheet name="etat du stock" sheetId="10" state="hidden" r:id="rId1"/>
    <sheet name="Extraction L3ps" sheetId="9" state="hidden" r:id="rId2"/>
    <sheet name="couverture X52" sheetId="16" state="hidden" r:id="rId3"/>
    <sheet name="Affectation moule machine" sheetId="29" r:id="rId4"/>
    <sheet name="Identification" sheetId="31" state="hidden" r:id="rId5"/>
    <sheet name="etat du stock TEST" sheetId="28" state="hidden" r:id="rId6"/>
    <sheet name="Planning assemblage X52" sheetId="27" state="hidden" r:id="rId7"/>
    <sheet name="EXRACTION X52" sheetId="12" state="hidden" r:id="rId8"/>
    <sheet name="Feuil1" sheetId="18" state="hidden" r:id="rId9"/>
    <sheet name="Capacité" sheetId="19" state="hidden" r:id="rId10"/>
    <sheet name="Affectation" sheetId="22" state="hidden" r:id="rId11"/>
    <sheet name="Feuil3" sheetId="21" state="hidden" r:id="rId12"/>
    <sheet name="Livraison" sheetId="20" state="hidden" r:id="rId13"/>
    <sheet name="Source" sheetId="23" state="hidden" r:id="rId14"/>
    <sheet name="Feuil2" sheetId="25" state="hidden" r:id="rId15"/>
    <sheet name="Feuil4" sheetId="26" state="hidden" r:id="rId16"/>
    <sheet name="Couverture Machine" sheetId="17" state="hidden" r:id="rId17"/>
  </sheets>
  <definedNames>
    <definedName name="_xlnm._FilterDatabase" localSheetId="3" hidden="1">'Affectation moule machine'!#REF!</definedName>
    <definedName name="_xlnm._FilterDatabase" localSheetId="9" hidden="1">Capacité!$A$5:$O$113</definedName>
    <definedName name="_xlnm._FilterDatabase" localSheetId="16" hidden="1">'Couverture Machine'!$A$5:$Q$113</definedName>
    <definedName name="_xlnm._FilterDatabase" localSheetId="0" hidden="1">'etat du stock'!$G$1:$G$74</definedName>
    <definedName name="_xlnm._FilterDatabase" localSheetId="5" hidden="1">'etat du stock TEST'!$G$1:$G$75</definedName>
    <definedName name="_xlnm._FilterDatabase" localSheetId="4" hidden="1">Identification!$D$2:$D$74</definedName>
    <definedName name="_xlnm.Print_Titles" localSheetId="9">Capacité!$A:$E</definedName>
    <definedName name="_xlnm.Print_Titles" localSheetId="16">'Couverture Machine'!$A:$G</definedName>
    <definedName name="_xlnm.Print_Area" localSheetId="10">Affectation!$A$1:$Y$30</definedName>
    <definedName name="_xlnm.Print_Area" localSheetId="3">'Affectation moule machine'!$A$1:$M$38</definedName>
    <definedName name="_xlnm.Print_Area" localSheetId="9">Capacité!$A$1:$BY$196</definedName>
    <definedName name="_xlnm.Print_Area" localSheetId="16">'Couverture Machine'!$A$1:$Q$190</definedName>
    <definedName name="_xlnm.Print_Area" localSheetId="2">'couverture X52'!$A$2:$EL$22</definedName>
    <definedName name="_xlnm.Print_Area" localSheetId="0">'etat du stock'!$A$1:$AA$73</definedName>
    <definedName name="_xlnm.Print_Area" localSheetId="5">'etat du stock TEST'!$A$1:$BB$74</definedName>
    <definedName name="_xlnm.Print_Area" localSheetId="7">'EXRACTION X52'!$A$1:$AM$11</definedName>
    <definedName name="_xlnm.Print_Area" localSheetId="1">'Extraction L3ps'!$A$1:$H$58</definedName>
    <definedName name="_xlnm.Print_Area" localSheetId="8">Feuil1!$A$1:$K$13</definedName>
    <definedName name="_xlnm.Print_Area" localSheetId="11">Feuil3!$A$5:$F$11</definedName>
    <definedName name="_xlnm.Print_Area" localSheetId="4">Identification!$A$2:$M$69</definedName>
    <definedName name="_xlnm.Print_Area" localSheetId="12">Livraison!$B$2:$K$17</definedName>
    <definedName name="_xlnm.Print_Area" localSheetId="6">'Planning assemblage X52'!$A$1:$AT$13</definedName>
  </definedNames>
  <calcPr calcId="152511"/>
</workbook>
</file>

<file path=xl/calcChain.xml><?xml version="1.0" encoding="utf-8"?>
<calcChain xmlns="http://schemas.openxmlformats.org/spreadsheetml/2006/main">
  <c r="E6" i="16" l="1"/>
  <c r="E18" i="16"/>
  <c r="E7" i="16"/>
  <c r="E8" i="16"/>
  <c r="E3" i="9"/>
  <c r="EH13" i="16"/>
  <c r="EJ13" i="16"/>
  <c r="EH15" i="16"/>
  <c r="EJ15" i="16"/>
  <c r="EH18" i="16"/>
  <c r="EJ18" i="16"/>
  <c r="EH19" i="16"/>
  <c r="EJ19" i="16"/>
  <c r="EH20" i="16"/>
  <c r="EJ20" i="16"/>
  <c r="EH21" i="16"/>
  <c r="EJ21" i="16"/>
  <c r="EH22" i="16"/>
  <c r="EJ22" i="16"/>
  <c r="EF13" i="16"/>
  <c r="EF15" i="16"/>
  <c r="EF18" i="16"/>
  <c r="EF19" i="16"/>
  <c r="EF20" i="16"/>
  <c r="EF21" i="16"/>
  <c r="EF22" i="16"/>
  <c r="C49" i="9"/>
  <c r="D49" i="9"/>
  <c r="E49" i="9"/>
  <c r="F49" i="9"/>
  <c r="C50" i="9"/>
  <c r="D50" i="9"/>
  <c r="E50" i="9"/>
  <c r="F50" i="9"/>
  <c r="C51" i="9"/>
  <c r="D51" i="9"/>
  <c r="E51" i="9"/>
  <c r="F51" i="9"/>
  <c r="C52" i="9"/>
  <c r="D52" i="9"/>
  <c r="E52" i="9"/>
  <c r="F52" i="9"/>
  <c r="C53" i="9"/>
  <c r="D53" i="9"/>
  <c r="E53" i="9"/>
  <c r="F53" i="9"/>
  <c r="C54" i="9"/>
  <c r="D54" i="9"/>
  <c r="E54" i="9"/>
  <c r="F54" i="9"/>
  <c r="C55" i="9"/>
  <c r="D55" i="9"/>
  <c r="E55" i="9"/>
  <c r="F55" i="9"/>
  <c r="C56" i="9"/>
  <c r="D56" i="9"/>
  <c r="E56" i="9"/>
  <c r="F56" i="9"/>
  <c r="C57" i="9"/>
  <c r="D57" i="9"/>
  <c r="E57" i="9"/>
  <c r="F57" i="9"/>
  <c r="C58" i="9"/>
  <c r="D58" i="9"/>
  <c r="E58" i="9"/>
  <c r="F58" i="9"/>
  <c r="C24" i="9"/>
  <c r="D24" i="9"/>
  <c r="E24" i="9"/>
  <c r="F24" i="9"/>
  <c r="C25" i="9"/>
  <c r="D25" i="9"/>
  <c r="E25" i="9"/>
  <c r="F25" i="9"/>
  <c r="C26" i="9"/>
  <c r="D26" i="9"/>
  <c r="E26" i="9"/>
  <c r="F26" i="9"/>
  <c r="C27" i="9"/>
  <c r="D27" i="9"/>
  <c r="E27" i="9"/>
  <c r="F27" i="9"/>
  <c r="C28" i="9"/>
  <c r="D28" i="9"/>
  <c r="E28" i="9"/>
  <c r="F28" i="9"/>
  <c r="C29" i="9"/>
  <c r="D29" i="9"/>
  <c r="E29" i="9"/>
  <c r="F29" i="9"/>
  <c r="C30" i="9"/>
  <c r="D30" i="9"/>
  <c r="E30" i="9"/>
  <c r="F30" i="9"/>
  <c r="C31" i="9"/>
  <c r="D31" i="9"/>
  <c r="E31" i="9"/>
  <c r="F31" i="9"/>
  <c r="C32" i="9"/>
  <c r="D32" i="9"/>
  <c r="E32" i="9"/>
  <c r="F32" i="9"/>
  <c r="ED13" i="16"/>
  <c r="ED15" i="16"/>
  <c r="ED18" i="16"/>
  <c r="ED19" i="16"/>
  <c r="ED20" i="16"/>
  <c r="ED21" i="16"/>
  <c r="ED22" i="16"/>
  <c r="EB13" i="16"/>
  <c r="EB15" i="16"/>
  <c r="EB18" i="16"/>
  <c r="EB19" i="16"/>
  <c r="EB20" i="16"/>
  <c r="EB21" i="16"/>
  <c r="EB22" i="16"/>
  <c r="DZ13" i="16"/>
  <c r="DZ15" i="16"/>
  <c r="DZ18" i="16"/>
  <c r="DZ19" i="16"/>
  <c r="DZ20" i="16"/>
  <c r="DZ21" i="16"/>
  <c r="DZ22" i="16"/>
  <c r="DX13" i="16"/>
  <c r="DX15" i="16"/>
  <c r="DX18" i="16"/>
  <c r="DX19" i="16"/>
  <c r="DX20" i="16"/>
  <c r="DX21" i="16"/>
  <c r="DX22" i="16"/>
  <c r="DT13" i="16"/>
  <c r="DT15" i="16"/>
  <c r="DV15" i="16"/>
  <c r="DT18" i="16"/>
  <c r="DV18" i="16"/>
  <c r="DT19" i="16"/>
  <c r="DV19" i="16"/>
  <c r="DT20" i="16"/>
  <c r="DV20" i="16"/>
  <c r="DT21" i="16"/>
  <c r="DV21" i="16"/>
  <c r="DT22" i="16"/>
  <c r="DV22" i="16"/>
  <c r="DR13" i="16"/>
  <c r="DR15" i="16"/>
  <c r="DR18" i="16"/>
  <c r="DR19" i="16"/>
  <c r="DR20" i="16"/>
  <c r="DR21" i="16"/>
  <c r="DR22" i="16"/>
  <c r="DJ15" i="16"/>
  <c r="DH15" i="16"/>
  <c r="DL15" i="16"/>
  <c r="DN15" i="16"/>
  <c r="DP15" i="16"/>
  <c r="DF15" i="16"/>
  <c r="N15" i="16"/>
  <c r="P15" i="16"/>
  <c r="BF15" i="16"/>
  <c r="CF15" i="16"/>
  <c r="CJ15" i="16"/>
  <c r="CN15" i="16"/>
  <c r="CR15" i="16"/>
  <c r="I68" i="10"/>
  <c r="K68" i="10" s="1"/>
  <c r="I30" i="10"/>
  <c r="K30" i="10" s="1"/>
  <c r="I15" i="10"/>
  <c r="AB18" i="10"/>
  <c r="AB23" i="10"/>
  <c r="I23" i="10"/>
  <c r="K23" i="10" s="1"/>
  <c r="L23" i="10" s="1"/>
  <c r="I67" i="10"/>
  <c r="I66" i="10"/>
  <c r="K66" i="10"/>
  <c r="L66" i="10"/>
  <c r="G11" i="16"/>
  <c r="K15" i="10"/>
  <c r="F30" i="31"/>
  <c r="F29" i="31"/>
  <c r="F69" i="31"/>
  <c r="I69" i="31" s="1"/>
  <c r="L69" i="31" s="1"/>
  <c r="F68" i="31"/>
  <c r="I68" i="31"/>
  <c r="L68" i="31" s="1"/>
  <c r="F67" i="31"/>
  <c r="I67" i="31" s="1"/>
  <c r="L67" i="31" s="1"/>
  <c r="F66" i="31"/>
  <c r="I66" i="31"/>
  <c r="L66" i="31" s="1"/>
  <c r="F65" i="31"/>
  <c r="F19" i="31"/>
  <c r="F18" i="31"/>
  <c r="F17" i="31"/>
  <c r="F28" i="31"/>
  <c r="F27" i="31"/>
  <c r="F64" i="31"/>
  <c r="I64" i="31" s="1"/>
  <c r="L64" i="31" s="1"/>
  <c r="F63" i="31"/>
  <c r="I63" i="31"/>
  <c r="L63" i="31" s="1"/>
  <c r="F16" i="31"/>
  <c r="F62" i="31"/>
  <c r="I62" i="31"/>
  <c r="L62" i="31" s="1"/>
  <c r="F61" i="31"/>
  <c r="I61" i="31" s="1"/>
  <c r="L61" i="31"/>
  <c r="F60" i="31"/>
  <c r="I60" i="31"/>
  <c r="L60" i="31" s="1"/>
  <c r="F59" i="31"/>
  <c r="I59" i="31" s="1"/>
  <c r="L59" i="31" s="1"/>
  <c r="F58" i="31"/>
  <c r="I58" i="31"/>
  <c r="L58" i="31" s="1"/>
  <c r="F57" i="31"/>
  <c r="I57" i="31" s="1"/>
  <c r="L57" i="31" s="1"/>
  <c r="F56" i="31"/>
  <c r="I56" i="31"/>
  <c r="L56" i="31" s="1"/>
  <c r="F55" i="31"/>
  <c r="I55" i="31" s="1"/>
  <c r="L55" i="31" s="1"/>
  <c r="F54" i="31"/>
  <c r="I54" i="31"/>
  <c r="L54" i="31" s="1"/>
  <c r="F53" i="31"/>
  <c r="I53" i="31" s="1"/>
  <c r="L53" i="31"/>
  <c r="F52" i="31"/>
  <c r="I52" i="31"/>
  <c r="L52" i="31" s="1"/>
  <c r="F51" i="31"/>
  <c r="I51" i="31" s="1"/>
  <c r="L51" i="31" s="1"/>
  <c r="F50" i="31"/>
  <c r="I50" i="31"/>
  <c r="L50" i="31" s="1"/>
  <c r="F49" i="31"/>
  <c r="I49" i="31" s="1"/>
  <c r="L49" i="31" s="1"/>
  <c r="F48" i="31"/>
  <c r="I48" i="31"/>
  <c r="L48" i="31" s="1"/>
  <c r="F47" i="31"/>
  <c r="I47" i="31" s="1"/>
  <c r="L47" i="31" s="1"/>
  <c r="F46" i="31"/>
  <c r="G46" i="31"/>
  <c r="F45" i="31"/>
  <c r="I45" i="31"/>
  <c r="L45" i="31" s="1"/>
  <c r="F44" i="31"/>
  <c r="I44" i="31" s="1"/>
  <c r="L44" i="31" s="1"/>
  <c r="F43" i="31"/>
  <c r="I43" i="31"/>
  <c r="L43" i="31" s="1"/>
  <c r="F42" i="31"/>
  <c r="G42" i="31" s="1"/>
  <c r="F41" i="31"/>
  <c r="I41" i="31" s="1"/>
  <c r="L41" i="31" s="1"/>
  <c r="F15" i="31"/>
  <c r="G15" i="31"/>
  <c r="F14" i="31"/>
  <c r="G14" i="31"/>
  <c r="F40" i="31"/>
  <c r="G40" i="31"/>
  <c r="F39" i="31"/>
  <c r="G39" i="31"/>
  <c r="F38" i="31"/>
  <c r="G38" i="31"/>
  <c r="F26" i="31"/>
  <c r="G26" i="31"/>
  <c r="F25" i="31"/>
  <c r="G25" i="31"/>
  <c r="F24" i="31"/>
  <c r="G24" i="31"/>
  <c r="F37" i="31"/>
  <c r="G37" i="31"/>
  <c r="F13" i="31"/>
  <c r="F23" i="31"/>
  <c r="G23" i="31" s="1"/>
  <c r="F22" i="31"/>
  <c r="G22" i="31" s="1"/>
  <c r="F36" i="31"/>
  <c r="G36" i="31" s="1"/>
  <c r="F35" i="31"/>
  <c r="I35" i="31" s="1"/>
  <c r="L35" i="31" s="1"/>
  <c r="F34" i="31"/>
  <c r="I34" i="31"/>
  <c r="L34" i="31" s="1"/>
  <c r="F33" i="31"/>
  <c r="I33" i="31" s="1"/>
  <c r="L33" i="31"/>
  <c r="F12" i="31"/>
  <c r="G12" i="31"/>
  <c r="F11" i="31"/>
  <c r="G11" i="31"/>
  <c r="F21" i="31"/>
  <c r="G21" i="31"/>
  <c r="F20" i="31"/>
  <c r="G20" i="31"/>
  <c r="F32" i="31"/>
  <c r="I32" i="31"/>
  <c r="L32" i="31" s="1"/>
  <c r="F31" i="31"/>
  <c r="I31" i="31" s="1"/>
  <c r="L31" i="31" s="1"/>
  <c r="F10" i="31"/>
  <c r="I10" i="31"/>
  <c r="L10" i="31" s="1"/>
  <c r="F9" i="31"/>
  <c r="I9" i="31" s="1"/>
  <c r="L9" i="31" s="1"/>
  <c r="F8" i="31"/>
  <c r="I8" i="31"/>
  <c r="L8" i="31" s="1"/>
  <c r="F7" i="31"/>
  <c r="I7" i="31" s="1"/>
  <c r="L7" i="31" s="1"/>
  <c r="F6" i="31"/>
  <c r="I6" i="31"/>
  <c r="L6" i="31" s="1"/>
  <c r="F5" i="31"/>
  <c r="I5" i="31"/>
  <c r="L5" i="31"/>
  <c r="F4" i="31"/>
  <c r="I4" i="31"/>
  <c r="L4" i="31"/>
  <c r="F3" i="31"/>
  <c r="I3" i="31" s="1"/>
  <c r="L3" i="31" s="1"/>
  <c r="DP13" i="16"/>
  <c r="DP18" i="16"/>
  <c r="DP19" i="16"/>
  <c r="DP20" i="16"/>
  <c r="DP21" i="16"/>
  <c r="DP22" i="16"/>
  <c r="DN13" i="16"/>
  <c r="DN18" i="16"/>
  <c r="DN19" i="16"/>
  <c r="DN20" i="16"/>
  <c r="DN21" i="16"/>
  <c r="DN22" i="16"/>
  <c r="DL13" i="16"/>
  <c r="DL18" i="16"/>
  <c r="DL19" i="16"/>
  <c r="DL20" i="16"/>
  <c r="DL21" i="16"/>
  <c r="DL22" i="16"/>
  <c r="I31" i="10"/>
  <c r="I32" i="10"/>
  <c r="I57" i="10"/>
  <c r="G6" i="16"/>
  <c r="Y23" i="10"/>
  <c r="V23" i="10"/>
  <c r="S23" i="10"/>
  <c r="Y18" i="10"/>
  <c r="I37" i="10"/>
  <c r="DJ13" i="16"/>
  <c r="DJ18" i="16"/>
  <c r="DJ19" i="16"/>
  <c r="DJ20" i="16"/>
  <c r="DJ21" i="16"/>
  <c r="DJ22" i="16"/>
  <c r="DH13" i="16"/>
  <c r="DH18" i="16"/>
  <c r="DH19" i="16"/>
  <c r="DH20" i="16"/>
  <c r="DH21" i="16"/>
  <c r="DH22" i="16"/>
  <c r="V18" i="10"/>
  <c r="K39" i="10"/>
  <c r="K34" i="10"/>
  <c r="N34" i="10" s="1"/>
  <c r="O34" i="10" s="1"/>
  <c r="K26" i="10"/>
  <c r="L26" i="10"/>
  <c r="K21" i="10"/>
  <c r="L21" i="10" s="1"/>
  <c r="K22" i="10"/>
  <c r="K49" i="10"/>
  <c r="L49" i="10" s="1"/>
  <c r="K17" i="10"/>
  <c r="L17" i="10"/>
  <c r="DF13" i="16"/>
  <c r="DF18" i="16"/>
  <c r="DF19" i="16"/>
  <c r="DF20" i="16"/>
  <c r="DF21" i="16"/>
  <c r="DF22" i="16"/>
  <c r="DD13" i="16"/>
  <c r="DD15" i="16"/>
  <c r="DD18" i="16"/>
  <c r="DD19" i="16"/>
  <c r="DD20" i="16"/>
  <c r="DD21" i="16"/>
  <c r="DD22" i="16"/>
  <c r="S18" i="10"/>
  <c r="K8" i="10"/>
  <c r="K9" i="10"/>
  <c r="K10" i="10"/>
  <c r="K11" i="10"/>
  <c r="N11" i="10" s="1"/>
  <c r="Q11" i="10" s="1"/>
  <c r="T11" i="10" s="1"/>
  <c r="W11" i="10" s="1"/>
  <c r="Z11" i="10" s="1"/>
  <c r="AC11" i="10" s="1"/>
  <c r="K12" i="10"/>
  <c r="K13" i="10"/>
  <c r="K14" i="10"/>
  <c r="K16" i="10"/>
  <c r="N16" i="10"/>
  <c r="K19" i="10"/>
  <c r="N19" i="10" s="1"/>
  <c r="K20" i="10"/>
  <c r="L20" i="10"/>
  <c r="K24" i="10"/>
  <c r="L24" i="10"/>
  <c r="K25" i="10"/>
  <c r="N25" i="10" s="1"/>
  <c r="Q25" i="10" s="1"/>
  <c r="K27" i="10"/>
  <c r="N27" i="10" s="1"/>
  <c r="Q27" i="10" s="1"/>
  <c r="K28" i="10"/>
  <c r="N28" i="10"/>
  <c r="K29" i="10"/>
  <c r="L29" i="10" s="1"/>
  <c r="N30" i="10"/>
  <c r="K31" i="10"/>
  <c r="N31" i="10" s="1"/>
  <c r="O31" i="10" s="1"/>
  <c r="K32" i="10"/>
  <c r="N32" i="10" s="1"/>
  <c r="K33" i="10"/>
  <c r="K35" i="10"/>
  <c r="N35" i="10"/>
  <c r="K37" i="10"/>
  <c r="K38" i="10"/>
  <c r="K40" i="10"/>
  <c r="N40" i="10"/>
  <c r="K41" i="10"/>
  <c r="N41" i="10" s="1"/>
  <c r="K42" i="10"/>
  <c r="N42" i="10"/>
  <c r="Q42" i="10" s="1"/>
  <c r="K43" i="10"/>
  <c r="K44" i="10"/>
  <c r="L44" i="10"/>
  <c r="K45" i="10"/>
  <c r="N45" i="10" s="1"/>
  <c r="K46" i="10"/>
  <c r="N46" i="10"/>
  <c r="O46" i="10" s="1"/>
  <c r="K47" i="10"/>
  <c r="N47" i="10"/>
  <c r="O47" i="10"/>
  <c r="K48" i="10"/>
  <c r="N48" i="10" s="1"/>
  <c r="K50" i="10"/>
  <c r="L50" i="10"/>
  <c r="K51" i="10"/>
  <c r="L51" i="10" s="1"/>
  <c r="K52" i="10"/>
  <c r="N52" i="10"/>
  <c r="K53" i="10"/>
  <c r="N53" i="10" s="1"/>
  <c r="O53" i="10" s="1"/>
  <c r="K54" i="10"/>
  <c r="L54" i="10" s="1"/>
  <c r="K55" i="10"/>
  <c r="L55" i="10"/>
  <c r="K56" i="10"/>
  <c r="N56" i="10" s="1"/>
  <c r="K57" i="10"/>
  <c r="L57" i="10"/>
  <c r="K58" i="10"/>
  <c r="L58" i="10" s="1"/>
  <c r="K59" i="10"/>
  <c r="L59" i="10"/>
  <c r="K60" i="10"/>
  <c r="L60" i="10" s="1"/>
  <c r="K61" i="10"/>
  <c r="N61" i="10"/>
  <c r="K62" i="10"/>
  <c r="L62" i="10" s="1"/>
  <c r="K63" i="10"/>
  <c r="L63" i="10"/>
  <c r="K64" i="10"/>
  <c r="L64" i="10" s="1"/>
  <c r="K65" i="10"/>
  <c r="N65" i="10"/>
  <c r="Q65" i="10"/>
  <c r="K67" i="10"/>
  <c r="N67" i="10" s="1"/>
  <c r="K69" i="10"/>
  <c r="L69" i="10"/>
  <c r="K70" i="10"/>
  <c r="N70" i="10" s="1"/>
  <c r="Q70" i="10" s="1"/>
  <c r="K71" i="10"/>
  <c r="K72" i="10"/>
  <c r="K73" i="10"/>
  <c r="K7" i="10"/>
  <c r="I36" i="10"/>
  <c r="K36" i="10" s="1"/>
  <c r="DB13" i="16"/>
  <c r="DB15" i="16"/>
  <c r="DB18" i="16"/>
  <c r="DB19" i="16"/>
  <c r="DB20" i="16"/>
  <c r="DB21" i="16"/>
  <c r="DB22" i="16"/>
  <c r="CZ13" i="16"/>
  <c r="CZ15" i="16" s="1"/>
  <c r="CZ18" i="16"/>
  <c r="CZ19" i="16"/>
  <c r="CZ20" i="16"/>
  <c r="CZ21" i="16"/>
  <c r="CZ22" i="16"/>
  <c r="N10" i="10"/>
  <c r="Q10" i="10" s="1"/>
  <c r="T10" i="10" s="1"/>
  <c r="W10" i="10" s="1"/>
  <c r="Z10" i="10"/>
  <c r="AC10" i="10" s="1"/>
  <c r="K18" i="10"/>
  <c r="L18" i="10"/>
  <c r="G12" i="16"/>
  <c r="CX13" i="16"/>
  <c r="CX15" i="16" s="1"/>
  <c r="CX18" i="16"/>
  <c r="CX19" i="16"/>
  <c r="CX20" i="16"/>
  <c r="CX21" i="16"/>
  <c r="CX22" i="16"/>
  <c r="CV13" i="16"/>
  <c r="CV15" i="16" s="1"/>
  <c r="CV18" i="16"/>
  <c r="CV19" i="16"/>
  <c r="CV20" i="16"/>
  <c r="CV21" i="16"/>
  <c r="CV22" i="16"/>
  <c r="CT13" i="16"/>
  <c r="CT15" i="16"/>
  <c r="CT18" i="16"/>
  <c r="CT19" i="16"/>
  <c r="CT20" i="16"/>
  <c r="CT21" i="16"/>
  <c r="CT22" i="16"/>
  <c r="G9" i="16"/>
  <c r="I9" i="16"/>
  <c r="G20" i="16"/>
  <c r="CR18" i="16"/>
  <c r="CR19" i="16"/>
  <c r="CR20" i="16"/>
  <c r="CR21" i="16"/>
  <c r="CR22" i="16"/>
  <c r="CP13" i="16"/>
  <c r="CP15" i="16" s="1"/>
  <c r="CP18" i="16"/>
  <c r="CP19" i="16"/>
  <c r="CP20" i="16"/>
  <c r="CP21" i="16"/>
  <c r="CP22" i="16"/>
  <c r="CN18" i="16"/>
  <c r="CN19" i="16"/>
  <c r="CN20" i="16"/>
  <c r="CN21" i="16"/>
  <c r="CN22" i="16"/>
  <c r="CL13" i="16"/>
  <c r="CL15" i="16" s="1"/>
  <c r="CL18" i="16"/>
  <c r="CL19" i="16"/>
  <c r="CL20" i="16"/>
  <c r="CL21" i="16"/>
  <c r="CL22" i="16"/>
  <c r="AE34" i="28"/>
  <c r="I70" i="28"/>
  <c r="I52" i="28"/>
  <c r="I51" i="28"/>
  <c r="K51" i="28" s="1"/>
  <c r="I50" i="28"/>
  <c r="K50" i="28" s="1"/>
  <c r="I43" i="28"/>
  <c r="I42" i="28"/>
  <c r="I29" i="28"/>
  <c r="K29" i="28" s="1"/>
  <c r="I20" i="28"/>
  <c r="K20" i="28" s="1"/>
  <c r="I18" i="28"/>
  <c r="K18" i="28"/>
  <c r="I69" i="28"/>
  <c r="I67" i="28"/>
  <c r="K67" i="28" s="1"/>
  <c r="N67" i="28" s="1"/>
  <c r="I66" i="28"/>
  <c r="AZ34" i="28"/>
  <c r="AQ34" i="28"/>
  <c r="AT37" i="28"/>
  <c r="AT34" i="28"/>
  <c r="AK37" i="28"/>
  <c r="AK34" i="28"/>
  <c r="AN24" i="28"/>
  <c r="AW24" i="28"/>
  <c r="AE24" i="28"/>
  <c r="N9" i="28"/>
  <c r="Q9" i="28"/>
  <c r="T9" i="28" s="1"/>
  <c r="W9" i="28" s="1"/>
  <c r="Z9" i="28" s="1"/>
  <c r="AC9" i="28" s="1"/>
  <c r="AF9" i="28" s="1"/>
  <c r="AI9" i="28" s="1"/>
  <c r="AL9" i="28" s="1"/>
  <c r="AO9" i="28"/>
  <c r="AR9" i="28" s="1"/>
  <c r="AU9" i="28" s="1"/>
  <c r="AX9" i="28" s="1"/>
  <c r="BA9" i="28" s="1"/>
  <c r="T11" i="28"/>
  <c r="W11" i="28"/>
  <c r="Z11" i="28" s="1"/>
  <c r="AC11" i="28" s="1"/>
  <c r="AF11" i="28" s="1"/>
  <c r="AI11" i="28" s="1"/>
  <c r="AL11" i="28" s="1"/>
  <c r="AO11" i="28" s="1"/>
  <c r="AR11" i="28" s="1"/>
  <c r="AU11" i="28"/>
  <c r="AX11" i="28" s="1"/>
  <c r="BA11" i="28" s="1"/>
  <c r="K9" i="28"/>
  <c r="K10" i="28"/>
  <c r="N10" i="28" s="1"/>
  <c r="Q10" i="28" s="1"/>
  <c r="T10" i="28" s="1"/>
  <c r="W10" i="28" s="1"/>
  <c r="Z10" i="28" s="1"/>
  <c r="AC10" i="28" s="1"/>
  <c r="AF10" i="28" s="1"/>
  <c r="AI10" i="28" s="1"/>
  <c r="AL10" i="28" s="1"/>
  <c r="AO10" i="28" s="1"/>
  <c r="AR10" i="28" s="1"/>
  <c r="AU10" i="28" s="1"/>
  <c r="AX10" i="28" s="1"/>
  <c r="BA10" i="28" s="1"/>
  <c r="K11" i="28"/>
  <c r="N11" i="28" s="1"/>
  <c r="Q11" i="28" s="1"/>
  <c r="K12" i="28"/>
  <c r="N12" i="28" s="1"/>
  <c r="Q12" i="28" s="1"/>
  <c r="T12" i="28" s="1"/>
  <c r="W12" i="28" s="1"/>
  <c r="Z12" i="28" s="1"/>
  <c r="AC12" i="28" s="1"/>
  <c r="AF12" i="28" s="1"/>
  <c r="AI12" i="28" s="1"/>
  <c r="AL12" i="28" s="1"/>
  <c r="AO12" i="28" s="1"/>
  <c r="AR12" i="28" s="1"/>
  <c r="AU12" i="28" s="1"/>
  <c r="AX12" i="28" s="1"/>
  <c r="BA12" i="28" s="1"/>
  <c r="K13" i="28"/>
  <c r="N13" i="28"/>
  <c r="Q13" i="28" s="1"/>
  <c r="T13" i="28" s="1"/>
  <c r="W13" i="28" s="1"/>
  <c r="Z13" i="28" s="1"/>
  <c r="AC13" i="28" s="1"/>
  <c r="AF13" i="28" s="1"/>
  <c r="AI13" i="28" s="1"/>
  <c r="AL13" i="28" s="1"/>
  <c r="AO13" i="28" s="1"/>
  <c r="AR13" i="28" s="1"/>
  <c r="AU13" i="28" s="1"/>
  <c r="AX13" i="28" s="1"/>
  <c r="BA13" i="28" s="1"/>
  <c r="K14" i="28"/>
  <c r="N14" i="28"/>
  <c r="Q14" i="28" s="1"/>
  <c r="T14" i="28" s="1"/>
  <c r="W14" i="28" s="1"/>
  <c r="Z14" i="28" s="1"/>
  <c r="AC14" i="28" s="1"/>
  <c r="AF14" i="28" s="1"/>
  <c r="AI14" i="28" s="1"/>
  <c r="AL14" i="28" s="1"/>
  <c r="AO14" i="28" s="1"/>
  <c r="AR14" i="28" s="1"/>
  <c r="AU14" i="28" s="1"/>
  <c r="AX14" i="28" s="1"/>
  <c r="BA14" i="28" s="1"/>
  <c r="K15" i="28"/>
  <c r="N15" i="28" s="1"/>
  <c r="Q15" i="28" s="1"/>
  <c r="T15" i="28" s="1"/>
  <c r="W15" i="28" s="1"/>
  <c r="Z15" i="28" s="1"/>
  <c r="AC15" i="28" s="1"/>
  <c r="AF15" i="28" s="1"/>
  <c r="AI15" i="28" s="1"/>
  <c r="AL15" i="28" s="1"/>
  <c r="AO15" i="28" s="1"/>
  <c r="AR15" i="28" s="1"/>
  <c r="AU15" i="28" s="1"/>
  <c r="AX15" i="28" s="1"/>
  <c r="BA15" i="28" s="1"/>
  <c r="K16" i="28"/>
  <c r="L16" i="28" s="1"/>
  <c r="K17" i="28"/>
  <c r="N17" i="28"/>
  <c r="K21" i="28"/>
  <c r="N21" i="28"/>
  <c r="K22" i="28"/>
  <c r="N22" i="28" s="1"/>
  <c r="K23" i="28"/>
  <c r="N23" i="28"/>
  <c r="K24" i="28"/>
  <c r="N24" i="28" s="1"/>
  <c r="K25" i="28"/>
  <c r="N25" i="28"/>
  <c r="Q25" i="28"/>
  <c r="T25" i="28" s="1"/>
  <c r="K26" i="28"/>
  <c r="N26" i="28"/>
  <c r="Q26" i="28" s="1"/>
  <c r="K27" i="28"/>
  <c r="N27" i="28"/>
  <c r="K28" i="28"/>
  <c r="N29" i="28"/>
  <c r="K30" i="28"/>
  <c r="N30" i="28" s="1"/>
  <c r="K31" i="28"/>
  <c r="N31" i="28"/>
  <c r="K32" i="28"/>
  <c r="N32" i="28" s="1"/>
  <c r="K33" i="28"/>
  <c r="N33" i="28"/>
  <c r="K35" i="28"/>
  <c r="N35" i="28" s="1"/>
  <c r="K36" i="28"/>
  <c r="N36" i="28"/>
  <c r="K38" i="28"/>
  <c r="L38" i="28" s="1"/>
  <c r="K39" i="28"/>
  <c r="N39" i="28"/>
  <c r="K40" i="28"/>
  <c r="N40" i="28" s="1"/>
  <c r="K41" i="28"/>
  <c r="N41" i="28"/>
  <c r="K42" i="28"/>
  <c r="L42" i="28" s="1"/>
  <c r="K43" i="28"/>
  <c r="N43" i="28"/>
  <c r="K44" i="28"/>
  <c r="K45" i="28"/>
  <c r="N45" i="28"/>
  <c r="K46" i="28"/>
  <c r="N46" i="28" s="1"/>
  <c r="K47" i="28"/>
  <c r="N47" i="28"/>
  <c r="K48" i="28"/>
  <c r="N48" i="28" s="1"/>
  <c r="K49" i="28"/>
  <c r="N49" i="28"/>
  <c r="N51" i="28"/>
  <c r="K52" i="28"/>
  <c r="N52" i="28" s="1"/>
  <c r="K53" i="28"/>
  <c r="L53" i="28"/>
  <c r="K54" i="28"/>
  <c r="N54" i="28" s="1"/>
  <c r="K55" i="28"/>
  <c r="N55" i="28"/>
  <c r="K56" i="28"/>
  <c r="N56" i="28" s="1"/>
  <c r="K57" i="28"/>
  <c r="N57" i="28"/>
  <c r="K58" i="28"/>
  <c r="N58" i="28" s="1"/>
  <c r="K59" i="28"/>
  <c r="N59" i="28" s="1"/>
  <c r="K60" i="28"/>
  <c r="N60" i="28" s="1"/>
  <c r="K61" i="28"/>
  <c r="N61" i="28" s="1"/>
  <c r="K62" i="28"/>
  <c r="N62" i="28" s="1"/>
  <c r="K63" i="28"/>
  <c r="L63" i="28" s="1"/>
  <c r="K64" i="28"/>
  <c r="N64" i="28" s="1"/>
  <c r="Q64" i="28" s="1"/>
  <c r="K65" i="28"/>
  <c r="N65" i="28"/>
  <c r="K66" i="28"/>
  <c r="N66" i="28"/>
  <c r="K68" i="28"/>
  <c r="N68" i="28" s="1"/>
  <c r="K69" i="28"/>
  <c r="K70" i="28"/>
  <c r="N70" i="28" s="1"/>
  <c r="K71" i="28"/>
  <c r="N71" i="28" s="1"/>
  <c r="K72" i="28"/>
  <c r="N72" i="28" s="1"/>
  <c r="Q72" i="28"/>
  <c r="T72" i="28" s="1"/>
  <c r="K73" i="28"/>
  <c r="N73" i="28" s="1"/>
  <c r="K74" i="28"/>
  <c r="K8" i="28"/>
  <c r="N8" i="28" s="1"/>
  <c r="Q8" i="28"/>
  <c r="T8" i="28" s="1"/>
  <c r="W8" i="28" s="1"/>
  <c r="Z8" i="28" s="1"/>
  <c r="AC8" i="28"/>
  <c r="AF8" i="28" s="1"/>
  <c r="AI8" i="28" s="1"/>
  <c r="AL8" i="28" s="1"/>
  <c r="AO8" i="28" s="1"/>
  <c r="AR8" i="28" s="1"/>
  <c r="AU8" i="28" s="1"/>
  <c r="AX8" i="28" s="1"/>
  <c r="BA8" i="28" s="1"/>
  <c r="L73" i="28"/>
  <c r="L70" i="28"/>
  <c r="L68" i="28"/>
  <c r="L66" i="28"/>
  <c r="L65" i="28"/>
  <c r="L61" i="28"/>
  <c r="L57" i="28"/>
  <c r="L52" i="28"/>
  <c r="L48" i="28"/>
  <c r="L46" i="28"/>
  <c r="L43" i="28"/>
  <c r="L41" i="28"/>
  <c r="L39" i="28"/>
  <c r="L36" i="28"/>
  <c r="L33" i="28"/>
  <c r="L32" i="28"/>
  <c r="L31" i="28"/>
  <c r="L30" i="28"/>
  <c r="L29" i="28"/>
  <c r="L27" i="28"/>
  <c r="L26" i="28"/>
  <c r="L25" i="28"/>
  <c r="L24" i="28"/>
  <c r="L23" i="28"/>
  <c r="L22" i="28"/>
  <c r="L21" i="28"/>
  <c r="L17" i="28"/>
  <c r="I37" i="28"/>
  <c r="K37" i="28" s="1"/>
  <c r="I34" i="28"/>
  <c r="K34" i="28" s="1"/>
  <c r="E34" i="28"/>
  <c r="B3" i="28"/>
  <c r="B4" i="28"/>
  <c r="CJ18" i="16"/>
  <c r="CJ19" i="16"/>
  <c r="CJ20" i="16"/>
  <c r="CJ21" i="16"/>
  <c r="CJ22" i="16"/>
  <c r="CH13" i="16"/>
  <c r="CH15" i="16" s="1"/>
  <c r="CH18" i="16"/>
  <c r="CH19" i="16"/>
  <c r="CH20" i="16"/>
  <c r="CH21" i="16"/>
  <c r="CH22" i="16"/>
  <c r="CF18" i="16"/>
  <c r="CF19" i="16"/>
  <c r="CF20" i="16"/>
  <c r="CF21" i="16"/>
  <c r="CF22" i="16"/>
  <c r="B3" i="10"/>
  <c r="B4" i="10" s="1"/>
  <c r="G8" i="16"/>
  <c r="I8" i="16" s="1"/>
  <c r="D13" i="27"/>
  <c r="D12" i="27"/>
  <c r="D11" i="27"/>
  <c r="D10" i="27"/>
  <c r="D9" i="27"/>
  <c r="CD13" i="16"/>
  <c r="CD15" i="16"/>
  <c r="CD18" i="16"/>
  <c r="CD19" i="16"/>
  <c r="CD20" i="16"/>
  <c r="CD21" i="16"/>
  <c r="CD22" i="16"/>
  <c r="CB13" i="16"/>
  <c r="CB15" i="16" s="1"/>
  <c r="CB18" i="16"/>
  <c r="CB19" i="16"/>
  <c r="CB20" i="16"/>
  <c r="CB21" i="16"/>
  <c r="CB22" i="16"/>
  <c r="BZ13" i="16"/>
  <c r="BZ15" i="16"/>
  <c r="BZ18" i="16"/>
  <c r="BZ19" i="16"/>
  <c r="BZ20" i="16"/>
  <c r="BZ21" i="16"/>
  <c r="BZ22" i="16"/>
  <c r="BX13" i="16"/>
  <c r="BX15" i="16" s="1"/>
  <c r="BX18" i="16"/>
  <c r="BX19" i="16"/>
  <c r="BX20" i="16"/>
  <c r="BX21" i="16"/>
  <c r="BX22" i="16"/>
  <c r="BV18" i="16"/>
  <c r="BV19" i="16"/>
  <c r="BV20" i="16"/>
  <c r="BV21" i="16"/>
  <c r="BV22" i="16"/>
  <c r="BV13" i="16"/>
  <c r="BV15" i="16" s="1"/>
  <c r="BT13" i="16"/>
  <c r="BT15" i="16" s="1"/>
  <c r="BT18" i="16"/>
  <c r="BT19" i="16"/>
  <c r="BT20" i="16"/>
  <c r="BT21" i="16"/>
  <c r="BT22" i="16"/>
  <c r="BR13" i="16"/>
  <c r="BR15" i="16"/>
  <c r="BR18" i="16"/>
  <c r="BR19" i="16"/>
  <c r="BR20" i="16"/>
  <c r="BR21" i="16"/>
  <c r="BR22" i="16"/>
  <c r="BP13" i="16"/>
  <c r="BP15" i="16" s="1"/>
  <c r="BP18" i="16"/>
  <c r="BP19" i="16"/>
  <c r="BP20" i="16"/>
  <c r="BP21" i="16"/>
  <c r="BP22" i="16"/>
  <c r="BN13" i="16"/>
  <c r="BN15" i="16"/>
  <c r="BN18" i="16"/>
  <c r="BN19" i="16"/>
  <c r="BN20" i="16"/>
  <c r="BN21" i="16"/>
  <c r="BN22" i="16"/>
  <c r="BL13" i="16"/>
  <c r="BL15" i="16" s="1"/>
  <c r="BL18" i="16"/>
  <c r="BL19" i="16"/>
  <c r="BL20" i="16"/>
  <c r="BL21" i="16"/>
  <c r="BL22" i="16"/>
  <c r="BJ13" i="16"/>
  <c r="BJ15" i="16"/>
  <c r="BJ18" i="16"/>
  <c r="BJ19" i="16"/>
  <c r="BJ20" i="16"/>
  <c r="BJ21" i="16"/>
  <c r="BJ22" i="16"/>
  <c r="BH13" i="16"/>
  <c r="BH15" i="16" s="1"/>
  <c r="BH18" i="16"/>
  <c r="BH19" i="16"/>
  <c r="BH20" i="16"/>
  <c r="BH21" i="16"/>
  <c r="BH22" i="16"/>
  <c r="BF18" i="16"/>
  <c r="BF19" i="16"/>
  <c r="BF20" i="16"/>
  <c r="BF21" i="16"/>
  <c r="BF22" i="16"/>
  <c r="BD13" i="16"/>
  <c r="BD15" i="16" s="1"/>
  <c r="BD18" i="16"/>
  <c r="BD19" i="16"/>
  <c r="BD20" i="16"/>
  <c r="BD21" i="16"/>
  <c r="BD22" i="16"/>
  <c r="BB13" i="16"/>
  <c r="BB15" i="16"/>
  <c r="BB18" i="16"/>
  <c r="BB19" i="16"/>
  <c r="BB20" i="16"/>
  <c r="BB21" i="16"/>
  <c r="BB22" i="16"/>
  <c r="AZ13" i="16"/>
  <c r="AZ15" i="16" s="1"/>
  <c r="AZ18" i="16"/>
  <c r="AZ19" i="16"/>
  <c r="AZ20" i="16"/>
  <c r="AZ21" i="16"/>
  <c r="AZ22" i="16"/>
  <c r="E12" i="23"/>
  <c r="F12" i="23"/>
  <c r="G12" i="23"/>
  <c r="G13" i="23"/>
  <c r="C11" i="22"/>
  <c r="D11" i="22"/>
  <c r="E11" i="22"/>
  <c r="W11" i="22"/>
  <c r="F7" i="19"/>
  <c r="K7" i="19"/>
  <c r="L7" i="19" s="1"/>
  <c r="M7" i="19"/>
  <c r="O7" i="19" s="1"/>
  <c r="P7" i="19"/>
  <c r="R7" i="19" s="1"/>
  <c r="Q7" i="19"/>
  <c r="F8" i="19"/>
  <c r="K8" i="19"/>
  <c r="L8" i="19" s="1"/>
  <c r="M8" i="19"/>
  <c r="O8" i="19" s="1"/>
  <c r="F9" i="19"/>
  <c r="K9" i="19"/>
  <c r="L9" i="19"/>
  <c r="M9" i="19"/>
  <c r="F10" i="19"/>
  <c r="K10" i="19"/>
  <c r="L10" i="19"/>
  <c r="M10" i="19"/>
  <c r="F11" i="19"/>
  <c r="K11" i="19"/>
  <c r="L11" i="19"/>
  <c r="M11" i="19"/>
  <c r="F12" i="19"/>
  <c r="K12" i="19"/>
  <c r="L12" i="19"/>
  <c r="M12" i="19"/>
  <c r="F13" i="19"/>
  <c r="H13" i="19"/>
  <c r="K13" i="19"/>
  <c r="L13" i="19" s="1"/>
  <c r="M13" i="19"/>
  <c r="O13" i="19" s="1"/>
  <c r="F14" i="19"/>
  <c r="H14" i="19"/>
  <c r="L14" i="19" s="1"/>
  <c r="M14" i="19"/>
  <c r="F15" i="19"/>
  <c r="H15" i="19"/>
  <c r="L15" i="19"/>
  <c r="M15" i="19"/>
  <c r="F16" i="19"/>
  <c r="H16" i="19"/>
  <c r="F17" i="19"/>
  <c r="F18" i="19"/>
  <c r="L18" i="19"/>
  <c r="M18" i="19"/>
  <c r="N18" i="19"/>
  <c r="O18" i="19"/>
  <c r="F19" i="19"/>
  <c r="H19" i="19"/>
  <c r="L19" i="19"/>
  <c r="M19" i="19"/>
  <c r="N19" i="19" s="1"/>
  <c r="O19" i="19"/>
  <c r="F20" i="19"/>
  <c r="H20" i="19"/>
  <c r="L20" i="19" s="1"/>
  <c r="M20" i="19"/>
  <c r="F21" i="19"/>
  <c r="H21" i="19"/>
  <c r="L21" i="19"/>
  <c r="M21" i="19"/>
  <c r="O21" i="19"/>
  <c r="N21" i="19"/>
  <c r="F22" i="19"/>
  <c r="H22" i="19"/>
  <c r="M22" i="19"/>
  <c r="L22" i="19"/>
  <c r="F23" i="19"/>
  <c r="H23" i="19"/>
  <c r="L23" i="19"/>
  <c r="M23" i="19"/>
  <c r="F24" i="19"/>
  <c r="H24" i="19"/>
  <c r="M25" i="19"/>
  <c r="F25" i="19"/>
  <c r="H25" i="19"/>
  <c r="L25" i="19" s="1"/>
  <c r="F26" i="19"/>
  <c r="H26" i="19"/>
  <c r="L26" i="19"/>
  <c r="M26" i="19"/>
  <c r="O26" i="19" s="1"/>
  <c r="N26" i="19"/>
  <c r="F27" i="19"/>
  <c r="H27" i="19"/>
  <c r="M27" i="19"/>
  <c r="N27" i="19" s="1"/>
  <c r="J27" i="19"/>
  <c r="L27" i="19"/>
  <c r="O27" i="19"/>
  <c r="F28" i="19"/>
  <c r="H28" i="19"/>
  <c r="L28" i="19" s="1"/>
  <c r="J28" i="19"/>
  <c r="F29" i="19"/>
  <c r="H29" i="19"/>
  <c r="L29" i="19" s="1"/>
  <c r="M29" i="19"/>
  <c r="L30" i="19"/>
  <c r="L31" i="19"/>
  <c r="L32" i="19"/>
  <c r="L33" i="19"/>
  <c r="F34" i="19"/>
  <c r="H34" i="19"/>
  <c r="I34" i="19"/>
  <c r="F35" i="19"/>
  <c r="H35" i="19"/>
  <c r="I35" i="19"/>
  <c r="F36" i="19"/>
  <c r="L36" i="19"/>
  <c r="M36" i="19"/>
  <c r="N36" i="19"/>
  <c r="F37" i="19"/>
  <c r="K37" i="19"/>
  <c r="L37" i="19"/>
  <c r="M37" i="19"/>
  <c r="O37" i="19" s="1"/>
  <c r="L38" i="19"/>
  <c r="L39" i="19"/>
  <c r="L40" i="19"/>
  <c r="L41" i="19"/>
  <c r="L42" i="19"/>
  <c r="L43" i="19"/>
  <c r="L44" i="19"/>
  <c r="F45" i="19"/>
  <c r="H45" i="19"/>
  <c r="L45" i="19" s="1"/>
  <c r="F46" i="19"/>
  <c r="H46" i="19"/>
  <c r="J46" i="19"/>
  <c r="L46" i="19"/>
  <c r="M46" i="19"/>
  <c r="F47" i="19"/>
  <c r="H47" i="19"/>
  <c r="F48" i="19"/>
  <c r="L48" i="19"/>
  <c r="M48" i="19"/>
  <c r="O48" i="19" s="1"/>
  <c r="N48" i="19"/>
  <c r="F49" i="19"/>
  <c r="H49" i="19"/>
  <c r="M49" i="19" s="1"/>
  <c r="L49" i="19"/>
  <c r="F50" i="19"/>
  <c r="F51" i="19"/>
  <c r="L51" i="19"/>
  <c r="M51" i="19"/>
  <c r="L52" i="19"/>
  <c r="M52" i="19"/>
  <c r="O52" i="19" s="1"/>
  <c r="L53" i="19"/>
  <c r="M53" i="19"/>
  <c r="O53" i="19"/>
  <c r="L54" i="19"/>
  <c r="M54" i="19"/>
  <c r="O54" i="19" s="1"/>
  <c r="L55" i="19"/>
  <c r="M55" i="19"/>
  <c r="O55" i="19"/>
  <c r="F56" i="19"/>
  <c r="K56" i="19"/>
  <c r="L56" i="19"/>
  <c r="M56" i="19"/>
  <c r="O56" i="19" s="1"/>
  <c r="F57" i="19"/>
  <c r="K57" i="19"/>
  <c r="L57" i="19"/>
  <c r="M57" i="19"/>
  <c r="O57" i="19"/>
  <c r="F58" i="19"/>
  <c r="K58" i="19"/>
  <c r="L58" i="19"/>
  <c r="M58" i="19"/>
  <c r="O58" i="19" s="1"/>
  <c r="F59" i="19"/>
  <c r="K59" i="19"/>
  <c r="L59" i="19"/>
  <c r="M59" i="19"/>
  <c r="O59" i="19"/>
  <c r="F60" i="19"/>
  <c r="L60" i="19"/>
  <c r="M60" i="19"/>
  <c r="N60" i="19"/>
  <c r="O60" i="19"/>
  <c r="F61" i="19"/>
  <c r="L61" i="19"/>
  <c r="M61" i="19"/>
  <c r="N61" i="19" s="1"/>
  <c r="F62" i="19"/>
  <c r="L62" i="19"/>
  <c r="M62" i="19"/>
  <c r="O62" i="19" s="1"/>
  <c r="N62" i="19"/>
  <c r="F63" i="19"/>
  <c r="L63" i="19"/>
  <c r="M63" i="19"/>
  <c r="N63" i="19"/>
  <c r="O63" i="19"/>
  <c r="F64" i="19"/>
  <c r="H64" i="19"/>
  <c r="L64" i="19"/>
  <c r="M64" i="19"/>
  <c r="N64" i="19"/>
  <c r="F65" i="19"/>
  <c r="H65" i="19"/>
  <c r="F66" i="19"/>
  <c r="H66" i="19"/>
  <c r="F67" i="19"/>
  <c r="H67" i="19"/>
  <c r="M67" i="19" s="1"/>
  <c r="L67" i="19"/>
  <c r="F68" i="19"/>
  <c r="K68" i="19"/>
  <c r="L68" i="19"/>
  <c r="M68" i="19"/>
  <c r="O68" i="19" s="1"/>
  <c r="F69" i="19"/>
  <c r="K69" i="19"/>
  <c r="L69" i="19"/>
  <c r="M69" i="19"/>
  <c r="O69" i="19"/>
  <c r="K70" i="19"/>
  <c r="L70" i="19"/>
  <c r="M70" i="19"/>
  <c r="O70" i="19"/>
  <c r="K71" i="19"/>
  <c r="L71" i="19"/>
  <c r="M71" i="19"/>
  <c r="O71" i="19"/>
  <c r="K72" i="19"/>
  <c r="L72" i="19"/>
  <c r="M72" i="19"/>
  <c r="O72" i="19"/>
  <c r="K73" i="19"/>
  <c r="L73" i="19"/>
  <c r="M73" i="19"/>
  <c r="O73" i="19"/>
  <c r="K74" i="19"/>
  <c r="L74" i="19"/>
  <c r="M74" i="19"/>
  <c r="O74" i="19"/>
  <c r="K75" i="19"/>
  <c r="L75" i="19"/>
  <c r="M75" i="19"/>
  <c r="O75" i="19"/>
  <c r="K76" i="19"/>
  <c r="L76" i="19"/>
  <c r="M76" i="19"/>
  <c r="O76" i="19"/>
  <c r="K77" i="19"/>
  <c r="L77" i="19"/>
  <c r="M77" i="19"/>
  <c r="O77" i="19"/>
  <c r="K78" i="19"/>
  <c r="L78" i="19"/>
  <c r="M78" i="19"/>
  <c r="O78" i="19"/>
  <c r="K79" i="19"/>
  <c r="L79" i="19"/>
  <c r="M79" i="19"/>
  <c r="O79" i="19"/>
  <c r="K80" i="19"/>
  <c r="L80" i="19"/>
  <c r="M80" i="19"/>
  <c r="O80" i="19"/>
  <c r="F81" i="19"/>
  <c r="L81" i="19"/>
  <c r="M81" i="19"/>
  <c r="O81" i="19"/>
  <c r="F82" i="19"/>
  <c r="L82" i="19"/>
  <c r="M82" i="19"/>
  <c r="O82" i="19" s="1"/>
  <c r="N82" i="19"/>
  <c r="F83" i="19"/>
  <c r="L83" i="19"/>
  <c r="M83" i="19"/>
  <c r="N83" i="19" s="1"/>
  <c r="O83" i="19"/>
  <c r="F84" i="19"/>
  <c r="H84" i="19"/>
  <c r="L84" i="19" s="1"/>
  <c r="M84" i="19"/>
  <c r="O84" i="19" s="1"/>
  <c r="F85" i="19"/>
  <c r="H85" i="19"/>
  <c r="M85" i="19"/>
  <c r="F86" i="19"/>
  <c r="H86" i="19"/>
  <c r="M86" i="19" s="1"/>
  <c r="L86" i="19"/>
  <c r="F87" i="19"/>
  <c r="K87" i="19"/>
  <c r="L87" i="19"/>
  <c r="M87" i="19"/>
  <c r="O87" i="19" s="1"/>
  <c r="F88" i="19"/>
  <c r="K88" i="19"/>
  <c r="L88" i="19"/>
  <c r="M88" i="19"/>
  <c r="O88" i="19"/>
  <c r="F89" i="19"/>
  <c r="K89" i="19"/>
  <c r="L89" i="19"/>
  <c r="M89" i="19"/>
  <c r="O89" i="19" s="1"/>
  <c r="F90" i="19"/>
  <c r="K90" i="19"/>
  <c r="L90" i="19"/>
  <c r="M90" i="19"/>
  <c r="O90" i="19"/>
  <c r="F91" i="19"/>
  <c r="K91" i="19"/>
  <c r="L91" i="19"/>
  <c r="M91" i="19"/>
  <c r="O91" i="19" s="1"/>
  <c r="F92" i="19"/>
  <c r="K92" i="19"/>
  <c r="L92" i="19"/>
  <c r="M92" i="19"/>
  <c r="O92" i="19"/>
  <c r="F93" i="19"/>
  <c r="K93" i="19"/>
  <c r="L93" i="19"/>
  <c r="M93" i="19"/>
  <c r="O93" i="19" s="1"/>
  <c r="F94" i="19"/>
  <c r="K94" i="19"/>
  <c r="L94" i="19"/>
  <c r="M94" i="19"/>
  <c r="O94" i="19"/>
  <c r="F95" i="19"/>
  <c r="K95" i="19"/>
  <c r="L95" i="19"/>
  <c r="M95" i="19"/>
  <c r="O95" i="19" s="1"/>
  <c r="F96" i="19"/>
  <c r="K96" i="19"/>
  <c r="L96" i="19"/>
  <c r="M96" i="19"/>
  <c r="O96" i="19"/>
  <c r="F97" i="19"/>
  <c r="K97" i="19"/>
  <c r="L97" i="19"/>
  <c r="M97" i="19"/>
  <c r="O97" i="19" s="1"/>
  <c r="E98" i="19"/>
  <c r="L98" i="19" s="1"/>
  <c r="M98" i="19"/>
  <c r="O98" i="19" s="1"/>
  <c r="N98" i="19"/>
  <c r="L99" i="19"/>
  <c r="M99" i="19"/>
  <c r="O99" i="19" s="1"/>
  <c r="N99" i="19"/>
  <c r="F100" i="19"/>
  <c r="L100" i="19"/>
  <c r="M100" i="19"/>
  <c r="N100" i="19"/>
  <c r="O100" i="19"/>
  <c r="F101" i="19"/>
  <c r="K101" i="19"/>
  <c r="L101" i="19"/>
  <c r="M101" i="19"/>
  <c r="O101" i="19"/>
  <c r="F102" i="19"/>
  <c r="H102" i="19"/>
  <c r="F103" i="19"/>
  <c r="H103" i="19"/>
  <c r="L103" i="19" s="1"/>
  <c r="M103" i="19"/>
  <c r="O103" i="19" s="1"/>
  <c r="F104" i="19"/>
  <c r="H104" i="19"/>
  <c r="M104" i="19"/>
  <c r="F105" i="19"/>
  <c r="H105" i="19"/>
  <c r="F106" i="19"/>
  <c r="L106" i="19"/>
  <c r="M106" i="19"/>
  <c r="N106" i="19"/>
  <c r="O106" i="19"/>
  <c r="E107" i="19"/>
  <c r="L107" i="19" s="1"/>
  <c r="F107" i="19"/>
  <c r="M107" i="19"/>
  <c r="O107" i="19"/>
  <c r="E108" i="19"/>
  <c r="F108" i="19"/>
  <c r="H108" i="19"/>
  <c r="L108" i="19" s="1"/>
  <c r="M108" i="19"/>
  <c r="F109" i="19"/>
  <c r="H109" i="19"/>
  <c r="M109" i="19" s="1"/>
  <c r="N109" i="19" s="1"/>
  <c r="L109" i="19"/>
  <c r="F110" i="19"/>
  <c r="K110" i="19"/>
  <c r="L110" i="19"/>
  <c r="M110" i="19"/>
  <c r="O110" i="19"/>
  <c r="F111" i="19"/>
  <c r="K111" i="19"/>
  <c r="L111" i="19"/>
  <c r="M111" i="19"/>
  <c r="O111" i="19" s="1"/>
  <c r="F112" i="19"/>
  <c r="L112" i="19"/>
  <c r="M112" i="19"/>
  <c r="O112" i="19" s="1"/>
  <c r="F113" i="19"/>
  <c r="L113" i="19"/>
  <c r="M113" i="19"/>
  <c r="N113" i="19" s="1"/>
  <c r="O113" i="19"/>
  <c r="F114" i="19"/>
  <c r="K114" i="19"/>
  <c r="L114" i="19"/>
  <c r="M114" i="19"/>
  <c r="O114" i="19" s="1"/>
  <c r="F115" i="19"/>
  <c r="K115" i="19"/>
  <c r="L115" i="19"/>
  <c r="M115" i="19"/>
  <c r="O115" i="19"/>
  <c r="F116" i="19"/>
  <c r="K116" i="19"/>
  <c r="L116" i="19"/>
  <c r="M116" i="19"/>
  <c r="O116" i="19" s="1"/>
  <c r="F117" i="19"/>
  <c r="K117" i="19"/>
  <c r="L117" i="19"/>
  <c r="M117" i="19"/>
  <c r="O117" i="19"/>
  <c r="F118" i="19"/>
  <c r="K118" i="19"/>
  <c r="L118" i="19"/>
  <c r="M118" i="19"/>
  <c r="O118" i="19" s="1"/>
  <c r="F119" i="19"/>
  <c r="K119" i="19"/>
  <c r="L119" i="19"/>
  <c r="M119" i="19"/>
  <c r="O119" i="19"/>
  <c r="K120" i="19"/>
  <c r="L120" i="19"/>
  <c r="M120" i="19"/>
  <c r="O120" i="19"/>
  <c r="K121" i="19"/>
  <c r="L121" i="19"/>
  <c r="M121" i="19"/>
  <c r="O121" i="19"/>
  <c r="K122" i="19"/>
  <c r="L122" i="19"/>
  <c r="M122" i="19"/>
  <c r="O122" i="19"/>
  <c r="K123" i="19"/>
  <c r="L123" i="19"/>
  <c r="M123" i="19"/>
  <c r="O123" i="19"/>
  <c r="K124" i="19"/>
  <c r="L124" i="19"/>
  <c r="M124" i="19"/>
  <c r="O124" i="19"/>
  <c r="K125" i="19"/>
  <c r="L125" i="19"/>
  <c r="M125" i="19"/>
  <c r="O125" i="19"/>
  <c r="K126" i="19"/>
  <c r="L126" i="19"/>
  <c r="M126" i="19"/>
  <c r="O126" i="19"/>
  <c r="K127" i="19"/>
  <c r="L127" i="19"/>
  <c r="M127" i="19"/>
  <c r="O127" i="19"/>
  <c r="K128" i="19"/>
  <c r="L128" i="19"/>
  <c r="M128" i="19"/>
  <c r="O128" i="19"/>
  <c r="K129" i="19"/>
  <c r="L129" i="19"/>
  <c r="M129" i="19"/>
  <c r="O129" i="19"/>
  <c r="K130" i="19"/>
  <c r="L130" i="19"/>
  <c r="M130" i="19"/>
  <c r="O130" i="19"/>
  <c r="K131" i="19"/>
  <c r="L131" i="19"/>
  <c r="M131" i="19"/>
  <c r="O131" i="19"/>
  <c r="K132" i="19"/>
  <c r="L132" i="19"/>
  <c r="M132" i="19"/>
  <c r="O132" i="19"/>
  <c r="K133" i="19"/>
  <c r="L133" i="19"/>
  <c r="M133" i="19"/>
  <c r="O133" i="19"/>
  <c r="K134" i="19"/>
  <c r="L134" i="19"/>
  <c r="M134" i="19"/>
  <c r="O134" i="19"/>
  <c r="K135" i="19"/>
  <c r="L135" i="19"/>
  <c r="M135" i="19"/>
  <c r="O135" i="19"/>
  <c r="K136" i="19"/>
  <c r="L136" i="19"/>
  <c r="M136" i="19"/>
  <c r="O136" i="19"/>
  <c r="K137" i="19"/>
  <c r="L137" i="19"/>
  <c r="M137" i="19"/>
  <c r="O137" i="19"/>
  <c r="K138" i="19"/>
  <c r="L138" i="19"/>
  <c r="M138" i="19"/>
  <c r="O138" i="19"/>
  <c r="K139" i="19"/>
  <c r="L139" i="19"/>
  <c r="M139" i="19"/>
  <c r="O139" i="19"/>
  <c r="K140" i="19"/>
  <c r="L140" i="19"/>
  <c r="M140" i="19"/>
  <c r="O140" i="19"/>
  <c r="K141" i="19"/>
  <c r="L141" i="19"/>
  <c r="M141" i="19"/>
  <c r="O141" i="19"/>
  <c r="K142" i="19"/>
  <c r="L142" i="19"/>
  <c r="M142" i="19"/>
  <c r="O142" i="19"/>
  <c r="K143" i="19"/>
  <c r="L143" i="19"/>
  <c r="M143" i="19"/>
  <c r="O143" i="19"/>
  <c r="K144" i="19"/>
  <c r="L144" i="19"/>
  <c r="M144" i="19"/>
  <c r="O144" i="19"/>
  <c r="K145" i="19"/>
  <c r="L145" i="19"/>
  <c r="M145" i="19"/>
  <c r="O145" i="19"/>
  <c r="K146" i="19"/>
  <c r="L146" i="19"/>
  <c r="M146" i="19"/>
  <c r="O146" i="19"/>
  <c r="K147" i="19"/>
  <c r="L147" i="19"/>
  <c r="M147" i="19"/>
  <c r="O147" i="19"/>
  <c r="K148" i="19"/>
  <c r="L148" i="19"/>
  <c r="M148" i="19"/>
  <c r="O148" i="19"/>
  <c r="K149" i="19"/>
  <c r="L149" i="19"/>
  <c r="M149" i="19"/>
  <c r="O149" i="19"/>
  <c r="K150" i="19"/>
  <c r="L150" i="19"/>
  <c r="M150" i="19"/>
  <c r="O150" i="19"/>
  <c r="K151" i="19"/>
  <c r="L151" i="19"/>
  <c r="M151" i="19"/>
  <c r="O151" i="19"/>
  <c r="K152" i="19"/>
  <c r="L152" i="19"/>
  <c r="M152" i="19"/>
  <c r="O152" i="19"/>
  <c r="K153" i="19"/>
  <c r="L153" i="19"/>
  <c r="M153" i="19"/>
  <c r="O153" i="19"/>
  <c r="K154" i="19"/>
  <c r="L154" i="19"/>
  <c r="M154" i="19"/>
  <c r="O154" i="19"/>
  <c r="K155" i="19"/>
  <c r="L155" i="19"/>
  <c r="M155" i="19"/>
  <c r="O155" i="19"/>
  <c r="K156" i="19"/>
  <c r="L156" i="19"/>
  <c r="M156" i="19"/>
  <c r="O156" i="19"/>
  <c r="K157" i="19"/>
  <c r="L157" i="19"/>
  <c r="M157" i="19"/>
  <c r="O157" i="19"/>
  <c r="K158" i="19"/>
  <c r="L158" i="19"/>
  <c r="M158" i="19"/>
  <c r="O158" i="19"/>
  <c r="K159" i="19"/>
  <c r="L159" i="19"/>
  <c r="M159" i="19"/>
  <c r="O159" i="19"/>
  <c r="K160" i="19"/>
  <c r="L160" i="19"/>
  <c r="M160" i="19"/>
  <c r="O160" i="19"/>
  <c r="K161" i="19"/>
  <c r="L161" i="19"/>
  <c r="M161" i="19"/>
  <c r="O161" i="19"/>
  <c r="K162" i="19"/>
  <c r="L162" i="19"/>
  <c r="M162" i="19"/>
  <c r="O162" i="19"/>
  <c r="K163" i="19"/>
  <c r="L163" i="19"/>
  <c r="M163" i="19"/>
  <c r="O163" i="19"/>
  <c r="K164" i="19"/>
  <c r="L164" i="19"/>
  <c r="M164" i="19"/>
  <c r="O164" i="19"/>
  <c r="K165" i="19"/>
  <c r="L165" i="19"/>
  <c r="M165" i="19"/>
  <c r="O165" i="19"/>
  <c r="K166" i="19"/>
  <c r="L166" i="19"/>
  <c r="M166" i="19"/>
  <c r="O166" i="19"/>
  <c r="K167" i="19"/>
  <c r="L167" i="19"/>
  <c r="M167" i="19"/>
  <c r="O167" i="19"/>
  <c r="K168" i="19"/>
  <c r="L168" i="19"/>
  <c r="M168" i="19"/>
  <c r="O168" i="19"/>
  <c r="K169" i="19"/>
  <c r="L169" i="19"/>
  <c r="M169" i="19"/>
  <c r="O169" i="19"/>
  <c r="K170" i="19"/>
  <c r="L170" i="19"/>
  <c r="M170" i="19"/>
  <c r="O170" i="19"/>
  <c r="K171" i="19"/>
  <c r="L171" i="19"/>
  <c r="M171" i="19"/>
  <c r="O171" i="19"/>
  <c r="K172" i="19"/>
  <c r="L172" i="19"/>
  <c r="M172" i="19"/>
  <c r="O172" i="19"/>
  <c r="K173" i="19"/>
  <c r="L173" i="19"/>
  <c r="M173" i="19"/>
  <c r="O173" i="19"/>
  <c r="K174" i="19"/>
  <c r="L174" i="19"/>
  <c r="M174" i="19"/>
  <c r="O174" i="19"/>
  <c r="K175" i="19"/>
  <c r="L175" i="19"/>
  <c r="M175" i="19"/>
  <c r="O175" i="19"/>
  <c r="K176" i="19"/>
  <c r="L176" i="19"/>
  <c r="M176" i="19"/>
  <c r="O176" i="19"/>
  <c r="K177" i="19"/>
  <c r="L177" i="19"/>
  <c r="M177" i="19"/>
  <c r="O177" i="19"/>
  <c r="K178" i="19"/>
  <c r="L178" i="19"/>
  <c r="M178" i="19"/>
  <c r="O178" i="19"/>
  <c r="K179" i="19"/>
  <c r="L179" i="19"/>
  <c r="M179" i="19"/>
  <c r="O179" i="19"/>
  <c r="K180" i="19"/>
  <c r="L180" i="19"/>
  <c r="M180" i="19"/>
  <c r="O180" i="19"/>
  <c r="K181" i="19"/>
  <c r="L181" i="19"/>
  <c r="M181" i="19"/>
  <c r="O181" i="19"/>
  <c r="K182" i="19"/>
  <c r="L182" i="19"/>
  <c r="M182" i="19"/>
  <c r="O182" i="19"/>
  <c r="K183" i="19"/>
  <c r="L183" i="19"/>
  <c r="M183" i="19"/>
  <c r="O183" i="19"/>
  <c r="F184" i="19"/>
  <c r="H184" i="19"/>
  <c r="F185" i="19"/>
  <c r="K185" i="19"/>
  <c r="L185" i="19"/>
  <c r="M185" i="19"/>
  <c r="N185" i="19"/>
  <c r="O185" i="19"/>
  <c r="F186" i="19"/>
  <c r="H186" i="19"/>
  <c r="K186" i="19"/>
  <c r="L186" i="19"/>
  <c r="M186" i="19"/>
  <c r="F187" i="19"/>
  <c r="K187" i="19"/>
  <c r="L187" i="19"/>
  <c r="M187" i="19"/>
  <c r="F188" i="19"/>
  <c r="H188" i="19"/>
  <c r="F189" i="19"/>
  <c r="H189" i="19"/>
  <c r="L189" i="19"/>
  <c r="M189" i="19"/>
  <c r="F190" i="19"/>
  <c r="H190" i="19"/>
  <c r="F191" i="19"/>
  <c r="H191" i="19"/>
  <c r="M191" i="19" s="1"/>
  <c r="L191" i="19"/>
  <c r="F192" i="19"/>
  <c r="H192" i="19"/>
  <c r="J192" i="19"/>
  <c r="F193" i="19"/>
  <c r="F194" i="19"/>
  <c r="H194" i="19"/>
  <c r="L194" i="19"/>
  <c r="M194" i="19"/>
  <c r="N194" i="19" s="1"/>
  <c r="O194" i="19"/>
  <c r="BT196" i="19"/>
  <c r="Q5" i="17"/>
  <c r="Q48" i="17" s="1"/>
  <c r="H7" i="17"/>
  <c r="M7" i="17"/>
  <c r="N7" i="17"/>
  <c r="O7" i="17"/>
  <c r="H8" i="17"/>
  <c r="M8" i="17"/>
  <c r="N8" i="17"/>
  <c r="O8" i="17"/>
  <c r="H9" i="17"/>
  <c r="M9" i="17"/>
  <c r="N9" i="17"/>
  <c r="O9" i="17"/>
  <c r="H10" i="17"/>
  <c r="M10" i="17"/>
  <c r="N10" i="17"/>
  <c r="O10" i="17"/>
  <c r="H11" i="17"/>
  <c r="M11" i="17"/>
  <c r="N11" i="17"/>
  <c r="O11" i="17"/>
  <c r="H12" i="17"/>
  <c r="M12" i="17"/>
  <c r="N12" i="17"/>
  <c r="O12" i="17"/>
  <c r="H13" i="17"/>
  <c r="J13" i="17"/>
  <c r="O13" i="17"/>
  <c r="M13" i="17"/>
  <c r="N13" i="17" s="1"/>
  <c r="H14" i="17"/>
  <c r="J14" i="17"/>
  <c r="H15" i="17"/>
  <c r="J15" i="17"/>
  <c r="M15" i="17" s="1"/>
  <c r="N15" i="17" s="1"/>
  <c r="H16" i="17"/>
  <c r="J16" i="17"/>
  <c r="J17" i="17" s="1"/>
  <c r="K16" i="17"/>
  <c r="M16" i="17"/>
  <c r="N16" i="17" s="1"/>
  <c r="O16" i="17"/>
  <c r="P16" i="17" s="1"/>
  <c r="H17" i="17"/>
  <c r="K17" i="17"/>
  <c r="H18" i="17"/>
  <c r="M18" i="17"/>
  <c r="N18" i="17" s="1"/>
  <c r="O18" i="17"/>
  <c r="P18" i="17"/>
  <c r="H19" i="17"/>
  <c r="J19" i="17"/>
  <c r="J20" i="17"/>
  <c r="K19" i="17"/>
  <c r="H20" i="17"/>
  <c r="K20" i="17"/>
  <c r="H21" i="17"/>
  <c r="J21" i="17"/>
  <c r="M21" i="17"/>
  <c r="N21" i="17" s="1"/>
  <c r="O21" i="17"/>
  <c r="P21" i="17" s="1"/>
  <c r="H22" i="17"/>
  <c r="J22" i="17"/>
  <c r="O22" i="17"/>
  <c r="P22" i="17" s="1"/>
  <c r="M22" i="17"/>
  <c r="N22" i="17"/>
  <c r="H23" i="17"/>
  <c r="J23" i="17"/>
  <c r="M23" i="17" s="1"/>
  <c r="N23" i="17" s="1"/>
  <c r="H24" i="17"/>
  <c r="J24" i="17"/>
  <c r="O26" i="17"/>
  <c r="P26" i="17"/>
  <c r="K24" i="17"/>
  <c r="M24" i="17" s="1"/>
  <c r="N24" i="17" s="1"/>
  <c r="H25" i="17"/>
  <c r="J25" i="17"/>
  <c r="K25" i="17"/>
  <c r="H26" i="17"/>
  <c r="J26" i="17"/>
  <c r="K26" i="17"/>
  <c r="M26" i="17"/>
  <c r="N26" i="17"/>
  <c r="H27" i="17"/>
  <c r="J27" i="17"/>
  <c r="K27" i="17"/>
  <c r="H28" i="17"/>
  <c r="J28" i="17"/>
  <c r="K28" i="17"/>
  <c r="O28" i="17" s="1"/>
  <c r="P28" i="17"/>
  <c r="H29" i="17"/>
  <c r="J29" i="17"/>
  <c r="K29" i="17"/>
  <c r="H34" i="17"/>
  <c r="J34" i="17"/>
  <c r="K34" i="17"/>
  <c r="O34" i="17"/>
  <c r="H35" i="17"/>
  <c r="J35" i="17"/>
  <c r="K35" i="17"/>
  <c r="O35" i="17" s="1"/>
  <c r="M35" i="17"/>
  <c r="N35" i="17" s="1"/>
  <c r="H36" i="17"/>
  <c r="M36" i="17"/>
  <c r="N36" i="17"/>
  <c r="O36" i="17"/>
  <c r="P36" i="17" s="1"/>
  <c r="H37" i="17"/>
  <c r="M37" i="17"/>
  <c r="N37" i="17" s="1"/>
  <c r="O37" i="17"/>
  <c r="N38" i="17"/>
  <c r="N39" i="17"/>
  <c r="N40" i="17"/>
  <c r="N41" i="17"/>
  <c r="N42" i="17"/>
  <c r="N43" i="17"/>
  <c r="N44" i="17"/>
  <c r="H45" i="17"/>
  <c r="J45" i="17"/>
  <c r="O45" i="17" s="1"/>
  <c r="P45" i="17" s="1"/>
  <c r="M45" i="17"/>
  <c r="N45" i="17" s="1"/>
  <c r="H46" i="17"/>
  <c r="J46" i="17"/>
  <c r="L46" i="17"/>
  <c r="H47" i="17"/>
  <c r="K47" i="17"/>
  <c r="H48" i="17"/>
  <c r="K48" i="17"/>
  <c r="M48" i="17"/>
  <c r="N48" i="17"/>
  <c r="O48" i="17"/>
  <c r="P48" i="17" s="1"/>
  <c r="H49" i="17"/>
  <c r="J49" i="17"/>
  <c r="J50" i="17" s="1"/>
  <c r="K49" i="17"/>
  <c r="O49" i="17" s="1"/>
  <c r="L49" i="17"/>
  <c r="P49" i="17"/>
  <c r="H50" i="17"/>
  <c r="H51" i="17"/>
  <c r="M51" i="17"/>
  <c r="N51" i="17" s="1"/>
  <c r="O51" i="17"/>
  <c r="P51" i="17"/>
  <c r="O52" i="17"/>
  <c r="O53" i="17"/>
  <c r="O54" i="17"/>
  <c r="O55" i="17"/>
  <c r="H56" i="17"/>
  <c r="M56" i="17"/>
  <c r="N56" i="17"/>
  <c r="O56" i="17"/>
  <c r="H57" i="17"/>
  <c r="M57" i="17"/>
  <c r="N57" i="17"/>
  <c r="O57" i="17"/>
  <c r="H58" i="17"/>
  <c r="M58" i="17"/>
  <c r="N58" i="17"/>
  <c r="O58" i="17"/>
  <c r="H59" i="17"/>
  <c r="M59" i="17"/>
  <c r="N59" i="17"/>
  <c r="O59" i="17"/>
  <c r="H60" i="17"/>
  <c r="K60" i="17"/>
  <c r="H61" i="17"/>
  <c r="M61" i="17"/>
  <c r="N61" i="17" s="1"/>
  <c r="O61" i="17"/>
  <c r="P61" i="17"/>
  <c r="H62" i="17"/>
  <c r="K62" i="17"/>
  <c r="M62" i="17" s="1"/>
  <c r="N62" i="17" s="1"/>
  <c r="O62" i="17"/>
  <c r="P62" i="17" s="1"/>
  <c r="H63" i="17"/>
  <c r="M63" i="17"/>
  <c r="N63" i="17"/>
  <c r="O63" i="17"/>
  <c r="P63" i="17" s="1"/>
  <c r="H64" i="17"/>
  <c r="J64" i="17"/>
  <c r="O64" i="17" s="1"/>
  <c r="P64" i="17" s="1"/>
  <c r="K64" i="17"/>
  <c r="H65" i="17"/>
  <c r="J65" i="17"/>
  <c r="O65" i="17" s="1"/>
  <c r="P65" i="17" s="1"/>
  <c r="M65" i="17"/>
  <c r="N65" i="17" s="1"/>
  <c r="H66" i="17"/>
  <c r="J66" i="17"/>
  <c r="M66" i="17" s="1"/>
  <c r="N66" i="17" s="1"/>
  <c r="O66" i="17"/>
  <c r="P66" i="17" s="1"/>
  <c r="H67" i="17"/>
  <c r="J67" i="17"/>
  <c r="H68" i="17"/>
  <c r="M68" i="17"/>
  <c r="N68" i="17" s="1"/>
  <c r="O68" i="17"/>
  <c r="H69" i="17"/>
  <c r="M69" i="17"/>
  <c r="N69" i="17" s="1"/>
  <c r="O69" i="17"/>
  <c r="M70" i="17"/>
  <c r="N70" i="17" s="1"/>
  <c r="O70" i="17"/>
  <c r="M71" i="17"/>
  <c r="N71" i="17"/>
  <c r="O71" i="17"/>
  <c r="M72" i="17"/>
  <c r="N72" i="17"/>
  <c r="O72" i="17"/>
  <c r="M73" i="17"/>
  <c r="N73" i="17" s="1"/>
  <c r="O73" i="17"/>
  <c r="M74" i="17"/>
  <c r="N74" i="17" s="1"/>
  <c r="O74" i="17"/>
  <c r="M75" i="17"/>
  <c r="N75" i="17"/>
  <c r="O75" i="17"/>
  <c r="M76" i="17"/>
  <c r="N76" i="17"/>
  <c r="O76" i="17"/>
  <c r="M77" i="17"/>
  <c r="N77" i="17" s="1"/>
  <c r="O77" i="17"/>
  <c r="M78" i="17"/>
  <c r="N78" i="17" s="1"/>
  <c r="O78" i="17"/>
  <c r="M79" i="17"/>
  <c r="N79" i="17"/>
  <c r="O79" i="17"/>
  <c r="M80" i="17"/>
  <c r="N80" i="17"/>
  <c r="O80" i="17"/>
  <c r="G81" i="17"/>
  <c r="H81" i="17" s="1"/>
  <c r="J81" i="17"/>
  <c r="H82" i="17"/>
  <c r="J82" i="17"/>
  <c r="M82" i="17" s="1"/>
  <c r="N82" i="17" s="1"/>
  <c r="O82" i="17"/>
  <c r="P82" i="17" s="1"/>
  <c r="H83" i="17"/>
  <c r="J83" i="17"/>
  <c r="M83" i="17"/>
  <c r="N83" i="17" s="1"/>
  <c r="H84" i="17"/>
  <c r="J84" i="17"/>
  <c r="O84" i="17" s="1"/>
  <c r="P84" i="17" s="1"/>
  <c r="M84" i="17"/>
  <c r="N84" i="17" s="1"/>
  <c r="H85" i="17"/>
  <c r="J85" i="17"/>
  <c r="M85" i="17" s="1"/>
  <c r="N85" i="17" s="1"/>
  <c r="O85" i="17"/>
  <c r="P85" i="17" s="1"/>
  <c r="H86" i="17"/>
  <c r="J86" i="17"/>
  <c r="K86" i="17"/>
  <c r="H87" i="17"/>
  <c r="M87" i="17"/>
  <c r="N87" i="17"/>
  <c r="O87" i="17"/>
  <c r="H88" i="17"/>
  <c r="M88" i="17"/>
  <c r="N88" i="17"/>
  <c r="O88" i="17"/>
  <c r="H89" i="17"/>
  <c r="M89" i="17"/>
  <c r="N89" i="17"/>
  <c r="O89" i="17"/>
  <c r="H90" i="17"/>
  <c r="M90" i="17"/>
  <c r="N90" i="17"/>
  <c r="O90" i="17"/>
  <c r="H91" i="17"/>
  <c r="M91" i="17"/>
  <c r="N91" i="17"/>
  <c r="O91" i="17"/>
  <c r="H92" i="17"/>
  <c r="M92" i="17"/>
  <c r="N92" i="17"/>
  <c r="O92" i="17"/>
  <c r="H93" i="17"/>
  <c r="M93" i="17"/>
  <c r="N93" i="17"/>
  <c r="O93" i="17"/>
  <c r="H94" i="17"/>
  <c r="M94" i="17"/>
  <c r="N94" i="17"/>
  <c r="O94" i="17"/>
  <c r="H95" i="17"/>
  <c r="M95" i="17"/>
  <c r="N95" i="17"/>
  <c r="O95" i="17"/>
  <c r="H96" i="17"/>
  <c r="M96" i="17"/>
  <c r="N96" i="17"/>
  <c r="O96" i="17"/>
  <c r="H97" i="17"/>
  <c r="M97" i="17"/>
  <c r="N97" i="17"/>
  <c r="O97" i="17"/>
  <c r="J98" i="17"/>
  <c r="O98" i="17" s="1"/>
  <c r="P98" i="17" s="1"/>
  <c r="J99" i="17"/>
  <c r="M99" i="17" s="1"/>
  <c r="N99" i="17" s="1"/>
  <c r="H100" i="17"/>
  <c r="J100" i="17"/>
  <c r="M100" i="17"/>
  <c r="N100" i="17"/>
  <c r="H101" i="17"/>
  <c r="M101" i="17"/>
  <c r="N101" i="17"/>
  <c r="O101" i="17"/>
  <c r="H102" i="17"/>
  <c r="J102" i="17"/>
  <c r="M102" i="17"/>
  <c r="N102" i="17"/>
  <c r="O102" i="17"/>
  <c r="P102" i="17" s="1"/>
  <c r="H103" i="17"/>
  <c r="J103" i="17"/>
  <c r="G104" i="17"/>
  <c r="H104" i="17" s="1"/>
  <c r="J104" i="17"/>
  <c r="K104" i="17"/>
  <c r="H105" i="17"/>
  <c r="J105" i="17"/>
  <c r="M105" i="17"/>
  <c r="N105" i="17"/>
  <c r="O105" i="17"/>
  <c r="P105" i="17" s="1"/>
  <c r="H106" i="17"/>
  <c r="M106" i="17"/>
  <c r="N106" i="17" s="1"/>
  <c r="O106" i="17"/>
  <c r="P106" i="17"/>
  <c r="G107" i="17"/>
  <c r="N107" i="17" s="1"/>
  <c r="M107" i="17"/>
  <c r="O107" i="17"/>
  <c r="P107" i="17"/>
  <c r="G108" i="17"/>
  <c r="H108" i="17" s="1"/>
  <c r="J108" i="17"/>
  <c r="H109" i="17"/>
  <c r="J109" i="17"/>
  <c r="M109" i="17" s="1"/>
  <c r="N109" i="17" s="1"/>
  <c r="O109" i="17"/>
  <c r="P109" i="17" s="1"/>
  <c r="H110" i="17"/>
  <c r="M110" i="17"/>
  <c r="N110" i="17"/>
  <c r="O110" i="17"/>
  <c r="H111" i="17"/>
  <c r="M111" i="17"/>
  <c r="N111" i="17"/>
  <c r="O111" i="17"/>
  <c r="H112" i="17"/>
  <c r="M112" i="17"/>
  <c r="N112" i="17"/>
  <c r="O112" i="17"/>
  <c r="P112" i="17" s="1"/>
  <c r="H113" i="17"/>
  <c r="M113" i="17"/>
  <c r="N113" i="17" s="1"/>
  <c r="O113" i="17"/>
  <c r="P113" i="17"/>
  <c r="H114" i="17"/>
  <c r="M114" i="17"/>
  <c r="N114" i="17" s="1"/>
  <c r="O114" i="17"/>
  <c r="H115" i="17"/>
  <c r="M115" i="17"/>
  <c r="N115" i="17" s="1"/>
  <c r="O115" i="17"/>
  <c r="H116" i="17"/>
  <c r="M116" i="17"/>
  <c r="N116" i="17" s="1"/>
  <c r="O116" i="17"/>
  <c r="H117" i="17"/>
  <c r="M117" i="17"/>
  <c r="N117" i="17" s="1"/>
  <c r="O117" i="17"/>
  <c r="H118" i="17"/>
  <c r="M118" i="17"/>
  <c r="N118" i="17" s="1"/>
  <c r="O118" i="17"/>
  <c r="H119" i="17"/>
  <c r="M119" i="17"/>
  <c r="N119" i="17" s="1"/>
  <c r="O119" i="17"/>
  <c r="M120" i="17"/>
  <c r="N120" i="17" s="1"/>
  <c r="O120" i="17"/>
  <c r="M121" i="17"/>
  <c r="N121" i="17"/>
  <c r="O121" i="17"/>
  <c r="M122" i="17"/>
  <c r="N122" i="17"/>
  <c r="O122" i="17"/>
  <c r="M123" i="17"/>
  <c r="N123" i="17" s="1"/>
  <c r="O123" i="17"/>
  <c r="M124" i="17"/>
  <c r="N124" i="17" s="1"/>
  <c r="O124" i="17"/>
  <c r="M125" i="17"/>
  <c r="N125" i="17"/>
  <c r="O125" i="17"/>
  <c r="M126" i="17"/>
  <c r="N126" i="17"/>
  <c r="O126" i="17"/>
  <c r="M127" i="17"/>
  <c r="N127" i="17" s="1"/>
  <c r="O127" i="17"/>
  <c r="M128" i="17"/>
  <c r="N128" i="17" s="1"/>
  <c r="O128" i="17"/>
  <c r="M129" i="17"/>
  <c r="N129" i="17"/>
  <c r="O129" i="17"/>
  <c r="M130" i="17"/>
  <c r="N130" i="17"/>
  <c r="O130" i="17"/>
  <c r="M131" i="17"/>
  <c r="N131" i="17" s="1"/>
  <c r="O131" i="17"/>
  <c r="M132" i="17"/>
  <c r="N132" i="17" s="1"/>
  <c r="O132" i="17"/>
  <c r="M133" i="17"/>
  <c r="N133" i="17"/>
  <c r="O133" i="17"/>
  <c r="M134" i="17"/>
  <c r="N134" i="17"/>
  <c r="O134" i="17"/>
  <c r="M135" i="17"/>
  <c r="N135" i="17" s="1"/>
  <c r="O135" i="17"/>
  <c r="M136" i="17"/>
  <c r="N136" i="17" s="1"/>
  <c r="O136" i="17"/>
  <c r="M137" i="17"/>
  <c r="N137" i="17"/>
  <c r="O137" i="17"/>
  <c r="M138" i="17"/>
  <c r="N138" i="17"/>
  <c r="O138" i="17"/>
  <c r="M139" i="17"/>
  <c r="N139" i="17" s="1"/>
  <c r="O139" i="17"/>
  <c r="M140" i="17"/>
  <c r="N140" i="17" s="1"/>
  <c r="O140" i="17"/>
  <c r="M141" i="17"/>
  <c r="N141" i="17"/>
  <c r="O141" i="17"/>
  <c r="M142" i="17"/>
  <c r="N142" i="17"/>
  <c r="O142" i="17"/>
  <c r="M143" i="17"/>
  <c r="N143" i="17" s="1"/>
  <c r="O143" i="17"/>
  <c r="M144" i="17"/>
  <c r="N144" i="17" s="1"/>
  <c r="O144" i="17"/>
  <c r="M145" i="17"/>
  <c r="N145" i="17"/>
  <c r="O145" i="17"/>
  <c r="M146" i="17"/>
  <c r="N146" i="17"/>
  <c r="O146" i="17"/>
  <c r="M147" i="17"/>
  <c r="N147" i="17" s="1"/>
  <c r="O147" i="17"/>
  <c r="M148" i="17"/>
  <c r="N148" i="17" s="1"/>
  <c r="O148" i="17"/>
  <c r="M149" i="17"/>
  <c r="N149" i="17"/>
  <c r="O149" i="17"/>
  <c r="M150" i="17"/>
  <c r="N150" i="17"/>
  <c r="O150" i="17"/>
  <c r="M151" i="17"/>
  <c r="N151" i="17" s="1"/>
  <c r="O151" i="17"/>
  <c r="M152" i="17"/>
  <c r="N152" i="17" s="1"/>
  <c r="O152" i="17"/>
  <c r="M153" i="17"/>
  <c r="N153" i="17"/>
  <c r="O153" i="17"/>
  <c r="M154" i="17"/>
  <c r="N154" i="17"/>
  <c r="O154" i="17"/>
  <c r="M155" i="17"/>
  <c r="N155" i="17" s="1"/>
  <c r="O155" i="17"/>
  <c r="M156" i="17"/>
  <c r="N156" i="17" s="1"/>
  <c r="O156" i="17"/>
  <c r="M157" i="17"/>
  <c r="N157" i="17"/>
  <c r="O157" i="17"/>
  <c r="M158" i="17"/>
  <c r="N158" i="17"/>
  <c r="O158" i="17"/>
  <c r="M159" i="17"/>
  <c r="N159" i="17" s="1"/>
  <c r="O159" i="17"/>
  <c r="M160" i="17"/>
  <c r="N160" i="17" s="1"/>
  <c r="O160" i="17"/>
  <c r="M161" i="17"/>
  <c r="N161" i="17"/>
  <c r="O161" i="17"/>
  <c r="M162" i="17"/>
  <c r="N162" i="17"/>
  <c r="O162" i="17"/>
  <c r="M163" i="17"/>
  <c r="N163" i="17" s="1"/>
  <c r="O163" i="17"/>
  <c r="M164" i="17"/>
  <c r="N164" i="17" s="1"/>
  <c r="O164" i="17"/>
  <c r="M165" i="17"/>
  <c r="N165" i="17"/>
  <c r="O165" i="17"/>
  <c r="M166" i="17"/>
  <c r="N166" i="17"/>
  <c r="O166" i="17"/>
  <c r="M167" i="17"/>
  <c r="N167" i="17" s="1"/>
  <c r="O167" i="17"/>
  <c r="M168" i="17"/>
  <c r="N168" i="17" s="1"/>
  <c r="O168" i="17"/>
  <c r="M169" i="17"/>
  <c r="N169" i="17"/>
  <c r="O169" i="17"/>
  <c r="M170" i="17"/>
  <c r="N170" i="17"/>
  <c r="O170" i="17"/>
  <c r="M171" i="17"/>
  <c r="N171" i="17" s="1"/>
  <c r="O171" i="17"/>
  <c r="M172" i="17"/>
  <c r="N172" i="17" s="1"/>
  <c r="O172" i="17"/>
  <c r="M173" i="17"/>
  <c r="N173" i="17"/>
  <c r="O173" i="17"/>
  <c r="M174" i="17"/>
  <c r="N174" i="17"/>
  <c r="O174" i="17"/>
  <c r="M175" i="17"/>
  <c r="N175" i="17" s="1"/>
  <c r="O175" i="17"/>
  <c r="M176" i="17"/>
  <c r="N176" i="17" s="1"/>
  <c r="O176" i="17"/>
  <c r="M177" i="17"/>
  <c r="N177" i="17"/>
  <c r="O177" i="17"/>
  <c r="M178" i="17"/>
  <c r="N178" i="17"/>
  <c r="O178" i="17"/>
  <c r="M179" i="17"/>
  <c r="N179" i="17" s="1"/>
  <c r="O179" i="17"/>
  <c r="M180" i="17"/>
  <c r="N180" i="17" s="1"/>
  <c r="O180" i="17"/>
  <c r="M181" i="17"/>
  <c r="N181" i="17"/>
  <c r="O181" i="17"/>
  <c r="M182" i="17"/>
  <c r="N182" i="17"/>
  <c r="O182" i="17"/>
  <c r="M183" i="17"/>
  <c r="N183" i="17" s="1"/>
  <c r="O183" i="17"/>
  <c r="H184" i="17"/>
  <c r="J184" i="17"/>
  <c r="K184" i="17"/>
  <c r="M184" i="17"/>
  <c r="N184" i="17"/>
  <c r="O184" i="17"/>
  <c r="P184" i="17" s="1"/>
  <c r="H185" i="17"/>
  <c r="J185" i="17"/>
  <c r="K185" i="17"/>
  <c r="H186" i="17"/>
  <c r="M186" i="17"/>
  <c r="N186" i="17"/>
  <c r="O186" i="17"/>
  <c r="P186" i="17" s="1"/>
  <c r="H187" i="17"/>
  <c r="J187" i="17"/>
  <c r="M187" i="17" s="1"/>
  <c r="N187" i="17" s="1"/>
  <c r="H188" i="17"/>
  <c r="J188" i="17"/>
  <c r="H189" i="17"/>
  <c r="H190" i="17"/>
  <c r="C5" i="12"/>
  <c r="C6" i="12"/>
  <c r="C8" i="12"/>
  <c r="F11" i="12"/>
  <c r="I11" i="12"/>
  <c r="K11" i="12"/>
  <c r="N11" i="12"/>
  <c r="N7" i="10"/>
  <c r="Q7" i="10"/>
  <c r="T7" i="10" s="1"/>
  <c r="W7" i="10" s="1"/>
  <c r="Z7" i="10" s="1"/>
  <c r="AC7" i="10" s="1"/>
  <c r="N8" i="10"/>
  <c r="Q8" i="10" s="1"/>
  <c r="T8" i="10" s="1"/>
  <c r="W8" i="10" s="1"/>
  <c r="Z8" i="10" s="1"/>
  <c r="AC8" i="10" s="1"/>
  <c r="N9" i="10"/>
  <c r="Q9" i="10"/>
  <c r="T9" i="10" s="1"/>
  <c r="W9" i="10" s="1"/>
  <c r="Z9" i="10" s="1"/>
  <c r="AC9" i="10"/>
  <c r="N12" i="10"/>
  <c r="Q12" i="10" s="1"/>
  <c r="T12" i="10" s="1"/>
  <c r="W12" i="10"/>
  <c r="Z12" i="10" s="1"/>
  <c r="AC12" i="10" s="1"/>
  <c r="N13" i="10"/>
  <c r="Q13" i="10"/>
  <c r="T13" i="10" s="1"/>
  <c r="W13" i="10" s="1"/>
  <c r="Z13" i="10" s="1"/>
  <c r="AC13" i="10" s="1"/>
  <c r="N14" i="10"/>
  <c r="Q14" i="10" s="1"/>
  <c r="T14" i="10" s="1"/>
  <c r="W14" i="10" s="1"/>
  <c r="Z14" i="10" s="1"/>
  <c r="AC14" i="10" s="1"/>
  <c r="E33" i="10"/>
  <c r="D8" i="16"/>
  <c r="D9" i="16"/>
  <c r="D10" i="16"/>
  <c r="G10" i="16"/>
  <c r="I10" i="16"/>
  <c r="K10" i="16" s="1"/>
  <c r="D11" i="16"/>
  <c r="D12" i="16"/>
  <c r="F13" i="16"/>
  <c r="F15" i="16" s="1"/>
  <c r="H13" i="16"/>
  <c r="H15" i="16"/>
  <c r="J13" i="16"/>
  <c r="J15" i="16" s="1"/>
  <c r="L13" i="16"/>
  <c r="L15" i="16"/>
  <c r="R13" i="16"/>
  <c r="R15" i="16" s="1"/>
  <c r="T13" i="16"/>
  <c r="T15" i="16"/>
  <c r="V13" i="16"/>
  <c r="V15" i="16" s="1"/>
  <c r="X13" i="16"/>
  <c r="X15" i="16"/>
  <c r="Z13" i="16"/>
  <c r="Z15" i="16" s="1"/>
  <c r="AB13" i="16"/>
  <c r="AB15" i="16"/>
  <c r="AD13" i="16"/>
  <c r="AD15" i="16" s="1"/>
  <c r="AF13" i="16"/>
  <c r="AF15" i="16"/>
  <c r="AH13" i="16"/>
  <c r="AH15" i="16" s="1"/>
  <c r="AJ13" i="16"/>
  <c r="AJ15" i="16"/>
  <c r="AL13" i="16"/>
  <c r="AL15" i="16" s="1"/>
  <c r="AN13" i="16"/>
  <c r="AN15" i="16"/>
  <c r="AP13" i="16"/>
  <c r="AP15" i="16" s="1"/>
  <c r="AR13" i="16"/>
  <c r="AR15" i="16"/>
  <c r="AT13" i="16"/>
  <c r="AT15" i="16" s="1"/>
  <c r="AV13" i="16"/>
  <c r="AV15" i="16"/>
  <c r="AX13" i="16"/>
  <c r="AX15" i="16" s="1"/>
  <c r="D18" i="16"/>
  <c r="F18" i="16"/>
  <c r="H18" i="16"/>
  <c r="J18" i="16"/>
  <c r="L18" i="16"/>
  <c r="N18" i="16"/>
  <c r="P18" i="16"/>
  <c r="R18" i="16"/>
  <c r="T18" i="16"/>
  <c r="V18" i="16"/>
  <c r="X18" i="16"/>
  <c r="Z18" i="16"/>
  <c r="AB18" i="16"/>
  <c r="AD18" i="16"/>
  <c r="AF18" i="16"/>
  <c r="AH18" i="16"/>
  <c r="AJ18" i="16"/>
  <c r="AL18" i="16"/>
  <c r="AN18" i="16"/>
  <c r="AP18" i="16"/>
  <c r="AR18" i="16"/>
  <c r="AT18" i="16"/>
  <c r="AV18" i="16"/>
  <c r="AX18" i="16"/>
  <c r="D19" i="16"/>
  <c r="F19" i="16"/>
  <c r="H19" i="16"/>
  <c r="J19" i="16"/>
  <c r="L19" i="16"/>
  <c r="N19" i="16"/>
  <c r="P19" i="16"/>
  <c r="R19" i="16"/>
  <c r="T19" i="16"/>
  <c r="V19" i="16"/>
  <c r="X19" i="16"/>
  <c r="Z19" i="16"/>
  <c r="AB19" i="16"/>
  <c r="AD19" i="16"/>
  <c r="AF19" i="16"/>
  <c r="AH19" i="16"/>
  <c r="AJ19" i="16"/>
  <c r="AL19" i="16"/>
  <c r="AN19" i="16"/>
  <c r="AP19" i="16"/>
  <c r="AR19" i="16"/>
  <c r="AT19" i="16"/>
  <c r="AV19" i="16"/>
  <c r="AX19" i="16"/>
  <c r="D20" i="16"/>
  <c r="F20" i="16"/>
  <c r="H20" i="16"/>
  <c r="J20" i="16"/>
  <c r="L20" i="16"/>
  <c r="N20" i="16"/>
  <c r="P20" i="16"/>
  <c r="R20" i="16"/>
  <c r="T20" i="16"/>
  <c r="V20" i="16"/>
  <c r="X20" i="16"/>
  <c r="Z20" i="16"/>
  <c r="AB20" i="16"/>
  <c r="AD20" i="16"/>
  <c r="AF20" i="16"/>
  <c r="AH20" i="16"/>
  <c r="AJ20" i="16"/>
  <c r="AL20" i="16"/>
  <c r="AN20" i="16"/>
  <c r="AP20" i="16"/>
  <c r="AR20" i="16"/>
  <c r="AT20" i="16"/>
  <c r="AV20" i="16"/>
  <c r="AX20" i="16"/>
  <c r="D21" i="16"/>
  <c r="F21" i="16"/>
  <c r="H21" i="16"/>
  <c r="J21" i="16"/>
  <c r="L21" i="16"/>
  <c r="N21" i="16"/>
  <c r="P21" i="16"/>
  <c r="R21" i="16"/>
  <c r="T21" i="16"/>
  <c r="V21" i="16"/>
  <c r="X21" i="16"/>
  <c r="Z21" i="16"/>
  <c r="AB21" i="16"/>
  <c r="AD21" i="16"/>
  <c r="AF21" i="16"/>
  <c r="AH21" i="16"/>
  <c r="AJ21" i="16"/>
  <c r="AL21" i="16"/>
  <c r="AN21" i="16"/>
  <c r="AP21" i="16"/>
  <c r="AR21" i="16"/>
  <c r="AT21" i="16"/>
  <c r="AV21" i="16"/>
  <c r="AX21" i="16"/>
  <c r="D22" i="16"/>
  <c r="F22" i="16"/>
  <c r="H22" i="16"/>
  <c r="J22" i="16"/>
  <c r="L22" i="16"/>
  <c r="N22" i="16"/>
  <c r="P22" i="16"/>
  <c r="R22" i="16"/>
  <c r="T22" i="16"/>
  <c r="V22" i="16"/>
  <c r="X22" i="16"/>
  <c r="Z22" i="16"/>
  <c r="AB22" i="16"/>
  <c r="AD22" i="16"/>
  <c r="AF22" i="16"/>
  <c r="AH22" i="16"/>
  <c r="AJ22" i="16"/>
  <c r="AL22" i="16"/>
  <c r="AN22" i="16"/>
  <c r="AP22" i="16"/>
  <c r="AR22" i="16"/>
  <c r="AT22" i="16"/>
  <c r="AV22" i="16"/>
  <c r="AX22" i="16"/>
  <c r="L71" i="28"/>
  <c r="N16" i="28"/>
  <c r="N42" i="28"/>
  <c r="Q42" i="28" s="1"/>
  <c r="T42" i="28" s="1"/>
  <c r="N38" i="28"/>
  <c r="Q38" i="28" s="1"/>
  <c r="O26" i="28"/>
  <c r="O25" i="28"/>
  <c r="R25" i="28"/>
  <c r="K19" i="28"/>
  <c r="L19" i="28"/>
  <c r="N19" i="28"/>
  <c r="L47" i="28"/>
  <c r="O64" i="28"/>
  <c r="O72" i="28"/>
  <c r="R72" i="28"/>
  <c r="O38" i="28"/>
  <c r="Q65" i="28"/>
  <c r="O65" i="28"/>
  <c r="U72" i="28"/>
  <c r="W72" i="28"/>
  <c r="Z72" i="28" s="1"/>
  <c r="U25" i="28"/>
  <c r="W25" i="28"/>
  <c r="Z25" i="28" s="1"/>
  <c r="Q68" i="28"/>
  <c r="T68" i="28" s="1"/>
  <c r="O68" i="28"/>
  <c r="Q58" i="28"/>
  <c r="R58" i="28" s="1"/>
  <c r="O58" i="28"/>
  <c r="Q73" i="28"/>
  <c r="O73" i="28"/>
  <c r="O35" i="28"/>
  <c r="Q35" i="28"/>
  <c r="L37" i="28"/>
  <c r="N37" i="28"/>
  <c r="Q37" i="28" s="1"/>
  <c r="Q36" i="28"/>
  <c r="R36" i="28"/>
  <c r="O36" i="28"/>
  <c r="Q32" i="28"/>
  <c r="O32" i="28"/>
  <c r="L34" i="28"/>
  <c r="N34" i="28"/>
  <c r="Q33" i="28"/>
  <c r="O33" i="28"/>
  <c r="Q40" i="28"/>
  <c r="T40" i="28" s="1"/>
  <c r="O40" i="28"/>
  <c r="Q39" i="28"/>
  <c r="O39" i="28"/>
  <c r="Q23" i="28"/>
  <c r="O23" i="28"/>
  <c r="O22" i="28"/>
  <c r="Q22" i="28"/>
  <c r="T22" i="28" s="1"/>
  <c r="T64" i="28"/>
  <c r="R64" i="28"/>
  <c r="O62" i="28"/>
  <c r="Q62" i="28"/>
  <c r="R62" i="28" s="1"/>
  <c r="Q61" i="28"/>
  <c r="T61" i="28" s="1"/>
  <c r="O61" i="28"/>
  <c r="Q27" i="28"/>
  <c r="R27" i="28" s="1"/>
  <c r="O27" i="28"/>
  <c r="Q46" i="28"/>
  <c r="R46" i="28" s="1"/>
  <c r="O46" i="28"/>
  <c r="Q57" i="28"/>
  <c r="T57" i="28" s="1"/>
  <c r="O57" i="28"/>
  <c r="Q49" i="28"/>
  <c r="O49" i="28"/>
  <c r="O48" i="28"/>
  <c r="Q48" i="28"/>
  <c r="R48" i="28" s="1"/>
  <c r="Q47" i="28"/>
  <c r="O47" i="28"/>
  <c r="Q56" i="28"/>
  <c r="R56" i="28"/>
  <c r="O56" i="28"/>
  <c r="Q54" i="28"/>
  <c r="O54" i="28"/>
  <c r="Q51" i="28"/>
  <c r="R51" i="28" s="1"/>
  <c r="O51" i="28"/>
  <c r="Q45" i="28"/>
  <c r="O45" i="28"/>
  <c r="R42" i="28"/>
  <c r="Q31" i="28"/>
  <c r="T31" i="28" s="1"/>
  <c r="O31" i="28"/>
  <c r="Q30" i="28"/>
  <c r="T30" i="28" s="1"/>
  <c r="O30" i="28"/>
  <c r="Q29" i="28"/>
  <c r="T29" i="28" s="1"/>
  <c r="O29" i="28"/>
  <c r="Q70" i="28"/>
  <c r="O70" i="28"/>
  <c r="Q21" i="28"/>
  <c r="T21" i="28"/>
  <c r="O21" i="28"/>
  <c r="Q71" i="28"/>
  <c r="T71" i="28" s="1"/>
  <c r="O71" i="28"/>
  <c r="Q52" i="28"/>
  <c r="T52" i="28" s="1"/>
  <c r="O52" i="28"/>
  <c r="O43" i="28"/>
  <c r="Q43" i="28"/>
  <c r="R43" i="28" s="1"/>
  <c r="Q59" i="28"/>
  <c r="T59" i="28" s="1"/>
  <c r="O59" i="28"/>
  <c r="Q24" i="28"/>
  <c r="O24" i="28"/>
  <c r="O60" i="28"/>
  <c r="Q60" i="28"/>
  <c r="Q67" i="28"/>
  <c r="O67" i="28"/>
  <c r="Q66" i="28"/>
  <c r="T66" i="28" s="1"/>
  <c r="O66" i="28"/>
  <c r="O17" i="28"/>
  <c r="Q17" i="28"/>
  <c r="R17" i="28" s="1"/>
  <c r="X72" i="28"/>
  <c r="X25" i="28"/>
  <c r="R68" i="28"/>
  <c r="T73" i="28"/>
  <c r="W73" i="28" s="1"/>
  <c r="R73" i="28"/>
  <c r="T35" i="28"/>
  <c r="R35" i="28"/>
  <c r="O37" i="28"/>
  <c r="T36" i="28"/>
  <c r="U36" i="28" s="1"/>
  <c r="T32" i="28"/>
  <c r="W32" i="28" s="1"/>
  <c r="X32" i="28" s="1"/>
  <c r="R32" i="28"/>
  <c r="Q34" i="28"/>
  <c r="O34" i="28"/>
  <c r="T33" i="28"/>
  <c r="R33" i="28"/>
  <c r="R40" i="28"/>
  <c r="R39" i="28"/>
  <c r="T39" i="28"/>
  <c r="T23" i="28"/>
  <c r="U23" i="28" s="1"/>
  <c r="R23" i="28"/>
  <c r="R22" i="28"/>
  <c r="W64" i="28"/>
  <c r="X64" i="28" s="1"/>
  <c r="U64" i="28"/>
  <c r="T27" i="28"/>
  <c r="U27" i="28" s="1"/>
  <c r="T46" i="28"/>
  <c r="U46" i="28" s="1"/>
  <c r="R57" i="28"/>
  <c r="T49" i="28"/>
  <c r="U49" i="28" s="1"/>
  <c r="R49" i="28"/>
  <c r="T48" i="28"/>
  <c r="T47" i="28"/>
  <c r="W47" i="28"/>
  <c r="X47" i="28" s="1"/>
  <c r="R47" i="28"/>
  <c r="T56" i="28"/>
  <c r="W56" i="28"/>
  <c r="T54" i="28"/>
  <c r="W54" i="28" s="1"/>
  <c r="R54" i="28"/>
  <c r="R45" i="28"/>
  <c r="T45" i="28"/>
  <c r="R31" i="28"/>
  <c r="R29" i="28"/>
  <c r="R70" i="28"/>
  <c r="T70" i="28"/>
  <c r="R21" i="28"/>
  <c r="R52" i="28"/>
  <c r="T24" i="28"/>
  <c r="U24" i="28"/>
  <c r="R24" i="28"/>
  <c r="T60" i="28"/>
  <c r="R60" i="28"/>
  <c r="R67" i="28"/>
  <c r="T67" i="28"/>
  <c r="R66" i="28"/>
  <c r="T17" i="28"/>
  <c r="W17" i="28"/>
  <c r="U73" i="28"/>
  <c r="W35" i="28"/>
  <c r="U35" i="28"/>
  <c r="W36" i="28"/>
  <c r="X36" i="28" s="1"/>
  <c r="R34" i="28"/>
  <c r="T34" i="28"/>
  <c r="U34" i="28" s="1"/>
  <c r="W39" i="28"/>
  <c r="X39" i="28" s="1"/>
  <c r="U39" i="28"/>
  <c r="W27" i="28"/>
  <c r="X27" i="28"/>
  <c r="W49" i="28"/>
  <c r="W48" i="28"/>
  <c r="Z48" i="28" s="1"/>
  <c r="U48" i="28"/>
  <c r="U56" i="28"/>
  <c r="U54" i="28"/>
  <c r="U45" i="28"/>
  <c r="W45" i="28"/>
  <c r="W70" i="28"/>
  <c r="Z70" i="28" s="1"/>
  <c r="U70" i="28"/>
  <c r="U60" i="28"/>
  <c r="W60" i="28"/>
  <c r="Z60" i="28" s="1"/>
  <c r="U67" i="28"/>
  <c r="W67" i="28"/>
  <c r="Z67" i="28" s="1"/>
  <c r="U17" i="28"/>
  <c r="Z35" i="28"/>
  <c r="X35" i="28"/>
  <c r="Z36" i="28"/>
  <c r="W34" i="28"/>
  <c r="X34" i="28" s="1"/>
  <c r="Z39" i="28"/>
  <c r="AC39" i="28" s="1"/>
  <c r="AF39" i="28" s="1"/>
  <c r="Z27" i="28"/>
  <c r="AC27" i="28" s="1"/>
  <c r="Z45" i="28"/>
  <c r="AA45" i="28" s="1"/>
  <c r="X45" i="28"/>
  <c r="X60" i="28"/>
  <c r="X67" i="28"/>
  <c r="AA35" i="28"/>
  <c r="AC35" i="28"/>
  <c r="AF35" i="28"/>
  <c r="Z34" i="28"/>
  <c r="AC45" i="28"/>
  <c r="AF45" i="28" s="1"/>
  <c r="AD35" i="28"/>
  <c r="AC34" i="28"/>
  <c r="AA34" i="28"/>
  <c r="AD45" i="28"/>
  <c r="E20" i="16"/>
  <c r="E19" i="16"/>
  <c r="L38" i="10"/>
  <c r="L31" i="10"/>
  <c r="N51" i="10"/>
  <c r="O51" i="10"/>
  <c r="L40" i="10"/>
  <c r="N37" i="10"/>
  <c r="O37" i="10" s="1"/>
  <c r="L37" i="10"/>
  <c r="N29" i="10"/>
  <c r="O29" i="10"/>
  <c r="N33" i="10"/>
  <c r="O33" i="10"/>
  <c r="L33" i="10"/>
  <c r="N63" i="10"/>
  <c r="Q63" i="10" s="1"/>
  <c r="T63" i="10" s="1"/>
  <c r="N60" i="10"/>
  <c r="O60" i="10"/>
  <c r="N54" i="10"/>
  <c r="O54" i="10"/>
  <c r="N38" i="10"/>
  <c r="O38" i="10" s="1"/>
  <c r="Q38" i="10"/>
  <c r="N71" i="10"/>
  <c r="Q71" i="10" s="1"/>
  <c r="L71" i="10"/>
  <c r="N43" i="10"/>
  <c r="Q43" i="10"/>
  <c r="L43" i="10"/>
  <c r="N66" i="10"/>
  <c r="O66" i="10" s="1"/>
  <c r="N23" i="10"/>
  <c r="O23" i="10" s="1"/>
  <c r="L32" i="10"/>
  <c r="Q51" i="10"/>
  <c r="R51" i="10"/>
  <c r="L30" i="10"/>
  <c r="N49" i="10"/>
  <c r="O49" i="10" s="1"/>
  <c r="Q49" i="10"/>
  <c r="T49" i="10" s="1"/>
  <c r="L47" i="10"/>
  <c r="Q40" i="10"/>
  <c r="T40" i="10"/>
  <c r="O40" i="10"/>
  <c r="Q33" i="10"/>
  <c r="T33" i="10" s="1"/>
  <c r="O43" i="10"/>
  <c r="Q29" i="10"/>
  <c r="R29" i="10"/>
  <c r="L25" i="10"/>
  <c r="N17" i="10"/>
  <c r="O17" i="10" s="1"/>
  <c r="N59" i="10"/>
  <c r="O59" i="10" s="1"/>
  <c r="L16" i="10"/>
  <c r="L65" i="10"/>
  <c r="Q60" i="10"/>
  <c r="T60" i="10" s="1"/>
  <c r="N57" i="10"/>
  <c r="N39" i="10"/>
  <c r="O39" i="10"/>
  <c r="L39" i="10"/>
  <c r="Q37" i="10"/>
  <c r="R37" i="10" s="1"/>
  <c r="L34" i="10"/>
  <c r="Q31" i="10"/>
  <c r="T31" i="10"/>
  <c r="N22" i="10"/>
  <c r="Q22" i="10"/>
  <c r="L22" i="10"/>
  <c r="Q57" i="10"/>
  <c r="T57" i="10" s="1"/>
  <c r="O57" i="10"/>
  <c r="Q39" i="10"/>
  <c r="T39" i="10"/>
  <c r="O22" i="10"/>
  <c r="R31" i="10"/>
  <c r="T29" i="10"/>
  <c r="U29" i="10"/>
  <c r="O65" i="10"/>
  <c r="Q59" i="10"/>
  <c r="T59" i="10" s="1"/>
  <c r="O16" i="10"/>
  <c r="Q16" i="10"/>
  <c r="T16" i="10" s="1"/>
  <c r="N62" i="10"/>
  <c r="O62" i="10"/>
  <c r="O35" i="10"/>
  <c r="Q35" i="10"/>
  <c r="R35" i="10" s="1"/>
  <c r="L35" i="10"/>
  <c r="W33" i="10"/>
  <c r="X33" i="10" s="1"/>
  <c r="U33" i="10"/>
  <c r="R33" i="10"/>
  <c r="T65" i="10"/>
  <c r="R65" i="10"/>
  <c r="Q66" i="10"/>
  <c r="T66" i="10"/>
  <c r="O25" i="10"/>
  <c r="Q34" i="10"/>
  <c r="T34" i="10" s="1"/>
  <c r="L46" i="10"/>
  <c r="L53" i="10"/>
  <c r="R49" i="10"/>
  <c r="L70" i="10"/>
  <c r="Z33" i="10"/>
  <c r="AA33" i="10" s="1"/>
  <c r="W29" i="10"/>
  <c r="X29" i="10" s="1"/>
  <c r="R59" i="10"/>
  <c r="R16" i="10"/>
  <c r="Q62" i="10"/>
  <c r="T62" i="10"/>
  <c r="W62" i="10" s="1"/>
  <c r="T35" i="10"/>
  <c r="U35" i="10" s="1"/>
  <c r="W65" i="10"/>
  <c r="X65" i="10" s="1"/>
  <c r="U65" i="10"/>
  <c r="R66" i="10"/>
  <c r="Z65" i="10"/>
  <c r="AC65" i="10" s="1"/>
  <c r="AD65" i="10" s="1"/>
  <c r="W35" i="10"/>
  <c r="X35" i="10" s="1"/>
  <c r="Z35" i="10"/>
  <c r="AC35" i="10" s="1"/>
  <c r="AD35" i="10" s="1"/>
  <c r="N64" i="10"/>
  <c r="O64" i="10" s="1"/>
  <c r="O32" i="10"/>
  <c r="Q32" i="10"/>
  <c r="O45" i="10"/>
  <c r="Q45" i="10"/>
  <c r="L45" i="10"/>
  <c r="Q48" i="10"/>
  <c r="R48" i="10"/>
  <c r="O48" i="10"/>
  <c r="L48" i="10"/>
  <c r="Q52" i="10"/>
  <c r="O52" i="10"/>
  <c r="L52" i="10"/>
  <c r="R57" i="10"/>
  <c r="Q56" i="10"/>
  <c r="O56" i="10"/>
  <c r="L56" i="10"/>
  <c r="Q47" i="10"/>
  <c r="R47" i="10" s="1"/>
  <c r="T48" i="10"/>
  <c r="Q46" i="10"/>
  <c r="R46" i="10" s="1"/>
  <c r="N55" i="10"/>
  <c r="Q54" i="10"/>
  <c r="T54" i="10" s="1"/>
  <c r="Q53" i="10"/>
  <c r="Q17" i="10"/>
  <c r="R17" i="10" s="1"/>
  <c r="Q64" i="10"/>
  <c r="T64" i="10" s="1"/>
  <c r="O63" i="10"/>
  <c r="R25" i="10"/>
  <c r="T25" i="10"/>
  <c r="W25" i="10" s="1"/>
  <c r="L27" i="10"/>
  <c r="R39" i="10"/>
  <c r="L36" i="10"/>
  <c r="N36" i="10"/>
  <c r="Q36" i="10" s="1"/>
  <c r="N58" i="10"/>
  <c r="L42" i="10"/>
  <c r="T32" i="10"/>
  <c r="W32" i="10"/>
  <c r="R32" i="10"/>
  <c r="R45" i="10"/>
  <c r="T45" i="10"/>
  <c r="R52" i="10"/>
  <c r="T52" i="10"/>
  <c r="U52" i="10"/>
  <c r="T56" i="10"/>
  <c r="U56" i="10"/>
  <c r="R56" i="10"/>
  <c r="T47" i="10"/>
  <c r="W48" i="10"/>
  <c r="X48" i="10" s="1"/>
  <c r="U48" i="10"/>
  <c r="T46" i="10"/>
  <c r="U46" i="10" s="1"/>
  <c r="O55" i="10"/>
  <c r="Q55" i="10"/>
  <c r="R54" i="10"/>
  <c r="R53" i="10"/>
  <c r="T53" i="10"/>
  <c r="U53" i="10" s="1"/>
  <c r="U25" i="10"/>
  <c r="Q58" i="10"/>
  <c r="T58" i="10" s="1"/>
  <c r="O58" i="10"/>
  <c r="U32" i="10"/>
  <c r="U45" i="10"/>
  <c r="W45" i="10"/>
  <c r="X45" i="10" s="1"/>
  <c r="W52" i="10"/>
  <c r="X52" i="10" s="1"/>
  <c r="W56" i="10"/>
  <c r="X56" i="10" s="1"/>
  <c r="W47" i="10"/>
  <c r="Z47" i="10" s="1"/>
  <c r="U47" i="10"/>
  <c r="T55" i="10"/>
  <c r="W55" i="10" s="1"/>
  <c r="R55" i="10"/>
  <c r="W53" i="10"/>
  <c r="X53" i="10" s="1"/>
  <c r="R58" i="10"/>
  <c r="Z52" i="10"/>
  <c r="AC52" i="10" s="1"/>
  <c r="AD52" i="10" s="1"/>
  <c r="U55" i="10"/>
  <c r="G43" i="31"/>
  <c r="G32" i="31"/>
  <c r="G44" i="31"/>
  <c r="G45" i="31"/>
  <c r="G69" i="31"/>
  <c r="M32" i="31"/>
  <c r="I20" i="31"/>
  <c r="J20" i="31" s="1"/>
  <c r="I21" i="31"/>
  <c r="J21" i="31" s="1"/>
  <c r="I11" i="31"/>
  <c r="J11" i="31" s="1"/>
  <c r="I12" i="31"/>
  <c r="J12" i="31" s="1"/>
  <c r="G33" i="31"/>
  <c r="G34" i="31"/>
  <c r="M43" i="31"/>
  <c r="M45" i="31"/>
  <c r="I46" i="31"/>
  <c r="J46" i="31" s="1"/>
  <c r="G47" i="31"/>
  <c r="G48" i="31"/>
  <c r="G49" i="31"/>
  <c r="G50" i="31"/>
  <c r="G51" i="31"/>
  <c r="G52" i="31"/>
  <c r="G53" i="31"/>
  <c r="G54" i="31"/>
  <c r="G55" i="31"/>
  <c r="G56" i="31"/>
  <c r="G57" i="31"/>
  <c r="G58" i="31"/>
  <c r="G59" i="31"/>
  <c r="G60" i="31"/>
  <c r="G61" i="31"/>
  <c r="G62" i="31"/>
  <c r="M63" i="31"/>
  <c r="G66" i="31"/>
  <c r="G67" i="31"/>
  <c r="G68" i="31"/>
  <c r="M33" i="31"/>
  <c r="M47" i="31"/>
  <c r="M49" i="31"/>
  <c r="M51" i="31"/>
  <c r="M53" i="31"/>
  <c r="M55" i="31"/>
  <c r="M57" i="31"/>
  <c r="M59" i="31"/>
  <c r="M61" i="31"/>
  <c r="G63" i="31"/>
  <c r="G64" i="31"/>
  <c r="M66" i="31"/>
  <c r="M68" i="31"/>
  <c r="J31" i="31"/>
  <c r="J34" i="31"/>
  <c r="J35" i="31"/>
  <c r="G31" i="31"/>
  <c r="M31" i="31"/>
  <c r="J32" i="31"/>
  <c r="L21" i="31"/>
  <c r="L12" i="31"/>
  <c r="M12" i="31" s="1"/>
  <c r="J33" i="31"/>
  <c r="M34" i="31"/>
  <c r="G35" i="31"/>
  <c r="M35" i="31"/>
  <c r="I36" i="31"/>
  <c r="I22" i="31"/>
  <c r="J22" i="31" s="1"/>
  <c r="I13" i="31"/>
  <c r="G13" i="31"/>
  <c r="I23" i="31"/>
  <c r="I37" i="31"/>
  <c r="J37" i="31" s="1"/>
  <c r="I24" i="31"/>
  <c r="I25" i="31"/>
  <c r="J25" i="31" s="1"/>
  <c r="I26" i="31"/>
  <c r="I38" i="31"/>
  <c r="J38" i="31" s="1"/>
  <c r="I39" i="31"/>
  <c r="I40" i="31"/>
  <c r="J40" i="31" s="1"/>
  <c r="J41" i="31"/>
  <c r="J44" i="31"/>
  <c r="J48" i="31"/>
  <c r="J50" i="31"/>
  <c r="J52" i="31"/>
  <c r="J54" i="31"/>
  <c r="J56" i="31"/>
  <c r="J58" i="31"/>
  <c r="J60" i="31"/>
  <c r="J62" i="31"/>
  <c r="I16" i="31"/>
  <c r="G16" i="31"/>
  <c r="M64" i="31"/>
  <c r="J64" i="31"/>
  <c r="G27" i="31"/>
  <c r="I27" i="31"/>
  <c r="J27" i="31" s="1"/>
  <c r="G17" i="31"/>
  <c r="I17" i="31"/>
  <c r="L17" i="31" s="1"/>
  <c r="M17" i="31" s="1"/>
  <c r="G19" i="31"/>
  <c r="I19" i="31"/>
  <c r="L19" i="31" s="1"/>
  <c r="M19" i="31" s="1"/>
  <c r="M69" i="31"/>
  <c r="J69" i="31"/>
  <c r="G29" i="31"/>
  <c r="I29" i="31"/>
  <c r="J29" i="31" s="1"/>
  <c r="I14" i="31"/>
  <c r="I15" i="31"/>
  <c r="J15" i="31" s="1"/>
  <c r="G41" i="31"/>
  <c r="M41" i="31"/>
  <c r="I42" i="31"/>
  <c r="J43" i="31"/>
  <c r="M44" i="31"/>
  <c r="J45" i="31"/>
  <c r="J47" i="31"/>
  <c r="M48" i="31"/>
  <c r="J49" i="31"/>
  <c r="M50" i="31"/>
  <c r="J51" i="31"/>
  <c r="M52" i="31"/>
  <c r="J53" i="31"/>
  <c r="M54" i="31"/>
  <c r="J55" i="31"/>
  <c r="M56" i="31"/>
  <c r="J57" i="31"/>
  <c r="M58" i="31"/>
  <c r="J59" i="31"/>
  <c r="M60" i="31"/>
  <c r="J61" i="31"/>
  <c r="M62" i="31"/>
  <c r="G28" i="31"/>
  <c r="I28" i="31"/>
  <c r="G18" i="31"/>
  <c r="I18" i="31"/>
  <c r="I65" i="31"/>
  <c r="L65" i="31" s="1"/>
  <c r="M65" i="31" s="1"/>
  <c r="G65" i="31"/>
  <c r="M67" i="31"/>
  <c r="J67" i="31"/>
  <c r="G30" i="31"/>
  <c r="I30" i="31"/>
  <c r="J30" i="31" s="1"/>
  <c r="L30" i="31"/>
  <c r="M30" i="31" s="1"/>
  <c r="J63" i="31"/>
  <c r="J66" i="31"/>
  <c r="J68" i="31"/>
  <c r="J65" i="31"/>
  <c r="J42" i="31"/>
  <c r="L42" i="31"/>
  <c r="L15" i="31"/>
  <c r="M15" i="31" s="1"/>
  <c r="L29" i="31"/>
  <c r="L40" i="31"/>
  <c r="M40" i="31" s="1"/>
  <c r="L38" i="31"/>
  <c r="L25" i="31"/>
  <c r="M25" i="31" s="1"/>
  <c r="L37" i="31"/>
  <c r="L22" i="31"/>
  <c r="M22" i="31" s="1"/>
  <c r="M21" i="31"/>
  <c r="J18" i="31"/>
  <c r="L18" i="31"/>
  <c r="J28" i="31"/>
  <c r="L28" i="31"/>
  <c r="M28" i="31" s="1"/>
  <c r="J14" i="31"/>
  <c r="L14" i="31"/>
  <c r="J19" i="31"/>
  <c r="J17" i="31"/>
  <c r="L27" i="31"/>
  <c r="L16" i="31"/>
  <c r="J16" i="31"/>
  <c r="J39" i="31"/>
  <c r="L39" i="31"/>
  <c r="M39" i="31" s="1"/>
  <c r="J26" i="31"/>
  <c r="L26" i="31"/>
  <c r="M26" i="31" s="1"/>
  <c r="J24" i="31"/>
  <c r="L24" i="31"/>
  <c r="J23" i="31"/>
  <c r="L23" i="31"/>
  <c r="L13" i="31"/>
  <c r="M13" i="31" s="1"/>
  <c r="J13" i="31"/>
  <c r="J36" i="31"/>
  <c r="L36" i="31"/>
  <c r="M36" i="31"/>
  <c r="M23" i="31"/>
  <c r="M24" i="31"/>
  <c r="M27" i="31"/>
  <c r="M14" i="31"/>
  <c r="M18" i="31"/>
  <c r="M37" i="31"/>
  <c r="M38" i="31"/>
  <c r="M29" i="31"/>
  <c r="M42" i="31"/>
  <c r="M16" i="31"/>
  <c r="N20" i="10"/>
  <c r="Q20" i="10"/>
  <c r="R20" i="10" s="1"/>
  <c r="N18" i="10"/>
  <c r="O18" i="10"/>
  <c r="L68" i="10"/>
  <c r="N68" i="10"/>
  <c r="Q23" i="10"/>
  <c r="R23" i="10"/>
  <c r="N15" i="10"/>
  <c r="Q15" i="10"/>
  <c r="R15" i="10" s="1"/>
  <c r="L15" i="10"/>
  <c r="L41" i="10"/>
  <c r="O15" i="10"/>
  <c r="Q68" i="10"/>
  <c r="R68" i="10" s="1"/>
  <c r="O68" i="10"/>
  <c r="Q67" i="10"/>
  <c r="R67" i="10" s="1"/>
  <c r="O67" i="10"/>
  <c r="L67" i="10"/>
  <c r="T67" i="10"/>
  <c r="W67" i="10" s="1"/>
  <c r="M10" i="16"/>
  <c r="Q10" i="16"/>
  <c r="S10" i="16" s="1"/>
  <c r="U10" i="16" s="1"/>
  <c r="W10" i="16" s="1"/>
  <c r="Y10" i="16" s="1"/>
  <c r="AA10" i="16" s="1"/>
  <c r="AC10" i="16" s="1"/>
  <c r="AE10" i="16" s="1"/>
  <c r="T15" i="10"/>
  <c r="U15" i="10" s="1"/>
  <c r="N21" i="10"/>
  <c r="Q21" i="10" s="1"/>
  <c r="R63" i="10"/>
  <c r="U62" i="10"/>
  <c r="R62" i="10"/>
  <c r="Q61" i="10"/>
  <c r="T61" i="10" s="1"/>
  <c r="O61" i="10"/>
  <c r="L61" i="10"/>
  <c r="T27" i="10"/>
  <c r="R27" i="10"/>
  <c r="O27" i="10"/>
  <c r="N26" i="10"/>
  <c r="Q26" i="10" s="1"/>
  <c r="N50" i="10"/>
  <c r="T51" i="10"/>
  <c r="W51" i="10" s="1"/>
  <c r="W49" i="10"/>
  <c r="U49" i="10"/>
  <c r="Q18" i="10"/>
  <c r="T17" i="10"/>
  <c r="U17" i="10" s="1"/>
  <c r="N44" i="10"/>
  <c r="R42" i="10"/>
  <c r="T42" i="10"/>
  <c r="O42" i="10"/>
  <c r="T20" i="10"/>
  <c r="W20" i="10" s="1"/>
  <c r="O20" i="10"/>
  <c r="O19" i="10"/>
  <c r="Q19" i="10"/>
  <c r="L19" i="10"/>
  <c r="Q41" i="10"/>
  <c r="O41" i="10"/>
  <c r="T70" i="10"/>
  <c r="R70" i="10"/>
  <c r="O70" i="10"/>
  <c r="N69" i="10"/>
  <c r="O69" i="10" s="1"/>
  <c r="N24" i="10"/>
  <c r="Q30" i="10"/>
  <c r="R30" i="10" s="1"/>
  <c r="O30" i="10"/>
  <c r="Q28" i="10"/>
  <c r="T28" i="10" s="1"/>
  <c r="O28" i="10"/>
  <c r="L28" i="10"/>
  <c r="O21" i="10"/>
  <c r="R61" i="10"/>
  <c r="U27" i="10"/>
  <c r="W27" i="10"/>
  <c r="Z27" i="10" s="1"/>
  <c r="O26" i="10"/>
  <c r="O50" i="10"/>
  <c r="Q50" i="10"/>
  <c r="R50" i="10" s="1"/>
  <c r="U51" i="10"/>
  <c r="X49" i="10"/>
  <c r="Z49" i="10"/>
  <c r="AC49" i="10" s="1"/>
  <c r="AD49" i="10" s="1"/>
  <c r="R18" i="10"/>
  <c r="T18" i="10"/>
  <c r="W18" i="10" s="1"/>
  <c r="W17" i="10"/>
  <c r="X17" i="10" s="1"/>
  <c r="Q44" i="10"/>
  <c r="O44" i="10"/>
  <c r="U42" i="10"/>
  <c r="W42" i="10"/>
  <c r="Z42" i="10" s="1"/>
  <c r="U20" i="10"/>
  <c r="R19" i="10"/>
  <c r="T19" i="10"/>
  <c r="U19" i="10" s="1"/>
  <c r="R41" i="10"/>
  <c r="T41" i="10"/>
  <c r="W41" i="10" s="1"/>
  <c r="U70" i="10"/>
  <c r="W70" i="10"/>
  <c r="Z70" i="10" s="1"/>
  <c r="Q69" i="10"/>
  <c r="T69" i="10" s="1"/>
  <c r="Q24" i="10"/>
  <c r="O24" i="10"/>
  <c r="T30" i="10"/>
  <c r="W30" i="10" s="1"/>
  <c r="R28" i="10"/>
  <c r="X27" i="10"/>
  <c r="T50" i="10"/>
  <c r="W50" i="10" s="1"/>
  <c r="AA49" i="10"/>
  <c r="U18" i="10"/>
  <c r="Z17" i="10"/>
  <c r="AC17" i="10" s="1"/>
  <c r="AD17" i="10" s="1"/>
  <c r="T44" i="10"/>
  <c r="R44" i="10"/>
  <c r="X42" i="10"/>
  <c r="W19" i="10"/>
  <c r="X19" i="10" s="1"/>
  <c r="U41" i="10"/>
  <c r="X70" i="10"/>
  <c r="R69" i="10"/>
  <c r="R24" i="10"/>
  <c r="T24" i="10"/>
  <c r="W24" i="10" s="1"/>
  <c r="U30" i="10"/>
  <c r="U50" i="10"/>
  <c r="AA17" i="10"/>
  <c r="U44" i="10"/>
  <c r="W44" i="10"/>
  <c r="Z44" i="10" s="1"/>
  <c r="Z19" i="10"/>
  <c r="AC19" i="10" s="1"/>
  <c r="AD19" i="10" s="1"/>
  <c r="U24" i="10"/>
  <c r="X44" i="10"/>
  <c r="AA19" i="10"/>
  <c r="O10" i="16"/>
  <c r="I11" i="16"/>
  <c r="I19" i="16" s="1"/>
  <c r="I12" i="16"/>
  <c r="K12" i="16"/>
  <c r="M12" i="16" s="1"/>
  <c r="G19" i="16"/>
  <c r="I6" i="16"/>
  <c r="K9" i="16"/>
  <c r="I20" i="16"/>
  <c r="K20" i="16"/>
  <c r="M9" i="16"/>
  <c r="O9" i="16" s="1"/>
  <c r="O20" i="16" s="1"/>
  <c r="Q9" i="16"/>
  <c r="Q20" i="16" s="1"/>
  <c r="S9" i="16"/>
  <c r="S20" i="16" s="1"/>
  <c r="G22" i="16"/>
  <c r="K6" i="16"/>
  <c r="K22" i="16" s="1"/>
  <c r="E13" i="16"/>
  <c r="E14" i="16"/>
  <c r="DO14" i="16" s="1"/>
  <c r="G7" i="16"/>
  <c r="I7" i="16" s="1"/>
  <c r="I22" i="16"/>
  <c r="K8" i="16"/>
  <c r="G13" i="16"/>
  <c r="G15" i="16" s="1"/>
  <c r="G21" i="16"/>
  <c r="E15" i="16"/>
  <c r="M8" i="16"/>
  <c r="Q8" i="16" s="1"/>
  <c r="S8" i="16" s="1"/>
  <c r="U8" i="16" s="1"/>
  <c r="W8" i="16" s="1"/>
  <c r="Y8" i="16" s="1"/>
  <c r="AA8" i="16" s="1"/>
  <c r="AC8" i="16" s="1"/>
  <c r="AE8" i="16" s="1"/>
  <c r="AG8" i="16" s="1"/>
  <c r="AI8" i="16" s="1"/>
  <c r="AK8" i="16" s="1"/>
  <c r="AM8" i="16" s="1"/>
  <c r="AO8" i="16" s="1"/>
  <c r="AQ8" i="16" s="1"/>
  <c r="AS8" i="16" s="1"/>
  <c r="AU8" i="16" s="1"/>
  <c r="AW8" i="16" s="1"/>
  <c r="AY8" i="16" s="1"/>
  <c r="BA8" i="16" s="1"/>
  <c r="BC8" i="16" s="1"/>
  <c r="BE8" i="16" s="1"/>
  <c r="BG8" i="16" s="1"/>
  <c r="BI8" i="16" s="1"/>
  <c r="BK8" i="16" s="1"/>
  <c r="BM8" i="16" s="1"/>
  <c r="BO8" i="16" s="1"/>
  <c r="BQ8" i="16" s="1"/>
  <c r="BS8" i="16" s="1"/>
  <c r="BU8" i="16" s="1"/>
  <c r="BW8" i="16" s="1"/>
  <c r="BY8" i="16" s="1"/>
  <c r="CA8" i="16" s="1"/>
  <c r="CC8" i="16" s="1"/>
  <c r="CE8" i="16" s="1"/>
  <c r="CG8" i="16" s="1"/>
  <c r="CI8" i="16" s="1"/>
  <c r="CK8" i="16" s="1"/>
  <c r="CM8" i="16" s="1"/>
  <c r="CO8" i="16" s="1"/>
  <c r="CQ8" i="16" s="1"/>
  <c r="CS8" i="16" s="1"/>
  <c r="CU8" i="16" s="1"/>
  <c r="CW8" i="16" s="1"/>
  <c r="CY8" i="16" s="1"/>
  <c r="DA8" i="16" s="1"/>
  <c r="DC8" i="16" s="1"/>
  <c r="DE8" i="16" s="1"/>
  <c r="DG8" i="16" s="1"/>
  <c r="DI8" i="16" s="1"/>
  <c r="DK8" i="16" s="1"/>
  <c r="DM8" i="16" s="1"/>
  <c r="DO8" i="16" s="1"/>
  <c r="DQ8" i="16" s="1"/>
  <c r="DS8" i="16" s="1"/>
  <c r="DU8" i="16" s="1"/>
  <c r="DW8" i="16" s="1"/>
  <c r="DY8" i="16" s="1"/>
  <c r="EA8" i="16" s="1"/>
  <c r="EC8" i="16" s="1"/>
  <c r="EE8" i="16" s="1"/>
  <c r="EG8" i="16" s="1"/>
  <c r="EI8" i="16" s="1"/>
  <c r="EK8" i="16" s="1"/>
  <c r="O8" i="16"/>
  <c r="M6" i="16"/>
  <c r="G18" i="16"/>
  <c r="U31" i="10"/>
  <c r="W31" i="10"/>
  <c r="R71" i="10"/>
  <c r="T71" i="10"/>
  <c r="U66" i="10"/>
  <c r="W66" i="10"/>
  <c r="AG45" i="28"/>
  <c r="AI45" i="28"/>
  <c r="Z32" i="10"/>
  <c r="X32" i="10"/>
  <c r="U40" i="10"/>
  <c r="W40" i="10"/>
  <c r="R43" i="10"/>
  <c r="T43" i="10"/>
  <c r="W15" i="10"/>
  <c r="W39" i="10"/>
  <c r="U39" i="10"/>
  <c r="R22" i="10"/>
  <c r="T22" i="10"/>
  <c r="Z56" i="28"/>
  <c r="X56" i="28"/>
  <c r="W40" i="28"/>
  <c r="U40" i="28"/>
  <c r="U68" i="28"/>
  <c r="W68" i="28"/>
  <c r="Z56" i="10"/>
  <c r="W46" i="10"/>
  <c r="R40" i="10"/>
  <c r="O71" i="10"/>
  <c r="T38" i="10"/>
  <c r="R38" i="10"/>
  <c r="U30" i="28"/>
  <c r="W30" i="28"/>
  <c r="T23" i="10"/>
  <c r="AA35" i="10"/>
  <c r="AA65" i="10"/>
  <c r="AA36" i="28"/>
  <c r="AC36" i="28"/>
  <c r="Z17" i="28"/>
  <c r="X17" i="28"/>
  <c r="R65" i="28"/>
  <c r="T65" i="28"/>
  <c r="AA52" i="10"/>
  <c r="AF34" i="28"/>
  <c r="AD34" i="28"/>
  <c r="AI35" i="28"/>
  <c r="AG35" i="28"/>
  <c r="X49" i="28"/>
  <c r="Z49" i="28"/>
  <c r="O19" i="28"/>
  <c r="Q19" i="28"/>
  <c r="T38" i="28"/>
  <c r="R38" i="28"/>
  <c r="AA60" i="28"/>
  <c r="AC60" i="28"/>
  <c r="W33" i="28"/>
  <c r="U33" i="28"/>
  <c r="O16" i="28"/>
  <c r="Q16" i="28"/>
  <c r="M67" i="17"/>
  <c r="N67" i="17"/>
  <c r="O67" i="17"/>
  <c r="L192" i="19"/>
  <c r="H193" i="19"/>
  <c r="M192" i="19"/>
  <c r="O29" i="17"/>
  <c r="M29" i="17"/>
  <c r="N29" i="17"/>
  <c r="M19" i="17"/>
  <c r="N19" i="17"/>
  <c r="O19" i="17"/>
  <c r="W24" i="28"/>
  <c r="U47" i="28"/>
  <c r="Z64" i="28"/>
  <c r="U32" i="28"/>
  <c r="T43" i="28"/>
  <c r="U66" i="28"/>
  <c r="W66" i="28"/>
  <c r="U59" i="28"/>
  <c r="W59" i="28"/>
  <c r="W52" i="28"/>
  <c r="U52" i="28"/>
  <c r="U71" i="28"/>
  <c r="W71" i="28"/>
  <c r="U21" i="28"/>
  <c r="W21" i="28"/>
  <c r="X21" i="28" s="1"/>
  <c r="U29" i="28"/>
  <c r="W29" i="28"/>
  <c r="U31" i="28"/>
  <c r="W31" i="28"/>
  <c r="T37" i="28"/>
  <c r="R37" i="28"/>
  <c r="J190" i="17"/>
  <c r="O185" i="17"/>
  <c r="P185" i="17" s="1"/>
  <c r="O104" i="17"/>
  <c r="M104" i="17"/>
  <c r="N104" i="17" s="1"/>
  <c r="O60" i="17"/>
  <c r="M60" i="17"/>
  <c r="N60" i="17"/>
  <c r="O25" i="17"/>
  <c r="M25" i="17"/>
  <c r="N25" i="17" s="1"/>
  <c r="M14" i="17"/>
  <c r="N14" i="17" s="1"/>
  <c r="O14" i="17"/>
  <c r="L190" i="19"/>
  <c r="M190" i="19"/>
  <c r="AD39" i="28"/>
  <c r="Z32" i="28"/>
  <c r="AA32" i="28" s="1"/>
  <c r="T62" i="28"/>
  <c r="W57" i="28"/>
  <c r="U57" i="28"/>
  <c r="U61" i="28"/>
  <c r="W61" i="28"/>
  <c r="O108" i="17"/>
  <c r="P108" i="17" s="1"/>
  <c r="M108" i="17"/>
  <c r="N108" i="17"/>
  <c r="M81" i="17"/>
  <c r="N81" i="17"/>
  <c r="O81" i="17"/>
  <c r="O20" i="17"/>
  <c r="M20" i="17"/>
  <c r="N20" i="17"/>
  <c r="O187" i="19"/>
  <c r="N187" i="19"/>
  <c r="M46" i="17"/>
  <c r="N46" i="17" s="1"/>
  <c r="J47" i="17"/>
  <c r="M47" i="17" s="1"/>
  <c r="N47" i="17"/>
  <c r="N104" i="19"/>
  <c r="O104" i="19"/>
  <c r="N86" i="19"/>
  <c r="O86" i="19"/>
  <c r="O187" i="17"/>
  <c r="H107" i="17"/>
  <c r="M98" i="17"/>
  <c r="N98" i="17"/>
  <c r="O100" i="17"/>
  <c r="O83" i="17"/>
  <c r="M49" i="17"/>
  <c r="N49" i="17"/>
  <c r="N191" i="19"/>
  <c r="O191" i="19"/>
  <c r="N189" i="19"/>
  <c r="O189" i="19"/>
  <c r="M185" i="17"/>
  <c r="N185" i="17"/>
  <c r="O46" i="17"/>
  <c r="N25" i="19"/>
  <c r="O25" i="19"/>
  <c r="N108" i="19"/>
  <c r="O108" i="19"/>
  <c r="N49" i="19"/>
  <c r="O49" i="19"/>
  <c r="N85" i="19"/>
  <c r="O85" i="19"/>
  <c r="N67" i="19"/>
  <c r="O67" i="19"/>
  <c r="N112" i="19"/>
  <c r="N107" i="19"/>
  <c r="L104" i="19"/>
  <c r="N103" i="19"/>
  <c r="L85" i="19"/>
  <c r="BU85" i="19"/>
  <c r="B8" i="22" s="1"/>
  <c r="N84" i="19"/>
  <c r="N81" i="19"/>
  <c r="H50" i="19"/>
  <c r="M50" i="19" s="1"/>
  <c r="L35" i="19"/>
  <c r="K34" i="19"/>
  <c r="M28" i="19"/>
  <c r="N22" i="19"/>
  <c r="O22" i="19"/>
  <c r="N20" i="19"/>
  <c r="O20" i="19"/>
  <c r="O64" i="19"/>
  <c r="O61" i="19"/>
  <c r="M45" i="19"/>
  <c r="O36" i="19"/>
  <c r="L24" i="19"/>
  <c r="BU22" i="19"/>
  <c r="B4" i="22" s="1"/>
  <c r="M24" i="19"/>
  <c r="N15" i="19"/>
  <c r="O15" i="19"/>
  <c r="N14" i="19"/>
  <c r="O14" i="19"/>
  <c r="Q55" i="28"/>
  <c r="R55" i="28" s="1"/>
  <c r="O55" i="28"/>
  <c r="Q41" i="28"/>
  <c r="T41" i="28" s="1"/>
  <c r="O41" i="28"/>
  <c r="N23" i="19"/>
  <c r="O23" i="19"/>
  <c r="L16" i="19"/>
  <c r="BU14" i="19" s="1"/>
  <c r="B3" i="22" s="1"/>
  <c r="M16" i="19"/>
  <c r="O16" i="19" s="1"/>
  <c r="H17" i="19"/>
  <c r="N18" i="28"/>
  <c r="L18" i="28"/>
  <c r="N72" i="10"/>
  <c r="L72" i="10"/>
  <c r="L49" i="28"/>
  <c r="L58" i="28"/>
  <c r="L62" i="28"/>
  <c r="N53" i="28"/>
  <c r="L45" i="28"/>
  <c r="L55" i="28"/>
  <c r="L51" i="28"/>
  <c r="L56" i="28"/>
  <c r="L60" i="28"/>
  <c r="L64" i="28"/>
  <c r="N73" i="10"/>
  <c r="Q73" i="10" s="1"/>
  <c r="L73" i="10"/>
  <c r="T55" i="28"/>
  <c r="Q18" i="28"/>
  <c r="O18" i="28"/>
  <c r="L50" i="19"/>
  <c r="P46" i="17"/>
  <c r="P100" i="17"/>
  <c r="P20" i="17"/>
  <c r="X57" i="28"/>
  <c r="Z57" i="28"/>
  <c r="O47" i="17"/>
  <c r="P47" i="17" s="1"/>
  <c r="P104" i="17"/>
  <c r="W37" i="28"/>
  <c r="X37" i="28" s="1"/>
  <c r="U37" i="28"/>
  <c r="P19" i="17"/>
  <c r="T16" i="28"/>
  <c r="R16" i="28"/>
  <c r="AA49" i="28"/>
  <c r="AC49" i="28"/>
  <c r="U65" i="28"/>
  <c r="W65" i="28"/>
  <c r="AC56" i="10"/>
  <c r="AD56" i="10" s="1"/>
  <c r="AA56" i="10"/>
  <c r="U22" i="10"/>
  <c r="W22" i="10"/>
  <c r="Z22" i="10" s="1"/>
  <c r="Z40" i="10"/>
  <c r="X40" i="10"/>
  <c r="W71" i="10"/>
  <c r="X71" i="10" s="1"/>
  <c r="U71" i="10"/>
  <c r="I13" i="16"/>
  <c r="I15" i="16"/>
  <c r="I18" i="16"/>
  <c r="K7" i="16"/>
  <c r="I21" i="16"/>
  <c r="P81" i="17"/>
  <c r="Z61" i="28"/>
  <c r="X61" i="28"/>
  <c r="W62" i="28"/>
  <c r="U62" i="28"/>
  <c r="N190" i="19"/>
  <c r="O190" i="19"/>
  <c r="X31" i="28"/>
  <c r="Z31" i="28"/>
  <c r="Z21" i="28"/>
  <c r="Z66" i="28"/>
  <c r="AA66" i="28" s="1"/>
  <c r="X66" i="28"/>
  <c r="AA64" i="28"/>
  <c r="AC64" i="28"/>
  <c r="O192" i="19"/>
  <c r="N192" i="19"/>
  <c r="W38" i="28"/>
  <c r="U38" i="28"/>
  <c r="AI34" i="28"/>
  <c r="AG34" i="28"/>
  <c r="W23" i="10"/>
  <c r="Z23" i="10" s="1"/>
  <c r="U23" i="10"/>
  <c r="W38" i="10"/>
  <c r="U38" i="10"/>
  <c r="X46" i="10"/>
  <c r="Z46" i="10"/>
  <c r="X40" i="28"/>
  <c r="Z40" i="28"/>
  <c r="AC40" i="28" s="1"/>
  <c r="AC32" i="10"/>
  <c r="AD32" i="10" s="1"/>
  <c r="AA32" i="10"/>
  <c r="AG10" i="16"/>
  <c r="L17" i="19"/>
  <c r="M17" i="19"/>
  <c r="N17" i="19" s="1"/>
  <c r="O45" i="19"/>
  <c r="N45" i="19"/>
  <c r="N28" i="19"/>
  <c r="O28" i="19"/>
  <c r="O73" i="10"/>
  <c r="O72" i="10"/>
  <c r="Q72" i="10"/>
  <c r="N16" i="19"/>
  <c r="N24" i="19"/>
  <c r="O24" i="19"/>
  <c r="AC32" i="28"/>
  <c r="P25" i="17"/>
  <c r="P60" i="17"/>
  <c r="O190" i="17"/>
  <c r="M190" i="17"/>
  <c r="N190" i="17"/>
  <c r="X52" i="28"/>
  <c r="Z52" i="28"/>
  <c r="AA52" i="28" s="1"/>
  <c r="M193" i="19"/>
  <c r="L193" i="19"/>
  <c r="P67" i="17"/>
  <c r="AD60" i="28"/>
  <c r="AF60" i="28"/>
  <c r="T19" i="28"/>
  <c r="R19" i="28"/>
  <c r="AF36" i="28"/>
  <c r="AG36" i="28" s="1"/>
  <c r="AD36" i="28"/>
  <c r="Z30" i="28"/>
  <c r="X30" i="28"/>
  <c r="Z68" i="28"/>
  <c r="AA68" i="28" s="1"/>
  <c r="X68" i="28"/>
  <c r="W43" i="10"/>
  <c r="X43" i="10" s="1"/>
  <c r="U43" i="10"/>
  <c r="AL45" i="28"/>
  <c r="AO45" i="28" s="1"/>
  <c r="AJ45" i="28"/>
  <c r="X66" i="10"/>
  <c r="Z66" i="10"/>
  <c r="X31" i="10"/>
  <c r="Z31" i="10"/>
  <c r="AA31" i="10" s="1"/>
  <c r="M22" i="16"/>
  <c r="Q6" i="16"/>
  <c r="O6" i="16"/>
  <c r="O53" i="28"/>
  <c r="Q53" i="28"/>
  <c r="R53" i="28" s="1"/>
  <c r="R41" i="28"/>
  <c r="P83" i="17"/>
  <c r="P187" i="17"/>
  <c r="P14" i="17"/>
  <c r="X29" i="28"/>
  <c r="Z29" i="28"/>
  <c r="Z71" i="28"/>
  <c r="AC71" i="28" s="1"/>
  <c r="X71" i="28"/>
  <c r="X59" i="28"/>
  <c r="Z59" i="28"/>
  <c r="AC59" i="28" s="1"/>
  <c r="U43" i="28"/>
  <c r="W43" i="28"/>
  <c r="X24" i="28"/>
  <c r="Z24" i="28"/>
  <c r="AA24" i="28" s="1"/>
  <c r="P29" i="17"/>
  <c r="X33" i="28"/>
  <c r="Z33" i="28"/>
  <c r="AC33" i="28" s="1"/>
  <c r="AL35" i="28"/>
  <c r="AJ35" i="28"/>
  <c r="AA17" i="28"/>
  <c r="AC17" i="28"/>
  <c r="AF17" i="28" s="1"/>
  <c r="AC56" i="28"/>
  <c r="AF56" i="28" s="1"/>
  <c r="AA56" i="28"/>
  <c r="X39" i="10"/>
  <c r="Z39" i="10"/>
  <c r="Z15" i="10"/>
  <c r="AA15" i="10" s="1"/>
  <c r="X15" i="10"/>
  <c r="AC66" i="10"/>
  <c r="AD66" i="10"/>
  <c r="AA66" i="10"/>
  <c r="T72" i="10"/>
  <c r="U72" i="10" s="1"/>
  <c r="R72" i="10"/>
  <c r="AA40" i="28"/>
  <c r="AC68" i="28"/>
  <c r="AI36" i="28"/>
  <c r="P190" i="17"/>
  <c r="Z38" i="10"/>
  <c r="X38" i="10"/>
  <c r="X23" i="10"/>
  <c r="Z38" i="28"/>
  <c r="X38" i="28"/>
  <c r="AC66" i="28"/>
  <c r="Z62" i="28"/>
  <c r="X62" i="28"/>
  <c r="Z71" i="10"/>
  <c r="W16" i="28"/>
  <c r="U16" i="28"/>
  <c r="Z37" i="28"/>
  <c r="AA57" i="28"/>
  <c r="AC57" i="28"/>
  <c r="AF57" i="28" s="1"/>
  <c r="AD56" i="28"/>
  <c r="AO35" i="28"/>
  <c r="AM35" i="28"/>
  <c r="AA71" i="28"/>
  <c r="O17" i="19"/>
  <c r="AC31" i="28"/>
  <c r="AA31" i="28"/>
  <c r="X22" i="10"/>
  <c r="X65" i="28"/>
  <c r="Z65" i="28"/>
  <c r="AA65" i="28" s="1"/>
  <c r="AC39" i="10"/>
  <c r="AD39" i="10" s="1"/>
  <c r="AA39" i="10"/>
  <c r="AA33" i="28"/>
  <c r="AA59" i="28"/>
  <c r="W19" i="28"/>
  <c r="U19" i="28"/>
  <c r="AC15" i="10"/>
  <c r="AD15" i="10" s="1"/>
  <c r="AC31" i="10"/>
  <c r="AD31" i="10"/>
  <c r="AG60" i="28"/>
  <c r="AI60" i="28"/>
  <c r="AL60" i="28" s="1"/>
  <c r="AO60" i="28" s="1"/>
  <c r="AP60" i="28" s="1"/>
  <c r="AC52" i="28"/>
  <c r="AD52" i="28" s="1"/>
  <c r="AC46" i="10"/>
  <c r="AD46" i="10" s="1"/>
  <c r="AA46" i="10"/>
  <c r="AD64" i="28"/>
  <c r="AF64" i="28"/>
  <c r="AG64" i="28" s="1"/>
  <c r="AD49" i="28"/>
  <c r="AF49" i="28"/>
  <c r="R18" i="28"/>
  <c r="T18" i="28"/>
  <c r="U55" i="28"/>
  <c r="W55" i="28"/>
  <c r="Z55" i="28" s="1"/>
  <c r="AD17" i="28"/>
  <c r="AC24" i="28"/>
  <c r="AF24" i="28" s="1"/>
  <c r="AI24" i="28" s="1"/>
  <c r="AL24" i="28" s="1"/>
  <c r="AC29" i="28"/>
  <c r="AF29" i="28" s="1"/>
  <c r="AA29" i="28"/>
  <c r="Z43" i="10"/>
  <c r="AA43" i="10" s="1"/>
  <c r="AA30" i="28"/>
  <c r="AC30" i="28"/>
  <c r="AF30" i="28" s="1"/>
  <c r="X43" i="28"/>
  <c r="Z43" i="28"/>
  <c r="AC43" i="28" s="1"/>
  <c r="T53" i="28"/>
  <c r="U53" i="28" s="1"/>
  <c r="S6" i="16"/>
  <c r="U6" i="16" s="1"/>
  <c r="AM45" i="28"/>
  <c r="N193" i="19"/>
  <c r="O193" i="19"/>
  <c r="AF32" i="28"/>
  <c r="AI32" i="28" s="1"/>
  <c r="AD32" i="28"/>
  <c r="AI10" i="16"/>
  <c r="AL34" i="28"/>
  <c r="AM34" i="28" s="1"/>
  <c r="AJ34" i="28"/>
  <c r="AC21" i="28"/>
  <c r="AF21" i="28" s="1"/>
  <c r="AA21" i="28"/>
  <c r="AC61" i="28"/>
  <c r="AD61" i="28" s="1"/>
  <c r="AA61" i="28"/>
  <c r="M7" i="16"/>
  <c r="M18" i="16" s="1"/>
  <c r="K18" i="16"/>
  <c r="AA40" i="10"/>
  <c r="AC40" i="10"/>
  <c r="AD40" i="10" s="1"/>
  <c r="O7" i="16"/>
  <c r="AD21" i="28"/>
  <c r="AO34" i="28"/>
  <c r="AR34" i="28" s="1"/>
  <c r="AU34" i="28" s="1"/>
  <c r="AG32" i="28"/>
  <c r="W53" i="28"/>
  <c r="X53" i="28" s="1"/>
  <c r="AD29" i="28"/>
  <c r="AF52" i="28"/>
  <c r="AG52" i="28" s="1"/>
  <c r="AC65" i="28"/>
  <c r="AC37" i="28"/>
  <c r="AD37" i="28" s="1"/>
  <c r="AA37" i="28"/>
  <c r="AC71" i="10"/>
  <c r="AD71" i="10" s="1"/>
  <c r="AA71" i="10"/>
  <c r="AD66" i="28"/>
  <c r="AF66" i="28"/>
  <c r="AG66" i="28" s="1"/>
  <c r="AA43" i="28"/>
  <c r="AC43" i="10"/>
  <c r="AD43" i="10" s="1"/>
  <c r="AD24" i="28"/>
  <c r="X55" i="28"/>
  <c r="AI64" i="28"/>
  <c r="AJ64" i="28" s="1"/>
  <c r="AJ60" i="28"/>
  <c r="X19" i="28"/>
  <c r="Z19" i="28"/>
  <c r="AD31" i="28"/>
  <c r="AF31" i="28"/>
  <c r="AP35" i="28"/>
  <c r="AR35" i="28"/>
  <c r="AF68" i="28"/>
  <c r="AD68" i="28"/>
  <c r="W72" i="10"/>
  <c r="Z72" i="10" s="1"/>
  <c r="AF61" i="28"/>
  <c r="AI61" i="28" s="1"/>
  <c r="AJ61" i="28" s="1"/>
  <c r="AK10" i="16"/>
  <c r="AM10" i="16" s="1"/>
  <c r="AO10" i="16" s="1"/>
  <c r="AD57" i="28"/>
  <c r="AD30" i="28"/>
  <c r="W18" i="28"/>
  <c r="U18" i="28"/>
  <c r="AG49" i="28"/>
  <c r="AI49" i="28"/>
  <c r="AJ49" i="28" s="1"/>
  <c r="X16" i="28"/>
  <c r="Z16" i="28"/>
  <c r="AC62" i="28"/>
  <c r="AF62" i="28" s="1"/>
  <c r="AG62" i="28" s="1"/>
  <c r="AA62" i="28"/>
  <c r="AA38" i="28"/>
  <c r="AC38" i="28"/>
  <c r="AA38" i="10"/>
  <c r="AC38" i="10"/>
  <c r="AD38" i="10"/>
  <c r="AJ36" i="28"/>
  <c r="AL36" i="28"/>
  <c r="AO36" i="28" s="1"/>
  <c r="AR36" i="28" s="1"/>
  <c r="AU36" i="28" s="1"/>
  <c r="AI66" i="28"/>
  <c r="AL66" i="28" s="1"/>
  <c r="AO66" i="28" s="1"/>
  <c r="AD62" i="28"/>
  <c r="X18" i="28"/>
  <c r="Z18" i="28"/>
  <c r="AA18" i="28" s="1"/>
  <c r="AI68" i="28"/>
  <c r="AJ68" i="28" s="1"/>
  <c r="AG68" i="28"/>
  <c r="AL64" i="28"/>
  <c r="AM64" i="28" s="1"/>
  <c r="AF37" i="28"/>
  <c r="AI37" i="28" s="1"/>
  <c r="AL37" i="28" s="1"/>
  <c r="AI52" i="28"/>
  <c r="AJ52" i="28" s="1"/>
  <c r="Z53" i="28"/>
  <c r="AA53" i="28" s="1"/>
  <c r="AP34" i="28"/>
  <c r="AD38" i="28"/>
  <c r="AF38" i="28"/>
  <c r="AG61" i="28"/>
  <c r="AG31" i="28"/>
  <c r="AI31" i="28"/>
  <c r="AM36" i="28"/>
  <c r="AC16" i="28"/>
  <c r="AA16" i="28"/>
  <c r="AL49" i="28"/>
  <c r="AO49" i="28" s="1"/>
  <c r="AR49" i="28" s="1"/>
  <c r="X72" i="10"/>
  <c r="AC19" i="28"/>
  <c r="AA19" i="28"/>
  <c r="AD65" i="28"/>
  <c r="AF65" i="28"/>
  <c r="AI65" i="28" s="1"/>
  <c r="AS35" i="28"/>
  <c r="AU35" i="28"/>
  <c r="AG24" i="28"/>
  <c r="O18" i="16"/>
  <c r="AR60" i="28"/>
  <c r="AU60" i="28" s="1"/>
  <c r="AL61" i="28"/>
  <c r="AM61" i="28" s="1"/>
  <c r="AS34" i="28"/>
  <c r="AJ66" i="28"/>
  <c r="AF19" i="28"/>
  <c r="AD19" i="28"/>
  <c r="AP36" i="28"/>
  <c r="AL52" i="28"/>
  <c r="AM52" i="28" s="1"/>
  <c r="AO64" i="28"/>
  <c r="AL68" i="28"/>
  <c r="AM68" i="28" s="1"/>
  <c r="AG65" i="28"/>
  <c r="AM49" i="28"/>
  <c r="AJ31" i="28"/>
  <c r="AL31" i="28"/>
  <c r="AG38" i="28"/>
  <c r="AI38" i="28"/>
  <c r="AC18" i="28"/>
  <c r="AF18" i="28" s="1"/>
  <c r="AJ24" i="28"/>
  <c r="AV35" i="28"/>
  <c r="AX35" i="28"/>
  <c r="BA35" i="28" s="1"/>
  <c r="AC72" i="10"/>
  <c r="AD72" i="10" s="1"/>
  <c r="AA72" i="10"/>
  <c r="AD16" i="28"/>
  <c r="AF16" i="28"/>
  <c r="AG16" i="28" s="1"/>
  <c r="AC53" i="28"/>
  <c r="AG37" i="28"/>
  <c r="BB35" i="28"/>
  <c r="AJ38" i="28"/>
  <c r="AL38" i="28"/>
  <c r="AM66" i="28"/>
  <c r="AQ10" i="16"/>
  <c r="AS10" i="16" s="1"/>
  <c r="AD18" i="28"/>
  <c r="AR64" i="28"/>
  <c r="AP64" i="28"/>
  <c r="AV34" i="28"/>
  <c r="AX34" i="28"/>
  <c r="AY34" i="28" s="1"/>
  <c r="AS60" i="28"/>
  <c r="AI16" i="28"/>
  <c r="AJ16" i="28" s="1"/>
  <c r="AS36" i="28"/>
  <c r="AO61" i="28"/>
  <c r="AP61" i="28" s="1"/>
  <c r="AF53" i="28"/>
  <c r="AI53" i="28" s="1"/>
  <c r="AD53" i="28"/>
  <c r="AM31" i="28"/>
  <c r="AO31" i="28"/>
  <c r="AP49" i="28"/>
  <c r="AJ65" i="28"/>
  <c r="AL65" i="28"/>
  <c r="AO24" i="28"/>
  <c r="AR24" i="28" s="1"/>
  <c r="AM24" i="28"/>
  <c r="AO68" i="28"/>
  <c r="AR68" i="28" s="1"/>
  <c r="AO52" i="28"/>
  <c r="AP52" i="28" s="1"/>
  <c r="AG19" i="28"/>
  <c r="AI19" i="28"/>
  <c r="AM65" i="28"/>
  <c r="AO65" i="28"/>
  <c r="AR61" i="28"/>
  <c r="AU61" i="28" s="1"/>
  <c r="AR66" i="28"/>
  <c r="AU66" i="28" s="1"/>
  <c r="AP66" i="28"/>
  <c r="AR52" i="28"/>
  <c r="AS52" i="28" s="1"/>
  <c r="AG53" i="28"/>
  <c r="AL19" i="28"/>
  <c r="AJ19" i="28"/>
  <c r="AR31" i="28"/>
  <c r="AP31" i="28"/>
  <c r="AL16" i="28"/>
  <c r="AM16" i="28" s="1"/>
  <c r="BA34" i="28"/>
  <c r="BB34" i="28" s="1"/>
  <c r="AM38" i="28"/>
  <c r="AO38" i="28"/>
  <c r="AP68" i="28"/>
  <c r="AP24" i="28"/>
  <c r="AU64" i="28"/>
  <c r="AV64" i="28" s="1"/>
  <c r="AS64" i="28"/>
  <c r="AO37" i="28"/>
  <c r="AP37" i="28" s="1"/>
  <c r="AM37" i="28"/>
  <c r="AU52" i="28"/>
  <c r="AV52" i="28" s="1"/>
  <c r="AP65" i="28"/>
  <c r="AR65" i="28"/>
  <c r="AO19" i="28"/>
  <c r="AM19" i="28"/>
  <c r="AX64" i="28"/>
  <c r="AY64" i="28" s="1"/>
  <c r="AP38" i="28"/>
  <c r="AR38" i="28"/>
  <c r="AU38" i="28" s="1"/>
  <c r="AO16" i="28"/>
  <c r="AR16" i="28" s="1"/>
  <c r="AS31" i="28"/>
  <c r="AU31" i="28"/>
  <c r="AX31" i="28" s="1"/>
  <c r="AS66" i="28"/>
  <c r="AS61" i="28"/>
  <c r="AV31" i="28"/>
  <c r="AU65" i="28"/>
  <c r="AS65" i="28"/>
  <c r="AP16" i="28"/>
  <c r="BA64" i="28"/>
  <c r="BB64" i="28" s="1"/>
  <c r="AR19" i="28"/>
  <c r="AU19" i="28" s="1"/>
  <c r="AP19" i="28"/>
  <c r="AX52" i="28"/>
  <c r="AY52" i="28" s="1"/>
  <c r="AS38" i="28"/>
  <c r="AS19" i="28"/>
  <c r="AX65" i="28"/>
  <c r="BA65" i="28" s="1"/>
  <c r="BB65" i="28" s="1"/>
  <c r="AV65" i="28"/>
  <c r="AY65" i="28"/>
  <c r="Q152" i="17" l="1"/>
  <c r="Q29" i="17"/>
  <c r="Q127" i="17"/>
  <c r="Q184" i="17"/>
  <c r="Q151" i="17"/>
  <c r="Q167" i="17"/>
  <c r="Q154" i="17"/>
  <c r="Q80" i="17"/>
  <c r="Q19" i="17"/>
  <c r="Q90" i="17"/>
  <c r="Q186" i="17"/>
  <c r="Q52" i="17"/>
  <c r="Q88" i="17"/>
  <c r="Q177" i="17"/>
  <c r="Q126" i="17"/>
  <c r="Q54" i="17"/>
  <c r="Q46" i="17"/>
  <c r="Q16" i="17"/>
  <c r="Q161" i="17"/>
  <c r="Q183" i="17"/>
  <c r="Q18" i="17"/>
  <c r="Q104" i="17"/>
  <c r="Q85" i="17"/>
  <c r="Q93" i="17"/>
  <c r="Q142" i="17"/>
  <c r="Q35" i="17"/>
  <c r="Q129" i="17"/>
  <c r="Q94" i="17"/>
  <c r="Q131" i="17"/>
  <c r="Q20" i="17"/>
  <c r="Q125" i="17"/>
  <c r="Q138" i="17"/>
  <c r="Q141" i="17"/>
  <c r="Q37" i="17"/>
  <c r="Q68" i="17"/>
  <c r="Q163" i="17"/>
  <c r="Q168" i="17"/>
  <c r="Q114" i="17"/>
  <c r="Q76" i="17"/>
  <c r="Q144" i="17"/>
  <c r="AV38" i="28"/>
  <c r="AX38" i="28"/>
  <c r="AU68" i="28"/>
  <c r="AS68" i="28"/>
  <c r="AV19" i="28"/>
  <c r="AX19" i="28"/>
  <c r="BA31" i="28"/>
  <c r="BB31" i="28" s="1"/>
  <c r="AY31" i="28"/>
  <c r="AX66" i="28"/>
  <c r="AV66" i="28"/>
  <c r="AL53" i="28"/>
  <c r="AJ53" i="28"/>
  <c r="AI18" i="28"/>
  <c r="AG18" i="28"/>
  <c r="AV60" i="28"/>
  <c r="AX60" i="28"/>
  <c r="AX61" i="28"/>
  <c r="AV61" i="28"/>
  <c r="AU24" i="28"/>
  <c r="AS24" i="28"/>
  <c r="AS16" i="28"/>
  <c r="AU16" i="28"/>
  <c r="AU10" i="16"/>
  <c r="AU49" i="28"/>
  <c r="AS49" i="28"/>
  <c r="AV36" i="28"/>
  <c r="AX36" i="28"/>
  <c r="BA52" i="28"/>
  <c r="BB52" i="28" s="1"/>
  <c r="AJ37" i="28"/>
  <c r="AY35" i="28"/>
  <c r="AM60" i="28"/>
  <c r="AA23" i="10"/>
  <c r="AC23" i="10"/>
  <c r="AD23" i="10" s="1"/>
  <c r="W41" i="28"/>
  <c r="U41" i="28"/>
  <c r="AF43" i="28"/>
  <c r="AD43" i="28"/>
  <c r="AD71" i="28"/>
  <c r="AF71" i="28"/>
  <c r="AF40" i="28"/>
  <c r="AD40" i="28"/>
  <c r="N50" i="19"/>
  <c r="O50" i="19"/>
  <c r="AR37" i="28"/>
  <c r="AI62" i="28"/>
  <c r="AG21" i="28"/>
  <c r="AI21" i="28"/>
  <c r="AC55" i="28"/>
  <c r="AA55" i="28"/>
  <c r="AI57" i="28"/>
  <c r="AG57" i="28"/>
  <c r="AI56" i="28"/>
  <c r="AG56" i="28"/>
  <c r="AD59" i="28"/>
  <c r="AF59" i="28"/>
  <c r="AR45" i="28"/>
  <c r="AP45" i="28"/>
  <c r="AC22" i="10"/>
  <c r="AD22" i="10" s="1"/>
  <c r="AA22" i="10"/>
  <c r="AJ32" i="28"/>
  <c r="AL32" i="28"/>
  <c r="W6" i="16"/>
  <c r="AG30" i="28"/>
  <c r="AI30" i="28"/>
  <c r="AG29" i="28"/>
  <c r="AI29" i="28"/>
  <c r="AG17" i="28"/>
  <c r="AI17" i="28"/>
  <c r="AF33" i="28"/>
  <c r="AD33" i="28"/>
  <c r="R73" i="10"/>
  <c r="T73" i="10"/>
  <c r="Q7" i="16"/>
  <c r="X24" i="10"/>
  <c r="Z24" i="10"/>
  <c r="Z50" i="10"/>
  <c r="X50" i="10"/>
  <c r="Z51" i="10"/>
  <c r="X51" i="10"/>
  <c r="U61" i="10"/>
  <c r="W61" i="10"/>
  <c r="R21" i="10"/>
  <c r="T21" i="10"/>
  <c r="X67" i="10"/>
  <c r="Z67" i="10"/>
  <c r="U58" i="10"/>
  <c r="W58" i="10"/>
  <c r="T36" i="10"/>
  <c r="R36" i="10"/>
  <c r="X25" i="10"/>
  <c r="Z25" i="10"/>
  <c r="X41" i="10"/>
  <c r="Z41" i="10"/>
  <c r="U28" i="10"/>
  <c r="W28" i="10"/>
  <c r="AC47" i="10"/>
  <c r="AD47" i="10" s="1"/>
  <c r="AA47" i="10"/>
  <c r="U34" i="10"/>
  <c r="W34" i="10"/>
  <c r="U59" i="10"/>
  <c r="W59" i="10"/>
  <c r="W69" i="10"/>
  <c r="U69" i="10"/>
  <c r="AA42" i="10"/>
  <c r="AC42" i="10"/>
  <c r="AD42" i="10" s="1"/>
  <c r="T26" i="10"/>
  <c r="R26" i="10"/>
  <c r="U54" i="10"/>
  <c r="W54" i="10"/>
  <c r="U57" i="10"/>
  <c r="W57" i="10"/>
  <c r="U60" i="10"/>
  <c r="W60" i="10"/>
  <c r="DQ14" i="16"/>
  <c r="DO15" i="16"/>
  <c r="Q12" i="16"/>
  <c r="O12" i="16"/>
  <c r="O22" i="16" s="1"/>
  <c r="AC44" i="10"/>
  <c r="AD44" i="10" s="1"/>
  <c r="AA44" i="10"/>
  <c r="X30" i="10"/>
  <c r="Z30" i="10"/>
  <c r="AC70" i="10"/>
  <c r="AD70" i="10" s="1"/>
  <c r="AA70" i="10"/>
  <c r="Z18" i="10"/>
  <c r="X18" i="10"/>
  <c r="AA27" i="10"/>
  <c r="AC27" i="10"/>
  <c r="AD27" i="10" s="1"/>
  <c r="Z20" i="10"/>
  <c r="X20" i="10"/>
  <c r="X55" i="10"/>
  <c r="Z55" i="10"/>
  <c r="U64" i="10"/>
  <c r="W64" i="10"/>
  <c r="Z62" i="10"/>
  <c r="X62" i="10"/>
  <c r="U16" i="10"/>
  <c r="W16" i="10"/>
  <c r="W63" i="10"/>
  <c r="U63" i="10"/>
  <c r="M20" i="16"/>
  <c r="K11" i="16"/>
  <c r="U67" i="10"/>
  <c r="T68" i="10"/>
  <c r="L11" i="31"/>
  <c r="M11" i="31" s="1"/>
  <c r="X47" i="10"/>
  <c r="O36" i="10"/>
  <c r="Z29" i="10"/>
  <c r="AC33" i="10"/>
  <c r="AD33" i="10" s="1"/>
  <c r="R34" i="10"/>
  <c r="R60" i="10"/>
  <c r="AG39" i="28"/>
  <c r="AI39" i="28"/>
  <c r="X54" i="28"/>
  <c r="Z54" i="28"/>
  <c r="U22" i="28"/>
  <c r="W22" i="28"/>
  <c r="U9" i="16"/>
  <c r="AC48" i="28"/>
  <c r="AA48" i="28"/>
  <c r="AC72" i="28"/>
  <c r="AA72" i="28"/>
  <c r="W42" i="28"/>
  <c r="U42" i="28"/>
  <c r="L46" i="31"/>
  <c r="M46" i="31" s="1"/>
  <c r="L20" i="31"/>
  <c r="M20" i="31" s="1"/>
  <c r="Z53" i="10"/>
  <c r="Z45" i="10"/>
  <c r="Z48" i="10"/>
  <c r="R64" i="10"/>
  <c r="T37" i="10"/>
  <c r="AC67" i="28"/>
  <c r="AA67" i="28"/>
  <c r="AF27" i="28"/>
  <c r="AD27" i="28"/>
  <c r="AA70" i="28"/>
  <c r="AC70" i="28"/>
  <c r="X73" i="28"/>
  <c r="Z73" i="28"/>
  <c r="AA25" i="28"/>
  <c r="AC25" i="28"/>
  <c r="AA27" i="28"/>
  <c r="Z47" i="28"/>
  <c r="W23" i="28"/>
  <c r="T51" i="28"/>
  <c r="T58" i="28"/>
  <c r="N186" i="19"/>
  <c r="O186" i="19"/>
  <c r="AA39" i="28"/>
  <c r="X48" i="28"/>
  <c r="W46" i="28"/>
  <c r="R59" i="28"/>
  <c r="R71" i="28"/>
  <c r="R30" i="28"/>
  <c r="R61" i="28"/>
  <c r="O42" i="28"/>
  <c r="O17" i="17"/>
  <c r="P17" i="17" s="1"/>
  <c r="M17" i="17"/>
  <c r="N17" i="17" s="1"/>
  <c r="X70" i="28"/>
  <c r="M188" i="17"/>
  <c r="N188" i="17" s="1"/>
  <c r="J189" i="17"/>
  <c r="O188" i="17"/>
  <c r="O86" i="17"/>
  <c r="P86" i="17" s="1"/>
  <c r="M86" i="17"/>
  <c r="N86" i="17" s="1"/>
  <c r="M64" i="17"/>
  <c r="N64" i="17" s="1"/>
  <c r="O27" i="17"/>
  <c r="P27" i="17" s="1"/>
  <c r="M27" i="17"/>
  <c r="N27" i="17" s="1"/>
  <c r="M34" i="19"/>
  <c r="O34" i="19" s="1"/>
  <c r="L34" i="19"/>
  <c r="T26" i="28"/>
  <c r="R26" i="28"/>
  <c r="O103" i="17"/>
  <c r="P103" i="17" s="1"/>
  <c r="M103" i="17"/>
  <c r="N103" i="17" s="1"/>
  <c r="K184" i="19"/>
  <c r="M184" i="19"/>
  <c r="L184" i="19"/>
  <c r="M65" i="19"/>
  <c r="L65" i="19"/>
  <c r="BU64" i="19" s="1"/>
  <c r="B10" i="22" s="1"/>
  <c r="N51" i="19"/>
  <c r="O51" i="19"/>
  <c r="O99" i="17"/>
  <c r="P99" i="17" s="1"/>
  <c r="K50" i="17"/>
  <c r="O24" i="17"/>
  <c r="P24" i="17" s="1"/>
  <c r="O23" i="17"/>
  <c r="P23" i="17" s="1"/>
  <c r="O15" i="17"/>
  <c r="P15" i="17" s="1"/>
  <c r="L188" i="19"/>
  <c r="BU188" i="19" s="1"/>
  <c r="M188" i="19"/>
  <c r="O109" i="19"/>
  <c r="L102" i="19"/>
  <c r="BU102" i="19" s="1"/>
  <c r="B9" i="22" s="1"/>
  <c r="M102" i="19"/>
  <c r="N46" i="19"/>
  <c r="O46" i="19"/>
  <c r="N69" i="28"/>
  <c r="L69" i="28"/>
  <c r="N44" i="28"/>
  <c r="L44" i="28"/>
  <c r="N28" i="28"/>
  <c r="L28" i="28"/>
  <c r="N20" i="28"/>
  <c r="L20" i="28"/>
  <c r="N50" i="28"/>
  <c r="L50" i="28"/>
  <c r="M34" i="17"/>
  <c r="N34" i="17" s="1"/>
  <c r="M28" i="17"/>
  <c r="N28" i="17" s="1"/>
  <c r="L66" i="19"/>
  <c r="M66" i="19"/>
  <c r="BU45" i="19"/>
  <c r="B7" i="22" s="1"/>
  <c r="O29" i="19"/>
  <c r="N29" i="19"/>
  <c r="L105" i="19"/>
  <c r="BU104" i="19" s="1"/>
  <c r="B5" i="22" s="1"/>
  <c r="M105" i="19"/>
  <c r="L47" i="19"/>
  <c r="M47" i="19"/>
  <c r="M35" i="19"/>
  <c r="O35" i="19" s="1"/>
  <c r="K35" i="19"/>
  <c r="L35" i="28"/>
  <c r="N74" i="28"/>
  <c r="L74" i="28"/>
  <c r="L67" i="28"/>
  <c r="Q63" i="17"/>
  <c r="L59" i="28"/>
  <c r="L72" i="28"/>
  <c r="N63" i="28"/>
  <c r="L40" i="28"/>
  <c r="L54" i="28"/>
  <c r="Q122" i="17"/>
  <c r="Q139" i="17"/>
  <c r="Q170" i="17"/>
  <c r="Q24" i="17"/>
  <c r="Q190" i="17"/>
  <c r="Q8" i="17"/>
  <c r="Q174" i="17"/>
  <c r="Q106" i="17"/>
  <c r="Q96" i="17"/>
  <c r="Q172" i="17"/>
  <c r="Q89" i="17"/>
  <c r="Q120" i="17"/>
  <c r="Q75" i="17"/>
  <c r="Q92" i="17"/>
  <c r="Q136" i="17"/>
  <c r="Q182" i="17"/>
  <c r="Q59" i="17"/>
  <c r="Q55" i="17"/>
  <c r="Q179" i="17"/>
  <c r="Q73" i="17"/>
  <c r="Q157" i="17"/>
  <c r="Q124" i="17"/>
  <c r="Q15" i="17"/>
  <c r="Q159" i="17"/>
  <c r="Q99" i="17"/>
  <c r="Q78" i="17"/>
  <c r="Q57" i="17"/>
  <c r="Q164" i="17"/>
  <c r="Q71" i="17"/>
  <c r="Q101" i="17"/>
  <c r="Q69" i="17"/>
  <c r="Q105" i="17"/>
  <c r="Q132" i="17"/>
  <c r="Q169" i="17"/>
  <c r="Q121" i="17"/>
  <c r="Q160" i="17"/>
  <c r="Q103" i="17"/>
  <c r="Q123" i="17"/>
  <c r="Q97" i="17"/>
  <c r="Q83" i="17"/>
  <c r="Q74" i="17"/>
  <c r="Q149" i="17"/>
  <c r="Q166" i="17"/>
  <c r="Q128" i="17"/>
  <c r="Q98" i="17"/>
  <c r="Q143" i="17"/>
  <c r="Q145" i="17"/>
  <c r="Q171" i="17"/>
  <c r="Q14" i="17"/>
  <c r="Q45" i="17"/>
  <c r="Q82" i="17"/>
  <c r="Q26" i="17"/>
  <c r="Q86" i="17"/>
  <c r="Q64" i="17"/>
  <c r="Q107" i="17"/>
  <c r="Q119" i="17"/>
  <c r="Q180" i="17"/>
  <c r="Q67" i="17"/>
  <c r="Q65" i="17"/>
  <c r="Q137" i="17"/>
  <c r="Q61" i="17"/>
  <c r="Q176" i="17"/>
  <c r="Q146" i="17"/>
  <c r="Q95" i="17"/>
  <c r="Q134" i="17"/>
  <c r="Q25" i="17"/>
  <c r="Q60" i="17"/>
  <c r="Q21" i="17"/>
  <c r="Q187" i="17"/>
  <c r="Q51" i="17"/>
  <c r="Q113" i="17"/>
  <c r="Q178" i="17"/>
  <c r="S7" i="17"/>
  <c r="Q115" i="17"/>
  <c r="Q150" i="17"/>
  <c r="Q87" i="17"/>
  <c r="Q72" i="17"/>
  <c r="Q58" i="17"/>
  <c r="Q162" i="17"/>
  <c r="Q13" i="17"/>
  <c r="Q173" i="17"/>
  <c r="Q112" i="17"/>
  <c r="Q116" i="17"/>
  <c r="Q27" i="17"/>
  <c r="Q153" i="17"/>
  <c r="Q53" i="17"/>
  <c r="Q181" i="17"/>
  <c r="Q23" i="17"/>
  <c r="Q102" i="17"/>
  <c r="Q155" i="17"/>
  <c r="Q109" i="17"/>
  <c r="Q140" i="17"/>
  <c r="Q147" i="17"/>
  <c r="Q158" i="17"/>
  <c r="Q70" i="17"/>
  <c r="Q62" i="17"/>
  <c r="Q56" i="17"/>
  <c r="Q118" i="17"/>
  <c r="Q47" i="17"/>
  <c r="Q117" i="17"/>
  <c r="Q111" i="17"/>
  <c r="Q156" i="17"/>
  <c r="Q17" i="17"/>
  <c r="Q66" i="17"/>
  <c r="Q100" i="17"/>
  <c r="Q108" i="17"/>
  <c r="Q148" i="17"/>
  <c r="Q135" i="17"/>
  <c r="Q130" i="17"/>
  <c r="Q91" i="17"/>
  <c r="Q133" i="17"/>
  <c r="Q36" i="17"/>
  <c r="Q110" i="17"/>
  <c r="Q77" i="17"/>
  <c r="Q81" i="17"/>
  <c r="Q49" i="17"/>
  <c r="Q84" i="17"/>
  <c r="Q79" i="17"/>
  <c r="Q165" i="17"/>
  <c r="Q34" i="17"/>
  <c r="Q28" i="17"/>
  <c r="Q7" i="17"/>
  <c r="R7" i="17" s="1"/>
  <c r="T7" i="17" s="1"/>
  <c r="Q22" i="17"/>
  <c r="Q175" i="17"/>
  <c r="Q185" i="17"/>
  <c r="X23" i="28" l="1"/>
  <c r="Z23" i="28"/>
  <c r="AD67" i="28"/>
  <c r="AF67" i="28"/>
  <c r="AA45" i="10"/>
  <c r="AC45" i="10"/>
  <c r="AD45" i="10" s="1"/>
  <c r="AA29" i="10"/>
  <c r="AC29" i="10"/>
  <c r="AD29" i="10" s="1"/>
  <c r="W68" i="10"/>
  <c r="U68" i="10"/>
  <c r="AA55" i="10"/>
  <c r="AC55" i="10"/>
  <c r="AD55" i="10" s="1"/>
  <c r="Z57" i="10"/>
  <c r="X57" i="10"/>
  <c r="Z34" i="10"/>
  <c r="X34" i="10"/>
  <c r="X28" i="10"/>
  <c r="Z28" i="10"/>
  <c r="AC25" i="10"/>
  <c r="AD25" i="10" s="1"/>
  <c r="AA25" i="10"/>
  <c r="X58" i="10"/>
  <c r="Z58" i="10"/>
  <c r="W21" i="10"/>
  <c r="U21" i="10"/>
  <c r="AC24" i="10"/>
  <c r="AD24" i="10" s="1"/>
  <c r="AA24" i="10"/>
  <c r="Y6" i="16"/>
  <c r="AJ57" i="28"/>
  <c r="AL57" i="28"/>
  <c r="X41" i="28"/>
  <c r="Z41" i="28"/>
  <c r="AY36" i="28"/>
  <c r="BA36" i="28"/>
  <c r="BB36" i="28" s="1"/>
  <c r="BA60" i="28"/>
  <c r="BB60" i="28" s="1"/>
  <c r="AY60" i="28"/>
  <c r="Q63" i="28"/>
  <c r="O63" i="28"/>
  <c r="O105" i="19"/>
  <c r="N105" i="19"/>
  <c r="Q20" i="28"/>
  <c r="O20" i="28"/>
  <c r="O44" i="28"/>
  <c r="Q44" i="28"/>
  <c r="N188" i="19"/>
  <c r="O188" i="19"/>
  <c r="N184" i="19"/>
  <c r="O184" i="19"/>
  <c r="Z46" i="28"/>
  <c r="X46" i="28"/>
  <c r="AA47" i="28"/>
  <c r="AC47" i="28"/>
  <c r="AC73" i="28"/>
  <c r="AA73" i="28"/>
  <c r="U37" i="10"/>
  <c r="W37" i="10"/>
  <c r="AC53" i="10"/>
  <c r="AD53" i="10" s="1"/>
  <c r="AA53" i="10"/>
  <c r="X42" i="28"/>
  <c r="Z42" i="28"/>
  <c r="AD48" i="28"/>
  <c r="AF48" i="28"/>
  <c r="AC54" i="28"/>
  <c r="AA54" i="28"/>
  <c r="X63" i="10"/>
  <c r="Z63" i="10"/>
  <c r="AA62" i="10"/>
  <c r="AC62" i="10"/>
  <c r="AD62" i="10" s="1"/>
  <c r="DQ15" i="16"/>
  <c r="DS14" i="16"/>
  <c r="W26" i="10"/>
  <c r="U26" i="10"/>
  <c r="X69" i="10"/>
  <c r="Z69" i="10"/>
  <c r="AA51" i="10"/>
  <c r="AC51" i="10"/>
  <c r="AD51" i="10" s="1"/>
  <c r="AL29" i="28"/>
  <c r="AJ29" i="28"/>
  <c r="AM32" i="28"/>
  <c r="AO32" i="28"/>
  <c r="AL62" i="28"/>
  <c r="AJ62" i="28"/>
  <c r="AW10" i="16"/>
  <c r="AX24" i="28"/>
  <c r="AV24" i="28"/>
  <c r="AO53" i="28"/>
  <c r="AM53" i="28"/>
  <c r="AV68" i="28"/>
  <c r="AX68" i="28"/>
  <c r="O66" i="19"/>
  <c r="N66" i="19"/>
  <c r="O102" i="19"/>
  <c r="N102" i="19"/>
  <c r="B6" i="22"/>
  <c r="B11" i="22" s="1"/>
  <c r="BU196" i="19"/>
  <c r="O50" i="17"/>
  <c r="M50" i="17"/>
  <c r="N50" i="17" s="1"/>
  <c r="U26" i="28"/>
  <c r="W26" i="28"/>
  <c r="P188" i="17"/>
  <c r="Q188" i="17"/>
  <c r="W58" i="28"/>
  <c r="U58" i="28"/>
  <c r="AI27" i="28"/>
  <c r="AG27" i="28"/>
  <c r="U20" i="16"/>
  <c r="W9" i="16"/>
  <c r="M11" i="16"/>
  <c r="K19" i="16"/>
  <c r="K13" i="16"/>
  <c r="K15" i="16" s="1"/>
  <c r="K21" i="16"/>
  <c r="X16" i="10"/>
  <c r="Z16" i="10"/>
  <c r="X64" i="10"/>
  <c r="Z64" i="10"/>
  <c r="AC30" i="10"/>
  <c r="AD30" i="10" s="1"/>
  <c r="AA30" i="10"/>
  <c r="Z60" i="10"/>
  <c r="X60" i="10"/>
  <c r="Z54" i="10"/>
  <c r="X54" i="10"/>
  <c r="X59" i="10"/>
  <c r="Z59" i="10"/>
  <c r="AA41" i="10"/>
  <c r="AC41" i="10"/>
  <c r="AD41" i="10" s="1"/>
  <c r="AC67" i="10"/>
  <c r="AD67" i="10" s="1"/>
  <c r="AA67" i="10"/>
  <c r="Z61" i="10"/>
  <c r="X61" i="10"/>
  <c r="S7" i="16"/>
  <c r="Q18" i="16"/>
  <c r="AG33" i="28"/>
  <c r="AI33" i="28"/>
  <c r="AU45" i="28"/>
  <c r="AS45" i="28"/>
  <c r="AL56" i="28"/>
  <c r="AJ56" i="28"/>
  <c r="AF55" i="28"/>
  <c r="AD55" i="28"/>
  <c r="AU37" i="28"/>
  <c r="AS37" i="28"/>
  <c r="AG40" i="28"/>
  <c r="AI40" i="28"/>
  <c r="AG43" i="28"/>
  <c r="AI43" i="28"/>
  <c r="AV16" i="28"/>
  <c r="AX16" i="28"/>
  <c r="AY19" i="28"/>
  <c r="BA19" i="28"/>
  <c r="BB19" i="28" s="1"/>
  <c r="BA38" i="28"/>
  <c r="BB38" i="28" s="1"/>
  <c r="AY38" i="28"/>
  <c r="O74" i="28"/>
  <c r="Q74" i="28"/>
  <c r="N47" i="19"/>
  <c r="O47" i="19"/>
  <c r="Q50" i="28"/>
  <c r="O50" i="28"/>
  <c r="O28" i="28"/>
  <c r="Q28" i="28"/>
  <c r="O69" i="28"/>
  <c r="Q69" i="28"/>
  <c r="N65" i="19"/>
  <c r="O65" i="19"/>
  <c r="O189" i="17"/>
  <c r="M189" i="17"/>
  <c r="N189" i="17" s="1"/>
  <c r="U51" i="28"/>
  <c r="W51" i="28"/>
  <c r="AF25" i="28"/>
  <c r="AD25" i="28"/>
  <c r="AD70" i="28"/>
  <c r="AF70" i="28"/>
  <c r="AC48" i="10"/>
  <c r="AD48" i="10" s="1"/>
  <c r="AA48" i="10"/>
  <c r="AF72" i="28"/>
  <c r="AD72" i="28"/>
  <c r="Z22" i="28"/>
  <c r="X22" i="28"/>
  <c r="AL39" i="28"/>
  <c r="AJ39" i="28"/>
  <c r="AA20" i="10"/>
  <c r="AC20" i="10"/>
  <c r="AD20" i="10" s="1"/>
  <c r="AC18" i="10"/>
  <c r="AD18" i="10" s="1"/>
  <c r="AA18" i="10"/>
  <c r="S12" i="16"/>
  <c r="Q22" i="16"/>
  <c r="W36" i="10"/>
  <c r="U36" i="10"/>
  <c r="AC50" i="10"/>
  <c r="AD50" i="10" s="1"/>
  <c r="AA50" i="10"/>
  <c r="W73" i="10"/>
  <c r="U73" i="10"/>
  <c r="AL17" i="28"/>
  <c r="AJ17" i="28"/>
  <c r="AJ30" i="28"/>
  <c r="AL30" i="28"/>
  <c r="AI59" i="28"/>
  <c r="AG59" i="28"/>
  <c r="AL21" i="28"/>
  <c r="AJ21" i="28"/>
  <c r="AI71" i="28"/>
  <c r="AG71" i="28"/>
  <c r="AV49" i="28"/>
  <c r="AX49" i="28"/>
  <c r="BA61" i="28"/>
  <c r="BB61" i="28" s="1"/>
  <c r="AY61" i="28"/>
  <c r="AL18" i="28"/>
  <c r="AJ18" i="28"/>
  <c r="AY66" i="28"/>
  <c r="BA66" i="28"/>
  <c r="BB66" i="28" s="1"/>
  <c r="BA49" i="28" l="1"/>
  <c r="BB49" i="28" s="1"/>
  <c r="AY49" i="28"/>
  <c r="AO30" i="28"/>
  <c r="AM30" i="28"/>
  <c r="AG70" i="28"/>
  <c r="AI70" i="28"/>
  <c r="T28" i="28"/>
  <c r="R28" i="28"/>
  <c r="AM18" i="28"/>
  <c r="AO18" i="28"/>
  <c r="AM21" i="28"/>
  <c r="AO21" i="28"/>
  <c r="Z73" i="10"/>
  <c r="X73" i="10"/>
  <c r="X36" i="10"/>
  <c r="Z36" i="10"/>
  <c r="AM39" i="28"/>
  <c r="AO39" i="28"/>
  <c r="AI72" i="28"/>
  <c r="AG72" i="28"/>
  <c r="AG55" i="28"/>
  <c r="AI55" i="28"/>
  <c r="AV45" i="28"/>
  <c r="AX45" i="28"/>
  <c r="AA61" i="10"/>
  <c r="AC61" i="10"/>
  <c r="AD61" i="10" s="1"/>
  <c r="AA54" i="10"/>
  <c r="AC54" i="10"/>
  <c r="AD54" i="10" s="1"/>
  <c r="Q11" i="16"/>
  <c r="M19" i="16"/>
  <c r="O11" i="16"/>
  <c r="M21" i="16"/>
  <c r="M13" i="16"/>
  <c r="M15" i="16" s="1"/>
  <c r="AL27" i="28"/>
  <c r="AJ27" i="28"/>
  <c r="P50" i="17"/>
  <c r="Q50" i="17"/>
  <c r="AY24" i="28"/>
  <c r="BA24" i="28"/>
  <c r="BB24" i="28" s="1"/>
  <c r="AO62" i="28"/>
  <c r="AM62" i="28"/>
  <c r="AM29" i="28"/>
  <c r="AO29" i="28"/>
  <c r="AF73" i="28"/>
  <c r="AD73" i="28"/>
  <c r="AC46" i="28"/>
  <c r="AA46" i="28"/>
  <c r="R20" i="28"/>
  <c r="T20" i="28"/>
  <c r="T63" i="28"/>
  <c r="R63" i="28"/>
  <c r="AA6" i="16"/>
  <c r="Z21" i="10"/>
  <c r="X21" i="10"/>
  <c r="AA34" i="10"/>
  <c r="AC34" i="10"/>
  <c r="AD34" i="10" s="1"/>
  <c r="T69" i="28"/>
  <c r="R69" i="28"/>
  <c r="R74" i="28"/>
  <c r="T74" i="28"/>
  <c r="AL43" i="28"/>
  <c r="AJ43" i="28"/>
  <c r="AJ33" i="28"/>
  <c r="AL33" i="28"/>
  <c r="AA59" i="10"/>
  <c r="AC59" i="10"/>
  <c r="AD59" i="10" s="1"/>
  <c r="AC64" i="10"/>
  <c r="AD64" i="10" s="1"/>
  <c r="AA64" i="10"/>
  <c r="Y9" i="16"/>
  <c r="W20" i="16"/>
  <c r="Z26" i="28"/>
  <c r="X26" i="28"/>
  <c r="AY10" i="16"/>
  <c r="AP32" i="28"/>
  <c r="AR32" i="28"/>
  <c r="AA42" i="28"/>
  <c r="AC42" i="28"/>
  <c r="Z37" i="10"/>
  <c r="X37" i="10"/>
  <c r="AD47" i="28"/>
  <c r="AF47" i="28"/>
  <c r="R44" i="28"/>
  <c r="T44" i="28"/>
  <c r="AA41" i="28"/>
  <c r="AC41" i="28"/>
  <c r="AC58" i="10"/>
  <c r="AD58" i="10" s="1"/>
  <c r="AA58" i="10"/>
  <c r="AC28" i="10"/>
  <c r="AD28" i="10" s="1"/>
  <c r="AA28" i="10"/>
  <c r="AA23" i="28"/>
  <c r="AC23" i="28"/>
  <c r="AJ71" i="28"/>
  <c r="AL71" i="28"/>
  <c r="AJ59" i="28"/>
  <c r="AL59" i="28"/>
  <c r="AM17" i="28"/>
  <c r="AO17" i="28"/>
  <c r="U12" i="16"/>
  <c r="S22" i="16"/>
  <c r="AA22" i="28"/>
  <c r="AC22" i="28"/>
  <c r="AG25" i="28"/>
  <c r="AI25" i="28"/>
  <c r="P189" i="17"/>
  <c r="Q189" i="17"/>
  <c r="R50" i="28"/>
  <c r="T50" i="28"/>
  <c r="AV37" i="28"/>
  <c r="AX37" i="28"/>
  <c r="AM56" i="28"/>
  <c r="AO56" i="28"/>
  <c r="U7" i="16"/>
  <c r="S18" i="16"/>
  <c r="AC60" i="10"/>
  <c r="AD60" i="10" s="1"/>
  <c r="AA60" i="10"/>
  <c r="X58" i="28"/>
  <c r="Z58" i="28"/>
  <c r="AR53" i="28"/>
  <c r="AP53" i="28"/>
  <c r="X26" i="10"/>
  <c r="Z26" i="10"/>
  <c r="AF54" i="28"/>
  <c r="AD54" i="28"/>
  <c r="AC57" i="10"/>
  <c r="AD57" i="10" s="1"/>
  <c r="AA57" i="10"/>
  <c r="X68" i="10"/>
  <c r="Z68" i="10"/>
  <c r="Z51" i="28"/>
  <c r="X51" i="28"/>
  <c r="AY16" i="28"/>
  <c r="BA16" i="28"/>
  <c r="BB16" i="28" s="1"/>
  <c r="AL40" i="28"/>
  <c r="AJ40" i="28"/>
  <c r="AA16" i="10"/>
  <c r="AC16" i="10"/>
  <c r="AD16" i="10" s="1"/>
  <c r="AY68" i="28"/>
  <c r="BA68" i="28"/>
  <c r="BB68" i="28" s="1"/>
  <c r="AA69" i="10"/>
  <c r="AC69" i="10"/>
  <c r="AD69" i="10" s="1"/>
  <c r="DS15" i="16"/>
  <c r="DU14" i="16"/>
  <c r="AA63" i="10"/>
  <c r="AC63" i="10"/>
  <c r="AD63" i="10" s="1"/>
  <c r="AG48" i="28"/>
  <c r="AI48" i="28"/>
  <c r="AO57" i="28"/>
  <c r="AM57" i="28"/>
  <c r="AG67" i="28"/>
  <c r="AI67" i="28"/>
  <c r="AJ48" i="28" l="1"/>
  <c r="AL48" i="28"/>
  <c r="AA68" i="10"/>
  <c r="AC68" i="10"/>
  <c r="AD68" i="10" s="1"/>
  <c r="AY37" i="28"/>
  <c r="BA37" i="28"/>
  <c r="BB37" i="28" s="1"/>
  <c r="AP57" i="28"/>
  <c r="AR57" i="28"/>
  <c r="AG54" i="28"/>
  <c r="AI54" i="28"/>
  <c r="AS53" i="28"/>
  <c r="AU53" i="28"/>
  <c r="W7" i="16"/>
  <c r="U18" i="16"/>
  <c r="BA10" i="16"/>
  <c r="AA9" i="16"/>
  <c r="Y20" i="16"/>
  <c r="AM43" i="28"/>
  <c r="AO43" i="28"/>
  <c r="U69" i="28"/>
  <c r="W69" i="28"/>
  <c r="AA21" i="10"/>
  <c r="AC21" i="10"/>
  <c r="AD21" i="10" s="1"/>
  <c r="AG73" i="28"/>
  <c r="AI73" i="28"/>
  <c r="AP62" i="28"/>
  <c r="AR62" i="28"/>
  <c r="AY45" i="28"/>
  <c r="BA45" i="28"/>
  <c r="BB45" i="28" s="1"/>
  <c r="AA36" i="10"/>
  <c r="AC36" i="10"/>
  <c r="AD36" i="10" s="1"/>
  <c r="AR21" i="28"/>
  <c r="AP21" i="28"/>
  <c r="AJ67" i="28"/>
  <c r="AL67" i="28"/>
  <c r="AC26" i="10"/>
  <c r="AD26" i="10" s="1"/>
  <c r="AA26" i="10"/>
  <c r="AC58" i="28"/>
  <c r="AA58" i="28"/>
  <c r="AP56" i="28"/>
  <c r="AR56" i="28"/>
  <c r="U50" i="28"/>
  <c r="W50" i="28"/>
  <c r="AJ25" i="28"/>
  <c r="AL25" i="28"/>
  <c r="AM59" i="28"/>
  <c r="AO59" i="28"/>
  <c r="AD23" i="28"/>
  <c r="AF23" i="28"/>
  <c r="W44" i="28"/>
  <c r="U44" i="28"/>
  <c r="AU32" i="28"/>
  <c r="AS32" i="28"/>
  <c r="AM33" i="28"/>
  <c r="AO33" i="28"/>
  <c r="U74" i="28"/>
  <c r="W74" i="28"/>
  <c r="AR29" i="28"/>
  <c r="AP29" i="28"/>
  <c r="O19" i="16"/>
  <c r="O13" i="16"/>
  <c r="O15" i="16" s="1"/>
  <c r="O21" i="16"/>
  <c r="AL72" i="28"/>
  <c r="AJ72" i="28"/>
  <c r="U28" i="28"/>
  <c r="W28" i="28"/>
  <c r="AR30" i="28"/>
  <c r="AP30" i="28"/>
  <c r="DU15" i="16"/>
  <c r="DW14" i="16"/>
  <c r="AM40" i="28"/>
  <c r="AO40" i="28"/>
  <c r="AC51" i="28"/>
  <c r="AA51" i="28"/>
  <c r="W12" i="16"/>
  <c r="U22" i="16"/>
  <c r="AA37" i="10"/>
  <c r="AC37" i="10"/>
  <c r="AD37" i="10" s="1"/>
  <c r="AA26" i="28"/>
  <c r="AC26" i="28"/>
  <c r="AC6" i="16"/>
  <c r="U63" i="28"/>
  <c r="W63" i="28"/>
  <c r="AF46" i="28"/>
  <c r="AD46" i="28"/>
  <c r="AM27" i="28"/>
  <c r="AO27" i="28"/>
  <c r="AJ55" i="28"/>
  <c r="AL55" i="28"/>
  <c r="AR39" i="28"/>
  <c r="AP39" i="28"/>
  <c r="AP18" i="28"/>
  <c r="AR18" i="28"/>
  <c r="AJ70" i="28"/>
  <c r="AL70" i="28"/>
  <c r="AF22" i="28"/>
  <c r="AD22" i="28"/>
  <c r="AR17" i="28"/>
  <c r="AP17" i="28"/>
  <c r="AO71" i="28"/>
  <c r="AM71" i="28"/>
  <c r="AD41" i="28"/>
  <c r="AF41" i="28"/>
  <c r="AI47" i="28"/>
  <c r="AG47" i="28"/>
  <c r="AD42" i="28"/>
  <c r="AF42" i="28"/>
  <c r="U20" i="28"/>
  <c r="W20" i="28"/>
  <c r="Q19" i="16"/>
  <c r="S11" i="16"/>
  <c r="Q13" i="16"/>
  <c r="Q15" i="16" s="1"/>
  <c r="Q21" i="16"/>
  <c r="AC73" i="10"/>
  <c r="AD73" i="10" s="1"/>
  <c r="AA73" i="10"/>
  <c r="AD51" i="28" l="1"/>
  <c r="AF51" i="28"/>
  <c r="X74" i="28"/>
  <c r="Z74" i="28"/>
  <c r="AI23" i="28"/>
  <c r="AG23" i="28"/>
  <c r="AM25" i="28"/>
  <c r="AO25" i="28"/>
  <c r="AS56" i="28"/>
  <c r="AU56" i="28"/>
  <c r="AL73" i="28"/>
  <c r="AJ73" i="28"/>
  <c r="X69" i="28"/>
  <c r="Z69" i="28"/>
  <c r="AV53" i="28"/>
  <c r="AX53" i="28"/>
  <c r="AS57" i="28"/>
  <c r="AU57" i="28"/>
  <c r="AS39" i="28"/>
  <c r="AU39" i="28"/>
  <c r="AU18" i="28"/>
  <c r="AS18" i="28"/>
  <c r="AM55" i="28"/>
  <c r="AO55" i="28"/>
  <c r="AD26" i="28"/>
  <c r="AF26" i="28"/>
  <c r="AR40" i="28"/>
  <c r="AP40" i="28"/>
  <c r="AV32" i="28"/>
  <c r="AX32" i="28"/>
  <c r="AS21" i="28"/>
  <c r="AU21" i="28"/>
  <c r="AA20" i="16"/>
  <c r="AC9" i="16"/>
  <c r="AU17" i="28"/>
  <c r="AS17" i="28"/>
  <c r="X20" i="28"/>
  <c r="Z20" i="28"/>
  <c r="AJ47" i="28"/>
  <c r="AL47" i="28"/>
  <c r="AR71" i="28"/>
  <c r="AP71" i="28"/>
  <c r="AI22" i="28"/>
  <c r="AG22" i="28"/>
  <c r="AI46" i="28"/>
  <c r="AG46" i="28"/>
  <c r="AE6" i="16"/>
  <c r="Y12" i="16"/>
  <c r="W22" i="16"/>
  <c r="AU30" i="28"/>
  <c r="AS30" i="28"/>
  <c r="AM72" i="28"/>
  <c r="AO72" i="28"/>
  <c r="AP33" i="28"/>
  <c r="AR33" i="28"/>
  <c r="AR59" i="28"/>
  <c r="AP59" i="28"/>
  <c r="Z50" i="28"/>
  <c r="X50" i="28"/>
  <c r="AO67" i="28"/>
  <c r="AM67" i="28"/>
  <c r="AU62" i="28"/>
  <c r="AS62" i="28"/>
  <c r="AR43" i="28"/>
  <c r="AP43" i="28"/>
  <c r="BC10" i="16"/>
  <c r="AJ54" i="28"/>
  <c r="AL54" i="28"/>
  <c r="AO48" i="28"/>
  <c r="AM48" i="28"/>
  <c r="S19" i="16"/>
  <c r="U11" i="16"/>
  <c r="S21" i="16"/>
  <c r="S13" i="16"/>
  <c r="S15" i="16" s="1"/>
  <c r="AG42" i="28"/>
  <c r="AI42" i="28"/>
  <c r="AI41" i="28"/>
  <c r="AG41" i="28"/>
  <c r="AM70" i="28"/>
  <c r="AO70" i="28"/>
  <c r="AR27" i="28"/>
  <c r="AP27" i="28"/>
  <c r="Z63" i="28"/>
  <c r="X63" i="28"/>
  <c r="DY14" i="16"/>
  <c r="DW15" i="16"/>
  <c r="Z28" i="28"/>
  <c r="X28" i="28"/>
  <c r="AS29" i="28"/>
  <c r="AU29" i="28"/>
  <c r="X44" i="28"/>
  <c r="Z44" i="28"/>
  <c r="AF58" i="28"/>
  <c r="AD58" i="28"/>
  <c r="Y7" i="16"/>
  <c r="W18" i="16"/>
  <c r="EA14" i="16" l="1"/>
  <c r="DY15" i="16"/>
  <c r="AU27" i="28"/>
  <c r="AS27" i="28"/>
  <c r="AL41" i="28"/>
  <c r="AJ41" i="28"/>
  <c r="AP48" i="28"/>
  <c r="AR48" i="28"/>
  <c r="AV62" i="28"/>
  <c r="AX62" i="28"/>
  <c r="AC44" i="28"/>
  <c r="AA44" i="28"/>
  <c r="AP70" i="28"/>
  <c r="AR70" i="28"/>
  <c r="AL42" i="28"/>
  <c r="AJ42" i="28"/>
  <c r="W11" i="16"/>
  <c r="U19" i="16"/>
  <c r="U21" i="16"/>
  <c r="U13" i="16"/>
  <c r="U15" i="16" s="1"/>
  <c r="AM54" i="28"/>
  <c r="AO54" i="28"/>
  <c r="AP72" i="28"/>
  <c r="AR72" i="28"/>
  <c r="AO47" i="28"/>
  <c r="AM47" i="28"/>
  <c r="AX21" i="28"/>
  <c r="AV21" i="28"/>
  <c r="AR55" i="28"/>
  <c r="AP55" i="28"/>
  <c r="AV39" i="28"/>
  <c r="AX39" i="28"/>
  <c r="BA53" i="28"/>
  <c r="BB53" i="28" s="1"/>
  <c r="AY53" i="28"/>
  <c r="AP25" i="28"/>
  <c r="AR25" i="28"/>
  <c r="AC74" i="28"/>
  <c r="AA74" i="28"/>
  <c r="AA7" i="16"/>
  <c r="Y18" i="16"/>
  <c r="AC28" i="28"/>
  <c r="AA28" i="28"/>
  <c r="AC63" i="28"/>
  <c r="AA63" i="28"/>
  <c r="AS43" i="28"/>
  <c r="AU43" i="28"/>
  <c r="AP67" i="28"/>
  <c r="AR67" i="28"/>
  <c r="AS59" i="28"/>
  <c r="AU59" i="28"/>
  <c r="AA12" i="16"/>
  <c r="Y22" i="16"/>
  <c r="AG6" i="16"/>
  <c r="AL22" i="28"/>
  <c r="AJ22" i="28"/>
  <c r="AX17" i="28"/>
  <c r="AV17" i="28"/>
  <c r="AU40" i="28"/>
  <c r="AS40" i="28"/>
  <c r="AO73" i="28"/>
  <c r="AM73" i="28"/>
  <c r="AX29" i="28"/>
  <c r="AV29" i="28"/>
  <c r="AU33" i="28"/>
  <c r="AS33" i="28"/>
  <c r="AC20" i="28"/>
  <c r="AA20" i="28"/>
  <c r="AC20" i="16"/>
  <c r="AE9" i="16"/>
  <c r="BA32" i="28"/>
  <c r="BB32" i="28" s="1"/>
  <c r="AY32" i="28"/>
  <c r="AG26" i="28"/>
  <c r="AI26" i="28"/>
  <c r="AV57" i="28"/>
  <c r="AX57" i="28"/>
  <c r="AA69" i="28"/>
  <c r="AC69" i="28"/>
  <c r="AV56" i="28"/>
  <c r="AX56" i="28"/>
  <c r="AG51" i="28"/>
  <c r="AI51" i="28"/>
  <c r="AG58" i="28"/>
  <c r="AI58" i="28"/>
  <c r="BE10" i="16"/>
  <c r="AA50" i="28"/>
  <c r="AC50" i="28"/>
  <c r="AX30" i="28"/>
  <c r="AV30" i="28"/>
  <c r="AJ46" i="28"/>
  <c r="AL46" i="28"/>
  <c r="AU71" i="28"/>
  <c r="AS71" i="28"/>
  <c r="AX18" i="28"/>
  <c r="AV18" i="28"/>
  <c r="AJ23" i="28"/>
  <c r="AL23" i="28"/>
  <c r="AJ58" i="28" l="1"/>
  <c r="AL58" i="28"/>
  <c r="AV59" i="28"/>
  <c r="AX59" i="28"/>
  <c r="AX43" i="28"/>
  <c r="AV43" i="28"/>
  <c r="AC7" i="16"/>
  <c r="AA18" i="16"/>
  <c r="AS25" i="28"/>
  <c r="AU25" i="28"/>
  <c r="BA39" i="28"/>
  <c r="BB39" i="28" s="1"/>
  <c r="AY39" i="28"/>
  <c r="AS72" i="28"/>
  <c r="AU72" i="28"/>
  <c r="AU48" i="28"/>
  <c r="AS48" i="28"/>
  <c r="AM23" i="28"/>
  <c r="AO23" i="28"/>
  <c r="BG10" i="16"/>
  <c r="AO46" i="28"/>
  <c r="AM46" i="28"/>
  <c r="AF50" i="28"/>
  <c r="AD50" i="28"/>
  <c r="AY56" i="28"/>
  <c r="BA56" i="28"/>
  <c r="BB56" i="28" s="1"/>
  <c r="BA57" i="28"/>
  <c r="BB57" i="28" s="1"/>
  <c r="AY57" i="28"/>
  <c r="AY18" i="28"/>
  <c r="BA18" i="28"/>
  <c r="BB18" i="28" s="1"/>
  <c r="AF20" i="28"/>
  <c r="AD20" i="28"/>
  <c r="AY29" i="28"/>
  <c r="BA29" i="28"/>
  <c r="BB29" i="28" s="1"/>
  <c r="AX40" i="28"/>
  <c r="AV40" i="28"/>
  <c r="AO22" i="28"/>
  <c r="AM22" i="28"/>
  <c r="AD28" i="28"/>
  <c r="AF28" i="28"/>
  <c r="AY21" i="28"/>
  <c r="BA21" i="28"/>
  <c r="BB21" i="28" s="1"/>
  <c r="AM42" i="28"/>
  <c r="AO42" i="28"/>
  <c r="AF44" i="28"/>
  <c r="AD44" i="28"/>
  <c r="AX27" i="28"/>
  <c r="AV27" i="28"/>
  <c r="AD69" i="28"/>
  <c r="AF69" i="28"/>
  <c r="AG9" i="16"/>
  <c r="AE20" i="16"/>
  <c r="AU67" i="28"/>
  <c r="AS67" i="28"/>
  <c r="AP54" i="28"/>
  <c r="AR54" i="28"/>
  <c r="AU70" i="28"/>
  <c r="AS70" i="28"/>
  <c r="AY62" i="28"/>
  <c r="BA62" i="28"/>
  <c r="BB62" i="28" s="1"/>
  <c r="AJ51" i="28"/>
  <c r="AL51" i="28"/>
  <c r="AL26" i="28"/>
  <c r="AJ26" i="28"/>
  <c r="AX71" i="28"/>
  <c r="AV71" i="28"/>
  <c r="BA30" i="28"/>
  <c r="BB30" i="28" s="1"/>
  <c r="AY30" i="28"/>
  <c r="AX33" i="28"/>
  <c r="AV33" i="28"/>
  <c r="AR73" i="28"/>
  <c r="AP73" i="28"/>
  <c r="AY17" i="28"/>
  <c r="BA17" i="28"/>
  <c r="BB17" i="28" s="1"/>
  <c r="AI6" i="16"/>
  <c r="AC12" i="16"/>
  <c r="AA22" i="16"/>
  <c r="AD63" i="28"/>
  <c r="AF63" i="28"/>
  <c r="AF74" i="28"/>
  <c r="AD74" i="28"/>
  <c r="AS55" i="28"/>
  <c r="AU55" i="28"/>
  <c r="AR47" i="28"/>
  <c r="AP47" i="28"/>
  <c r="W19" i="16"/>
  <c r="Y11" i="16"/>
  <c r="W13" i="16"/>
  <c r="W15" i="16" s="1"/>
  <c r="W21" i="16"/>
  <c r="AO41" i="28"/>
  <c r="AM41" i="28"/>
  <c r="EA15" i="16"/>
  <c r="EC14" i="16"/>
  <c r="AI74" i="28" l="1"/>
  <c r="AG74" i="28"/>
  <c r="AI9" i="16"/>
  <c r="AG20" i="16"/>
  <c r="AY40" i="28"/>
  <c r="BA40" i="28"/>
  <c r="BB40" i="28" s="1"/>
  <c r="Y19" i="16"/>
  <c r="AA11" i="16"/>
  <c r="Y13" i="16"/>
  <c r="Y15" i="16" s="1"/>
  <c r="Y21" i="16"/>
  <c r="AV55" i="28"/>
  <c r="AX55" i="28"/>
  <c r="AI63" i="28"/>
  <c r="AG63" i="28"/>
  <c r="AK6" i="16"/>
  <c r="AM51" i="28"/>
  <c r="AO51" i="28"/>
  <c r="AG69" i="28"/>
  <c r="AI69" i="28"/>
  <c r="AP23" i="28"/>
  <c r="AR23" i="28"/>
  <c r="AV72" i="28"/>
  <c r="AX72" i="28"/>
  <c r="AV25" i="28"/>
  <c r="AX25" i="28"/>
  <c r="BA59" i="28"/>
  <c r="BB59" i="28" s="1"/>
  <c r="AY59" i="28"/>
  <c r="AR41" i="28"/>
  <c r="AP41" i="28"/>
  <c r="AY33" i="28"/>
  <c r="BA33" i="28"/>
  <c r="BB33" i="28" s="1"/>
  <c r="AY71" i="28"/>
  <c r="BA71" i="28"/>
  <c r="BB71" i="28" s="1"/>
  <c r="AX70" i="28"/>
  <c r="AV70" i="28"/>
  <c r="AX67" i="28"/>
  <c r="AV67" i="28"/>
  <c r="AI44" i="28"/>
  <c r="AG44" i="28"/>
  <c r="AR22" i="28"/>
  <c r="AP22" i="28"/>
  <c r="AP46" i="28"/>
  <c r="AR46" i="28"/>
  <c r="AE7" i="16"/>
  <c r="AC18" i="16"/>
  <c r="EE14" i="16"/>
  <c r="EC15" i="16"/>
  <c r="AS54" i="28"/>
  <c r="AU54" i="28"/>
  <c r="AR42" i="28"/>
  <c r="AP42" i="28"/>
  <c r="AG28" i="28"/>
  <c r="AI28" i="28"/>
  <c r="BI10" i="16"/>
  <c r="AM58" i="28"/>
  <c r="AO58" i="28"/>
  <c r="AS47" i="28"/>
  <c r="AU47" i="28"/>
  <c r="AE12" i="16"/>
  <c r="AC22" i="16"/>
  <c r="AU73" i="28"/>
  <c r="AS73" i="28"/>
  <c r="AM26" i="28"/>
  <c r="AO26" i="28"/>
  <c r="AY27" i="28"/>
  <c r="BA27" i="28"/>
  <c r="BB27" i="28" s="1"/>
  <c r="AG20" i="28"/>
  <c r="AI20" i="28"/>
  <c r="AG50" i="28"/>
  <c r="AI50" i="28"/>
  <c r="AV48" i="28"/>
  <c r="AX48" i="28"/>
  <c r="BA43" i="28"/>
  <c r="BB43" i="28" s="1"/>
  <c r="AY43" i="28"/>
  <c r="AV47" i="28" l="1"/>
  <c r="AX47" i="28"/>
  <c r="BK10" i="16"/>
  <c r="AY25" i="28"/>
  <c r="BA25" i="28"/>
  <c r="BB25" i="28" s="1"/>
  <c r="AS23" i="28"/>
  <c r="AU23" i="28"/>
  <c r="AP51" i="28"/>
  <c r="AR51" i="28"/>
  <c r="BA55" i="28"/>
  <c r="BB55" i="28" s="1"/>
  <c r="AY55" i="28"/>
  <c r="AC11" i="16"/>
  <c r="AA19" i="16"/>
  <c r="AA13" i="16"/>
  <c r="AA15" i="16" s="1"/>
  <c r="AA21" i="16"/>
  <c r="AJ50" i="28"/>
  <c r="AL50" i="28"/>
  <c r="AX73" i="28"/>
  <c r="AV73" i="28"/>
  <c r="AS42" i="28"/>
  <c r="AU42" i="28"/>
  <c r="EG14" i="16"/>
  <c r="EE15" i="16"/>
  <c r="AG7" i="16"/>
  <c r="AE18" i="16"/>
  <c r="AS22" i="28"/>
  <c r="AU22" i="28"/>
  <c r="BA67" i="28"/>
  <c r="BB67" i="28" s="1"/>
  <c r="AY67" i="28"/>
  <c r="AU41" i="28"/>
  <c r="AS41" i="28"/>
  <c r="AM6" i="16"/>
  <c r="AI20" i="16"/>
  <c r="AK9" i="16"/>
  <c r="AY48" i="28"/>
  <c r="BA48" i="28"/>
  <c r="BB48" i="28" s="1"/>
  <c r="AR26" i="28"/>
  <c r="AP26" i="28"/>
  <c r="AP58" i="28"/>
  <c r="AR58" i="28"/>
  <c r="AU46" i="28"/>
  <c r="AS46" i="28"/>
  <c r="AY72" i="28"/>
  <c r="BA72" i="28"/>
  <c r="BB72" i="28" s="1"/>
  <c r="AL69" i="28"/>
  <c r="AJ69" i="28"/>
  <c r="AL20" i="28"/>
  <c r="AJ20" i="28"/>
  <c r="AL28" i="28"/>
  <c r="AJ28" i="28"/>
  <c r="AV54" i="28"/>
  <c r="AX54" i="28"/>
  <c r="AG12" i="16"/>
  <c r="AE22" i="16"/>
  <c r="AJ44" i="28"/>
  <c r="AL44" i="28"/>
  <c r="AY70" i="28"/>
  <c r="BA70" i="28"/>
  <c r="BB70" i="28" s="1"/>
  <c r="AJ63" i="28"/>
  <c r="AL63" i="28"/>
  <c r="AJ74" i="28"/>
  <c r="AL74" i="28"/>
  <c r="AO74" i="28" l="1"/>
  <c r="AM74" i="28"/>
  <c r="AK20" i="16"/>
  <c r="AM9" i="16"/>
  <c r="AV23" i="28"/>
  <c r="AX23" i="28"/>
  <c r="AO28" i="28"/>
  <c r="AM28" i="28"/>
  <c r="EG15" i="16"/>
  <c r="EI14" i="16"/>
  <c r="AY73" i="28"/>
  <c r="BA73" i="28"/>
  <c r="BB73" i="28" s="1"/>
  <c r="BM10" i="16"/>
  <c r="AI12" i="16"/>
  <c r="AG22" i="16"/>
  <c r="AM69" i="28"/>
  <c r="AO69" i="28"/>
  <c r="AX46" i="28"/>
  <c r="AV46" i="28"/>
  <c r="AS26" i="28"/>
  <c r="AU26" i="28"/>
  <c r="AO6" i="16"/>
  <c r="AM63" i="28"/>
  <c r="AO63" i="28"/>
  <c r="AO44" i="28"/>
  <c r="AM44" i="28"/>
  <c r="AY54" i="28"/>
  <c r="BA54" i="28"/>
  <c r="BB54" i="28" s="1"/>
  <c r="AS58" i="28"/>
  <c r="AU58" i="28"/>
  <c r="AX22" i="28"/>
  <c r="AV22" i="28"/>
  <c r="AI7" i="16"/>
  <c r="AG18" i="16"/>
  <c r="AX42" i="28"/>
  <c r="AV42" i="28"/>
  <c r="AO50" i="28"/>
  <c r="AM50" i="28"/>
  <c r="AU51" i="28"/>
  <c r="AS51" i="28"/>
  <c r="AY47" i="28"/>
  <c r="BA47" i="28"/>
  <c r="BB47" i="28" s="1"/>
  <c r="AM20" i="28"/>
  <c r="AO20" i="28"/>
  <c r="AX41" i="28"/>
  <c r="AV41" i="28"/>
  <c r="AE11" i="16"/>
  <c r="AC19" i="16"/>
  <c r="AC13" i="16"/>
  <c r="AC15" i="16" s="1"/>
  <c r="AC21" i="16"/>
  <c r="AY41" i="28" l="1"/>
  <c r="BA41" i="28"/>
  <c r="BB41" i="28" s="1"/>
  <c r="AV51" i="28"/>
  <c r="AX51" i="28"/>
  <c r="AK7" i="16"/>
  <c r="AI18" i="16"/>
  <c r="AR44" i="28"/>
  <c r="AP44" i="28"/>
  <c r="AR63" i="28"/>
  <c r="AP63" i="28"/>
  <c r="AQ6" i="16"/>
  <c r="AM20" i="16"/>
  <c r="AO9" i="16"/>
  <c r="AY22" i="28"/>
  <c r="BA22" i="28"/>
  <c r="BB22" i="28" s="1"/>
  <c r="BA46" i="28"/>
  <c r="BB46" i="28" s="1"/>
  <c r="AY46" i="28"/>
  <c r="AK12" i="16"/>
  <c r="AI22" i="16"/>
  <c r="AP28" i="28"/>
  <c r="AR28" i="28"/>
  <c r="AP50" i="28"/>
  <c r="AR50" i="28"/>
  <c r="AP20" i="28"/>
  <c r="AR20" i="28"/>
  <c r="AV58" i="28"/>
  <c r="AX58" i="28"/>
  <c r="AV26" i="28"/>
  <c r="AX26" i="28"/>
  <c r="AP69" i="28"/>
  <c r="AR69" i="28"/>
  <c r="BO10" i="16"/>
  <c r="EK14" i="16"/>
  <c r="EK15" i="16" s="1"/>
  <c r="EI15" i="16"/>
  <c r="AY23" i="28"/>
  <c r="BA23" i="28"/>
  <c r="BB23" i="28" s="1"/>
  <c r="AE19" i="16"/>
  <c r="AG11" i="16"/>
  <c r="AE21" i="16"/>
  <c r="AE13" i="16"/>
  <c r="AE15" i="16" s="1"/>
  <c r="AY42" i="28"/>
  <c r="BA42" i="28"/>
  <c r="BB42" i="28" s="1"/>
  <c r="AR74" i="28"/>
  <c r="AP74" i="28"/>
  <c r="AI11" i="16" l="1"/>
  <c r="AG19" i="16"/>
  <c r="AG21" i="16"/>
  <c r="AG13" i="16"/>
  <c r="AG15" i="16" s="1"/>
  <c r="AS69" i="28"/>
  <c r="AU69" i="28"/>
  <c r="AY58" i="28"/>
  <c r="BA58" i="28"/>
  <c r="BB58" i="28" s="1"/>
  <c r="AU50" i="28"/>
  <c r="AS50" i="28"/>
  <c r="AY51" i="28"/>
  <c r="BA51" i="28"/>
  <c r="BB51" i="28" s="1"/>
  <c r="AM12" i="16"/>
  <c r="AK22" i="16"/>
  <c r="AS63" i="28"/>
  <c r="AU63" i="28"/>
  <c r="AY26" i="28"/>
  <c r="BA26" i="28"/>
  <c r="BB26" i="28" s="1"/>
  <c r="AU20" i="28"/>
  <c r="AS20" i="28"/>
  <c r="AS28" i="28"/>
  <c r="AU28" i="28"/>
  <c r="AQ9" i="16"/>
  <c r="AO20" i="16"/>
  <c r="AS74" i="28"/>
  <c r="AU74" i="28"/>
  <c r="BQ10" i="16"/>
  <c r="AS6" i="16"/>
  <c r="AU44" i="28"/>
  <c r="AS44" i="28"/>
  <c r="AM7" i="16"/>
  <c r="AK18" i="16"/>
  <c r="AO7" i="16" l="1"/>
  <c r="AM18" i="16"/>
  <c r="AU6" i="16"/>
  <c r="AV63" i="28"/>
  <c r="AX63" i="28"/>
  <c r="BS10" i="16"/>
  <c r="AS9" i="16"/>
  <c r="AQ20" i="16"/>
  <c r="AV20" i="28"/>
  <c r="AX20" i="28"/>
  <c r="AV74" i="28"/>
  <c r="AX74" i="28"/>
  <c r="AV28" i="28"/>
  <c r="AX28" i="28"/>
  <c r="AX69" i="28"/>
  <c r="AV69" i="28"/>
  <c r="AX44" i="28"/>
  <c r="AV44" i="28"/>
  <c r="AO12" i="16"/>
  <c r="AM22" i="16"/>
  <c r="AX50" i="28"/>
  <c r="AV50" i="28"/>
  <c r="AK11" i="16"/>
  <c r="AI19" i="16"/>
  <c r="AI21" i="16"/>
  <c r="AI13" i="16"/>
  <c r="AI15" i="16" s="1"/>
  <c r="BA28" i="28" l="1"/>
  <c r="BB28" i="28" s="1"/>
  <c r="AY28" i="28"/>
  <c r="AY20" i="28"/>
  <c r="BA20" i="28"/>
  <c r="BB20" i="28" s="1"/>
  <c r="AW6" i="16"/>
  <c r="AY50" i="28"/>
  <c r="BA50" i="28"/>
  <c r="BB50" i="28" s="1"/>
  <c r="AY44" i="28"/>
  <c r="BA44" i="28"/>
  <c r="BB44" i="28" s="1"/>
  <c r="BA74" i="28"/>
  <c r="BB74" i="28" s="1"/>
  <c r="AY74" i="28"/>
  <c r="AY63" i="28"/>
  <c r="BA63" i="28"/>
  <c r="BB63" i="28" s="1"/>
  <c r="AQ7" i="16"/>
  <c r="AO18" i="16"/>
  <c r="BU10" i="16"/>
  <c r="AM11" i="16"/>
  <c r="AK19" i="16"/>
  <c r="AK13" i="16"/>
  <c r="AK15" i="16" s="1"/>
  <c r="AK21" i="16"/>
  <c r="AQ12" i="16"/>
  <c r="AO22" i="16"/>
  <c r="AY69" i="28"/>
  <c r="BA69" i="28"/>
  <c r="BB69" i="28" s="1"/>
  <c r="AU9" i="16"/>
  <c r="AS20" i="16"/>
  <c r="AS12" i="16" l="1"/>
  <c r="AQ22" i="16"/>
  <c r="AM19" i="16"/>
  <c r="AO11" i="16"/>
  <c r="AM21" i="16"/>
  <c r="AM13" i="16"/>
  <c r="AM15" i="16" s="1"/>
  <c r="AY6" i="16"/>
  <c r="AU20" i="16"/>
  <c r="AW9" i="16"/>
  <c r="BW10" i="16"/>
  <c r="AS7" i="16"/>
  <c r="AQ18" i="16"/>
  <c r="AW20" i="16" l="1"/>
  <c r="AY9" i="16"/>
  <c r="AQ11" i="16"/>
  <c r="AO19" i="16"/>
  <c r="AO21" i="16"/>
  <c r="AO13" i="16"/>
  <c r="AO15" i="16" s="1"/>
  <c r="AU7" i="16"/>
  <c r="AS18" i="16"/>
  <c r="BA6" i="16"/>
  <c r="BY10" i="16"/>
  <c r="AU12" i="16"/>
  <c r="AS22" i="16"/>
  <c r="AW12" i="16" l="1"/>
  <c r="AU22" i="16"/>
  <c r="BC6" i="16"/>
  <c r="CA10" i="16"/>
  <c r="AW7" i="16"/>
  <c r="AU18" i="16"/>
  <c r="AS11" i="16"/>
  <c r="AQ19" i="16"/>
  <c r="AQ21" i="16"/>
  <c r="AQ13" i="16"/>
  <c r="AQ15" i="16" s="1"/>
  <c r="BA9" i="16"/>
  <c r="AY20" i="16"/>
  <c r="CC10" i="16" l="1"/>
  <c r="BA20" i="16"/>
  <c r="BC9" i="16"/>
  <c r="AY7" i="16"/>
  <c r="AW18" i="16"/>
  <c r="BE6" i="16"/>
  <c r="AU11" i="16"/>
  <c r="AS19" i="16"/>
  <c r="AS13" i="16"/>
  <c r="AS15" i="16" s="1"/>
  <c r="AS21" i="16"/>
  <c r="AY12" i="16"/>
  <c r="AW22" i="16"/>
  <c r="BE9" i="16" l="1"/>
  <c r="BC20" i="16"/>
  <c r="BA12" i="16"/>
  <c r="AY22" i="16"/>
  <c r="AW11" i="16"/>
  <c r="AU19" i="16"/>
  <c r="AU21" i="16"/>
  <c r="AU13" i="16"/>
  <c r="AU15" i="16" s="1"/>
  <c r="BG6" i="16"/>
  <c r="BA7" i="16"/>
  <c r="AY18" i="16"/>
  <c r="CE10" i="16"/>
  <c r="BI6" i="16" l="1"/>
  <c r="BC12" i="16"/>
  <c r="BA22" i="16"/>
  <c r="CG10" i="16"/>
  <c r="BC7" i="16"/>
  <c r="BA18" i="16"/>
  <c r="AY11" i="16"/>
  <c r="AW19" i="16"/>
  <c r="AW21" i="16"/>
  <c r="AW13" i="16"/>
  <c r="AW15" i="16" s="1"/>
  <c r="BE20" i="16"/>
  <c r="BG9" i="16"/>
  <c r="CI10" i="16" l="1"/>
  <c r="BK6" i="16"/>
  <c r="BE7" i="16"/>
  <c r="BC18" i="16"/>
  <c r="BI9" i="16"/>
  <c r="BG20" i="16"/>
  <c r="BA11" i="16"/>
  <c r="AY19" i="16"/>
  <c r="AY21" i="16"/>
  <c r="AY13" i="16"/>
  <c r="AY15" i="16" s="1"/>
  <c r="BE12" i="16"/>
  <c r="BC22" i="16"/>
  <c r="BG7" i="16" l="1"/>
  <c r="BE18" i="16"/>
  <c r="BM6" i="16"/>
  <c r="BK9" i="16"/>
  <c r="BI20" i="16"/>
  <c r="CK10" i="16"/>
  <c r="BG12" i="16"/>
  <c r="BE22" i="16"/>
  <c r="BC11" i="16"/>
  <c r="BA19" i="16"/>
  <c r="BA21" i="16"/>
  <c r="BA13" i="16"/>
  <c r="BA15" i="16" s="1"/>
  <c r="BE11" i="16" l="1"/>
  <c r="BC19" i="16"/>
  <c r="BC13" i="16"/>
  <c r="BC15" i="16" s="1"/>
  <c r="BC21" i="16"/>
  <c r="CM10" i="16"/>
  <c r="BO6" i="16"/>
  <c r="BI12" i="16"/>
  <c r="BG22" i="16"/>
  <c r="BM9" i="16"/>
  <c r="BK20" i="16"/>
  <c r="BI7" i="16"/>
  <c r="BG18" i="16"/>
  <c r="BK12" i="16" l="1"/>
  <c r="BI22" i="16"/>
  <c r="BQ6" i="16"/>
  <c r="BK7" i="16"/>
  <c r="BI18" i="16"/>
  <c r="BO9" i="16"/>
  <c r="BM20" i="16"/>
  <c r="CO10" i="16"/>
  <c r="BG11" i="16"/>
  <c r="BE19" i="16"/>
  <c r="BE21" i="16"/>
  <c r="BE13" i="16"/>
  <c r="BE15" i="16" s="1"/>
  <c r="BI11" i="16" l="1"/>
  <c r="BG19" i="16"/>
  <c r="BG13" i="16"/>
  <c r="BG15" i="16" s="1"/>
  <c r="BG21" i="16"/>
  <c r="BO20" i="16"/>
  <c r="BQ9" i="16"/>
  <c r="BM7" i="16"/>
  <c r="BK18" i="16"/>
  <c r="CQ10" i="16"/>
  <c r="BS6" i="16"/>
  <c r="BM12" i="16"/>
  <c r="BK22" i="16"/>
  <c r="BU6" i="16" l="1"/>
  <c r="BO12" i="16"/>
  <c r="BM22" i="16"/>
  <c r="BO7" i="16"/>
  <c r="BM18" i="16"/>
  <c r="CS10" i="16"/>
  <c r="BQ20" i="16"/>
  <c r="BS9" i="16"/>
  <c r="BK11" i="16"/>
  <c r="BI19" i="16"/>
  <c r="BI13" i="16"/>
  <c r="BI15" i="16" s="1"/>
  <c r="BI21" i="16"/>
  <c r="BQ12" i="16" l="1"/>
  <c r="BO22" i="16"/>
  <c r="CU10" i="16"/>
  <c r="BQ7" i="16"/>
  <c r="BO18" i="16"/>
  <c r="BM11" i="16"/>
  <c r="BK19" i="16"/>
  <c r="BK13" i="16"/>
  <c r="BK15" i="16" s="1"/>
  <c r="BK21" i="16"/>
  <c r="BU9" i="16"/>
  <c r="BS20" i="16"/>
  <c r="BW6" i="16"/>
  <c r="BY6" i="16" l="1"/>
  <c r="CW10" i="16"/>
  <c r="BU20" i="16"/>
  <c r="BW9" i="16"/>
  <c r="BO11" i="16"/>
  <c r="BM19" i="16"/>
  <c r="BM13" i="16"/>
  <c r="BM15" i="16" s="1"/>
  <c r="BM21" i="16"/>
  <c r="BS7" i="16"/>
  <c r="BQ18" i="16"/>
  <c r="BS12" i="16"/>
  <c r="BQ22" i="16"/>
  <c r="BU7" i="16" l="1"/>
  <c r="BS18" i="16"/>
  <c r="BQ11" i="16"/>
  <c r="BO19" i="16"/>
  <c r="BO21" i="16"/>
  <c r="BO13" i="16"/>
  <c r="BO15" i="16" s="1"/>
  <c r="BY9" i="16"/>
  <c r="BW20" i="16"/>
  <c r="CA6" i="16"/>
  <c r="BU12" i="16"/>
  <c r="BS22" i="16"/>
  <c r="CY10" i="16"/>
  <c r="BW12" i="16" l="1"/>
  <c r="BU22" i="16"/>
  <c r="CC6" i="16"/>
  <c r="DA10" i="16"/>
  <c r="BW7" i="16"/>
  <c r="BU18" i="16"/>
  <c r="BY20" i="16"/>
  <c r="CA9" i="16"/>
  <c r="BS11" i="16"/>
  <c r="BQ19" i="16"/>
  <c r="BQ13" i="16"/>
  <c r="BQ15" i="16" s="1"/>
  <c r="BQ21" i="16"/>
  <c r="CE6" i="16" l="1"/>
  <c r="BU11" i="16"/>
  <c r="BS19" i="16"/>
  <c r="BS21" i="16"/>
  <c r="BS13" i="16"/>
  <c r="BS15" i="16" s="1"/>
  <c r="DC10" i="16"/>
  <c r="CC9" i="16"/>
  <c r="CA20" i="16"/>
  <c r="BY7" i="16"/>
  <c r="BW18" i="16"/>
  <c r="BY12" i="16"/>
  <c r="BW22" i="16"/>
  <c r="CC20" i="16" l="1"/>
  <c r="CE9" i="16"/>
  <c r="CA12" i="16"/>
  <c r="BY22" i="16"/>
  <c r="CA7" i="16"/>
  <c r="BY18" i="16"/>
  <c r="DE10" i="16"/>
  <c r="BW11" i="16"/>
  <c r="BU19" i="16"/>
  <c r="BU21" i="16"/>
  <c r="BU13" i="16"/>
  <c r="BU15" i="16" s="1"/>
  <c r="CG6" i="16"/>
  <c r="CI6" i="16" l="1"/>
  <c r="BY11" i="16"/>
  <c r="BW19" i="16"/>
  <c r="BW13" i="16"/>
  <c r="BW15" i="16" s="1"/>
  <c r="BW21" i="16"/>
  <c r="CC12" i="16"/>
  <c r="CA22" i="16"/>
  <c r="CE20" i="16"/>
  <c r="CG9" i="16"/>
  <c r="DG10" i="16"/>
  <c r="CC7" i="16"/>
  <c r="CA18" i="16"/>
  <c r="DI10" i="16" l="1"/>
  <c r="CI9" i="16"/>
  <c r="CG20" i="16"/>
  <c r="CK6" i="16"/>
  <c r="CE7" i="16"/>
  <c r="CC18" i="16"/>
  <c r="CE12" i="16"/>
  <c r="CC22" i="16"/>
  <c r="CA11" i="16"/>
  <c r="BY19" i="16"/>
  <c r="BY21" i="16"/>
  <c r="BY13" i="16"/>
  <c r="BY15" i="16" s="1"/>
  <c r="CC11" i="16" l="1"/>
  <c r="CA19" i="16"/>
  <c r="CA21" i="16"/>
  <c r="CA13" i="16"/>
  <c r="CA15" i="16" s="1"/>
  <c r="CK9" i="16"/>
  <c r="CI20" i="16"/>
  <c r="CM6" i="16"/>
  <c r="CG12" i="16"/>
  <c r="CE22" i="16"/>
  <c r="CG7" i="16"/>
  <c r="CE18" i="16"/>
  <c r="DK10" i="16"/>
  <c r="CI12" i="16" l="1"/>
  <c r="CG22" i="16"/>
  <c r="CI7" i="16"/>
  <c r="CG18" i="16"/>
  <c r="DM10" i="16"/>
  <c r="CO6" i="16"/>
  <c r="CK20" i="16"/>
  <c r="CM9" i="16"/>
  <c r="CE11" i="16"/>
  <c r="CC19" i="16"/>
  <c r="CC21" i="16"/>
  <c r="CC13" i="16"/>
  <c r="CC15" i="16" s="1"/>
  <c r="CK7" i="16" l="1"/>
  <c r="CI18" i="16"/>
  <c r="CG11" i="16"/>
  <c r="CE19" i="16"/>
  <c r="CE21" i="16"/>
  <c r="CE13" i="16"/>
  <c r="CE15" i="16" s="1"/>
  <c r="CQ6" i="16"/>
  <c r="DO10" i="16"/>
  <c r="CO9" i="16"/>
  <c r="CM20" i="16"/>
  <c r="CK12" i="16"/>
  <c r="CI22" i="16"/>
  <c r="CQ9" i="16" l="1"/>
  <c r="CO20" i="16"/>
  <c r="CM7" i="16"/>
  <c r="CK18" i="16"/>
  <c r="CM12" i="16"/>
  <c r="CK22" i="16"/>
  <c r="DQ10" i="16"/>
  <c r="CS6" i="16"/>
  <c r="CI11" i="16"/>
  <c r="CG19" i="16"/>
  <c r="CG13" i="16"/>
  <c r="CG15" i="16" s="1"/>
  <c r="CG21" i="16"/>
  <c r="DS10" i="16" l="1"/>
  <c r="CU6" i="16"/>
  <c r="CO7" i="16"/>
  <c r="CM18" i="16"/>
  <c r="CK11" i="16"/>
  <c r="CI19" i="16"/>
  <c r="CI21" i="16"/>
  <c r="CI13" i="16"/>
  <c r="CI15" i="16" s="1"/>
  <c r="CO12" i="16"/>
  <c r="CM22" i="16"/>
  <c r="CQ20" i="16"/>
  <c r="CS9" i="16"/>
  <c r="CQ7" i="16" l="1"/>
  <c r="CO18" i="16"/>
  <c r="CQ12" i="16"/>
  <c r="CO22" i="16"/>
  <c r="CM11" i="16"/>
  <c r="CK19" i="16"/>
  <c r="CK13" i="16"/>
  <c r="CK15" i="16" s="1"/>
  <c r="CK21" i="16"/>
  <c r="CS20" i="16"/>
  <c r="CU9" i="16"/>
  <c r="CW6" i="16"/>
  <c r="DU10" i="16"/>
  <c r="DW10" i="16" l="1"/>
  <c r="CW9" i="16"/>
  <c r="CU20" i="16"/>
  <c r="CY6" i="16"/>
  <c r="CO11" i="16"/>
  <c r="CM19" i="16"/>
  <c r="CM21" i="16"/>
  <c r="CM13" i="16"/>
  <c r="CM15" i="16" s="1"/>
  <c r="CS12" i="16"/>
  <c r="CQ22" i="16"/>
  <c r="CS7" i="16"/>
  <c r="CQ18" i="16"/>
  <c r="CU7" i="16" l="1"/>
  <c r="CS18" i="16"/>
  <c r="CY9" i="16"/>
  <c r="CW20" i="16"/>
  <c r="DA6" i="16"/>
  <c r="CU12" i="16"/>
  <c r="CS22" i="16"/>
  <c r="CQ11" i="16"/>
  <c r="CO19" i="16"/>
  <c r="CO21" i="16"/>
  <c r="CO13" i="16"/>
  <c r="CO15" i="16" s="1"/>
  <c r="DY10" i="16"/>
  <c r="CW7" i="16" l="1"/>
  <c r="CU18" i="16"/>
  <c r="CW12" i="16"/>
  <c r="CU22" i="16"/>
  <c r="EA10" i="16"/>
  <c r="CS11" i="16"/>
  <c r="CQ19" i="16"/>
  <c r="CQ13" i="16"/>
  <c r="CQ15" i="16" s="1"/>
  <c r="CQ21" i="16"/>
  <c r="DC6" i="16"/>
  <c r="CY20" i="16"/>
  <c r="DA9" i="16"/>
  <c r="EC10" i="16" l="1"/>
  <c r="DC9" i="16"/>
  <c r="DA20" i="16"/>
  <c r="DE6" i="16"/>
  <c r="CU11" i="16"/>
  <c r="CS19" i="16"/>
  <c r="CS21" i="16"/>
  <c r="CS13" i="16"/>
  <c r="CS15" i="16" s="1"/>
  <c r="CY12" i="16"/>
  <c r="CW22" i="16"/>
  <c r="CY7" i="16"/>
  <c r="CW18" i="16"/>
  <c r="CW11" i="16" l="1"/>
  <c r="CU19" i="16"/>
  <c r="CU21" i="16"/>
  <c r="CU13" i="16"/>
  <c r="CU15" i="16" s="1"/>
  <c r="DA7" i="16"/>
  <c r="CY18" i="16"/>
  <c r="DE9" i="16"/>
  <c r="DC20" i="16"/>
  <c r="DG6" i="16"/>
  <c r="EE10" i="16"/>
  <c r="DA12" i="16"/>
  <c r="CY22" i="16"/>
  <c r="EG10" i="16" l="1"/>
  <c r="DI6" i="16"/>
  <c r="DC7" i="16"/>
  <c r="DA18" i="16"/>
  <c r="DC12" i="16"/>
  <c r="DA22" i="16"/>
  <c r="DG9" i="16"/>
  <c r="DE20" i="16"/>
  <c r="CY11" i="16"/>
  <c r="CW19" i="16"/>
  <c r="CW13" i="16"/>
  <c r="CW15" i="16" s="1"/>
  <c r="CW21" i="16"/>
  <c r="DE7" i="16" l="1"/>
  <c r="DC18" i="16"/>
  <c r="EI10" i="16"/>
  <c r="DA11" i="16"/>
  <c r="CY19" i="16"/>
  <c r="CY21" i="16"/>
  <c r="CY13" i="16"/>
  <c r="CY15" i="16" s="1"/>
  <c r="DE12" i="16"/>
  <c r="DC22" i="16"/>
  <c r="DK6" i="16"/>
  <c r="DI9" i="16"/>
  <c r="DG20" i="16"/>
  <c r="DI20" i="16" l="1"/>
  <c r="DK9" i="16"/>
  <c r="DM6" i="16"/>
  <c r="DG12" i="16"/>
  <c r="DE22" i="16"/>
  <c r="DC11" i="16"/>
  <c r="DA19" i="16"/>
  <c r="DA21" i="16"/>
  <c r="DA13" i="16"/>
  <c r="DA15" i="16" s="1"/>
  <c r="EK10" i="16"/>
  <c r="DG7" i="16"/>
  <c r="DE18" i="16"/>
  <c r="DI7" i="16" l="1"/>
  <c r="DG18" i="16"/>
  <c r="DI12" i="16"/>
  <c r="DG22" i="16"/>
  <c r="DO6" i="16"/>
  <c r="DM9" i="16"/>
  <c r="DK20" i="16"/>
  <c r="DE11" i="16"/>
  <c r="DC19" i="16"/>
  <c r="DC21" i="16"/>
  <c r="DC13" i="16"/>
  <c r="DC15" i="16" s="1"/>
  <c r="DQ6" i="16" l="1"/>
  <c r="DO9" i="16"/>
  <c r="DM20" i="16"/>
  <c r="DG11" i="16"/>
  <c r="DE19" i="16"/>
  <c r="DE21" i="16"/>
  <c r="DE13" i="16"/>
  <c r="DE15" i="16" s="1"/>
  <c r="DK12" i="16"/>
  <c r="DI22" i="16"/>
  <c r="DK7" i="16"/>
  <c r="DI18" i="16"/>
  <c r="DM12" i="16" l="1"/>
  <c r="DK22" i="16"/>
  <c r="DI11" i="16"/>
  <c r="DG19" i="16"/>
  <c r="DG21" i="16"/>
  <c r="DG13" i="16"/>
  <c r="DG14" i="16"/>
  <c r="DM7" i="16"/>
  <c r="DK18" i="16"/>
  <c r="DQ9" i="16"/>
  <c r="DO20" i="16"/>
  <c r="DS6" i="16"/>
  <c r="DQ20" i="16" l="1"/>
  <c r="DS9" i="16"/>
  <c r="DO7" i="16"/>
  <c r="DM18" i="16"/>
  <c r="DG15" i="16"/>
  <c r="DI14" i="16"/>
  <c r="DK11" i="16"/>
  <c r="DI19" i="16"/>
  <c r="DI13" i="16"/>
  <c r="DI21" i="16"/>
  <c r="DU6" i="16"/>
  <c r="DO12" i="16"/>
  <c r="DM22" i="16"/>
  <c r="DQ12" i="16" l="1"/>
  <c r="DO22" i="16"/>
  <c r="DM11" i="16"/>
  <c r="DK19" i="16"/>
  <c r="DK21" i="16"/>
  <c r="DK13" i="16"/>
  <c r="DK14" i="16"/>
  <c r="DI15" i="16"/>
  <c r="DQ7" i="16"/>
  <c r="DO18" i="16"/>
  <c r="DS20" i="16"/>
  <c r="DU9" i="16"/>
  <c r="DW6" i="16"/>
  <c r="DO11" i="16" l="1"/>
  <c r="DM19" i="16"/>
  <c r="DM21" i="16"/>
  <c r="DM13" i="16"/>
  <c r="DY6" i="16"/>
  <c r="DM14" i="16"/>
  <c r="DM15" i="16" s="1"/>
  <c r="DK15" i="16"/>
  <c r="DU20" i="16"/>
  <c r="DW9" i="16"/>
  <c r="DS7" i="16"/>
  <c r="DQ18" i="16"/>
  <c r="DS12" i="16"/>
  <c r="DQ22" i="16"/>
  <c r="DW20" i="16" l="1"/>
  <c r="DY9" i="16"/>
  <c r="EA6" i="16"/>
  <c r="DU12" i="16"/>
  <c r="DS22" i="16"/>
  <c r="DU7" i="16"/>
  <c r="DS18" i="16"/>
  <c r="DQ11" i="16"/>
  <c r="DO19" i="16"/>
  <c r="DO21" i="16"/>
  <c r="DO13" i="16"/>
  <c r="DW12" i="16" l="1"/>
  <c r="DU22" i="16"/>
  <c r="DS11" i="16"/>
  <c r="DQ19" i="16"/>
  <c r="DQ21" i="16"/>
  <c r="DQ13" i="16"/>
  <c r="DW7" i="16"/>
  <c r="DU18" i="16"/>
  <c r="EC6" i="16"/>
  <c r="DY20" i="16"/>
  <c r="EA9" i="16"/>
  <c r="EC9" i="16" l="1"/>
  <c r="EA20" i="16"/>
  <c r="EE6" i="16"/>
  <c r="DY7" i="16"/>
  <c r="DW18" i="16"/>
  <c r="DU11" i="16"/>
  <c r="DS19" i="16"/>
  <c r="DS13" i="16"/>
  <c r="DS21" i="16"/>
  <c r="DY12" i="16"/>
  <c r="DW22" i="16"/>
  <c r="EA7" i="16" l="1"/>
  <c r="DY18" i="16"/>
  <c r="EA12" i="16"/>
  <c r="DY22" i="16"/>
  <c r="DW11" i="16"/>
  <c r="DU19" i="16"/>
  <c r="DU13" i="16"/>
  <c r="DU21" i="16"/>
  <c r="EG6" i="16"/>
  <c r="EC20" i="16"/>
  <c r="EE9" i="16"/>
  <c r="EG9" i="16" l="1"/>
  <c r="EE20" i="16"/>
  <c r="EI6" i="16"/>
  <c r="DY11" i="16"/>
  <c r="DW19" i="16"/>
  <c r="DW13" i="16"/>
  <c r="DW21" i="16"/>
  <c r="EC7" i="16"/>
  <c r="EA18" i="16"/>
  <c r="EC12" i="16"/>
  <c r="EA22" i="16"/>
  <c r="EE12" i="16" l="1"/>
  <c r="EC22" i="16"/>
  <c r="EE7" i="16"/>
  <c r="EC18" i="16"/>
  <c r="EA11" i="16"/>
  <c r="DY19" i="16"/>
  <c r="DY21" i="16"/>
  <c r="DY13" i="16"/>
  <c r="EK6" i="16"/>
  <c r="EG20" i="16"/>
  <c r="EI9" i="16"/>
  <c r="EG7" i="16" l="1"/>
  <c r="EE18" i="16"/>
  <c r="EC11" i="16"/>
  <c r="EA19" i="16"/>
  <c r="EA13" i="16"/>
  <c r="EA21" i="16"/>
  <c r="EI20" i="16"/>
  <c r="EK9" i="16"/>
  <c r="EK20" i="16" s="1"/>
  <c r="EG12" i="16"/>
  <c r="EE22" i="16"/>
  <c r="EE11" i="16" l="1"/>
  <c r="EC19" i="16"/>
  <c r="EC13" i="16"/>
  <c r="EC21" i="16"/>
  <c r="EI12" i="16"/>
  <c r="EG22" i="16"/>
  <c r="EI7" i="16"/>
  <c r="EG18" i="16"/>
  <c r="EK12" i="16" l="1"/>
  <c r="EK22" i="16" s="1"/>
  <c r="EI22" i="16"/>
  <c r="EK7" i="16"/>
  <c r="EI18" i="16"/>
  <c r="EG11" i="16"/>
  <c r="EE19" i="16"/>
  <c r="EE21" i="16"/>
  <c r="EE13" i="16"/>
  <c r="EK18" i="16" l="1"/>
  <c r="EI11" i="16"/>
  <c r="EG19" i="16"/>
  <c r="EG13" i="16"/>
  <c r="EG21" i="16"/>
  <c r="EK11" i="16" l="1"/>
  <c r="EI19" i="16"/>
  <c r="EI13" i="16"/>
  <c r="EI21" i="16"/>
  <c r="EK19" i="16" l="1"/>
  <c r="EK21" i="16"/>
  <c r="EK13" i="16"/>
</calcChain>
</file>

<file path=xl/sharedStrings.xml><?xml version="1.0" encoding="utf-8"?>
<sst xmlns="http://schemas.openxmlformats.org/spreadsheetml/2006/main" count="2699" uniqueCount="668">
  <si>
    <t>Stock</t>
  </si>
  <si>
    <t>coef</t>
  </si>
  <si>
    <t>Besoin</t>
  </si>
  <si>
    <t>Bac fucible</t>
  </si>
  <si>
    <t xml:space="preserve">cache retro electrique gauche </t>
  </si>
  <si>
    <t xml:space="preserve">cache retro electrique droite </t>
  </si>
  <si>
    <t xml:space="preserve">cache retro manuel gauche </t>
  </si>
  <si>
    <t xml:space="preserve">cache retro manuel droite </t>
  </si>
  <si>
    <t>accoudoir E1 LVE G</t>
  </si>
  <si>
    <t>accoudoir E1 LVE D</t>
  </si>
  <si>
    <t>Habillage lat cond D</t>
  </si>
  <si>
    <t>Habillage lat pass D</t>
  </si>
  <si>
    <t>habillage lat cond G</t>
  </si>
  <si>
    <t>façade rangement passager(non airbag)</t>
  </si>
  <si>
    <t>habillage frein à main</t>
  </si>
  <si>
    <t xml:space="preserve">renfort Genou 1 conducteur </t>
  </si>
  <si>
    <t xml:space="preserve">renfort genou 3 et 4 passager </t>
  </si>
  <si>
    <t>dessous de visiere J92/FK67</t>
  </si>
  <si>
    <t xml:space="preserve">façade VP PLC </t>
  </si>
  <si>
    <t xml:space="preserve">Cache ELA </t>
  </si>
  <si>
    <t xml:space="preserve">renfort inferieur passager </t>
  </si>
  <si>
    <t xml:space="preserve">conduit de desembuage </t>
  </si>
  <si>
    <t xml:space="preserve">doublure portillon huche </t>
  </si>
  <si>
    <t>façade portillon huche</t>
  </si>
  <si>
    <t>façade couvercle coiffe J92</t>
  </si>
  <si>
    <t>doublure couvercle coiffe J92</t>
  </si>
  <si>
    <t xml:space="preserve">garniture PBA </t>
  </si>
  <si>
    <t xml:space="preserve">Garniture PLC </t>
  </si>
  <si>
    <t>accoudoire LVM D</t>
  </si>
  <si>
    <t>accoudoir E2 G</t>
  </si>
  <si>
    <t>accoudoir E2 D</t>
  </si>
  <si>
    <t>façade VP AR G</t>
  </si>
  <si>
    <t>façade VP AR D</t>
  </si>
  <si>
    <t>garniture habillage passage de roue G</t>
  </si>
  <si>
    <t>garniture habillage passage de roue D</t>
  </si>
  <si>
    <t>porteur AV G E 1</t>
  </si>
  <si>
    <t>porteur AV G E 0</t>
  </si>
  <si>
    <t>façade VP AV G</t>
  </si>
  <si>
    <t>porteur AV D E1</t>
  </si>
  <si>
    <t>porteur AV D E0</t>
  </si>
  <si>
    <t>façade VP AV D</t>
  </si>
  <si>
    <t>porteur AR G E1</t>
  </si>
  <si>
    <t>porteur AR G E0</t>
  </si>
  <si>
    <t>porteur AR D E1</t>
  </si>
  <si>
    <t>porteur AR D E0</t>
  </si>
  <si>
    <t>00115625-01-rcar</t>
  </si>
  <si>
    <t>00117138-01-rcar</t>
  </si>
  <si>
    <t>00117137-01-rcar</t>
  </si>
  <si>
    <t>00117140-01-rcar</t>
  </si>
  <si>
    <t>00117139-01-rcar</t>
  </si>
  <si>
    <t>00115651-02-rcar</t>
  </si>
  <si>
    <t>00116418-02-rtro</t>
  </si>
  <si>
    <t>00117312-02-rtro</t>
  </si>
  <si>
    <t>00115642-01-rtro</t>
  </si>
  <si>
    <t>00115644-01-rtro</t>
  </si>
  <si>
    <t>00115645-01-rtro</t>
  </si>
  <si>
    <t>00115647-01-rcar</t>
  </si>
  <si>
    <t>00128260-02-rcar</t>
  </si>
  <si>
    <t>00127662-01-0000</t>
  </si>
  <si>
    <t>00127663-01-0000</t>
  </si>
  <si>
    <t>00129905-01-rcar</t>
  </si>
  <si>
    <t>00117258-02-rcar</t>
  </si>
  <si>
    <t>00130772-02-rcar</t>
  </si>
  <si>
    <t>00115654-02-rcar</t>
  </si>
  <si>
    <t>00115653-01-rcar</t>
  </si>
  <si>
    <t>00115665-02-rcar</t>
  </si>
  <si>
    <t>00115748-02-0000</t>
  </si>
  <si>
    <t>00116424-02-0000</t>
  </si>
  <si>
    <t>00117316-02-0000</t>
  </si>
  <si>
    <t>00115670-02-0000</t>
  </si>
  <si>
    <t>00115615-02-rcar</t>
  </si>
  <si>
    <t>00115614-02-rcar</t>
  </si>
  <si>
    <t>00115556-02-rcar</t>
  </si>
  <si>
    <t>00115558-02-rcar</t>
  </si>
  <si>
    <t>00115622-02-rcar</t>
  </si>
  <si>
    <t>00115581-02-rcar</t>
  </si>
  <si>
    <t>00115583-02-rcar</t>
  </si>
  <si>
    <t>00152690-01-rcar</t>
  </si>
  <si>
    <t>00128398-02-s864</t>
  </si>
  <si>
    <t>00117255-03-rcar</t>
  </si>
  <si>
    <t>00116417-02-rtro</t>
  </si>
  <si>
    <t>00117311-02-rtro</t>
  </si>
  <si>
    <t>00116419-02-rtro</t>
  </si>
  <si>
    <t>00117314-02-rtro</t>
  </si>
  <si>
    <t>00116436-02-rcar</t>
  </si>
  <si>
    <t>00117321-02-rcar</t>
  </si>
  <si>
    <t>00152697-01-rcar</t>
  </si>
  <si>
    <t>00115549-02-rcar</t>
  </si>
  <si>
    <t>00115553-02-rcar</t>
  </si>
  <si>
    <t>00115554-02-rcar</t>
  </si>
  <si>
    <t>00117249-03-rcar</t>
  </si>
  <si>
    <t>00117248-02-rcar</t>
  </si>
  <si>
    <t>00128391-02-rcar</t>
  </si>
  <si>
    <t>00116411-02-rcar</t>
  </si>
  <si>
    <t>00116416-03-rcar</t>
  </si>
  <si>
    <t>00128392-03-rcar</t>
  </si>
  <si>
    <t>00117305-02-rcar</t>
  </si>
  <si>
    <t>00117310-03-rcar</t>
  </si>
  <si>
    <t>00128424-02-rcar</t>
  </si>
  <si>
    <t>00116432-02-rcar</t>
  </si>
  <si>
    <t>00128425-02-rcar</t>
  </si>
  <si>
    <t>00117317-02-rcar</t>
  </si>
  <si>
    <t>ENGL 250</t>
  </si>
  <si>
    <t>ENGL 700/1</t>
  </si>
  <si>
    <t>KM 800</t>
  </si>
  <si>
    <t>KM 1300</t>
  </si>
  <si>
    <t>KM 2000</t>
  </si>
  <si>
    <t>Designation</t>
  </si>
  <si>
    <t>Presse</t>
  </si>
  <si>
    <t>console levier de vitesse</t>
  </si>
  <si>
    <t xml:space="preserve">Habillage central sup </t>
  </si>
  <si>
    <t>Collection Tablette Latérale D et G</t>
  </si>
  <si>
    <t xml:space="preserve">Facade Central Clim </t>
  </si>
  <si>
    <t>Tablette pavillon AV</t>
  </si>
  <si>
    <t>Renfort genou (coquille)</t>
  </si>
  <si>
    <t>Mardi 5/14/2013</t>
  </si>
  <si>
    <t>681007344R</t>
  </si>
  <si>
    <t>PdB ASS FK67 E0-E1 sans VP inf Sans AB</t>
  </si>
  <si>
    <t>681006313R</t>
  </si>
  <si>
    <t>PdB ASS FK67 E1-E2 avec VP inf Sans AB</t>
  </si>
  <si>
    <t>681003901R</t>
  </si>
  <si>
    <t>PdB ASS FK67 E0-E1 sans VP inf Avec AB</t>
  </si>
  <si>
    <t>681007582R</t>
  </si>
  <si>
    <t>PdB ASS FK67 E1-E2 avec VP inf Avec AB</t>
  </si>
  <si>
    <t>681000643R</t>
  </si>
  <si>
    <t>PdB ASS J92 E1 ss VP sup avecVP inf</t>
  </si>
  <si>
    <t>681005017R</t>
  </si>
  <si>
    <t>PdB ASS J92 E2 avec VP sup et VP inf</t>
  </si>
  <si>
    <t>809015521R</t>
  </si>
  <si>
    <t>PNO AVG E0</t>
  </si>
  <si>
    <t>809010644R</t>
  </si>
  <si>
    <t>PNO AVG E1 LVM</t>
  </si>
  <si>
    <t>809013872R</t>
  </si>
  <si>
    <t>PNO AVG E1 LVE</t>
  </si>
  <si>
    <t>809011026R</t>
  </si>
  <si>
    <t>PNO AVG E2</t>
  </si>
  <si>
    <t>809017849R</t>
  </si>
  <si>
    <t>PNO AVG E2 + 5B</t>
  </si>
  <si>
    <t>809003785R</t>
  </si>
  <si>
    <t>PNO AVD E0</t>
  </si>
  <si>
    <t>809004905R</t>
  </si>
  <si>
    <t>PNO AVD E1 LVM</t>
  </si>
  <si>
    <t>809007372R</t>
  </si>
  <si>
    <t>PNO AVD E1 LVE</t>
  </si>
  <si>
    <t>809008988R</t>
  </si>
  <si>
    <t>PNO AVD E2</t>
  </si>
  <si>
    <t>829A13474R</t>
  </si>
  <si>
    <t xml:space="preserve">PNO ARG E1 LVM </t>
  </si>
  <si>
    <t>829A19085R</t>
  </si>
  <si>
    <t xml:space="preserve">PNO ARG E2 </t>
  </si>
  <si>
    <t>829A05113R</t>
  </si>
  <si>
    <t xml:space="preserve">PNO ARD E1 LVM </t>
  </si>
  <si>
    <t>829A09392R</t>
  </si>
  <si>
    <t xml:space="preserve">PNO ARD E2 </t>
  </si>
  <si>
    <t>829A16774R</t>
  </si>
  <si>
    <t>829A10959R</t>
  </si>
  <si>
    <t>Vendredi</t>
  </si>
  <si>
    <t>Samedi</t>
  </si>
  <si>
    <t>Dimanche</t>
  </si>
  <si>
    <t>Nuit</t>
  </si>
  <si>
    <t>Soir</t>
  </si>
  <si>
    <t>Matin</t>
  </si>
  <si>
    <t>X52</t>
  </si>
  <si>
    <t xml:space="preserve">Matin </t>
  </si>
  <si>
    <t>Tps prod</t>
  </si>
  <si>
    <t>Reste à           produire</t>
  </si>
  <si>
    <t>Temps cycle (s)</t>
  </si>
  <si>
    <t xml:space="preserve"> Pièce  par heure</t>
  </si>
  <si>
    <t>Ref. client</t>
  </si>
  <si>
    <t>Désigantion</t>
  </si>
  <si>
    <t>Désignation</t>
  </si>
  <si>
    <t>Lundi 5/13/2013</t>
  </si>
  <si>
    <t>Mercredi 5/15/2013</t>
  </si>
  <si>
    <t>Jeudi 5/16/2013</t>
  </si>
  <si>
    <t>00::00</t>
  </si>
  <si>
    <t>AVD E0</t>
  </si>
  <si>
    <t>ARD E0</t>
  </si>
  <si>
    <t>ACC E1 D</t>
  </si>
  <si>
    <t>ACC E1 G</t>
  </si>
  <si>
    <t>ACC E2 D</t>
  </si>
  <si>
    <t>ACC E2 G</t>
  </si>
  <si>
    <t>Lundi 5/20/2013</t>
  </si>
  <si>
    <t>Lundi 5/20/2020</t>
  </si>
  <si>
    <t>Mardi  5/21/2014</t>
  </si>
  <si>
    <t>Mercredi 5/22/2015</t>
  </si>
  <si>
    <t>Jeudi  5/23/2016</t>
  </si>
  <si>
    <t>Vendredi  5/24/2017</t>
  </si>
  <si>
    <t>Samedi 5/25/2018</t>
  </si>
  <si>
    <t>Dimanche 5/26/2019</t>
  </si>
  <si>
    <t xml:space="preserve">                      </t>
  </si>
  <si>
    <t>KM 160</t>
  </si>
  <si>
    <t>M1</t>
  </si>
  <si>
    <t>Corps Aérateur D</t>
  </si>
  <si>
    <t>Corps Aérateur G</t>
  </si>
  <si>
    <t>M2 (CTF)</t>
  </si>
  <si>
    <t>Ailette H mobile 1 G</t>
  </si>
  <si>
    <t>Ailette H mobile 2 G</t>
  </si>
  <si>
    <t>Ailette H mobile 3G</t>
  </si>
  <si>
    <t>Ailette H mobile 4 G</t>
  </si>
  <si>
    <t>Ailette H mobile 5 G</t>
  </si>
  <si>
    <t>Ailette H mobile 6 G</t>
  </si>
  <si>
    <t>Ailette H mobile 7 G</t>
  </si>
  <si>
    <t>Ailette H mobile 8 G</t>
  </si>
  <si>
    <t>Ailette H Fixe Inf G</t>
  </si>
  <si>
    <t>Ailette H Fixe  Sup G</t>
  </si>
  <si>
    <t>M3 (CTF)</t>
  </si>
  <si>
    <t>Ailette H mobile 1 D</t>
  </si>
  <si>
    <t>Ailette H mobile 2 D</t>
  </si>
  <si>
    <t>Ailette H mobile 3 D</t>
  </si>
  <si>
    <t>Ailette H mobile 4 D</t>
  </si>
  <si>
    <t>Ailette H mobile 5 D</t>
  </si>
  <si>
    <t>Ailette H mobile 6 D</t>
  </si>
  <si>
    <t>Ailette H mobile 7 D</t>
  </si>
  <si>
    <t>Ailette H mobile 8 D</t>
  </si>
  <si>
    <t>Ailette H Fixe Inf D</t>
  </si>
  <si>
    <t>Ailette H Fixe  Sup D</t>
  </si>
  <si>
    <t>M8 (CTF)</t>
  </si>
  <si>
    <t>Molettes D</t>
  </si>
  <si>
    <t>Molettes G</t>
  </si>
  <si>
    <t>M8 (GTM)</t>
  </si>
  <si>
    <t>M4 (CTF)</t>
  </si>
  <si>
    <t>Ailettes Verticales Grandes V1</t>
  </si>
  <si>
    <t>Ailettes Verticales Grandes V2</t>
  </si>
  <si>
    <t>M5 (CTF)</t>
  </si>
  <si>
    <t>Ailettes Verticales Grandes V3</t>
  </si>
  <si>
    <t>Ailettes Verticales Grandes V4</t>
  </si>
  <si>
    <t>M 10 (CTF)</t>
  </si>
  <si>
    <t>Curseur</t>
  </si>
  <si>
    <t>Levier</t>
  </si>
  <si>
    <t>Glissière D</t>
  </si>
  <si>
    <t>Glissière G</t>
  </si>
  <si>
    <t>M 11 (CTF)</t>
  </si>
  <si>
    <t>M6 (CTF)</t>
  </si>
  <si>
    <t>Biellettes Ailettes Verticales</t>
  </si>
  <si>
    <t>Biellettes Ailettes Horizontales D</t>
  </si>
  <si>
    <t>Biellettes Ailettes Horizontales G</t>
  </si>
  <si>
    <t>M7 (CTF)</t>
  </si>
  <si>
    <t>M2 (GTM)</t>
  </si>
  <si>
    <t>M3 (GTM)</t>
  </si>
  <si>
    <t>M4 (GTM)</t>
  </si>
  <si>
    <t>M5 (GTM)</t>
  </si>
  <si>
    <t>M9 (CTF)</t>
  </si>
  <si>
    <t>M 10 (GTM)</t>
  </si>
  <si>
    <t>KM 80</t>
  </si>
  <si>
    <t>ACC LVM  D</t>
  </si>
  <si>
    <t>AVD</t>
  </si>
  <si>
    <t>ARD</t>
  </si>
  <si>
    <t>ACC LVM  G</t>
  </si>
  <si>
    <t>AVG</t>
  </si>
  <si>
    <t>ARG</t>
  </si>
  <si>
    <t>AVG E0</t>
  </si>
  <si>
    <t>ARG E0</t>
  </si>
  <si>
    <t>-</t>
  </si>
  <si>
    <t>Capacité</t>
  </si>
  <si>
    <t>Couverture en jours</t>
  </si>
  <si>
    <t>Passage de Roue Gauche</t>
  </si>
  <si>
    <t>00117249-02-RCAR</t>
  </si>
  <si>
    <t>Passage de Roue Droite</t>
  </si>
  <si>
    <t>00117248-02-RCAR</t>
  </si>
  <si>
    <t xml:space="preserve">Tablette pavillon AV </t>
  </si>
  <si>
    <t>00128398-02-S864</t>
  </si>
  <si>
    <t>Collection   PBAR</t>
  </si>
  <si>
    <t>00152690-01-RCAR</t>
  </si>
  <si>
    <t>00152697-01-RCAR</t>
  </si>
  <si>
    <t xml:space="preserve">Console LV </t>
  </si>
  <si>
    <t>00115665-02-RCAR</t>
  </si>
  <si>
    <t>1/2 Coquille Inf</t>
  </si>
  <si>
    <t>00115653-01-RCAR</t>
  </si>
  <si>
    <t>1/2 Coquille Sup</t>
  </si>
  <si>
    <t>00115654-02-RCAR</t>
  </si>
  <si>
    <t>Cache ELA assemblé</t>
  </si>
  <si>
    <t>00130772-02-RCAR</t>
  </si>
  <si>
    <t>Dessous de visière</t>
  </si>
  <si>
    <t>00129905-01-RCAR</t>
  </si>
  <si>
    <t>00128260-02-RCAR</t>
  </si>
  <si>
    <t>00128256-02-RCAR</t>
  </si>
  <si>
    <t>Cache rétro M D</t>
  </si>
  <si>
    <t>00117139-01-RCAR</t>
  </si>
  <si>
    <t>Cache rétro M G</t>
  </si>
  <si>
    <t>00117140-01-RCAR</t>
  </si>
  <si>
    <t>Cache rétro E D</t>
  </si>
  <si>
    <t>00117137-01-RCAR</t>
  </si>
  <si>
    <t>Cache rétro E G</t>
  </si>
  <si>
    <t>00117138-01-RCAR</t>
  </si>
  <si>
    <t>Bac Fusible</t>
  </si>
  <si>
    <t>00115625-01-RCAR</t>
  </si>
  <si>
    <t>Dispo</t>
  </si>
  <si>
    <t>Moyenne</t>
  </si>
  <si>
    <t>Couverture des PLS</t>
  </si>
  <si>
    <t xml:space="preserve">                                     </t>
  </si>
  <si>
    <t>ENGL 2000</t>
  </si>
  <si>
    <t>Coiffe X52</t>
  </si>
  <si>
    <t>Conduit de structure X52</t>
  </si>
  <si>
    <t>Conduit de répartition X52</t>
  </si>
  <si>
    <t>CDP Carbon Foncé</t>
  </si>
  <si>
    <t>Portillon Carbon Foncé</t>
  </si>
  <si>
    <t>CDP Beige Alphaga</t>
  </si>
  <si>
    <t>CDP Gris Lune</t>
  </si>
  <si>
    <t>Portillon Gris Lune</t>
  </si>
  <si>
    <t>Portillon Beige Alphaga</t>
  </si>
  <si>
    <t>Total général</t>
  </si>
  <si>
    <t>.</t>
  </si>
  <si>
    <t>681001812R</t>
  </si>
  <si>
    <t>681001820R</t>
  </si>
  <si>
    <t>681001877R</t>
  </si>
  <si>
    <t>681002552R</t>
  </si>
  <si>
    <t>681005921R</t>
  </si>
  <si>
    <t>N° Moule</t>
  </si>
  <si>
    <t>J63</t>
  </si>
  <si>
    <t>J13</t>
  </si>
  <si>
    <t>J12</t>
  </si>
  <si>
    <t>J19</t>
  </si>
  <si>
    <t>J53</t>
  </si>
  <si>
    <t>J09</t>
  </si>
  <si>
    <t>J10</t>
  </si>
  <si>
    <t>J16</t>
  </si>
  <si>
    <t>J61</t>
  </si>
  <si>
    <t>J56</t>
  </si>
  <si>
    <t>J03</t>
  </si>
  <si>
    <t>J06</t>
  </si>
  <si>
    <t>J15</t>
  </si>
  <si>
    <t>J07</t>
  </si>
  <si>
    <t>J14</t>
  </si>
  <si>
    <t>J51</t>
  </si>
  <si>
    <t>J52</t>
  </si>
  <si>
    <t>J54</t>
  </si>
  <si>
    <t>J62</t>
  </si>
  <si>
    <t>J64</t>
  </si>
  <si>
    <t>J67</t>
  </si>
  <si>
    <t>J57</t>
  </si>
  <si>
    <t>J58</t>
  </si>
  <si>
    <t>J01</t>
  </si>
  <si>
    <t>J04</t>
  </si>
  <si>
    <t>J05</t>
  </si>
  <si>
    <t>J59</t>
  </si>
  <si>
    <t>J60</t>
  </si>
  <si>
    <t>J65</t>
  </si>
  <si>
    <t>J66</t>
  </si>
  <si>
    <t>Total 9/12/2013</t>
  </si>
  <si>
    <t>Total 9/13/2013</t>
  </si>
  <si>
    <t>Total 9/16/2013</t>
  </si>
  <si>
    <t>Total 9/17/2013</t>
  </si>
  <si>
    <t>Total 9/18/2013</t>
  </si>
  <si>
    <t>Total 9/19/2013</t>
  </si>
  <si>
    <t>Total 9/20/2013</t>
  </si>
  <si>
    <t>Total 9/21/2013</t>
  </si>
  <si>
    <t>Total 9/23/2013</t>
  </si>
  <si>
    <t>Total 9/24/2013</t>
  </si>
  <si>
    <t>Total 9/25/2013</t>
  </si>
  <si>
    <t>Total 9/26/2013</t>
  </si>
  <si>
    <t>Total 9/27/2013</t>
  </si>
  <si>
    <t>Total 9/28/2013</t>
  </si>
  <si>
    <t>Total 9/30/2013</t>
  </si>
  <si>
    <t>shipto</t>
  </si>
  <si>
    <t>refcli</t>
  </si>
  <si>
    <t>DAG PDB EQP (avecAirbag ) CARBON FONCE - HARM 01</t>
  </si>
  <si>
    <t>DAG PDB EQP (avecAirbag )  GRIS LUNE - HARM 02</t>
  </si>
  <si>
    <t>PDB EQP (avec Airbag ) BEIGE  ALPHAGA - HARM 03</t>
  </si>
  <si>
    <t xml:space="preserve">DAG PDB EQP (sansAirbag )  GRIS LUNE - HARM 02 </t>
  </si>
  <si>
    <t>PDB EQP (avec Airbag ) CARBON FONCE - HARM 01</t>
  </si>
  <si>
    <t>Qte</t>
  </si>
  <si>
    <t>TOTAL / jours</t>
  </si>
  <si>
    <t>Besoin PDB X52</t>
  </si>
  <si>
    <t>ENGL 1000</t>
  </si>
  <si>
    <t>ENGL 700</t>
  </si>
  <si>
    <t>Vendredi 9/13/2013</t>
  </si>
  <si>
    <t>Lundi 9/16/2013</t>
  </si>
  <si>
    <t>Mardi 9/17/2013</t>
  </si>
  <si>
    <t>Mercredi 9/18/2013</t>
  </si>
  <si>
    <t>Jeudi 9/19/2013</t>
  </si>
  <si>
    <t>Vendredi 9/20/2013</t>
  </si>
  <si>
    <t>Samedi 9/21/2013</t>
  </si>
  <si>
    <t>Lundi 9/23/2013</t>
  </si>
  <si>
    <t>Mardi 9/24/2013</t>
  </si>
  <si>
    <t>Mercredi 9/25/2013</t>
  </si>
  <si>
    <t>Jeudi 9/26/2013</t>
  </si>
  <si>
    <t>Vendredi 9/27/2013</t>
  </si>
  <si>
    <t>Samedi 9/28/2013</t>
  </si>
  <si>
    <t>Lundi 9/30/2013</t>
  </si>
  <si>
    <t>Mardi 10/1/2013</t>
  </si>
  <si>
    <t>KM 1000</t>
  </si>
  <si>
    <t xml:space="preserve">Besoin         </t>
  </si>
  <si>
    <t>00171658-02-RCAR</t>
  </si>
  <si>
    <t>00171658-02-T122</t>
  </si>
  <si>
    <t>00171658-02-S950</t>
  </si>
  <si>
    <t>00171657-02-RCAR</t>
  </si>
  <si>
    <t>00171660-02-0000</t>
  </si>
  <si>
    <t>00171659-02-0000</t>
  </si>
  <si>
    <t>00171670-01-RCAR</t>
  </si>
  <si>
    <t>00171670-01-T122</t>
  </si>
  <si>
    <t>00171670-01-S950</t>
  </si>
  <si>
    <t xml:space="preserve"> CARBON FONCE </t>
  </si>
  <si>
    <t xml:space="preserve">  GRIS LUNE </t>
  </si>
  <si>
    <t xml:space="preserve"> BEIGE  ALPHAGA </t>
  </si>
  <si>
    <t>SAND 1500</t>
  </si>
  <si>
    <t>X02</t>
  </si>
  <si>
    <t>X03</t>
  </si>
  <si>
    <t>X04</t>
  </si>
  <si>
    <t>X05</t>
  </si>
  <si>
    <t>X01</t>
  </si>
  <si>
    <t>Façade VP AR G</t>
  </si>
  <si>
    <t>Façade VP AR D</t>
  </si>
  <si>
    <t xml:space="preserve">Doublure portillon huche </t>
  </si>
  <si>
    <t>Façade portillon huche</t>
  </si>
  <si>
    <t xml:space="preserve">Garniture PBA </t>
  </si>
  <si>
    <t>Façade couvercle coiffe J92</t>
  </si>
  <si>
    <t>Doublure couvercle coiffe J92</t>
  </si>
  <si>
    <t>Accoudoir E1 LVE G</t>
  </si>
  <si>
    <t>Accoudoir E1 LVE D</t>
  </si>
  <si>
    <t xml:space="preserve">Padding AV G </t>
  </si>
  <si>
    <t>Padding AV D</t>
  </si>
  <si>
    <t xml:space="preserve">Façade rangement passager </t>
  </si>
  <si>
    <t xml:space="preserve">Façade VP PLC </t>
  </si>
  <si>
    <t>Coiffe J92</t>
  </si>
  <si>
    <t>Porteur AV G E 1</t>
  </si>
  <si>
    <t>Façade VP AV G</t>
  </si>
  <si>
    <t>Porteur AV G E 0</t>
  </si>
  <si>
    <t>Porteur AV D E1</t>
  </si>
  <si>
    <t>Façade VP AV D</t>
  </si>
  <si>
    <t>Porteur AV D E0</t>
  </si>
  <si>
    <t xml:space="preserve">Conduit de desembuage </t>
  </si>
  <si>
    <t>Bac rangement sup X67</t>
  </si>
  <si>
    <t>Dessous de coife DG X67</t>
  </si>
  <si>
    <t xml:space="preserve">Cuve rangement inf </t>
  </si>
  <si>
    <t>Coiffe X67</t>
  </si>
  <si>
    <t>Accoudoire LVM G</t>
  </si>
  <si>
    <t>Passage Roue G</t>
  </si>
  <si>
    <t>Passage Roue D</t>
  </si>
  <si>
    <t>Porteur AR G E1</t>
  </si>
  <si>
    <t>Porteur AR G E0</t>
  </si>
  <si>
    <t>Porteur AR D E1</t>
  </si>
  <si>
    <t>Porteur AR D E0</t>
  </si>
  <si>
    <t>Coquille ss volant sup</t>
  </si>
  <si>
    <t>Coquille ss volant inf</t>
  </si>
  <si>
    <t>Console levier de vitesse</t>
  </si>
  <si>
    <t xml:space="preserve">Renfort inferieur passager </t>
  </si>
  <si>
    <t xml:space="preserve">Renfort Genou 1 conducteur </t>
  </si>
  <si>
    <t xml:space="preserve">Renfort genou 3 et 4 passager </t>
  </si>
  <si>
    <t>Habillage lat cond G</t>
  </si>
  <si>
    <t xml:space="preserve"> Référence</t>
  </si>
  <si>
    <t>Corp de planche  J92/X67</t>
  </si>
  <si>
    <t>Besoin du PDB en Couleur</t>
  </si>
  <si>
    <t xml:space="preserve"> X52 / jours</t>
  </si>
  <si>
    <t xml:space="preserve"> FK67/J92 / jours</t>
  </si>
  <si>
    <t xml:space="preserve"> FK67 / jours</t>
  </si>
  <si>
    <t xml:space="preserve"> J92/ jours</t>
  </si>
  <si>
    <t>Console FPM</t>
  </si>
  <si>
    <t>Couverture en équipe</t>
  </si>
  <si>
    <t>ACC E2 5B</t>
  </si>
  <si>
    <t>Renault</t>
  </si>
  <si>
    <t>SOMACA</t>
  </si>
  <si>
    <t>  SOMACA</t>
  </si>
  <si>
    <t>Besoin Client</t>
  </si>
  <si>
    <t>J92</t>
  </si>
  <si>
    <t>Client</t>
  </si>
  <si>
    <t>Visteon</t>
  </si>
  <si>
    <t>RTE</t>
  </si>
  <si>
    <t>Injection</t>
  </si>
  <si>
    <t>Assemblage</t>
  </si>
  <si>
    <t>Proposition de travail (Injection/ Assemblage)</t>
  </si>
  <si>
    <t>J92 ( PDB/ PNO)</t>
  </si>
  <si>
    <t>Nbre de changement</t>
  </si>
  <si>
    <t xml:space="preserve">Charge </t>
  </si>
  <si>
    <t>CALCUL CHARGE CAPACITAIRE</t>
  </si>
  <si>
    <t>Nbre des livraisons</t>
  </si>
  <si>
    <t>3  L3PS et 1 PLC</t>
  </si>
  <si>
    <t>PDB</t>
  </si>
  <si>
    <t>PNO</t>
  </si>
  <si>
    <t>PLC</t>
  </si>
  <si>
    <t>à 10h</t>
  </si>
  <si>
    <t>ASSEMBLAGE</t>
  </si>
  <si>
    <t>PDB J92</t>
  </si>
  <si>
    <t>PDB X52</t>
  </si>
  <si>
    <t xml:space="preserve"> Pas de travail</t>
  </si>
  <si>
    <t>Nbre Cadets Remplis</t>
  </si>
  <si>
    <t>Nbre Cadets Vides</t>
  </si>
  <si>
    <t>PLANNING TRAVAIL Samedi / Dimanche / Lundi</t>
  </si>
  <si>
    <t xml:space="preserve"> Travail</t>
  </si>
  <si>
    <t>Charge par semaine</t>
  </si>
  <si>
    <t>Nbre changement</t>
  </si>
  <si>
    <t>Charge/J</t>
  </si>
  <si>
    <t>KM   2000</t>
  </si>
  <si>
    <t>KM      1000</t>
  </si>
  <si>
    <t>ENGL  2000</t>
  </si>
  <si>
    <t>KM   1300</t>
  </si>
  <si>
    <t>KM     800</t>
  </si>
  <si>
    <t>4h</t>
  </si>
  <si>
    <t>5h</t>
  </si>
  <si>
    <t>2h</t>
  </si>
  <si>
    <t>Nbre Op</t>
  </si>
  <si>
    <t>Total</t>
  </si>
  <si>
    <t xml:space="preserve">Charge Horaire </t>
  </si>
  <si>
    <t>Eq 1 (H)</t>
  </si>
  <si>
    <t>Eq 2 (H)</t>
  </si>
  <si>
    <t>Eq 3 (H)</t>
  </si>
  <si>
    <t>Charge Capacitaire / Nbre Opérareurs Injection</t>
  </si>
  <si>
    <t>Heure Injection</t>
  </si>
  <si>
    <t>Nbre Cav</t>
  </si>
  <si>
    <t>829A13934R</t>
  </si>
  <si>
    <t>Garniture PLC ass PO4 D</t>
  </si>
  <si>
    <t>829A16244R</t>
  </si>
  <si>
    <t>Garniture PLC + VP PO4 D</t>
  </si>
  <si>
    <t>Garniture PLC + VP PO4 G</t>
  </si>
  <si>
    <t>Garniture PLC ass PO4 G</t>
  </si>
  <si>
    <t>Matière</t>
  </si>
  <si>
    <t>Silo 1</t>
  </si>
  <si>
    <t>Silo1</t>
  </si>
  <si>
    <t>Silo1+C</t>
  </si>
  <si>
    <t>Accoudoire LVM D</t>
  </si>
  <si>
    <t>Accoudoire E2 G</t>
  </si>
  <si>
    <t>Accoudoire E2 D</t>
  </si>
  <si>
    <t>Silo6</t>
  </si>
  <si>
    <t>Silo 5</t>
  </si>
  <si>
    <t>Silo 6</t>
  </si>
  <si>
    <t>Cuve 1</t>
  </si>
  <si>
    <t>Silo 2</t>
  </si>
  <si>
    <t>Silo 4</t>
  </si>
  <si>
    <t>Silo 3</t>
  </si>
  <si>
    <t>Cuve 4</t>
  </si>
  <si>
    <t xml:space="preserve"> </t>
  </si>
  <si>
    <t>829A17388R</t>
  </si>
  <si>
    <t>Garniture PLC ass SE4 G</t>
  </si>
  <si>
    <t>Nombre des jours couverts</t>
  </si>
  <si>
    <t>Nbre Cadet</t>
  </si>
  <si>
    <t>Nbre cadet Vide</t>
  </si>
  <si>
    <t>Heure Client</t>
  </si>
  <si>
    <t>EXTRACTION L3PS</t>
  </si>
  <si>
    <t>Mardi/7/2014</t>
  </si>
  <si>
    <t>Mercredi/8/2014</t>
  </si>
  <si>
    <t>Jeudi/9/2014</t>
  </si>
  <si>
    <t>Vendredi/10/2014</t>
  </si>
  <si>
    <t>Lundi/13/2014</t>
  </si>
  <si>
    <t>Mardi/14/2014</t>
  </si>
  <si>
    <t>Mercredi/15/2014</t>
  </si>
  <si>
    <t>Jeudi/16/2014</t>
  </si>
  <si>
    <t>Vendredi/17/2014</t>
  </si>
  <si>
    <t>Etat de stock de  27/12 à   06:00</t>
  </si>
  <si>
    <t>Bac rangement sup FK67</t>
  </si>
  <si>
    <t>Dessous de coife FK 67</t>
  </si>
  <si>
    <t>Coiffe FK67</t>
  </si>
  <si>
    <t>Etuve 1</t>
  </si>
  <si>
    <t xml:space="preserve">Réf </t>
  </si>
  <si>
    <t>Moule</t>
  </si>
  <si>
    <t>J6+</t>
  </si>
  <si>
    <t>J6+J12</t>
  </si>
  <si>
    <t>J12+J7</t>
  </si>
  <si>
    <t>J7</t>
  </si>
  <si>
    <t>Pièce/h</t>
  </si>
  <si>
    <t>Portillon Gris Lune X52</t>
  </si>
  <si>
    <t>Portillon Carbon Foncé X52</t>
  </si>
  <si>
    <t>Portillon Beige Alphaga X52</t>
  </si>
  <si>
    <t>CDP Gris Lune  X52</t>
  </si>
  <si>
    <t>CDP Beige Alphaga   X52</t>
  </si>
  <si>
    <t>CDP Carbon Foncé   X52</t>
  </si>
  <si>
    <t>1140</t>
  </si>
  <si>
    <t>5000</t>
  </si>
  <si>
    <t>Machine</t>
  </si>
  <si>
    <t>J9</t>
  </si>
  <si>
    <t>J2</t>
  </si>
  <si>
    <t>CIE</t>
  </si>
  <si>
    <t>Chrage (h)</t>
  </si>
  <si>
    <t>681001812R (CF)</t>
  </si>
  <si>
    <t>681005921R (CF)</t>
  </si>
  <si>
    <t>681001820R (BA)</t>
  </si>
  <si>
    <t>681002552R (GL)</t>
  </si>
  <si>
    <t>681001877R (GL)</t>
  </si>
  <si>
    <t>Référence</t>
  </si>
  <si>
    <t>Samedi/11/2014</t>
  </si>
  <si>
    <t>ABS</t>
  </si>
  <si>
    <t>Samedi/18/2014</t>
  </si>
  <si>
    <t>Lundi /20/2014</t>
  </si>
  <si>
    <t>Mardi/21/2014</t>
  </si>
  <si>
    <t>Mercredi/22/2014</t>
  </si>
  <si>
    <t>Jeudi/23/2014</t>
  </si>
  <si>
    <t>Vendredi/24/2014</t>
  </si>
  <si>
    <t>Projet</t>
  </si>
  <si>
    <t>PLS</t>
  </si>
  <si>
    <t>PNO J92</t>
  </si>
  <si>
    <t>Lundi/27/2014</t>
  </si>
  <si>
    <t>Mardi/28/2014</t>
  </si>
  <si>
    <t>Mercredi /29/2014</t>
  </si>
  <si>
    <t>Jeudi /30/2014</t>
  </si>
  <si>
    <t>Vendredi /31/2014</t>
  </si>
  <si>
    <t>Samedi  /1/2014</t>
  </si>
  <si>
    <t>Lundi   /3/2014</t>
  </si>
  <si>
    <t>Mardi   /4/2014</t>
  </si>
  <si>
    <t>ENGL1500</t>
  </si>
  <si>
    <t>Mercredi  /5/2014</t>
  </si>
  <si>
    <t>Jeudi  /6/2014</t>
  </si>
  <si>
    <t>Vendredi  /7/2014</t>
  </si>
  <si>
    <t>Lundi  /10/2014</t>
  </si>
  <si>
    <t>17 NC</t>
  </si>
  <si>
    <t>Mardi  /11/2014</t>
  </si>
  <si>
    <t>Mercredi  /12/2014</t>
  </si>
  <si>
    <t>Jeudi  /13/2014</t>
  </si>
  <si>
    <t>Vendredi  /14/2014</t>
  </si>
  <si>
    <t>Lundi  /17/2014</t>
  </si>
  <si>
    <t>Mardi  /18/2014</t>
  </si>
  <si>
    <t>Mercredi  /19/2014</t>
  </si>
  <si>
    <t>Jeudi  /20/2014</t>
  </si>
  <si>
    <t>Vendredi  /21/2014</t>
  </si>
  <si>
    <t>Samedi  /22/2014</t>
  </si>
  <si>
    <t>Lundi /24/2014</t>
  </si>
  <si>
    <t>Lundi</t>
  </si>
  <si>
    <t>Eq Matin</t>
  </si>
  <si>
    <t>Mardi</t>
  </si>
  <si>
    <t>Mercredi</t>
  </si>
  <si>
    <t>Eq Soir</t>
  </si>
  <si>
    <t>Eq Nuit</t>
  </si>
  <si>
    <t xml:space="preserve">                Planning Assemblage PDB X52        </t>
  </si>
  <si>
    <t>FCC Ecomode</t>
  </si>
  <si>
    <t>Mardi /25/2014</t>
  </si>
  <si>
    <t>Mercredi /26/2014</t>
  </si>
  <si>
    <t>Jeudi /27/2014</t>
  </si>
  <si>
    <t>charge</t>
  </si>
  <si>
    <t>Etat du stock   de 21/2/2014  à  014h:00</t>
  </si>
  <si>
    <t>PLF</t>
  </si>
  <si>
    <t>RLS</t>
  </si>
  <si>
    <t>Vendredi /28/2014</t>
  </si>
  <si>
    <t>Lundi /03/2014</t>
  </si>
  <si>
    <t>Samedi /01/2014</t>
  </si>
  <si>
    <t>Mardi /04/2014</t>
  </si>
  <si>
    <t>Mercredi /05/2014</t>
  </si>
  <si>
    <t>Jeudi  /06/2014</t>
  </si>
  <si>
    <t>Vendredi  /07/2014</t>
  </si>
  <si>
    <t xml:space="preserve">  J 6/3</t>
  </si>
  <si>
    <t>Lundi /10/2014</t>
  </si>
  <si>
    <t>Samedi  /08/2014</t>
  </si>
  <si>
    <t>Jeudi</t>
  </si>
  <si>
    <t xml:space="preserve">  V 7/3</t>
  </si>
  <si>
    <t xml:space="preserve">  S 8/3</t>
  </si>
  <si>
    <t xml:space="preserve">  L 10/3</t>
  </si>
  <si>
    <t>Mardi /11/2014</t>
  </si>
  <si>
    <t xml:space="preserve">  M 11/3</t>
  </si>
  <si>
    <t xml:space="preserve">  M 12/3</t>
  </si>
  <si>
    <t>Samedi  /15/2014</t>
  </si>
  <si>
    <t>Etat</t>
  </si>
  <si>
    <t>OK</t>
  </si>
  <si>
    <t>En cours</t>
  </si>
  <si>
    <t>Etat Avancement Mise en place Code à barre</t>
  </si>
  <si>
    <t>Etat du stock   de 10/03/2014  à  06h:00</t>
  </si>
  <si>
    <t>VP PLC</t>
  </si>
  <si>
    <t xml:space="preserve">  M 13/3</t>
  </si>
  <si>
    <t>ENGL 1500</t>
  </si>
  <si>
    <t>Variation stock (PF)</t>
  </si>
  <si>
    <t>Lundi  /24/2014</t>
  </si>
  <si>
    <t>Mercrdi  /26/2014</t>
  </si>
  <si>
    <t>3j-3h</t>
  </si>
  <si>
    <t>3j+4h</t>
  </si>
  <si>
    <t>Jeudi  /27/2014</t>
  </si>
  <si>
    <t>Vendredi  /28/2014</t>
  </si>
  <si>
    <t>Samedi  /29/2014</t>
  </si>
  <si>
    <t>4j</t>
  </si>
  <si>
    <t xml:space="preserve">                Couverture X52  (Etat de 22/03/2014  à 06h:00)       </t>
  </si>
  <si>
    <t xml:space="preserve">ENGL 1000 </t>
  </si>
  <si>
    <t>SAND 2000</t>
  </si>
  <si>
    <t>ENGL 2500</t>
  </si>
  <si>
    <t>J02</t>
  </si>
  <si>
    <t xml:space="preserve">Renfort Genou </t>
  </si>
  <si>
    <t>Habillage lat</t>
  </si>
  <si>
    <t xml:space="preserve">Padding </t>
  </si>
  <si>
    <t xml:space="preserve">Accoudoire LVM </t>
  </si>
  <si>
    <t xml:space="preserve">Accoudoir E1 LVE </t>
  </si>
  <si>
    <t>Façade VP AR</t>
  </si>
  <si>
    <t>CDP  X52</t>
  </si>
  <si>
    <t>Portillon  X52</t>
  </si>
  <si>
    <t xml:space="preserve"> Coquille Sup/Inf</t>
  </si>
  <si>
    <t>Affectation Moule  Machine 24-03-2014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</si>
</sst>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40C]d\-mmm\-yy;@"/>
    <numFmt numFmtId="165" formatCode="0.0"/>
    <numFmt numFmtId="166" formatCode="m/d/yy;@"/>
    <numFmt numFmtId="167" formatCode="h:mm;@"/>
    <numFmt numFmtId="168" formatCode="##,###,##0.0########"/>
    <numFmt numFmtId="169" formatCode="##,###,##0.0#########"/>
    <numFmt numFmtId="170" formatCode="d/m/yy\ h:mm;@"/>
  </numFmts>
  <fonts count="8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9"/>
      <name val="Arial MT"/>
    </font>
    <font>
      <sz val="10"/>
      <name val="Arial"/>
      <family val="2"/>
      <charset val="178"/>
    </font>
    <font>
      <sz val="14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sz val="18"/>
      <color indexed="12"/>
      <name val="Times New Roman"/>
      <family val="1"/>
    </font>
    <font>
      <sz val="18"/>
      <name val="Times New Roman"/>
      <family val="1"/>
    </font>
    <font>
      <sz val="18"/>
      <name val="Arial"/>
      <family val="2"/>
    </font>
    <font>
      <b/>
      <sz val="18"/>
      <color indexed="12"/>
      <name val="Times New Roman"/>
      <family val="1"/>
    </font>
    <font>
      <sz val="20"/>
      <name val="Arial"/>
      <family val="2"/>
    </font>
    <font>
      <sz val="12"/>
      <name val="Arial"/>
      <family val="2"/>
    </font>
    <font>
      <sz val="16"/>
      <name val="Arial"/>
      <family val="2"/>
    </font>
    <font>
      <b/>
      <sz val="20"/>
      <name val="Times New Roman"/>
      <family val="1"/>
    </font>
    <font>
      <sz val="16"/>
      <name val="Times New Roman"/>
      <family val="1"/>
    </font>
    <font>
      <b/>
      <sz val="12"/>
      <name val="Arial"/>
      <family val="2"/>
    </font>
    <font>
      <b/>
      <sz val="24"/>
      <name val="Times New Roman"/>
      <family val="1"/>
    </font>
    <font>
      <b/>
      <sz val="22"/>
      <name val="Arial"/>
      <family val="2"/>
    </font>
    <font>
      <b/>
      <sz val="48"/>
      <name val="Arial"/>
      <family val="2"/>
    </font>
    <font>
      <b/>
      <sz val="20"/>
      <name val="Arial"/>
      <family val="2"/>
    </font>
    <font>
      <sz val="12"/>
      <name val="Microsoft Sans Serif"/>
      <family val="2"/>
    </font>
    <font>
      <sz val="8.25"/>
      <color indexed="0"/>
      <name val="Microsoft Sans Serif"/>
      <family val="2"/>
    </font>
    <font>
      <sz val="10"/>
      <color indexed="0"/>
      <name val="Arial"/>
      <family val="2"/>
    </font>
    <font>
      <b/>
      <sz val="28"/>
      <name val="Arial"/>
      <family val="2"/>
    </font>
    <font>
      <sz val="11"/>
      <name val="Arial"/>
      <family val="2"/>
    </font>
    <font>
      <sz val="28"/>
      <name val="Times New Roman"/>
      <family val="1"/>
    </font>
    <font>
      <sz val="28"/>
      <name val="Arial"/>
      <family val="2"/>
    </font>
    <font>
      <b/>
      <sz val="16"/>
      <color indexed="12"/>
      <name val="Times New Roman"/>
      <family val="1"/>
    </font>
    <font>
      <b/>
      <sz val="16"/>
      <color indexed="12"/>
      <name val="Arial"/>
      <family val="2"/>
    </font>
    <font>
      <sz val="18"/>
      <color indexed="9"/>
      <name val="Times New Roman"/>
      <family val="1"/>
    </font>
    <font>
      <sz val="20"/>
      <name val="Times New Roman"/>
      <family val="1"/>
    </font>
    <font>
      <sz val="20"/>
      <color indexed="12"/>
      <name val="Times New Roman"/>
      <family val="1"/>
    </font>
    <font>
      <b/>
      <sz val="20"/>
      <color indexed="12"/>
      <name val="Times New Roman"/>
      <family val="1"/>
    </font>
    <font>
      <sz val="22"/>
      <name val="Arial"/>
      <family val="2"/>
    </font>
    <font>
      <b/>
      <sz val="22"/>
      <color indexed="12"/>
      <name val="Times New Roman"/>
      <family val="1"/>
    </font>
    <font>
      <sz val="22"/>
      <name val="Times New Roman"/>
      <family val="1"/>
    </font>
    <font>
      <sz val="29"/>
      <name val="Arial"/>
      <family val="2"/>
    </font>
    <font>
      <b/>
      <sz val="24"/>
      <color indexed="12"/>
      <name val="Times New Roman"/>
      <family val="1"/>
    </font>
    <font>
      <b/>
      <sz val="28"/>
      <color indexed="12"/>
      <name val="Times New Roman"/>
      <family val="1"/>
    </font>
    <font>
      <b/>
      <sz val="22"/>
      <name val="Times New Roman"/>
      <family val="1"/>
    </font>
    <font>
      <b/>
      <sz val="36"/>
      <name val="Arial"/>
      <family val="2"/>
    </font>
    <font>
      <sz val="26"/>
      <name val="Arial"/>
      <family val="2"/>
    </font>
    <font>
      <b/>
      <sz val="30"/>
      <name val="Times New Roman"/>
      <family val="1"/>
    </font>
    <font>
      <sz val="30"/>
      <name val="Arial"/>
      <family val="2"/>
    </font>
    <font>
      <sz val="24"/>
      <name val="Times New Roman"/>
      <family val="1"/>
    </font>
    <font>
      <sz val="26"/>
      <name val="Times New Roman"/>
      <family val="1"/>
    </font>
    <font>
      <sz val="24"/>
      <name val="Arial"/>
      <family val="2"/>
    </font>
    <font>
      <sz val="48"/>
      <name val="Arial"/>
      <family val="2"/>
    </font>
    <font>
      <sz val="36"/>
      <name val="Arial"/>
      <family val="2"/>
    </font>
    <font>
      <b/>
      <sz val="26"/>
      <name val="Arial"/>
      <family val="2"/>
    </font>
    <font>
      <sz val="72"/>
      <name val="Arial"/>
      <family val="2"/>
    </font>
    <font>
      <u/>
      <sz val="36"/>
      <name val="Arial"/>
      <family val="2"/>
    </font>
    <font>
      <b/>
      <sz val="24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theme="1"/>
      <name val="Arial"/>
      <family val="2"/>
    </font>
    <font>
      <sz val="20"/>
      <color theme="1"/>
      <name val="Times New Roman"/>
      <family val="1"/>
    </font>
    <font>
      <sz val="18"/>
      <color theme="1"/>
      <name val="Times New Roman"/>
      <family val="1"/>
    </font>
    <font>
      <sz val="22"/>
      <color theme="1"/>
      <name val="Times New Roman"/>
      <family val="1"/>
    </font>
    <font>
      <b/>
      <sz val="48"/>
      <color indexed="10"/>
      <name val="Cambria"/>
      <family val="1"/>
      <scheme val="major"/>
    </font>
    <font>
      <b/>
      <sz val="3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0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92D050"/>
      <name val="Calibri"/>
      <family val="2"/>
      <scheme val="minor"/>
    </font>
    <font>
      <sz val="18"/>
      <color theme="0" tint="-0.34998626667073579"/>
      <name val="Calibri"/>
      <family val="2"/>
      <scheme val="minor"/>
    </font>
    <font>
      <sz val="72"/>
      <color theme="1"/>
      <name val="Calibri"/>
      <family val="2"/>
      <scheme val="minor"/>
    </font>
    <font>
      <sz val="36"/>
      <name val="Cambria"/>
      <family val="1"/>
      <scheme val="major"/>
    </font>
    <font>
      <b/>
      <sz val="14"/>
      <color theme="1"/>
      <name val="Arial"/>
      <family val="2"/>
    </font>
    <font>
      <sz val="26"/>
      <color theme="1"/>
      <name val="Times New Roman"/>
      <family val="1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20"/>
      <color theme="1"/>
      <name val="Arial"/>
      <family val="2"/>
    </font>
    <font>
      <b/>
      <sz val="48"/>
      <color theme="1"/>
      <name val="Cambria"/>
      <family val="1"/>
      <scheme val="major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0" tint="-0.14999847407452621"/>
      </patternFill>
    </fill>
    <fill>
      <patternFill patternType="solid">
        <fgColor theme="0" tint="-0.34998626667073579"/>
        <bgColor theme="4" tint="0.79998168889431442"/>
      </patternFill>
    </fill>
    <fill>
      <patternFill patternType="solid">
        <fgColor theme="0" tint="-0.34998626667073579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</fills>
  <borders count="8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24" fillId="0" borderId="0"/>
    <xf numFmtId="0" fontId="55" fillId="0" borderId="0"/>
    <xf numFmtId="0" fontId="3" fillId="0" borderId="0"/>
    <xf numFmtId="0" fontId="4" fillId="0" borderId="0"/>
  </cellStyleXfs>
  <cellXfs count="1657">
    <xf numFmtId="0" fontId="0" fillId="0" borderId="0" xfId="0"/>
    <xf numFmtId="1" fontId="5" fillId="5" borderId="1" xfId="0" applyNumberFormat="1" applyFont="1" applyFill="1" applyBorder="1" applyAlignment="1">
      <alignment horizontal="center" vertical="center"/>
    </xf>
    <xf numFmtId="1" fontId="5" fillId="5" borderId="2" xfId="0" applyNumberFormat="1" applyFont="1" applyFill="1" applyBorder="1" applyAlignment="1">
      <alignment horizontal="center" vertical="center"/>
    </xf>
    <xf numFmtId="1" fontId="5" fillId="5" borderId="3" xfId="0" applyNumberFormat="1" applyFont="1" applyFill="1" applyBorder="1" applyAlignment="1">
      <alignment horizontal="center" vertical="center"/>
    </xf>
    <xf numFmtId="167" fontId="5" fillId="5" borderId="4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20" fontId="5" fillId="5" borderId="4" xfId="0" applyNumberFormat="1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Fill="1" applyBorder="1" applyAlignment="1"/>
    <xf numFmtId="0" fontId="6" fillId="3" borderId="7" xfId="6" applyFont="1" applyFill="1" applyBorder="1" applyAlignment="1">
      <alignment vertical="center" wrapText="1"/>
    </xf>
    <xf numFmtId="0" fontId="6" fillId="3" borderId="8" xfId="6" applyFont="1" applyFill="1" applyBorder="1" applyAlignment="1">
      <alignment vertical="center" wrapText="1"/>
    </xf>
    <xf numFmtId="0" fontId="6" fillId="3" borderId="8" xfId="6" applyFont="1" applyFill="1" applyBorder="1" applyAlignment="1">
      <alignment horizontal="center" vertical="center" wrapText="1"/>
    </xf>
    <xf numFmtId="0" fontId="6" fillId="3" borderId="9" xfId="6" applyFont="1" applyFill="1" applyBorder="1" applyAlignment="1">
      <alignment horizontal="center" vertical="center" wrapText="1"/>
    </xf>
    <xf numFmtId="0" fontId="6" fillId="3" borderId="10" xfId="6" applyFont="1" applyFill="1" applyBorder="1" applyAlignment="1">
      <alignment horizontal="center" vertical="center" wrapText="1"/>
    </xf>
    <xf numFmtId="0" fontId="6" fillId="3" borderId="11" xfId="6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4" fontId="5" fillId="5" borderId="3" xfId="0" applyNumberFormat="1" applyFont="1" applyFill="1" applyBorder="1"/>
    <xf numFmtId="14" fontId="5" fillId="8" borderId="3" xfId="0" applyNumberFormat="1" applyFont="1" applyFill="1" applyBorder="1"/>
    <xf numFmtId="0" fontId="5" fillId="5" borderId="12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5" borderId="0" xfId="0" applyFont="1" applyFill="1" applyBorder="1"/>
    <xf numFmtId="0" fontId="5" fillId="8" borderId="0" xfId="0" applyFont="1" applyFill="1" applyBorder="1"/>
    <xf numFmtId="0" fontId="5" fillId="0" borderId="13" xfId="0" applyFont="1" applyBorder="1"/>
    <xf numFmtId="0" fontId="5" fillId="0" borderId="14" xfId="0" applyFont="1" applyBorder="1"/>
    <xf numFmtId="0" fontId="5" fillId="9" borderId="15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/>
    <xf numFmtId="0" fontId="5" fillId="0" borderId="6" xfId="0" applyFont="1" applyBorder="1"/>
    <xf numFmtId="0" fontId="5" fillId="0" borderId="18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9" xfId="0" applyFont="1" applyBorder="1"/>
    <xf numFmtId="0" fontId="5" fillId="0" borderId="2" xfId="0" applyFont="1" applyBorder="1"/>
    <xf numFmtId="0" fontId="5" fillId="0" borderId="1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0" borderId="15" xfId="0" applyFont="1" applyBorder="1"/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/>
    <xf numFmtId="0" fontId="5" fillId="0" borderId="24" xfId="0" applyFont="1" applyBorder="1"/>
    <xf numFmtId="0" fontId="5" fillId="0" borderId="2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9" borderId="9" xfId="0" applyFont="1" applyFill="1" applyBorder="1" applyAlignment="1">
      <alignment horizontal="center"/>
    </xf>
    <xf numFmtId="0" fontId="5" fillId="9" borderId="18" xfId="0" applyFont="1" applyFill="1" applyBorder="1" applyAlignment="1">
      <alignment horizontal="center"/>
    </xf>
    <xf numFmtId="0" fontId="5" fillId="9" borderId="22" xfId="0" applyFont="1" applyFill="1" applyBorder="1" applyAlignment="1">
      <alignment horizontal="center"/>
    </xf>
    <xf numFmtId="0" fontId="5" fillId="9" borderId="14" xfId="0" applyFon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9" borderId="12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6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5" fillId="0" borderId="27" xfId="0" applyFont="1" applyBorder="1"/>
    <xf numFmtId="0" fontId="5" fillId="0" borderId="27" xfId="0" applyFont="1" applyBorder="1" applyAlignment="1">
      <alignment horizontal="center"/>
    </xf>
    <xf numFmtId="1" fontId="8" fillId="10" borderId="14" xfId="0" applyNumberFormat="1" applyFont="1" applyFill="1" applyBorder="1" applyAlignment="1">
      <alignment horizontal="center" vertical="center"/>
    </xf>
    <xf numFmtId="1" fontId="8" fillId="10" borderId="15" xfId="0" applyNumberFormat="1" applyFont="1" applyFill="1" applyBorder="1" applyAlignment="1">
      <alignment horizontal="center" vertical="center"/>
    </xf>
    <xf numFmtId="165" fontId="8" fillId="10" borderId="14" xfId="0" applyNumberFormat="1" applyFont="1" applyFill="1" applyBorder="1" applyAlignment="1">
      <alignment horizontal="center" vertical="center"/>
    </xf>
    <xf numFmtId="1" fontId="8" fillId="5" borderId="9" xfId="0" applyNumberFormat="1" applyFont="1" applyFill="1" applyBorder="1" applyAlignment="1">
      <alignment horizontal="center" vertical="center"/>
    </xf>
    <xf numFmtId="1" fontId="8" fillId="5" borderId="7" xfId="0" applyNumberFormat="1" applyFont="1" applyFill="1" applyBorder="1" applyAlignment="1">
      <alignment horizontal="center" vertical="center"/>
    </xf>
    <xf numFmtId="165" fontId="8" fillId="5" borderId="8" xfId="0" applyNumberFormat="1" applyFont="1" applyFill="1" applyBorder="1" applyAlignment="1">
      <alignment horizontal="center" vertical="center"/>
    </xf>
    <xf numFmtId="0" fontId="5" fillId="11" borderId="0" xfId="0" applyFont="1" applyFill="1"/>
    <xf numFmtId="0" fontId="5" fillId="11" borderId="0" xfId="0" applyFont="1" applyFill="1" applyAlignment="1">
      <alignment horizontal="center"/>
    </xf>
    <xf numFmtId="0" fontId="56" fillId="12" borderId="0" xfId="0" applyFont="1" applyFill="1" applyBorder="1"/>
    <xf numFmtId="0" fontId="0" fillId="0" borderId="14" xfId="0" applyBorder="1"/>
    <xf numFmtId="0" fontId="0" fillId="0" borderId="0" xfId="0" applyAlignment="1">
      <alignment horizontal="center"/>
    </xf>
    <xf numFmtId="0" fontId="56" fillId="12" borderId="14" xfId="0" applyNumberFormat="1" applyFont="1" applyFill="1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13" fillId="0" borderId="0" xfId="0" applyFont="1"/>
    <xf numFmtId="0" fontId="15" fillId="5" borderId="14" xfId="0" applyFont="1" applyFill="1" applyBorder="1" applyAlignment="1" applyProtection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1" fontId="8" fillId="10" borderId="26" xfId="0" applyNumberFormat="1" applyFont="1" applyFill="1" applyBorder="1" applyAlignment="1">
      <alignment horizontal="center" vertical="center"/>
    </xf>
    <xf numFmtId="1" fontId="8" fillId="10" borderId="16" xfId="0" applyNumberFormat="1" applyFont="1" applyFill="1" applyBorder="1" applyAlignment="1">
      <alignment horizontal="center" vertical="center"/>
    </xf>
    <xf numFmtId="165" fontId="8" fillId="10" borderId="26" xfId="0" applyNumberFormat="1" applyFont="1" applyFill="1" applyBorder="1" applyAlignment="1">
      <alignment horizontal="center" vertical="center"/>
    </xf>
    <xf numFmtId="0" fontId="5" fillId="9" borderId="24" xfId="0" applyFont="1" applyFill="1" applyBorder="1" applyAlignment="1">
      <alignment horizontal="center"/>
    </xf>
    <xf numFmtId="0" fontId="5" fillId="7" borderId="28" xfId="0" applyFont="1" applyFill="1" applyBorder="1" applyAlignment="1">
      <alignment horizontal="center"/>
    </xf>
    <xf numFmtId="0" fontId="5" fillId="7" borderId="16" xfId="0" applyFont="1" applyFill="1" applyBorder="1" applyAlignment="1">
      <alignment horizontal="center"/>
    </xf>
    <xf numFmtId="1" fontId="8" fillId="5" borderId="29" xfId="0" applyNumberFormat="1" applyFont="1" applyFill="1" applyBorder="1" applyAlignment="1">
      <alignment horizontal="center" vertical="center"/>
    </xf>
    <xf numFmtId="14" fontId="5" fillId="8" borderId="30" xfId="0" applyNumberFormat="1" applyFont="1" applyFill="1" applyBorder="1"/>
    <xf numFmtId="1" fontId="11" fillId="10" borderId="13" xfId="0" applyNumberFormat="1" applyFont="1" applyFill="1" applyBorder="1" applyAlignment="1">
      <alignment horizontal="center" vertical="center"/>
    </xf>
    <xf numFmtId="0" fontId="8" fillId="10" borderId="13" xfId="0" applyFont="1" applyFill="1" applyBorder="1" applyAlignment="1">
      <alignment horizontal="center" vertical="center" wrapText="1"/>
    </xf>
    <xf numFmtId="0" fontId="8" fillId="10" borderId="28" xfId="0" applyFont="1" applyFill="1" applyBorder="1" applyAlignment="1">
      <alignment horizontal="center" vertical="center" wrapText="1"/>
    </xf>
    <xf numFmtId="1" fontId="11" fillId="10" borderId="28" xfId="0" applyNumberFormat="1" applyFont="1" applyFill="1" applyBorder="1" applyAlignment="1">
      <alignment horizontal="center" vertical="center"/>
    </xf>
    <xf numFmtId="1" fontId="8" fillId="10" borderId="31" xfId="0" applyNumberFormat="1" applyFont="1" applyFill="1" applyBorder="1" applyAlignment="1">
      <alignment horizontal="center" vertical="center"/>
    </xf>
    <xf numFmtId="1" fontId="8" fillId="10" borderId="32" xfId="0" applyNumberFormat="1" applyFont="1" applyFill="1" applyBorder="1" applyAlignment="1">
      <alignment horizontal="center" vertical="center"/>
    </xf>
    <xf numFmtId="1" fontId="11" fillId="10" borderId="29" xfId="0" applyNumberFormat="1" applyFont="1" applyFill="1" applyBorder="1" applyAlignment="1">
      <alignment horizontal="center" vertical="center"/>
    </xf>
    <xf numFmtId="165" fontId="8" fillId="10" borderId="31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NumberFormat="1"/>
    <xf numFmtId="0" fontId="0" fillId="0" borderId="33" xfId="0" applyBorder="1"/>
    <xf numFmtId="0" fontId="0" fillId="0" borderId="34" xfId="0" applyBorder="1"/>
    <xf numFmtId="0" fontId="6" fillId="0" borderId="0" xfId="0" applyFont="1" applyAlignment="1">
      <alignment horizontal="center"/>
    </xf>
    <xf numFmtId="14" fontId="57" fillId="13" borderId="35" xfId="0" applyNumberFormat="1" applyFont="1" applyFill="1" applyBorder="1" applyAlignment="1">
      <alignment horizontal="center" vertical="center" wrapText="1"/>
    </xf>
    <xf numFmtId="14" fontId="57" fillId="14" borderId="0" xfId="0" applyNumberFormat="1" applyFont="1" applyFill="1" applyBorder="1" applyAlignment="1">
      <alignment horizontal="center" vertical="center" wrapText="1"/>
    </xf>
    <xf numFmtId="0" fontId="6" fillId="0" borderId="36" xfId="0" applyFont="1" applyBorder="1" applyAlignment="1">
      <alignment horizontal="center"/>
    </xf>
    <xf numFmtId="0" fontId="21" fillId="15" borderId="1" xfId="0" applyNumberFormat="1" applyFont="1" applyFill="1" applyBorder="1" applyAlignment="1">
      <alignment horizontal="center" vertical="center"/>
    </xf>
    <xf numFmtId="0" fontId="21" fillId="15" borderId="3" xfId="0" applyNumberFormat="1" applyFont="1" applyFill="1" applyBorder="1" applyAlignment="1">
      <alignment horizontal="center" vertical="center"/>
    </xf>
    <xf numFmtId="0" fontId="21" fillId="16" borderId="37" xfId="0" applyNumberFormat="1" applyFont="1" applyFill="1" applyBorder="1" applyAlignment="1">
      <alignment horizontal="center" vertical="center"/>
    </xf>
    <xf numFmtId="0" fontId="21" fillId="14" borderId="37" xfId="0" applyNumberFormat="1" applyFont="1" applyFill="1" applyBorder="1" applyAlignment="1">
      <alignment horizontal="center" vertical="center"/>
    </xf>
    <xf numFmtId="0" fontId="21" fillId="0" borderId="3" xfId="0" applyNumberFormat="1" applyFont="1" applyBorder="1" applyAlignment="1">
      <alignment horizontal="center" vertical="center"/>
    </xf>
    <xf numFmtId="0" fontId="21" fillId="0" borderId="38" xfId="0" applyNumberFormat="1" applyFont="1" applyBorder="1" applyAlignment="1">
      <alignment horizontal="center" vertical="center"/>
    </xf>
    <xf numFmtId="0" fontId="21" fillId="15" borderId="39" xfId="0" applyNumberFormat="1" applyFont="1" applyFill="1" applyBorder="1" applyAlignment="1">
      <alignment horizontal="center" vertical="center"/>
    </xf>
    <xf numFmtId="0" fontId="21" fillId="15" borderId="4" xfId="0" applyNumberFormat="1" applyFont="1" applyFill="1" applyBorder="1" applyAlignment="1">
      <alignment horizontal="center" vertical="center"/>
    </xf>
    <xf numFmtId="0" fontId="21" fillId="0" borderId="39" xfId="0" applyNumberFormat="1" applyFont="1" applyBorder="1" applyAlignment="1">
      <alignment horizontal="center" vertical="center"/>
    </xf>
    <xf numFmtId="0" fontId="21" fillId="0" borderId="4" xfId="0" applyNumberFormat="1" applyFont="1" applyBorder="1" applyAlignment="1">
      <alignment horizontal="center" vertical="center"/>
    </xf>
    <xf numFmtId="0" fontId="21" fillId="0" borderId="40" xfId="0" applyNumberFormat="1" applyFont="1" applyBorder="1" applyAlignment="1">
      <alignment horizontal="center" vertical="center"/>
    </xf>
    <xf numFmtId="0" fontId="21" fillId="14" borderId="13" xfId="0" applyNumberFormat="1" applyFont="1" applyFill="1" applyBorder="1" applyAlignment="1">
      <alignment horizontal="center" vertical="center"/>
    </xf>
    <xf numFmtId="0" fontId="21" fillId="15" borderId="40" xfId="0" applyNumberFormat="1" applyFont="1" applyFill="1" applyBorder="1" applyAlignment="1">
      <alignment horizontal="center" vertical="center"/>
    </xf>
    <xf numFmtId="0" fontId="21" fillId="16" borderId="13" xfId="0" applyNumberFormat="1" applyFont="1" applyFill="1" applyBorder="1" applyAlignment="1">
      <alignment horizontal="center" vertical="center"/>
    </xf>
    <xf numFmtId="0" fontId="21" fillId="15" borderId="20" xfId="0" applyNumberFormat="1" applyFont="1" applyFill="1" applyBorder="1" applyAlignment="1">
      <alignment horizontal="center" vertical="center"/>
    </xf>
    <xf numFmtId="0" fontId="21" fillId="15" borderId="5" xfId="0" applyNumberFormat="1" applyFont="1" applyFill="1" applyBorder="1" applyAlignment="1">
      <alignment horizontal="center" vertical="center"/>
    </xf>
    <xf numFmtId="0" fontId="21" fillId="16" borderId="0" xfId="0" applyNumberFormat="1" applyFont="1" applyFill="1" applyAlignment="1">
      <alignment horizontal="center" vertical="center"/>
    </xf>
    <xf numFmtId="0" fontId="21" fillId="16" borderId="0" xfId="0" applyNumberFormat="1" applyFont="1" applyFill="1" applyBorder="1" applyAlignment="1">
      <alignment horizontal="center" vertical="center"/>
    </xf>
    <xf numFmtId="0" fontId="21" fillId="14" borderId="0" xfId="0" applyNumberFormat="1" applyFont="1" applyFill="1" applyAlignment="1">
      <alignment horizontal="center" vertical="center"/>
    </xf>
    <xf numFmtId="0" fontId="21" fillId="15" borderId="33" xfId="0" applyNumberFormat="1" applyFont="1" applyFill="1" applyBorder="1" applyAlignment="1">
      <alignment horizontal="center" vertical="center"/>
    </xf>
    <xf numFmtId="0" fontId="21" fillId="15" borderId="34" xfId="0" applyNumberFormat="1" applyFont="1" applyFill="1" applyBorder="1" applyAlignment="1">
      <alignment horizontal="center" vertical="center"/>
    </xf>
    <xf numFmtId="0" fontId="21" fillId="15" borderId="41" xfId="0" applyNumberFormat="1" applyFont="1" applyFill="1" applyBorder="1" applyAlignment="1">
      <alignment horizontal="center" vertical="center"/>
    </xf>
    <xf numFmtId="0" fontId="21" fillId="0" borderId="41" xfId="0" applyNumberFormat="1" applyFont="1" applyBorder="1" applyAlignment="1">
      <alignment horizontal="center" vertical="center"/>
    </xf>
    <xf numFmtId="0" fontId="57" fillId="13" borderId="8" xfId="0" applyFont="1" applyFill="1" applyBorder="1" applyAlignment="1">
      <alignment horizontal="center"/>
    </xf>
    <xf numFmtId="0" fontId="6" fillId="0" borderId="14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21" fillId="15" borderId="42" xfId="0" applyNumberFormat="1" applyFont="1" applyFill="1" applyBorder="1" applyAlignment="1">
      <alignment horizontal="center" vertical="center"/>
    </xf>
    <xf numFmtId="0" fontId="21" fillId="15" borderId="43" xfId="0" applyNumberFormat="1" applyFont="1" applyFill="1" applyBorder="1" applyAlignment="1">
      <alignment horizontal="center" vertical="center"/>
    </xf>
    <xf numFmtId="0" fontId="21" fillId="16" borderId="44" xfId="0" applyNumberFormat="1" applyFont="1" applyFill="1" applyBorder="1" applyAlignment="1">
      <alignment horizontal="center" vertical="center"/>
    </xf>
    <xf numFmtId="0" fontId="21" fillId="14" borderId="44" xfId="0" applyNumberFormat="1" applyFont="1" applyFill="1" applyBorder="1" applyAlignment="1">
      <alignment horizontal="center" vertical="center"/>
    </xf>
    <xf numFmtId="0" fontId="21" fillId="0" borderId="42" xfId="0" applyNumberFormat="1" applyFont="1" applyBorder="1" applyAlignment="1">
      <alignment horizontal="center" vertical="center"/>
    </xf>
    <xf numFmtId="0" fontId="21" fillId="0" borderId="43" xfId="0" applyNumberFormat="1" applyFont="1" applyBorder="1" applyAlignment="1">
      <alignment horizontal="center" vertical="center"/>
    </xf>
    <xf numFmtId="0" fontId="21" fillId="0" borderId="45" xfId="0" applyNumberFormat="1" applyFont="1" applyBorder="1" applyAlignment="1">
      <alignment horizontal="center" vertical="center"/>
    </xf>
    <xf numFmtId="0" fontId="21" fillId="14" borderId="28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21" fillId="16" borderId="46" xfId="0" applyNumberFormat="1" applyFont="1" applyFill="1" applyBorder="1" applyAlignment="1">
      <alignment horizontal="center" vertical="center"/>
    </xf>
    <xf numFmtId="0" fontId="21" fillId="14" borderId="46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21" fillId="16" borderId="47" xfId="0" applyNumberFormat="1" applyFont="1" applyFill="1" applyBorder="1" applyAlignment="1">
      <alignment horizontal="center" vertical="center"/>
    </xf>
    <xf numFmtId="0" fontId="21" fillId="14" borderId="47" xfId="0" applyNumberFormat="1" applyFont="1" applyFill="1" applyBorder="1" applyAlignment="1">
      <alignment horizontal="center" vertical="center"/>
    </xf>
    <xf numFmtId="0" fontId="21" fillId="0" borderId="20" xfId="0" applyNumberFormat="1" applyFont="1" applyBorder="1" applyAlignment="1">
      <alignment horizontal="center" vertical="center"/>
    </xf>
    <xf numFmtId="0" fontId="21" fillId="0" borderId="5" xfId="0" applyNumberFormat="1" applyFont="1" applyBorder="1" applyAlignment="1">
      <alignment horizontal="center" vertical="center"/>
    </xf>
    <xf numFmtId="0" fontId="21" fillId="0" borderId="48" xfId="0" applyNumberFormat="1" applyFont="1" applyBorder="1" applyAlignment="1">
      <alignment horizontal="center" vertical="center"/>
    </xf>
    <xf numFmtId="0" fontId="21" fillId="14" borderId="17" xfId="0" applyNumberFormat="1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21" fillId="0" borderId="31" xfId="0" applyFont="1" applyBorder="1" applyAlignment="1">
      <alignment horizontal="center" vertical="center"/>
    </xf>
    <xf numFmtId="0" fontId="21" fillId="0" borderId="49" xfId="0" applyFont="1" applyBorder="1" applyAlignment="1">
      <alignment horizontal="center" vertical="center"/>
    </xf>
    <xf numFmtId="0" fontId="5" fillId="0" borderId="36" xfId="0" applyFont="1" applyBorder="1"/>
    <xf numFmtId="0" fontId="21" fillId="5" borderId="40" xfId="0" applyNumberFormat="1" applyFont="1" applyFill="1" applyBorder="1" applyAlignment="1">
      <alignment horizontal="center" vertical="center"/>
    </xf>
    <xf numFmtId="0" fontId="58" fillId="0" borderId="2" xfId="0" applyFont="1" applyBorder="1" applyAlignment="1">
      <alignment horizontal="center" vertical="center" wrapText="1"/>
    </xf>
    <xf numFmtId="0" fontId="58" fillId="0" borderId="6" xfId="0" applyFont="1" applyBorder="1" applyAlignment="1">
      <alignment horizontal="center" vertical="center" wrapText="1"/>
    </xf>
    <xf numFmtId="0" fontId="58" fillId="0" borderId="26" xfId="0" applyFont="1" applyBorder="1" applyAlignment="1">
      <alignment horizontal="center" vertical="center" wrapText="1"/>
    </xf>
    <xf numFmtId="0" fontId="58" fillId="0" borderId="14" xfId="0" applyFont="1" applyBorder="1" applyAlignment="1">
      <alignment horizontal="center" vertical="center" wrapText="1"/>
    </xf>
    <xf numFmtId="0" fontId="58" fillId="0" borderId="8" xfId="0" applyFont="1" applyBorder="1" applyAlignment="1">
      <alignment horizontal="center" vertical="center" wrapText="1"/>
    </xf>
    <xf numFmtId="0" fontId="59" fillId="12" borderId="14" xfId="0" applyFont="1" applyFill="1" applyBorder="1"/>
    <xf numFmtId="0" fontId="26" fillId="5" borderId="14" xfId="0" applyFont="1" applyFill="1" applyBorder="1"/>
    <xf numFmtId="0" fontId="57" fillId="17" borderId="50" xfId="0" applyFont="1" applyFill="1" applyBorder="1" applyAlignment="1">
      <alignment horizontal="center"/>
    </xf>
    <xf numFmtId="14" fontId="57" fillId="18" borderId="0" xfId="0" applyNumberFormat="1" applyFont="1" applyFill="1" applyBorder="1" applyAlignment="1">
      <alignment horizontal="center" vertical="center" wrapText="1"/>
    </xf>
    <xf numFmtId="14" fontId="57" fillId="17" borderId="51" xfId="0" applyNumberFormat="1" applyFont="1" applyFill="1" applyBorder="1" applyAlignment="1">
      <alignment horizontal="center" vertical="center" wrapText="1"/>
    </xf>
    <xf numFmtId="0" fontId="21" fillId="19" borderId="38" xfId="0" applyNumberFormat="1" applyFont="1" applyFill="1" applyBorder="1" applyAlignment="1">
      <alignment horizontal="center" vertical="center"/>
    </xf>
    <xf numFmtId="0" fontId="21" fillId="20" borderId="46" xfId="0" applyNumberFormat="1" applyFont="1" applyFill="1" applyBorder="1" applyAlignment="1">
      <alignment horizontal="center" vertical="center"/>
    </xf>
    <xf numFmtId="0" fontId="60" fillId="19" borderId="38" xfId="0" applyNumberFormat="1" applyFont="1" applyFill="1" applyBorder="1" applyAlignment="1">
      <alignment horizontal="center" vertical="center"/>
    </xf>
    <xf numFmtId="0" fontId="21" fillId="20" borderId="19" xfId="0" applyNumberFormat="1" applyFont="1" applyFill="1" applyBorder="1" applyAlignment="1">
      <alignment horizontal="center" vertical="center"/>
    </xf>
    <xf numFmtId="0" fontId="21" fillId="19" borderId="3" xfId="0" applyNumberFormat="1" applyFont="1" applyFill="1" applyBorder="1" applyAlignment="1">
      <alignment horizontal="center" vertical="center"/>
    </xf>
    <xf numFmtId="14" fontId="57" fillId="17" borderId="52" xfId="0" applyNumberFormat="1" applyFont="1" applyFill="1" applyBorder="1" applyAlignment="1">
      <alignment horizontal="center" vertical="center" wrapText="1"/>
    </xf>
    <xf numFmtId="0" fontId="21" fillId="0" borderId="32" xfId="0" applyFont="1" applyBorder="1" applyAlignment="1">
      <alignment horizontal="center" vertical="center"/>
    </xf>
    <xf numFmtId="0" fontId="21" fillId="19" borderId="4" xfId="0" applyNumberFormat="1" applyFont="1" applyFill="1" applyBorder="1" applyAlignment="1">
      <alignment horizontal="center" vertical="center"/>
    </xf>
    <xf numFmtId="0" fontId="21" fillId="15" borderId="48" xfId="0" applyNumberFormat="1" applyFont="1" applyFill="1" applyBorder="1" applyAlignment="1">
      <alignment horizontal="center" vertical="center"/>
    </xf>
    <xf numFmtId="0" fontId="1" fillId="0" borderId="0" xfId="0" applyFont="1"/>
    <xf numFmtId="1" fontId="27" fillId="5" borderId="13" xfId="0" applyNumberFormat="1" applyFont="1" applyFill="1" applyBorder="1" applyAlignment="1" applyProtection="1">
      <alignment horizontal="center" vertical="center"/>
    </xf>
    <xf numFmtId="0" fontId="28" fillId="0" borderId="14" xfId="1" applyFont="1" applyFill="1" applyBorder="1" applyAlignment="1" applyProtection="1">
      <alignment horizontal="center" vertical="center" wrapText="1"/>
    </xf>
    <xf numFmtId="1" fontId="8" fillId="5" borderId="8" xfId="0" applyNumberFormat="1" applyFont="1" applyFill="1" applyBorder="1" applyAlignment="1">
      <alignment horizontal="center" vertical="center"/>
    </xf>
    <xf numFmtId="0" fontId="9" fillId="10" borderId="0" xfId="0" applyFont="1" applyFill="1" applyBorder="1" applyAlignment="1">
      <alignment horizontal="center" vertical="center" wrapText="1"/>
    </xf>
    <xf numFmtId="0" fontId="9" fillId="5" borderId="38" xfId="0" applyFont="1" applyFill="1" applyBorder="1" applyAlignment="1">
      <alignment horizontal="center" vertical="center" wrapText="1"/>
    </xf>
    <xf numFmtId="49" fontId="9" fillId="10" borderId="37" xfId="5" applyNumberFormat="1" applyFont="1" applyFill="1" applyBorder="1" applyAlignment="1" applyProtection="1">
      <alignment horizontal="center" vertical="center" wrapText="1"/>
    </xf>
    <xf numFmtId="0" fontId="9" fillId="10" borderId="36" xfId="0" applyFont="1" applyFill="1" applyBorder="1" applyAlignment="1">
      <alignment horizontal="left" vertical="center" wrapText="1"/>
    </xf>
    <xf numFmtId="0" fontId="9" fillId="5" borderId="40" xfId="0" applyFont="1" applyFill="1" applyBorder="1" applyAlignment="1">
      <alignment horizontal="center" vertical="center" wrapText="1"/>
    </xf>
    <xf numFmtId="0" fontId="9" fillId="10" borderId="37" xfId="0" applyFont="1" applyFill="1" applyBorder="1" applyAlignment="1">
      <alignment horizontal="center" vertical="center"/>
    </xf>
    <xf numFmtId="0" fontId="9" fillId="10" borderId="45" xfId="0" applyFont="1" applyFill="1" applyBorder="1" applyAlignment="1">
      <alignment horizontal="left" vertical="center" wrapText="1"/>
    </xf>
    <xf numFmtId="0" fontId="9" fillId="10" borderId="40" xfId="0" applyFont="1" applyFill="1" applyBorder="1" applyAlignment="1">
      <alignment horizontal="left" vertical="center" wrapText="1"/>
    </xf>
    <xf numFmtId="0" fontId="9" fillId="5" borderId="35" xfId="0" applyFont="1" applyFill="1" applyBorder="1" applyAlignment="1">
      <alignment vertical="center" wrapText="1"/>
    </xf>
    <xf numFmtId="0" fontId="9" fillId="5" borderId="53" xfId="0" applyFont="1" applyFill="1" applyBorder="1" applyAlignment="1">
      <alignment horizontal="center" vertical="center" wrapText="1"/>
    </xf>
    <xf numFmtId="0" fontId="9" fillId="5" borderId="54" xfId="5" applyFont="1" applyFill="1" applyBorder="1" applyAlignment="1" applyProtection="1">
      <alignment horizontal="center" vertical="center" wrapText="1"/>
    </xf>
    <xf numFmtId="0" fontId="9" fillId="5" borderId="53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14" fontId="10" fillId="5" borderId="11" xfId="0" applyNumberFormat="1" applyFont="1" applyFill="1" applyBorder="1" applyAlignment="1">
      <alignment horizontal="center" vertical="center"/>
    </xf>
    <xf numFmtId="14" fontId="10" fillId="5" borderId="49" xfId="0" applyNumberFormat="1" applyFont="1" applyFill="1" applyBorder="1" applyAlignment="1">
      <alignment horizontal="center" vertical="center"/>
    </xf>
    <xf numFmtId="14" fontId="10" fillId="5" borderId="43" xfId="0" applyNumberFormat="1" applyFont="1" applyFill="1" applyBorder="1" applyAlignment="1">
      <alignment horizontal="center" vertical="center"/>
    </xf>
    <xf numFmtId="14" fontId="10" fillId="5" borderId="4" xfId="0" applyNumberFormat="1" applyFont="1" applyFill="1" applyBorder="1" applyAlignment="1">
      <alignment horizontal="center" vertical="center"/>
    </xf>
    <xf numFmtId="0" fontId="35" fillId="0" borderId="0" xfId="0" applyFont="1"/>
    <xf numFmtId="1" fontId="36" fillId="9" borderId="53" xfId="0" applyNumberFormat="1" applyFont="1" applyFill="1" applyBorder="1" applyAlignment="1">
      <alignment horizontal="center" vertical="center"/>
    </xf>
    <xf numFmtId="1" fontId="36" fillId="9" borderId="36" xfId="0" applyNumberFormat="1" applyFont="1" applyFill="1" applyBorder="1" applyAlignment="1">
      <alignment horizontal="center" vertical="center"/>
    </xf>
    <xf numFmtId="1" fontId="36" fillId="9" borderId="45" xfId="0" applyNumberFormat="1" applyFont="1" applyFill="1" applyBorder="1" applyAlignment="1">
      <alignment horizontal="center" vertical="center"/>
    </xf>
    <xf numFmtId="1" fontId="36" fillId="9" borderId="40" xfId="0" applyNumberFormat="1" applyFont="1" applyFill="1" applyBorder="1" applyAlignment="1">
      <alignment horizontal="center" vertical="center"/>
    </xf>
    <xf numFmtId="0" fontId="38" fillId="0" borderId="14" xfId="1" applyFont="1" applyFill="1" applyBorder="1" applyAlignment="1" applyProtection="1">
      <alignment horizontal="center" vertical="center" wrapText="1"/>
    </xf>
    <xf numFmtId="0" fontId="0" fillId="5" borderId="0" xfId="0" applyFill="1"/>
    <xf numFmtId="0" fontId="5" fillId="7" borderId="8" xfId="0" applyFont="1" applyFill="1" applyBorder="1" applyAlignment="1">
      <alignment horizontal="center"/>
    </xf>
    <xf numFmtId="0" fontId="5" fillId="7" borderId="26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43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5" fillId="7" borderId="42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 vertical="center"/>
    </xf>
    <xf numFmtId="0" fontId="5" fillId="7" borderId="26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5" fillId="7" borderId="43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4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7" borderId="42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42" xfId="0" applyFont="1" applyFill="1" applyBorder="1" applyAlignment="1">
      <alignment horizontal="center" vertical="center"/>
    </xf>
    <xf numFmtId="0" fontId="5" fillId="7" borderId="55" xfId="0" applyFont="1" applyFill="1" applyBorder="1" applyAlignment="1">
      <alignment horizontal="center"/>
    </xf>
    <xf numFmtId="0" fontId="5" fillId="7" borderId="56" xfId="0" applyFont="1" applyFill="1" applyBorder="1" applyAlignment="1">
      <alignment horizontal="center"/>
    </xf>
    <xf numFmtId="0" fontId="5" fillId="7" borderId="55" xfId="0" applyFont="1" applyFill="1" applyBorder="1" applyAlignment="1">
      <alignment horizontal="center" vertical="center"/>
    </xf>
    <xf numFmtId="0" fontId="5" fillId="7" borderId="56" xfId="0" applyFont="1" applyFill="1" applyBorder="1" applyAlignment="1">
      <alignment horizontal="center" vertical="center"/>
    </xf>
    <xf numFmtId="0" fontId="5" fillId="7" borderId="24" xfId="0" applyFont="1" applyFill="1" applyBorder="1" applyAlignment="1">
      <alignment horizontal="center"/>
    </xf>
    <xf numFmtId="0" fontId="5" fillId="5" borderId="55" xfId="0" applyFont="1" applyFill="1" applyBorder="1" applyAlignment="1">
      <alignment horizontal="center" vertical="center"/>
    </xf>
    <xf numFmtId="0" fontId="5" fillId="5" borderId="56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7" borderId="24" xfId="0" applyFont="1" applyFill="1" applyBorder="1" applyAlignment="1">
      <alignment horizontal="center" vertical="center"/>
    </xf>
    <xf numFmtId="0" fontId="5" fillId="6" borderId="56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/>
    </xf>
    <xf numFmtId="0" fontId="5" fillId="5" borderId="56" xfId="0" applyFont="1" applyFill="1" applyBorder="1" applyAlignment="1">
      <alignment horizontal="center"/>
    </xf>
    <xf numFmtId="0" fontId="5" fillId="5" borderId="24" xfId="0" applyFont="1" applyFill="1" applyBorder="1" applyAlignment="1">
      <alignment horizontal="center"/>
    </xf>
    <xf numFmtId="0" fontId="5" fillId="5" borderId="55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39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14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7" borderId="39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5" fillId="7" borderId="39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 vertical="center"/>
    </xf>
    <xf numFmtId="0" fontId="5" fillId="6" borderId="39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168" fontId="23" fillId="0" borderId="57" xfId="0" applyNumberFormat="1" applyFont="1" applyBorder="1" applyAlignment="1">
      <alignment horizontal="right" vertical="center"/>
    </xf>
    <xf numFmtId="168" fontId="23" fillId="4" borderId="57" xfId="0" applyNumberFormat="1" applyFont="1" applyFill="1" applyBorder="1" applyAlignment="1">
      <alignment horizontal="right" vertical="center"/>
    </xf>
    <xf numFmtId="168" fontId="22" fillId="0" borderId="57" xfId="0" applyNumberFormat="1" applyFont="1" applyBorder="1" applyAlignment="1">
      <alignment horizontal="right" vertical="center"/>
    </xf>
    <xf numFmtId="169" fontId="22" fillId="4" borderId="57" xfId="0" applyNumberFormat="1" applyFont="1" applyFill="1" applyBorder="1" applyAlignment="1">
      <alignment horizontal="right" vertical="center"/>
    </xf>
    <xf numFmtId="1" fontId="33" fillId="0" borderId="2" xfId="0" applyNumberFormat="1" applyFont="1" applyFill="1" applyBorder="1" applyAlignment="1">
      <alignment horizontal="center" vertical="center" wrapText="1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12" xfId="0" applyNumberFormat="1" applyFont="1" applyFill="1" applyBorder="1" applyAlignment="1">
      <alignment horizontal="center" vertical="center"/>
    </xf>
    <xf numFmtId="1" fontId="33" fillId="0" borderId="19" xfId="0" applyNumberFormat="1" applyFont="1" applyFill="1" applyBorder="1" applyAlignment="1">
      <alignment horizontal="center" vertical="center"/>
    </xf>
    <xf numFmtId="165" fontId="33" fillId="0" borderId="2" xfId="0" applyNumberFormat="1" applyFont="1" applyFill="1" applyBorder="1" applyAlignment="1">
      <alignment horizontal="center" vertical="center"/>
    </xf>
    <xf numFmtId="14" fontId="12" fillId="0" borderId="3" xfId="0" applyNumberFormat="1" applyFont="1" applyFill="1" applyBorder="1" applyAlignment="1">
      <alignment horizontal="center" vertical="center"/>
    </xf>
    <xf numFmtId="0" fontId="9" fillId="0" borderId="14" xfId="5" applyFont="1" applyFill="1" applyBorder="1" applyAlignment="1" applyProtection="1">
      <alignment horizontal="center" vertical="center" wrapText="1"/>
    </xf>
    <xf numFmtId="1" fontId="33" fillId="0" borderId="14" xfId="0" applyNumberFormat="1" applyFont="1" applyFill="1" applyBorder="1" applyAlignment="1">
      <alignment horizontal="center" vertical="center" wrapText="1"/>
    </xf>
    <xf numFmtId="1" fontId="33" fillId="0" borderId="14" xfId="0" applyNumberFormat="1" applyFont="1" applyFill="1" applyBorder="1" applyAlignment="1">
      <alignment horizontal="center" vertical="center"/>
    </xf>
    <xf numFmtId="1" fontId="33" fillId="0" borderId="15" xfId="0" applyNumberFormat="1" applyFont="1" applyFill="1" applyBorder="1" applyAlignment="1">
      <alignment horizontal="center" vertical="center"/>
    </xf>
    <xf numFmtId="1" fontId="33" fillId="0" borderId="13" xfId="0" applyNumberFormat="1" applyFont="1" applyFill="1" applyBorder="1" applyAlignment="1">
      <alignment horizontal="center" vertical="center"/>
    </xf>
    <xf numFmtId="165" fontId="33" fillId="0" borderId="14" xfId="0" applyNumberFormat="1" applyFont="1" applyFill="1" applyBorder="1" applyAlignment="1">
      <alignment horizontal="center" vertical="center"/>
    </xf>
    <xf numFmtId="14" fontId="12" fillId="0" borderId="4" xfId="0" applyNumberFormat="1" applyFont="1" applyFill="1" applyBorder="1" applyAlignment="1">
      <alignment horizontal="center" vertical="center"/>
    </xf>
    <xf numFmtId="0" fontId="32" fillId="0" borderId="14" xfId="0" applyFont="1" applyFill="1" applyBorder="1" applyAlignment="1">
      <alignment horizontal="left" vertical="center" wrapText="1"/>
    </xf>
    <xf numFmtId="0" fontId="32" fillId="0" borderId="14" xfId="0" applyFont="1" applyFill="1" applyBorder="1" applyAlignment="1">
      <alignment horizontal="center" vertical="center" wrapText="1"/>
    </xf>
    <xf numFmtId="0" fontId="32" fillId="0" borderId="6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/>
    </xf>
    <xf numFmtId="0" fontId="32" fillId="0" borderId="6" xfId="0" applyFont="1" applyFill="1" applyBorder="1" applyAlignment="1">
      <alignment horizontal="left" vertical="center" wrapText="1"/>
    </xf>
    <xf numFmtId="1" fontId="33" fillId="0" borderId="6" xfId="0" applyNumberFormat="1" applyFont="1" applyFill="1" applyBorder="1" applyAlignment="1">
      <alignment horizontal="center" vertical="center"/>
    </xf>
    <xf numFmtId="1" fontId="33" fillId="0" borderId="18" xfId="0" applyNumberFormat="1" applyFont="1" applyFill="1" applyBorder="1" applyAlignment="1">
      <alignment horizontal="center" vertical="center"/>
    </xf>
    <xf numFmtId="1" fontId="33" fillId="0" borderId="17" xfId="0" applyNumberFormat="1" applyFont="1" applyFill="1" applyBorder="1" applyAlignment="1">
      <alignment horizontal="center" vertical="center"/>
    </xf>
    <xf numFmtId="165" fontId="33" fillId="0" borderId="6" xfId="0" applyNumberFormat="1" applyFont="1" applyFill="1" applyBorder="1" applyAlignment="1">
      <alignment horizontal="center" vertical="center"/>
    </xf>
    <xf numFmtId="14" fontId="12" fillId="0" borderId="5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1" fontId="32" fillId="0" borderId="14" xfId="0" applyNumberFormat="1" applyFont="1" applyFill="1" applyBorder="1" applyAlignment="1">
      <alignment horizontal="left" vertical="center" wrapText="1"/>
    </xf>
    <xf numFmtId="0" fontId="32" fillId="0" borderId="15" xfId="0" applyFont="1" applyFill="1" applyBorder="1" applyAlignment="1">
      <alignment horizontal="left" vertical="center" wrapText="1"/>
    </xf>
    <xf numFmtId="0" fontId="32" fillId="0" borderId="13" xfId="0" applyFont="1" applyFill="1" applyBorder="1" applyAlignment="1">
      <alignment horizontal="left" vertical="center" wrapText="1"/>
    </xf>
    <xf numFmtId="0" fontId="32" fillId="0" borderId="4" xfId="0" applyFont="1" applyFill="1" applyBorder="1" applyAlignment="1">
      <alignment horizontal="center" vertical="center" wrapText="1"/>
    </xf>
    <xf numFmtId="0" fontId="32" fillId="0" borderId="26" xfId="0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0" fontId="32" fillId="0" borderId="26" xfId="0" applyFont="1" applyFill="1" applyBorder="1" applyAlignment="1">
      <alignment horizontal="left" vertical="center" wrapText="1"/>
    </xf>
    <xf numFmtId="1" fontId="33" fillId="0" borderId="26" xfId="0" applyNumberFormat="1" applyFont="1" applyFill="1" applyBorder="1" applyAlignment="1">
      <alignment horizontal="center" vertical="center"/>
    </xf>
    <xf numFmtId="1" fontId="33" fillId="0" borderId="16" xfId="0" applyNumberFormat="1" applyFont="1" applyFill="1" applyBorder="1" applyAlignment="1">
      <alignment horizontal="center" vertical="center"/>
    </xf>
    <xf numFmtId="1" fontId="33" fillId="0" borderId="28" xfId="0" applyNumberFormat="1" applyFont="1" applyFill="1" applyBorder="1" applyAlignment="1">
      <alignment horizontal="center" vertical="center"/>
    </xf>
    <xf numFmtId="165" fontId="33" fillId="0" borderId="26" xfId="0" applyNumberFormat="1" applyFont="1" applyFill="1" applyBorder="1" applyAlignment="1">
      <alignment horizontal="center" vertical="center"/>
    </xf>
    <xf numFmtId="14" fontId="12" fillId="0" borderId="43" xfId="0" applyNumberFormat="1" applyFont="1" applyFill="1" applyBorder="1" applyAlignment="1">
      <alignment horizontal="center" vertical="center"/>
    </xf>
    <xf numFmtId="0" fontId="32" fillId="0" borderId="8" xfId="0" applyFont="1" applyFill="1" applyBorder="1" applyAlignment="1">
      <alignment horizontal="center" vertical="center" wrapText="1"/>
    </xf>
    <xf numFmtId="0" fontId="9" fillId="0" borderId="8" xfId="5" applyFont="1" applyFill="1" applyBorder="1" applyAlignment="1" applyProtection="1">
      <alignment horizontal="center" vertical="center" wrapText="1"/>
    </xf>
    <xf numFmtId="0" fontId="32" fillId="0" borderId="8" xfId="0" applyFont="1" applyFill="1" applyBorder="1" applyAlignment="1">
      <alignment horizontal="left" vertical="center" wrapText="1"/>
    </xf>
    <xf numFmtId="1" fontId="32" fillId="0" borderId="8" xfId="0" applyNumberFormat="1" applyFont="1" applyFill="1" applyBorder="1" applyAlignment="1">
      <alignment horizontal="left" vertical="center" wrapText="1"/>
    </xf>
    <xf numFmtId="0" fontId="32" fillId="0" borderId="9" xfId="0" applyFont="1" applyFill="1" applyBorder="1" applyAlignment="1">
      <alignment horizontal="left" vertical="center" wrapText="1"/>
    </xf>
    <xf numFmtId="0" fontId="32" fillId="0" borderId="7" xfId="0" applyFont="1" applyFill="1" applyBorder="1" applyAlignment="1">
      <alignment horizontal="left" vertical="center" wrapText="1"/>
    </xf>
    <xf numFmtId="165" fontId="33" fillId="0" borderId="8" xfId="0" applyNumberFormat="1" applyFont="1" applyFill="1" applyBorder="1" applyAlignment="1">
      <alignment horizontal="center" vertical="center"/>
    </xf>
    <xf numFmtId="0" fontId="32" fillId="0" borderId="11" xfId="0" applyFont="1" applyFill="1" applyBorder="1" applyAlignment="1">
      <alignment horizontal="center" vertical="center" wrapText="1"/>
    </xf>
    <xf numFmtId="0" fontId="61" fillId="0" borderId="2" xfId="0" applyFont="1" applyFill="1" applyBorder="1" applyAlignment="1">
      <alignment horizontal="left" vertical="center" wrapText="1"/>
    </xf>
    <xf numFmtId="1" fontId="33" fillId="0" borderId="6" xfId="0" applyNumberFormat="1" applyFont="1" applyFill="1" applyBorder="1" applyAlignment="1">
      <alignment horizontal="center" vertical="center" wrapText="1"/>
    </xf>
    <xf numFmtId="0" fontId="32" fillId="0" borderId="19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32" fillId="0" borderId="13" xfId="0" applyFont="1" applyFill="1" applyBorder="1" applyAlignment="1">
      <alignment horizontal="center" vertical="center" wrapText="1"/>
    </xf>
    <xf numFmtId="49" fontId="9" fillId="0" borderId="14" xfId="5" applyNumberFormat="1" applyFont="1" applyFill="1" applyBorder="1" applyAlignment="1" applyProtection="1">
      <alignment horizontal="center" vertical="center" wrapText="1"/>
    </xf>
    <xf numFmtId="1" fontId="33" fillId="0" borderId="8" xfId="0" applyNumberFormat="1" applyFont="1" applyFill="1" applyBorder="1" applyAlignment="1">
      <alignment horizontal="center" vertical="center" wrapText="1"/>
    </xf>
    <xf numFmtId="1" fontId="33" fillId="0" borderId="8" xfId="0" applyNumberFormat="1" applyFont="1" applyFill="1" applyBorder="1" applyAlignment="1">
      <alignment horizontal="center" vertical="center"/>
    </xf>
    <xf numFmtId="1" fontId="33" fillId="0" borderId="7" xfId="0" applyNumberFormat="1" applyFont="1" applyFill="1" applyBorder="1" applyAlignment="1">
      <alignment horizontal="center" vertical="center"/>
    </xf>
    <xf numFmtId="14" fontId="12" fillId="0" borderId="11" xfId="0" applyNumberFormat="1" applyFont="1" applyFill="1" applyBorder="1" applyAlignment="1">
      <alignment horizontal="center" vertical="center"/>
    </xf>
    <xf numFmtId="0" fontId="32" fillId="0" borderId="17" xfId="0" applyFont="1" applyFill="1" applyBorder="1" applyAlignment="1">
      <alignment horizontal="center" vertical="center" wrapText="1"/>
    </xf>
    <xf numFmtId="0" fontId="62" fillId="0" borderId="6" xfId="0" applyFont="1" applyFill="1" applyBorder="1" applyAlignment="1">
      <alignment horizontal="center" vertical="center" wrapText="1"/>
    </xf>
    <xf numFmtId="0" fontId="61" fillId="0" borderId="6" xfId="0" applyFont="1" applyFill="1" applyBorder="1" applyAlignment="1">
      <alignment horizontal="left" vertical="center" wrapText="1"/>
    </xf>
    <xf numFmtId="0" fontId="32" fillId="0" borderId="58" xfId="0" applyFont="1" applyFill="1" applyBorder="1" applyAlignment="1">
      <alignment horizontal="center" vertical="center" wrapText="1"/>
    </xf>
    <xf numFmtId="0" fontId="9" fillId="0" borderId="58" xfId="5" applyFont="1" applyFill="1" applyBorder="1" applyAlignment="1" applyProtection="1">
      <alignment horizontal="center" vertical="center" wrapText="1"/>
    </xf>
    <xf numFmtId="1" fontId="33" fillId="0" borderId="58" xfId="0" applyNumberFormat="1" applyFont="1" applyFill="1" applyBorder="1" applyAlignment="1">
      <alignment horizontal="center" vertical="center" wrapText="1"/>
    </xf>
    <xf numFmtId="1" fontId="33" fillId="0" borderId="58" xfId="0" applyNumberFormat="1" applyFont="1" applyFill="1" applyBorder="1" applyAlignment="1">
      <alignment horizontal="center" vertical="center"/>
    </xf>
    <xf numFmtId="1" fontId="33" fillId="0" borderId="59" xfId="0" applyNumberFormat="1" applyFont="1" applyFill="1" applyBorder="1" applyAlignment="1">
      <alignment horizontal="center" vertical="center"/>
    </xf>
    <xf numFmtId="165" fontId="33" fillId="0" borderId="58" xfId="0" applyNumberFormat="1" applyFont="1" applyFill="1" applyBorder="1" applyAlignment="1">
      <alignment horizontal="center" vertical="center"/>
    </xf>
    <xf numFmtId="14" fontId="12" fillId="0" borderId="60" xfId="0" applyNumberFormat="1" applyFont="1" applyFill="1" applyBorder="1" applyAlignment="1">
      <alignment horizontal="center" vertical="center"/>
    </xf>
    <xf numFmtId="0" fontId="62" fillId="0" borderId="2" xfId="0" applyFont="1" applyFill="1" applyBorder="1" applyAlignment="1">
      <alignment horizontal="center" vertical="center" wrapText="1"/>
    </xf>
    <xf numFmtId="0" fontId="32" fillId="0" borderId="24" xfId="0" applyFont="1" applyFill="1" applyBorder="1" applyAlignment="1">
      <alignment vertical="center" wrapText="1"/>
    </xf>
    <xf numFmtId="1" fontId="32" fillId="0" borderId="26" xfId="0" applyNumberFormat="1" applyFont="1" applyFill="1" applyBorder="1" applyAlignment="1">
      <alignment horizontal="left" vertical="center" wrapText="1"/>
    </xf>
    <xf numFmtId="0" fontId="32" fillId="0" borderId="16" xfId="0" applyFont="1" applyFill="1" applyBorder="1" applyAlignment="1">
      <alignment horizontal="left" vertical="center" wrapText="1"/>
    </xf>
    <xf numFmtId="0" fontId="15" fillId="0" borderId="61" xfId="0" applyFont="1" applyFill="1" applyBorder="1" applyAlignment="1">
      <alignment horizontal="left" vertical="center" wrapText="1"/>
    </xf>
    <xf numFmtId="0" fontId="9" fillId="0" borderId="8" xfId="0" applyFont="1" applyFill="1" applyBorder="1" applyAlignment="1">
      <alignment horizontal="center" vertical="center"/>
    </xf>
    <xf numFmtId="0" fontId="15" fillId="0" borderId="62" xfId="0" applyFont="1" applyFill="1" applyBorder="1" applyAlignment="1">
      <alignment horizontal="left" vertical="center" wrapText="1"/>
    </xf>
    <xf numFmtId="0" fontId="12" fillId="0" borderId="33" xfId="0" applyFont="1" applyFill="1" applyBorder="1" applyAlignment="1">
      <alignment vertical="center"/>
    </xf>
    <xf numFmtId="0" fontId="10" fillId="0" borderId="63" xfId="0" applyFont="1" applyFill="1" applyBorder="1" applyAlignment="1">
      <alignment horizontal="center" vertical="center"/>
    </xf>
    <xf numFmtId="0" fontId="12" fillId="0" borderId="2" xfId="0" applyFont="1" applyFill="1" applyBorder="1"/>
    <xf numFmtId="1" fontId="34" fillId="0" borderId="64" xfId="0" applyNumberFormat="1" applyFont="1" applyFill="1" applyBorder="1" applyAlignment="1">
      <alignment horizontal="center" vertical="center"/>
    </xf>
    <xf numFmtId="0" fontId="12" fillId="0" borderId="6" xfId="0" applyFont="1" applyFill="1" applyBorder="1"/>
    <xf numFmtId="0" fontId="12" fillId="0" borderId="14" xfId="0" applyFont="1" applyFill="1" applyBorder="1"/>
    <xf numFmtId="0" fontId="12" fillId="0" borderId="65" xfId="0" applyFont="1" applyFill="1" applyBorder="1" applyAlignment="1">
      <alignment vertical="center"/>
    </xf>
    <xf numFmtId="0" fontId="12" fillId="0" borderId="51" xfId="0" applyFont="1" applyFill="1" applyBorder="1" applyAlignment="1">
      <alignment vertical="center"/>
    </xf>
    <xf numFmtId="0" fontId="10" fillId="0" borderId="66" xfId="0" applyFont="1" applyFill="1" applyBorder="1" applyAlignment="1">
      <alignment horizontal="center" vertical="center"/>
    </xf>
    <xf numFmtId="0" fontId="12" fillId="0" borderId="31" xfId="0" applyFont="1" applyFill="1" applyBorder="1"/>
    <xf numFmtId="0" fontId="10" fillId="0" borderId="66" xfId="0" applyFont="1" applyFill="1" applyBorder="1" applyAlignment="1">
      <alignment horizontal="center"/>
    </xf>
    <xf numFmtId="0" fontId="12" fillId="0" borderId="58" xfId="0" applyFont="1" applyFill="1" applyBorder="1"/>
    <xf numFmtId="1" fontId="33" fillId="0" borderId="9" xfId="0" applyNumberFormat="1" applyFont="1" applyFill="1" applyBorder="1" applyAlignment="1">
      <alignment horizontal="center" vertical="center"/>
    </xf>
    <xf numFmtId="1" fontId="34" fillId="0" borderId="62" xfId="0" applyNumberFormat="1" applyFont="1" applyFill="1" applyBorder="1" applyAlignment="1">
      <alignment horizontal="center" vertical="center"/>
    </xf>
    <xf numFmtId="0" fontId="9" fillId="8" borderId="2" xfId="5" applyFont="1" applyFill="1" applyBorder="1" applyAlignment="1" applyProtection="1">
      <alignment horizontal="center" vertical="center" wrapText="1"/>
    </xf>
    <xf numFmtId="1" fontId="33" fillId="8" borderId="2" xfId="0" applyNumberFormat="1" applyFont="1" applyFill="1" applyBorder="1" applyAlignment="1">
      <alignment horizontal="center" vertical="center" wrapText="1"/>
    </xf>
    <xf numFmtId="1" fontId="33" fillId="8" borderId="2" xfId="0" applyNumberFormat="1" applyFont="1" applyFill="1" applyBorder="1" applyAlignment="1">
      <alignment horizontal="center" vertical="center"/>
    </xf>
    <xf numFmtId="1" fontId="33" fillId="8" borderId="12" xfId="0" applyNumberFormat="1" applyFont="1" applyFill="1" applyBorder="1" applyAlignment="1">
      <alignment horizontal="center" vertical="center"/>
    </xf>
    <xf numFmtId="1" fontId="33" fillId="8" borderId="19" xfId="0" applyNumberFormat="1" applyFont="1" applyFill="1" applyBorder="1" applyAlignment="1">
      <alignment horizontal="center" vertical="center"/>
    </xf>
    <xf numFmtId="165" fontId="33" fillId="8" borderId="2" xfId="0" applyNumberFormat="1" applyFont="1" applyFill="1" applyBorder="1" applyAlignment="1">
      <alignment horizontal="center" vertical="center"/>
    </xf>
    <xf numFmtId="14" fontId="12" fillId="8" borderId="3" xfId="0" applyNumberFormat="1" applyFont="1" applyFill="1" applyBorder="1" applyAlignment="1">
      <alignment horizontal="center" vertical="center"/>
    </xf>
    <xf numFmtId="0" fontId="9" fillId="8" borderId="14" xfId="5" applyFont="1" applyFill="1" applyBorder="1" applyAlignment="1" applyProtection="1">
      <alignment horizontal="center" vertical="center" wrapText="1"/>
    </xf>
    <xf numFmtId="1" fontId="33" fillId="8" borderId="14" xfId="0" applyNumberFormat="1" applyFont="1" applyFill="1" applyBorder="1" applyAlignment="1">
      <alignment horizontal="center" vertical="center" wrapText="1"/>
    </xf>
    <xf numFmtId="1" fontId="33" fillId="8" borderId="14" xfId="0" applyNumberFormat="1" applyFont="1" applyFill="1" applyBorder="1" applyAlignment="1">
      <alignment horizontal="center" vertical="center"/>
    </xf>
    <xf numFmtId="1" fontId="33" fillId="8" borderId="15" xfId="0" applyNumberFormat="1" applyFont="1" applyFill="1" applyBorder="1" applyAlignment="1">
      <alignment horizontal="center" vertical="center"/>
    </xf>
    <xf numFmtId="1" fontId="33" fillId="8" borderId="13" xfId="0" applyNumberFormat="1" applyFont="1" applyFill="1" applyBorder="1" applyAlignment="1">
      <alignment horizontal="center" vertical="center"/>
    </xf>
    <xf numFmtId="165" fontId="33" fillId="8" borderId="14" xfId="0" applyNumberFormat="1" applyFont="1" applyFill="1" applyBorder="1" applyAlignment="1">
      <alignment horizontal="center" vertical="center"/>
    </xf>
    <xf numFmtId="14" fontId="12" fillId="8" borderId="4" xfId="0" applyNumberFormat="1" applyFont="1" applyFill="1" applyBorder="1" applyAlignment="1">
      <alignment horizontal="center" vertical="center"/>
    </xf>
    <xf numFmtId="0" fontId="32" fillId="8" borderId="14" xfId="0" applyFont="1" applyFill="1" applyBorder="1" applyAlignment="1">
      <alignment horizontal="left" vertical="center" wrapText="1"/>
    </xf>
    <xf numFmtId="0" fontId="32" fillId="8" borderId="14" xfId="0" applyFont="1" applyFill="1" applyBorder="1" applyAlignment="1">
      <alignment horizontal="center" vertical="center" wrapText="1"/>
    </xf>
    <xf numFmtId="0" fontId="32" fillId="8" borderId="6" xfId="0" applyFont="1" applyFill="1" applyBorder="1" applyAlignment="1">
      <alignment horizontal="center" vertical="center" wrapText="1"/>
    </xf>
    <xf numFmtId="0" fontId="9" fillId="8" borderId="6" xfId="0" applyFont="1" applyFill="1" applyBorder="1" applyAlignment="1">
      <alignment horizontal="center" vertical="center"/>
    </xf>
    <xf numFmtId="1" fontId="33" fillId="8" borderId="6" xfId="0" applyNumberFormat="1" applyFont="1" applyFill="1" applyBorder="1" applyAlignment="1">
      <alignment horizontal="center" vertical="center"/>
    </xf>
    <xf numFmtId="1" fontId="33" fillId="8" borderId="18" xfId="0" applyNumberFormat="1" applyFont="1" applyFill="1" applyBorder="1" applyAlignment="1">
      <alignment horizontal="center" vertical="center"/>
    </xf>
    <xf numFmtId="1" fontId="33" fillId="8" borderId="17" xfId="0" applyNumberFormat="1" applyFont="1" applyFill="1" applyBorder="1" applyAlignment="1">
      <alignment horizontal="center" vertical="center"/>
    </xf>
    <xf numFmtId="165" fontId="33" fillId="8" borderId="6" xfId="0" applyNumberFormat="1" applyFont="1" applyFill="1" applyBorder="1" applyAlignment="1">
      <alignment horizontal="center" vertical="center"/>
    </xf>
    <xf numFmtId="14" fontId="12" fillId="8" borderId="5" xfId="0" applyNumberFormat="1" applyFont="1" applyFill="1" applyBorder="1" applyAlignment="1">
      <alignment horizontal="center" vertical="center"/>
    </xf>
    <xf numFmtId="0" fontId="32" fillId="8" borderId="2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 wrapText="1"/>
    </xf>
    <xf numFmtId="1" fontId="32" fillId="8" borderId="14" xfId="0" applyNumberFormat="1" applyFont="1" applyFill="1" applyBorder="1" applyAlignment="1">
      <alignment horizontal="left" vertical="center" wrapText="1"/>
    </xf>
    <xf numFmtId="0" fontId="32" fillId="8" borderId="15" xfId="0" applyFont="1" applyFill="1" applyBorder="1" applyAlignment="1">
      <alignment horizontal="left" vertical="center" wrapText="1"/>
    </xf>
    <xf numFmtId="0" fontId="32" fillId="8" borderId="13" xfId="0" applyFont="1" applyFill="1" applyBorder="1" applyAlignment="1">
      <alignment horizontal="left" vertical="center" wrapText="1"/>
    </xf>
    <xf numFmtId="1" fontId="33" fillId="8" borderId="6" xfId="0" applyNumberFormat="1" applyFont="1" applyFill="1" applyBorder="1" applyAlignment="1">
      <alignment horizontal="center" vertical="center" wrapText="1"/>
    </xf>
    <xf numFmtId="0" fontId="32" fillId="8" borderId="28" xfId="0" applyFont="1" applyFill="1" applyBorder="1" applyAlignment="1">
      <alignment horizontal="center" vertical="center" wrapText="1"/>
    </xf>
    <xf numFmtId="0" fontId="9" fillId="8" borderId="26" xfId="5" applyFont="1" applyFill="1" applyBorder="1" applyAlignment="1" applyProtection="1">
      <alignment horizontal="center" vertical="center" wrapText="1"/>
    </xf>
    <xf numFmtId="1" fontId="33" fillId="8" borderId="26" xfId="0" applyNumberFormat="1" applyFont="1" applyFill="1" applyBorder="1" applyAlignment="1">
      <alignment horizontal="center" vertical="center" wrapText="1"/>
    </xf>
    <xf numFmtId="1" fontId="33" fillId="8" borderId="26" xfId="0" applyNumberFormat="1" applyFont="1" applyFill="1" applyBorder="1" applyAlignment="1">
      <alignment horizontal="center" vertical="center"/>
    </xf>
    <xf numFmtId="1" fontId="33" fillId="8" borderId="16" xfId="0" applyNumberFormat="1" applyFont="1" applyFill="1" applyBorder="1" applyAlignment="1">
      <alignment horizontal="center" vertical="center"/>
    </xf>
    <xf numFmtId="1" fontId="33" fillId="8" borderId="28" xfId="0" applyNumberFormat="1" applyFont="1" applyFill="1" applyBorder="1" applyAlignment="1">
      <alignment horizontal="center" vertical="center"/>
    </xf>
    <xf numFmtId="165" fontId="33" fillId="8" borderId="26" xfId="0" applyNumberFormat="1" applyFont="1" applyFill="1" applyBorder="1" applyAlignment="1">
      <alignment horizontal="center" vertical="center"/>
    </xf>
    <xf numFmtId="14" fontId="12" fillId="8" borderId="43" xfId="0" applyNumberFormat="1" applyFont="1" applyFill="1" applyBorder="1" applyAlignment="1">
      <alignment horizontal="center" vertical="center"/>
    </xf>
    <xf numFmtId="0" fontId="32" fillId="8" borderId="13" xfId="0" applyFont="1" applyFill="1" applyBorder="1" applyAlignment="1">
      <alignment horizontal="center" vertical="center" wrapText="1"/>
    </xf>
    <xf numFmtId="0" fontId="62" fillId="8" borderId="14" xfId="0" applyFont="1" applyFill="1" applyBorder="1" applyAlignment="1">
      <alignment horizontal="center" vertical="center" wrapText="1"/>
    </xf>
    <xf numFmtId="0" fontId="61" fillId="8" borderId="14" xfId="0" applyFont="1" applyFill="1" applyBorder="1" applyAlignment="1">
      <alignment horizontal="left" vertical="center" wrapText="1"/>
    </xf>
    <xf numFmtId="0" fontId="62" fillId="8" borderId="6" xfId="0" applyFont="1" applyFill="1" applyBorder="1" applyAlignment="1">
      <alignment horizontal="center" vertical="center" wrapText="1"/>
    </xf>
    <xf numFmtId="0" fontId="61" fillId="8" borderId="6" xfId="0" applyFont="1" applyFill="1" applyBorder="1" applyAlignment="1">
      <alignment horizontal="left" vertical="center" wrapText="1"/>
    </xf>
    <xf numFmtId="0" fontId="12" fillId="8" borderId="13" xfId="0" applyFont="1" applyFill="1" applyBorder="1" applyAlignment="1">
      <alignment horizontal="center" vertical="center" wrapText="1"/>
    </xf>
    <xf numFmtId="0" fontId="37" fillId="8" borderId="2" xfId="5" applyFont="1" applyFill="1" applyBorder="1" applyAlignment="1" applyProtection="1">
      <alignment horizontal="left" vertical="center" wrapText="1"/>
    </xf>
    <xf numFmtId="0" fontId="37" fillId="8" borderId="14" xfId="5" applyFont="1" applyFill="1" applyBorder="1" applyAlignment="1" applyProtection="1">
      <alignment horizontal="left" vertical="center" wrapText="1"/>
    </xf>
    <xf numFmtId="0" fontId="37" fillId="8" borderId="14" xfId="0" applyFont="1" applyFill="1" applyBorder="1" applyAlignment="1">
      <alignment horizontal="left" vertical="center" wrapText="1"/>
    </xf>
    <xf numFmtId="0" fontId="37" fillId="8" borderId="6" xfId="0" applyFont="1" applyFill="1" applyBorder="1" applyAlignment="1">
      <alignment horizontal="left" vertical="center" wrapText="1"/>
    </xf>
    <xf numFmtId="0" fontId="37" fillId="0" borderId="2" xfId="0" applyFont="1" applyFill="1" applyBorder="1" applyAlignment="1">
      <alignment horizontal="left" vertical="center" wrapText="1"/>
    </xf>
    <xf numFmtId="0" fontId="37" fillId="0" borderId="14" xfId="0" applyFont="1" applyFill="1" applyBorder="1" applyAlignment="1">
      <alignment horizontal="left" vertical="center" wrapText="1"/>
    </xf>
    <xf numFmtId="0" fontId="37" fillId="0" borderId="6" xfId="0" applyFont="1" applyFill="1" applyBorder="1" applyAlignment="1">
      <alignment horizontal="left" vertical="center" wrapText="1"/>
    </xf>
    <xf numFmtId="0" fontId="37" fillId="0" borderId="26" xfId="0" applyFont="1" applyFill="1" applyBorder="1" applyAlignment="1">
      <alignment horizontal="left" vertical="center" wrapText="1"/>
    </xf>
    <xf numFmtId="0" fontId="37" fillId="0" borderId="8" xfId="0" applyFont="1" applyFill="1" applyBorder="1" applyAlignment="1">
      <alignment horizontal="left" vertical="center" wrapText="1"/>
    </xf>
    <xf numFmtId="0" fontId="63" fillId="8" borderId="2" xfId="0" applyFont="1" applyFill="1" applyBorder="1" applyAlignment="1">
      <alignment horizontal="left" vertical="center" wrapText="1"/>
    </xf>
    <xf numFmtId="0" fontId="37" fillId="0" borderId="14" xfId="5" applyFont="1" applyFill="1" applyBorder="1" applyAlignment="1" applyProtection="1">
      <alignment horizontal="left" vertical="center" wrapText="1"/>
    </xf>
    <xf numFmtId="0" fontId="37" fillId="0" borderId="8" xfId="5" applyFont="1" applyFill="1" applyBorder="1" applyAlignment="1" applyProtection="1">
      <alignment horizontal="left" vertical="center" wrapText="1"/>
    </xf>
    <xf numFmtId="0" fontId="37" fillId="8" borderId="26" xfId="0" applyFont="1" applyFill="1" applyBorder="1" applyAlignment="1">
      <alignment horizontal="left" vertical="center" wrapText="1"/>
    </xf>
    <xf numFmtId="0" fontId="63" fillId="8" borderId="14" xfId="0" applyFont="1" applyFill="1" applyBorder="1" applyAlignment="1">
      <alignment horizontal="left" vertical="center" wrapText="1"/>
    </xf>
    <xf numFmtId="0" fontId="63" fillId="8" borderId="6" xfId="0" applyFont="1" applyFill="1" applyBorder="1" applyAlignment="1">
      <alignment horizontal="left" vertical="center" wrapText="1"/>
    </xf>
    <xf numFmtId="0" fontId="37" fillId="0" borderId="58" xfId="5" applyFont="1" applyFill="1" applyBorder="1" applyAlignment="1" applyProtection="1">
      <alignment horizontal="left" vertical="center" wrapText="1"/>
    </xf>
    <xf numFmtId="0" fontId="37" fillId="8" borderId="26" xfId="5" applyFont="1" applyFill="1" applyBorder="1" applyAlignment="1" applyProtection="1">
      <alignment horizontal="left" vertical="center" wrapText="1"/>
    </xf>
    <xf numFmtId="0" fontId="35" fillId="0" borderId="2" xfId="0" applyFont="1" applyFill="1" applyBorder="1"/>
    <xf numFmtId="0" fontId="35" fillId="0" borderId="6" xfId="0" applyFont="1" applyFill="1" applyBorder="1"/>
    <xf numFmtId="0" fontId="35" fillId="0" borderId="14" xfId="0" applyFont="1" applyFill="1" applyBorder="1"/>
    <xf numFmtId="0" fontId="35" fillId="0" borderId="31" xfId="0" applyFont="1" applyFill="1" applyBorder="1"/>
    <xf numFmtId="0" fontId="35" fillId="0" borderId="58" xfId="0" applyFont="1" applyFill="1" applyBorder="1"/>
    <xf numFmtId="0" fontId="35" fillId="0" borderId="42" xfId="0" applyFont="1" applyFill="1" applyBorder="1" applyAlignment="1">
      <alignment vertical="center" wrapText="1"/>
    </xf>
    <xf numFmtId="0" fontId="35" fillId="0" borderId="39" xfId="0" applyFont="1" applyFill="1" applyBorder="1" applyAlignment="1">
      <alignment vertical="center" wrapText="1"/>
    </xf>
    <xf numFmtId="0" fontId="35" fillId="0" borderId="10" xfId="0" applyFont="1" applyFill="1" applyBorder="1" applyAlignment="1">
      <alignment vertical="center" wrapText="1"/>
    </xf>
    <xf numFmtId="0" fontId="37" fillId="0" borderId="63" xfId="0" applyFont="1" applyFill="1" applyBorder="1" applyAlignment="1">
      <alignment vertical="center" wrapText="1"/>
    </xf>
    <xf numFmtId="0" fontId="37" fillId="0" borderId="56" xfId="0" applyFont="1" applyFill="1" applyBorder="1" applyAlignment="1">
      <alignment vertical="center" wrapText="1"/>
    </xf>
    <xf numFmtId="0" fontId="37" fillId="0" borderId="42" xfId="0" applyFont="1" applyFill="1" applyBorder="1" applyAlignment="1">
      <alignment vertical="center" wrapText="1"/>
    </xf>
    <xf numFmtId="0" fontId="35" fillId="0" borderId="53" xfId="0" applyFont="1" applyFill="1" applyBorder="1" applyAlignment="1">
      <alignment vertical="center"/>
    </xf>
    <xf numFmtId="0" fontId="35" fillId="0" borderId="41" xfId="0" applyFont="1" applyFill="1" applyBorder="1" applyAlignment="1">
      <alignment vertical="center"/>
    </xf>
    <xf numFmtId="0" fontId="35" fillId="0" borderId="67" xfId="0" applyFont="1" applyFill="1" applyBorder="1" applyAlignment="1">
      <alignment vertical="center"/>
    </xf>
    <xf numFmtId="0" fontId="35" fillId="0" borderId="35" xfId="0" applyFont="1" applyFill="1" applyBorder="1" applyAlignment="1">
      <alignment vertical="center"/>
    </xf>
    <xf numFmtId="1" fontId="39" fillId="9" borderId="38" xfId="0" applyNumberFormat="1" applyFont="1" applyFill="1" applyBorder="1" applyAlignment="1">
      <alignment horizontal="center" vertical="center"/>
    </xf>
    <xf numFmtId="1" fontId="39" fillId="9" borderId="40" xfId="0" applyNumberFormat="1" applyFont="1" applyFill="1" applyBorder="1" applyAlignment="1">
      <alignment horizontal="center" vertical="center"/>
    </xf>
    <xf numFmtId="1" fontId="39" fillId="9" borderId="48" xfId="0" applyNumberFormat="1" applyFont="1" applyFill="1" applyBorder="1" applyAlignment="1">
      <alignment horizontal="center" vertical="center"/>
    </xf>
    <xf numFmtId="0" fontId="18" fillId="9" borderId="40" xfId="0" applyFont="1" applyFill="1" applyBorder="1" applyAlignment="1">
      <alignment horizontal="left" vertical="center" wrapText="1"/>
    </xf>
    <xf numFmtId="1" fontId="39" fillId="9" borderId="45" xfId="0" applyNumberFormat="1" applyFont="1" applyFill="1" applyBorder="1" applyAlignment="1">
      <alignment horizontal="center" vertical="center"/>
    </xf>
    <xf numFmtId="0" fontId="18" fillId="9" borderId="53" xfId="0" applyFont="1" applyFill="1" applyBorder="1" applyAlignment="1">
      <alignment horizontal="left" vertical="center" wrapText="1"/>
    </xf>
    <xf numFmtId="1" fontId="39" fillId="9" borderId="53" xfId="0" applyNumberFormat="1" applyFont="1" applyFill="1" applyBorder="1" applyAlignment="1">
      <alignment horizontal="center" vertical="center"/>
    </xf>
    <xf numFmtId="0" fontId="18" fillId="9" borderId="45" xfId="0" applyFont="1" applyFill="1" applyBorder="1" applyAlignment="1">
      <alignment horizontal="left" vertical="center" wrapText="1"/>
    </xf>
    <xf numFmtId="0" fontId="28" fillId="0" borderId="0" xfId="0" applyFont="1" applyBorder="1"/>
    <xf numFmtId="0" fontId="13" fillId="0" borderId="0" xfId="0" applyFont="1" applyBorder="1"/>
    <xf numFmtId="1" fontId="39" fillId="9" borderId="35" xfId="0" applyNumberFormat="1" applyFont="1" applyFill="1" applyBorder="1" applyAlignment="1">
      <alignment horizontal="center" vertical="center"/>
    </xf>
    <xf numFmtId="1" fontId="27" fillId="5" borderId="14" xfId="0" applyNumberFormat="1" applyFont="1" applyFill="1" applyBorder="1" applyAlignment="1" applyProtection="1">
      <alignment horizontal="center" vertical="center"/>
    </xf>
    <xf numFmtId="0" fontId="25" fillId="0" borderId="26" xfId="0" applyFont="1" applyBorder="1" applyAlignment="1">
      <alignment horizontal="center" vertical="center" wrapText="1"/>
    </xf>
    <xf numFmtId="0" fontId="25" fillId="0" borderId="31" xfId="0" applyFont="1" applyBorder="1" applyAlignment="1">
      <alignment horizontal="center" vertical="center" wrapText="1"/>
    </xf>
    <xf numFmtId="1" fontId="27" fillId="5" borderId="2" xfId="0" applyNumberFormat="1" applyFont="1" applyFill="1" applyBorder="1" applyAlignment="1" applyProtection="1">
      <alignment horizontal="center" vertical="center"/>
    </xf>
    <xf numFmtId="1" fontId="27" fillId="5" borderId="6" xfId="0" applyNumberFormat="1" applyFont="1" applyFill="1" applyBorder="1" applyAlignment="1" applyProtection="1">
      <alignment horizontal="center" vertical="center"/>
    </xf>
    <xf numFmtId="1" fontId="27" fillId="21" borderId="17" xfId="0" applyNumberFormat="1" applyFont="1" applyFill="1" applyBorder="1" applyAlignment="1" applyProtection="1">
      <alignment horizontal="center" vertical="center"/>
    </xf>
    <xf numFmtId="0" fontId="1" fillId="0" borderId="14" xfId="0" applyFont="1" applyBorder="1"/>
    <xf numFmtId="0" fontId="31" fillId="10" borderId="28" xfId="0" applyFont="1" applyFill="1" applyBorder="1" applyAlignment="1">
      <alignment horizontal="center" vertical="center" wrapText="1"/>
    </xf>
    <xf numFmtId="0" fontId="62" fillId="10" borderId="24" xfId="0" applyFont="1" applyFill="1" applyBorder="1" applyAlignment="1">
      <alignment horizontal="left" vertical="center" wrapText="1"/>
    </xf>
    <xf numFmtId="1" fontId="8" fillId="10" borderId="24" xfId="0" applyNumberFormat="1" applyFont="1" applyFill="1" applyBorder="1" applyAlignment="1">
      <alignment horizontal="center" vertical="center"/>
    </xf>
    <xf numFmtId="164" fontId="8" fillId="10" borderId="24" xfId="0" applyNumberFormat="1" applyFont="1" applyFill="1" applyBorder="1" applyAlignment="1">
      <alignment horizontal="center" vertical="center"/>
    </xf>
    <xf numFmtId="1" fontId="8" fillId="10" borderId="25" xfId="0" applyNumberFormat="1" applyFont="1" applyFill="1" applyBorder="1" applyAlignment="1">
      <alignment horizontal="center" vertical="center"/>
    </xf>
    <xf numFmtId="1" fontId="36" fillId="9" borderId="41" xfId="0" applyNumberFormat="1" applyFont="1" applyFill="1" applyBorder="1" applyAlignment="1">
      <alignment horizontal="center" vertical="center"/>
    </xf>
    <xf numFmtId="1" fontId="11" fillId="10" borderId="23" xfId="0" applyNumberFormat="1" applyFont="1" applyFill="1" applyBorder="1" applyAlignment="1">
      <alignment horizontal="center" vertical="center"/>
    </xf>
    <xf numFmtId="165" fontId="8" fillId="10" borderId="24" xfId="0" applyNumberFormat="1" applyFont="1" applyFill="1" applyBorder="1" applyAlignment="1">
      <alignment horizontal="center" vertical="center"/>
    </xf>
    <xf numFmtId="14" fontId="10" fillId="5" borderId="55" xfId="0" applyNumberFormat="1" applyFont="1" applyFill="1" applyBorder="1" applyAlignment="1">
      <alignment horizontal="center" vertical="center"/>
    </xf>
    <xf numFmtId="0" fontId="64" fillId="5" borderId="0" xfId="0" applyFont="1" applyFill="1" applyBorder="1" applyAlignment="1">
      <alignment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" fontId="39" fillId="9" borderId="64" xfId="0" applyNumberFormat="1" applyFont="1" applyFill="1" applyBorder="1" applyAlignment="1">
      <alignment horizontal="center" vertical="center"/>
    </xf>
    <xf numFmtId="1" fontId="39" fillId="9" borderId="68" xfId="0" applyNumberFormat="1" applyFont="1" applyFill="1" applyBorder="1" applyAlignment="1">
      <alignment horizontal="center" vertical="center"/>
    </xf>
    <xf numFmtId="1" fontId="33" fillId="0" borderId="25" xfId="0" applyNumberFormat="1" applyFont="1" applyFill="1" applyBorder="1" applyAlignment="1">
      <alignment horizontal="center" vertical="center"/>
    </xf>
    <xf numFmtId="1" fontId="39" fillId="9" borderId="62" xfId="0" applyNumberFormat="1" applyFont="1" applyFill="1" applyBorder="1" applyAlignment="1">
      <alignment horizontal="center" vertical="center"/>
    </xf>
    <xf numFmtId="165" fontId="8" fillId="10" borderId="25" xfId="0" applyNumberFormat="1" applyFont="1" applyFill="1" applyBorder="1" applyAlignment="1">
      <alignment horizontal="center" vertical="center"/>
    </xf>
    <xf numFmtId="165" fontId="8" fillId="10" borderId="32" xfId="0" applyNumberFormat="1" applyFont="1" applyFill="1" applyBorder="1" applyAlignment="1">
      <alignment horizontal="center" vertical="center"/>
    </xf>
    <xf numFmtId="165" fontId="8" fillId="10" borderId="16" xfId="0" applyNumberFormat="1" applyFont="1" applyFill="1" applyBorder="1" applyAlignment="1">
      <alignment horizontal="center" vertical="center"/>
    </xf>
    <xf numFmtId="165" fontId="8" fillId="10" borderId="15" xfId="0" applyNumberFormat="1" applyFont="1" applyFill="1" applyBorder="1" applyAlignment="1">
      <alignment horizontal="center" vertical="center"/>
    </xf>
    <xf numFmtId="165" fontId="8" fillId="5" borderId="9" xfId="0" applyNumberFormat="1" applyFont="1" applyFill="1" applyBorder="1" applyAlignment="1">
      <alignment horizontal="center" vertical="center"/>
    </xf>
    <xf numFmtId="165" fontId="36" fillId="8" borderId="12" xfId="0" applyNumberFormat="1" applyFont="1" applyFill="1" applyBorder="1" applyAlignment="1">
      <alignment horizontal="center" vertical="center"/>
    </xf>
    <xf numFmtId="165" fontId="36" fillId="8" borderId="15" xfId="0" applyNumberFormat="1" applyFont="1" applyFill="1" applyBorder="1" applyAlignment="1">
      <alignment horizontal="center" vertical="center"/>
    </xf>
    <xf numFmtId="165" fontId="36" fillId="8" borderId="18" xfId="0" applyNumberFormat="1" applyFont="1" applyFill="1" applyBorder="1" applyAlignment="1">
      <alignment horizontal="center" vertical="center"/>
    </xf>
    <xf numFmtId="165" fontId="36" fillId="0" borderId="12" xfId="0" applyNumberFormat="1" applyFont="1" applyFill="1" applyBorder="1" applyAlignment="1">
      <alignment horizontal="center" vertical="center"/>
    </xf>
    <xf numFmtId="165" fontId="36" fillId="0" borderId="15" xfId="0" applyNumberFormat="1" applyFont="1" applyFill="1" applyBorder="1" applyAlignment="1">
      <alignment horizontal="center" vertical="center"/>
    </xf>
    <xf numFmtId="0" fontId="41" fillId="0" borderId="15" xfId="0" applyFont="1" applyFill="1" applyBorder="1" applyAlignment="1">
      <alignment horizontal="left" vertical="center" wrapText="1"/>
    </xf>
    <xf numFmtId="165" fontId="36" fillId="0" borderId="18" xfId="0" applyNumberFormat="1" applyFont="1" applyFill="1" applyBorder="1" applyAlignment="1">
      <alignment horizontal="center" vertical="center"/>
    </xf>
    <xf numFmtId="165" fontId="36" fillId="0" borderId="16" xfId="0" applyNumberFormat="1" applyFont="1" applyFill="1" applyBorder="1" applyAlignment="1">
      <alignment horizontal="center" vertical="center"/>
    </xf>
    <xf numFmtId="0" fontId="41" fillId="0" borderId="9" xfId="0" applyFont="1" applyFill="1" applyBorder="1" applyAlignment="1">
      <alignment horizontal="left" vertical="center" wrapText="1"/>
    </xf>
    <xf numFmtId="165" fontId="36" fillId="8" borderId="16" xfId="0" applyNumberFormat="1" applyFont="1" applyFill="1" applyBorder="1" applyAlignment="1">
      <alignment horizontal="center" vertical="center"/>
    </xf>
    <xf numFmtId="165" fontId="36" fillId="0" borderId="69" xfId="0" applyNumberFormat="1" applyFont="1" applyFill="1" applyBorder="1" applyAlignment="1">
      <alignment horizontal="center" vertical="center"/>
    </xf>
    <xf numFmtId="165" fontId="36" fillId="0" borderId="25" xfId="0" applyNumberFormat="1" applyFont="1" applyFill="1" applyBorder="1" applyAlignment="1">
      <alignment horizontal="center" vertical="center"/>
    </xf>
    <xf numFmtId="0" fontId="56" fillId="12" borderId="14" xfId="0" applyFont="1" applyFill="1" applyBorder="1"/>
    <xf numFmtId="0" fontId="65" fillId="21" borderId="1" xfId="0" applyFont="1" applyFill="1" applyBorder="1" applyAlignment="1">
      <alignment horizontal="center" vertical="center" wrapText="1"/>
    </xf>
    <xf numFmtId="0" fontId="65" fillId="0" borderId="20" xfId="0" applyFont="1" applyBorder="1" applyAlignment="1">
      <alignment horizontal="center" vertical="center" wrapText="1"/>
    </xf>
    <xf numFmtId="0" fontId="5" fillId="5" borderId="39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43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42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7" borderId="42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26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5" fillId="7" borderId="4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/>
    </xf>
    <xf numFmtId="0" fontId="5" fillId="7" borderId="42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5" fillId="7" borderId="26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43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39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7" borderId="39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39" xfId="0" applyFont="1" applyFill="1" applyBorder="1" applyAlignment="1">
      <alignment horizontal="center"/>
    </xf>
    <xf numFmtId="0" fontId="5" fillId="7" borderId="20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32" fillId="8" borderId="2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/>
    </xf>
    <xf numFmtId="0" fontId="5" fillId="5" borderId="14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56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55" xfId="0" applyFont="1" applyFill="1" applyBorder="1" applyAlignment="1">
      <alignment horizontal="center" vertical="center"/>
    </xf>
    <xf numFmtId="0" fontId="5" fillId="5" borderId="56" xfId="0" applyFont="1" applyFill="1" applyBorder="1" applyAlignment="1">
      <alignment horizontal="center"/>
    </xf>
    <xf numFmtId="0" fontId="5" fillId="5" borderId="55" xfId="0" applyFont="1" applyFill="1" applyBorder="1" applyAlignment="1">
      <alignment horizontal="center"/>
    </xf>
    <xf numFmtId="0" fontId="5" fillId="5" borderId="24" xfId="0" applyFont="1" applyFill="1" applyBorder="1" applyAlignment="1">
      <alignment horizontal="center"/>
    </xf>
    <xf numFmtId="0" fontId="5" fillId="6" borderId="24" xfId="0" applyFont="1" applyFill="1" applyBorder="1" applyAlignment="1">
      <alignment horizontal="center" vertical="center"/>
    </xf>
    <xf numFmtId="0" fontId="5" fillId="6" borderId="56" xfId="0" applyFont="1" applyFill="1" applyBorder="1" applyAlignment="1">
      <alignment horizontal="center" vertical="center"/>
    </xf>
    <xf numFmtId="0" fontId="5" fillId="7" borderId="56" xfId="0" applyFont="1" applyFill="1" applyBorder="1" applyAlignment="1">
      <alignment horizontal="center" vertical="center"/>
    </xf>
    <xf numFmtId="0" fontId="5" fillId="7" borderId="24" xfId="0" applyFont="1" applyFill="1" applyBorder="1" applyAlignment="1">
      <alignment horizontal="center" vertical="center"/>
    </xf>
    <xf numFmtId="0" fontId="5" fillId="7" borderId="55" xfId="0" applyFont="1" applyFill="1" applyBorder="1" applyAlignment="1">
      <alignment horizontal="center" vertical="center"/>
    </xf>
    <xf numFmtId="0" fontId="5" fillId="7" borderId="56" xfId="0" applyFont="1" applyFill="1" applyBorder="1" applyAlignment="1">
      <alignment horizontal="center"/>
    </xf>
    <xf numFmtId="0" fontId="5" fillId="7" borderId="24" xfId="0" applyFont="1" applyFill="1" applyBorder="1" applyAlignment="1">
      <alignment horizontal="center"/>
    </xf>
    <xf numFmtId="0" fontId="5" fillId="7" borderId="55" xfId="0" applyFont="1" applyFill="1" applyBorder="1" applyAlignment="1">
      <alignment horizontal="center"/>
    </xf>
    <xf numFmtId="0" fontId="32" fillId="8" borderId="14" xfId="0" applyFont="1" applyFill="1" applyBorder="1" applyAlignment="1">
      <alignment horizontal="center" vertical="center" wrapText="1"/>
    </xf>
    <xf numFmtId="0" fontId="32" fillId="8" borderId="6" xfId="0" applyFont="1" applyFill="1" applyBorder="1" applyAlignment="1">
      <alignment horizontal="center" vertical="center" wrapText="1"/>
    </xf>
    <xf numFmtId="1" fontId="33" fillId="8" borderId="13" xfId="0" applyNumberFormat="1" applyFont="1" applyFill="1" applyBorder="1" applyAlignment="1">
      <alignment horizontal="center" vertical="center"/>
    </xf>
    <xf numFmtId="1" fontId="33" fillId="8" borderId="17" xfId="0" applyNumberFormat="1" applyFont="1" applyFill="1" applyBorder="1" applyAlignment="1">
      <alignment horizontal="center" vertical="center"/>
    </xf>
    <xf numFmtId="0" fontId="32" fillId="8" borderId="13" xfId="0" applyFont="1" applyFill="1" applyBorder="1" applyAlignment="1">
      <alignment horizontal="center" vertical="center" wrapText="1"/>
    </xf>
    <xf numFmtId="0" fontId="32" fillId="8" borderId="28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28" fillId="0" borderId="31" xfId="0" applyFont="1" applyBorder="1"/>
    <xf numFmtId="0" fontId="0" fillId="0" borderId="70" xfId="0" applyBorder="1"/>
    <xf numFmtId="0" fontId="0" fillId="0" borderId="50" xfId="0" applyBorder="1"/>
    <xf numFmtId="0" fontId="0" fillId="6" borderId="14" xfId="0" applyFill="1" applyBorder="1" applyAlignment="1">
      <alignment horizontal="center"/>
    </xf>
    <xf numFmtId="0" fontId="66" fillId="22" borderId="14" xfId="0" applyFont="1" applyFill="1" applyBorder="1" applyAlignment="1">
      <alignment horizontal="center"/>
    </xf>
    <xf numFmtId="0" fontId="0" fillId="22" borderId="14" xfId="0" applyFill="1" applyBorder="1" applyAlignment="1">
      <alignment horizontal="center"/>
    </xf>
    <xf numFmtId="0" fontId="1" fillId="0" borderId="2" xfId="0" applyFont="1" applyBorder="1"/>
    <xf numFmtId="0" fontId="0" fillId="6" borderId="2" xfId="0" applyFill="1" applyBorder="1" applyAlignment="1">
      <alignment horizontal="center"/>
    </xf>
    <xf numFmtId="0" fontId="0" fillId="22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" fillId="0" borderId="6" xfId="0" applyFont="1" applyBorder="1"/>
    <xf numFmtId="0" fontId="0" fillId="6" borderId="6" xfId="0" applyFill="1" applyBorder="1" applyAlignment="1">
      <alignment horizontal="center"/>
    </xf>
    <xf numFmtId="0" fontId="0" fillId="22" borderId="6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22" borderId="12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22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22" borderId="9" xfId="0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0" fillId="22" borderId="16" xfId="0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66" fillId="22" borderId="26" xfId="0" applyFont="1" applyFill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51" xfId="0" applyBorder="1"/>
    <xf numFmtId="0" fontId="1" fillId="6" borderId="4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66" fillId="22" borderId="16" xfId="0" applyFont="1" applyFill="1" applyBorder="1" applyAlignment="1">
      <alignment horizontal="center"/>
    </xf>
    <xf numFmtId="0" fontId="66" fillId="22" borderId="15" xfId="0" applyFont="1" applyFill="1" applyBorder="1" applyAlignment="1">
      <alignment horizontal="center"/>
    </xf>
    <xf numFmtId="0" fontId="0" fillId="22" borderId="15" xfId="0" applyFill="1" applyBorder="1" applyAlignment="1">
      <alignment horizontal="center"/>
    </xf>
    <xf numFmtId="0" fontId="0" fillId="22" borderId="18" xfId="0" applyFill="1" applyBorder="1" applyAlignment="1">
      <alignment horizontal="center"/>
    </xf>
    <xf numFmtId="0" fontId="0" fillId="6" borderId="61" xfId="0" applyFill="1" applyBorder="1" applyAlignment="1">
      <alignment horizontal="center"/>
    </xf>
    <xf numFmtId="0" fontId="0" fillId="6" borderId="64" xfId="0" applyFill="1" applyBorder="1" applyAlignment="1">
      <alignment horizontal="center"/>
    </xf>
    <xf numFmtId="0" fontId="0" fillId="6" borderId="68" xfId="0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6" borderId="62" xfId="0" applyFill="1" applyBorder="1" applyAlignment="1">
      <alignment horizontal="center"/>
    </xf>
    <xf numFmtId="0" fontId="1" fillId="6" borderId="64" xfId="0" applyFont="1" applyFill="1" applyBorder="1" applyAlignment="1">
      <alignment horizontal="center"/>
    </xf>
    <xf numFmtId="0" fontId="1" fillId="6" borderId="68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0" fontId="0" fillId="22" borderId="42" xfId="0" applyFill="1" applyBorder="1" applyAlignment="1">
      <alignment horizontal="center"/>
    </xf>
    <xf numFmtId="0" fontId="0" fillId="22" borderId="43" xfId="0" applyFill="1" applyBorder="1" applyAlignment="1">
      <alignment horizontal="center"/>
    </xf>
    <xf numFmtId="0" fontId="0" fillId="6" borderId="39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22" borderId="10" xfId="0" applyFill="1" applyBorder="1" applyAlignment="1">
      <alignment horizontal="center"/>
    </xf>
    <xf numFmtId="0" fontId="1" fillId="22" borderId="39" xfId="0" applyFont="1" applyFill="1" applyBorder="1" applyAlignment="1">
      <alignment horizontal="center"/>
    </xf>
    <xf numFmtId="0" fontId="1" fillId="22" borderId="20" xfId="0" applyFont="1" applyFill="1" applyBorder="1" applyAlignment="1">
      <alignment horizontal="center"/>
    </xf>
    <xf numFmtId="0" fontId="9" fillId="5" borderId="2" xfId="5" applyFont="1" applyFill="1" applyBorder="1" applyAlignment="1" applyProtection="1">
      <alignment horizontal="center" vertical="center" wrapText="1"/>
    </xf>
    <xf numFmtId="0" fontId="37" fillId="5" borderId="2" xfId="5" applyFont="1" applyFill="1" applyBorder="1" applyAlignment="1" applyProtection="1">
      <alignment horizontal="left" vertical="center" wrapText="1"/>
    </xf>
    <xf numFmtId="1" fontId="33" fillId="5" borderId="2" xfId="0" applyNumberFormat="1" applyFont="1" applyFill="1" applyBorder="1" applyAlignment="1">
      <alignment horizontal="center" vertical="center" wrapText="1"/>
    </xf>
    <xf numFmtId="1" fontId="33" fillId="5" borderId="2" xfId="0" applyNumberFormat="1" applyFont="1" applyFill="1" applyBorder="1" applyAlignment="1">
      <alignment horizontal="center" vertical="center"/>
    </xf>
    <xf numFmtId="1" fontId="33" fillId="5" borderId="19" xfId="0" applyNumberFormat="1" applyFont="1" applyFill="1" applyBorder="1" applyAlignment="1">
      <alignment horizontal="center" vertical="center"/>
    </xf>
    <xf numFmtId="165" fontId="33" fillId="5" borderId="2" xfId="0" applyNumberFormat="1" applyFont="1" applyFill="1" applyBorder="1" applyAlignment="1">
      <alignment horizontal="center" vertical="center"/>
    </xf>
    <xf numFmtId="165" fontId="36" fillId="5" borderId="12" xfId="0" applyNumberFormat="1" applyFont="1" applyFill="1" applyBorder="1" applyAlignment="1">
      <alignment horizontal="center" vertical="center"/>
    </xf>
    <xf numFmtId="14" fontId="12" fillId="5" borderId="3" xfId="0" applyNumberFormat="1" applyFont="1" applyFill="1" applyBorder="1" applyAlignment="1">
      <alignment horizontal="center" vertical="center"/>
    </xf>
    <xf numFmtId="0" fontId="9" fillId="5" borderId="14" xfId="5" applyFont="1" applyFill="1" applyBorder="1" applyAlignment="1" applyProtection="1">
      <alignment horizontal="center" vertical="center" wrapText="1"/>
    </xf>
    <xf numFmtId="0" fontId="37" fillId="5" borderId="14" xfId="5" applyFont="1" applyFill="1" applyBorder="1" applyAlignment="1" applyProtection="1">
      <alignment horizontal="left" vertical="center" wrapText="1"/>
    </xf>
    <xf numFmtId="1" fontId="33" fillId="5" borderId="14" xfId="0" applyNumberFormat="1" applyFont="1" applyFill="1" applyBorder="1" applyAlignment="1">
      <alignment horizontal="center" vertical="center" wrapText="1"/>
    </xf>
    <xf numFmtId="1" fontId="33" fillId="5" borderId="14" xfId="0" applyNumberFormat="1" applyFont="1" applyFill="1" applyBorder="1" applyAlignment="1">
      <alignment horizontal="center" vertical="center"/>
    </xf>
    <xf numFmtId="1" fontId="33" fillId="5" borderId="13" xfId="0" applyNumberFormat="1" applyFont="1" applyFill="1" applyBorder="1" applyAlignment="1">
      <alignment horizontal="center" vertical="center"/>
    </xf>
    <xf numFmtId="165" fontId="33" fillId="5" borderId="14" xfId="0" applyNumberFormat="1" applyFont="1" applyFill="1" applyBorder="1" applyAlignment="1">
      <alignment horizontal="center" vertical="center"/>
    </xf>
    <xf numFmtId="14" fontId="12" fillId="5" borderId="4" xfId="0" applyNumberFormat="1" applyFont="1" applyFill="1" applyBorder="1" applyAlignment="1">
      <alignment horizontal="center" vertical="center"/>
    </xf>
    <xf numFmtId="0" fontId="32" fillId="5" borderId="13" xfId="0" applyFont="1" applyFill="1" applyBorder="1" applyAlignment="1">
      <alignment horizontal="center" vertical="center" wrapText="1"/>
    </xf>
    <xf numFmtId="0" fontId="37" fillId="5" borderId="14" xfId="0" applyFont="1" applyFill="1" applyBorder="1" applyAlignment="1">
      <alignment horizontal="left" vertical="center" wrapText="1"/>
    </xf>
    <xf numFmtId="165" fontId="36" fillId="5" borderId="15" xfId="0" applyNumberFormat="1" applyFont="1" applyFill="1" applyBorder="1" applyAlignment="1">
      <alignment horizontal="center" vertical="center"/>
    </xf>
    <xf numFmtId="49" fontId="9" fillId="5" borderId="14" xfId="5" applyNumberFormat="1" applyFont="1" applyFill="1" applyBorder="1" applyAlignment="1" applyProtection="1">
      <alignment horizontal="center" vertical="center" wrapText="1"/>
    </xf>
    <xf numFmtId="49" fontId="9" fillId="5" borderId="6" xfId="5" applyNumberFormat="1" applyFont="1" applyFill="1" applyBorder="1" applyAlignment="1" applyProtection="1">
      <alignment horizontal="center" vertical="center" wrapText="1"/>
    </xf>
    <xf numFmtId="0" fontId="37" fillId="5" borderId="6" xfId="0" applyFont="1" applyFill="1" applyBorder="1" applyAlignment="1">
      <alignment horizontal="left" vertical="center" wrapText="1"/>
    </xf>
    <xf numFmtId="1" fontId="33" fillId="5" borderId="6" xfId="0" applyNumberFormat="1" applyFont="1" applyFill="1" applyBorder="1" applyAlignment="1">
      <alignment horizontal="center" vertical="center" wrapText="1"/>
    </xf>
    <xf numFmtId="1" fontId="33" fillId="5" borderId="6" xfId="0" applyNumberFormat="1" applyFont="1" applyFill="1" applyBorder="1" applyAlignment="1">
      <alignment horizontal="center" vertical="center"/>
    </xf>
    <xf numFmtId="1" fontId="33" fillId="5" borderId="17" xfId="0" applyNumberFormat="1" applyFont="1" applyFill="1" applyBorder="1" applyAlignment="1">
      <alignment horizontal="center" vertical="center"/>
    </xf>
    <xf numFmtId="165" fontId="33" fillId="5" borderId="6" xfId="0" applyNumberFormat="1" applyFont="1" applyFill="1" applyBorder="1" applyAlignment="1">
      <alignment horizontal="center" vertical="center"/>
    </xf>
    <xf numFmtId="165" fontId="36" fillId="5" borderId="18" xfId="0" applyNumberFormat="1" applyFont="1" applyFill="1" applyBorder="1" applyAlignment="1">
      <alignment horizontal="center" vertical="center"/>
    </xf>
    <xf numFmtId="14" fontId="12" fillId="5" borderId="5" xfId="0" applyNumberFormat="1" applyFont="1" applyFill="1" applyBorder="1" applyAlignment="1">
      <alignment horizontal="center" vertical="center"/>
    </xf>
    <xf numFmtId="0" fontId="5" fillId="5" borderId="41" xfId="0" applyFont="1" applyFill="1" applyBorder="1" applyAlignment="1">
      <alignment horizontal="center"/>
    </xf>
    <xf numFmtId="0" fontId="5" fillId="0" borderId="41" xfId="0" applyFont="1" applyBorder="1" applyAlignment="1">
      <alignment horizontal="center"/>
    </xf>
    <xf numFmtId="1" fontId="33" fillId="8" borderId="8" xfId="0" applyNumberFormat="1" applyFont="1" applyFill="1" applyBorder="1" applyAlignment="1">
      <alignment horizontal="center" vertical="center" wrapText="1"/>
    </xf>
    <xf numFmtId="1" fontId="33" fillId="8" borderId="8" xfId="0" applyNumberFormat="1" applyFont="1" applyFill="1" applyBorder="1" applyAlignment="1">
      <alignment horizontal="center" vertical="center"/>
    </xf>
    <xf numFmtId="1" fontId="33" fillId="8" borderId="7" xfId="0" applyNumberFormat="1" applyFont="1" applyFill="1" applyBorder="1" applyAlignment="1">
      <alignment horizontal="center" vertical="center"/>
    </xf>
    <xf numFmtId="165" fontId="33" fillId="8" borderId="8" xfId="0" applyNumberFormat="1" applyFont="1" applyFill="1" applyBorder="1" applyAlignment="1">
      <alignment horizontal="center" vertical="center"/>
    </xf>
    <xf numFmtId="14" fontId="12" fillId="8" borderId="11" xfId="0" applyNumberFormat="1" applyFont="1" applyFill="1" applyBorder="1" applyAlignment="1">
      <alignment horizontal="center" vertical="center"/>
    </xf>
    <xf numFmtId="1" fontId="39" fillId="9" borderId="30" xfId="0" applyNumberFormat="1" applyFont="1" applyFill="1" applyBorder="1" applyAlignment="1">
      <alignment horizontal="center" vertical="center"/>
    </xf>
    <xf numFmtId="0" fontId="18" fillId="9" borderId="64" xfId="0" applyFont="1" applyFill="1" applyBorder="1" applyAlignment="1">
      <alignment horizontal="left" vertical="center" wrapText="1"/>
    </xf>
    <xf numFmtId="1" fontId="39" fillId="9" borderId="61" xfId="0" applyNumberFormat="1" applyFont="1" applyFill="1" applyBorder="1" applyAlignment="1">
      <alignment horizontal="center" vertical="center"/>
    </xf>
    <xf numFmtId="0" fontId="18" fillId="9" borderId="62" xfId="0" applyFont="1" applyFill="1" applyBorder="1" applyAlignment="1">
      <alignment horizontal="left" vertical="center" wrapText="1"/>
    </xf>
    <xf numFmtId="1" fontId="39" fillId="8" borderId="64" xfId="0" applyNumberFormat="1" applyFont="1" applyFill="1" applyBorder="1" applyAlignment="1">
      <alignment horizontal="center" vertical="center"/>
    </xf>
    <xf numFmtId="1" fontId="39" fillId="8" borderId="62" xfId="0" applyNumberFormat="1" applyFont="1" applyFill="1" applyBorder="1" applyAlignment="1">
      <alignment horizontal="center" vertical="center"/>
    </xf>
    <xf numFmtId="1" fontId="39" fillId="9" borderId="50" xfId="0" applyNumberFormat="1" applyFont="1" applyFill="1" applyBorder="1" applyAlignment="1">
      <alignment horizontal="center" vertical="center"/>
    </xf>
    <xf numFmtId="0" fontId="32" fillId="8" borderId="8" xfId="0" applyFont="1" applyFill="1" applyBorder="1" applyAlignment="1">
      <alignment vertical="center" wrapText="1"/>
    </xf>
    <xf numFmtId="0" fontId="32" fillId="8" borderId="26" xfId="0" applyFont="1" applyFill="1" applyBorder="1" applyAlignment="1">
      <alignment vertical="center" wrapText="1"/>
    </xf>
    <xf numFmtId="0" fontId="32" fillId="8" borderId="71" xfId="0" applyFont="1" applyFill="1" applyBorder="1" applyAlignment="1">
      <alignment vertical="center" wrapText="1"/>
    </xf>
    <xf numFmtId="0" fontId="0" fillId="0" borderId="41" xfId="0" applyBorder="1" applyAlignment="1">
      <alignment horizontal="center" vertical="center"/>
    </xf>
    <xf numFmtId="0" fontId="0" fillId="6" borderId="12" xfId="0" applyFill="1" applyBorder="1" applyAlignment="1">
      <alignment horizontal="center"/>
    </xf>
    <xf numFmtId="0" fontId="0" fillId="0" borderId="14" xfId="0" applyBorder="1" applyAlignment="1">
      <alignment horizontal="center"/>
    </xf>
    <xf numFmtId="14" fontId="0" fillId="0" borderId="14" xfId="0" applyNumberFormat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1" fillId="0" borderId="8" xfId="0" applyFont="1" applyBorder="1"/>
    <xf numFmtId="14" fontId="1" fillId="0" borderId="19" xfId="0" applyNumberFormat="1" applyFont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22" borderId="26" xfId="0" applyFill="1" applyBorder="1" applyAlignment="1">
      <alignment horizontal="center"/>
    </xf>
    <xf numFmtId="0" fontId="0" fillId="22" borderId="71" xfId="0" applyFill="1" applyBorder="1" applyAlignment="1">
      <alignment horizontal="center"/>
    </xf>
    <xf numFmtId="0" fontId="1" fillId="22" borderId="72" xfId="0" applyFont="1" applyFill="1" applyBorder="1" applyAlignment="1">
      <alignment horizontal="center"/>
    </xf>
    <xf numFmtId="0" fontId="1" fillId="6" borderId="71" xfId="0" applyFont="1" applyFill="1" applyBorder="1" applyAlignment="1">
      <alignment horizontal="center"/>
    </xf>
    <xf numFmtId="0" fontId="1" fillId="6" borderId="73" xfId="0" applyFont="1" applyFill="1" applyBorder="1" applyAlignment="1">
      <alignment horizontal="center"/>
    </xf>
    <xf numFmtId="0" fontId="0" fillId="6" borderId="46" xfId="0" applyFill="1" applyBorder="1" applyAlignment="1">
      <alignment horizontal="center"/>
    </xf>
    <xf numFmtId="0" fontId="0" fillId="6" borderId="54" xfId="0" applyFill="1" applyBorder="1" applyAlignment="1">
      <alignment horizontal="center"/>
    </xf>
    <xf numFmtId="0" fontId="0" fillId="6" borderId="37" xfId="0" applyFill="1" applyBorder="1" applyAlignment="1">
      <alignment horizontal="center"/>
    </xf>
    <xf numFmtId="0" fontId="66" fillId="22" borderId="1" xfId="0" applyFont="1" applyFill="1" applyBorder="1" applyAlignment="1">
      <alignment horizontal="center"/>
    </xf>
    <xf numFmtId="0" fontId="66" fillId="22" borderId="2" xfId="0" applyFont="1" applyFill="1" applyBorder="1" applyAlignment="1">
      <alignment horizontal="center"/>
    </xf>
    <xf numFmtId="0" fontId="66" fillId="6" borderId="2" xfId="0" applyFont="1" applyFill="1" applyBorder="1" applyAlignment="1">
      <alignment horizontal="center"/>
    </xf>
    <xf numFmtId="0" fontId="0" fillId="22" borderId="39" xfId="0" applyFill="1" applyBorder="1" applyAlignment="1">
      <alignment horizontal="center"/>
    </xf>
    <xf numFmtId="0" fontId="1" fillId="0" borderId="26" xfId="0" applyFont="1" applyBorder="1"/>
    <xf numFmtId="0" fontId="1" fillId="0" borderId="38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20" fillId="0" borderId="0" xfId="0" applyFont="1" applyBorder="1" applyAlignment="1">
      <alignment vertical="center"/>
    </xf>
    <xf numFmtId="0" fontId="28" fillId="0" borderId="33" xfId="0" applyFont="1" applyBorder="1"/>
    <xf numFmtId="0" fontId="5" fillId="5" borderId="39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43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42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39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/>
    </xf>
    <xf numFmtId="0" fontId="5" fillId="5" borderId="14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5" borderId="42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5" fillId="5" borderId="43" xfId="0" applyFont="1" applyFill="1" applyBorder="1" applyAlignment="1">
      <alignment horizontal="center"/>
    </xf>
    <xf numFmtId="1" fontId="33" fillId="8" borderId="13" xfId="0" applyNumberFormat="1" applyFont="1" applyFill="1" applyBorder="1" applyAlignment="1">
      <alignment horizontal="center" vertical="center"/>
    </xf>
    <xf numFmtId="1" fontId="33" fillId="8" borderId="17" xfId="0" applyNumberFormat="1" applyFont="1" applyFill="1" applyBorder="1" applyAlignment="1">
      <alignment horizontal="center" vertical="center"/>
    </xf>
    <xf numFmtId="0" fontId="32" fillId="0" borderId="7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37" fillId="5" borderId="0" xfId="0" applyFont="1" applyFill="1" applyBorder="1" applyAlignment="1">
      <alignment horizontal="center" vertical="center" wrapText="1"/>
    </xf>
    <xf numFmtId="0" fontId="12" fillId="5" borderId="0" xfId="0" applyFont="1" applyFill="1" applyBorder="1" applyAlignment="1">
      <alignment horizontal="center" vertical="center" wrapText="1"/>
    </xf>
    <xf numFmtId="49" fontId="9" fillId="5" borderId="0" xfId="5" applyNumberFormat="1" applyFont="1" applyFill="1" applyBorder="1" applyAlignment="1" applyProtection="1">
      <alignment horizontal="center" vertical="center" wrapText="1"/>
    </xf>
    <xf numFmtId="0" fontId="37" fillId="5" borderId="0" xfId="0" applyFont="1" applyFill="1" applyBorder="1" applyAlignment="1">
      <alignment horizontal="left" vertical="center" wrapText="1"/>
    </xf>
    <xf numFmtId="1" fontId="33" fillId="5" borderId="0" xfId="0" applyNumberFormat="1" applyFont="1" applyFill="1" applyBorder="1" applyAlignment="1">
      <alignment horizontal="center" vertical="center" wrapText="1"/>
    </xf>
    <xf numFmtId="1" fontId="33" fillId="5" borderId="0" xfId="0" applyNumberFormat="1" applyFont="1" applyFill="1" applyBorder="1" applyAlignment="1">
      <alignment horizontal="center" vertical="center"/>
    </xf>
    <xf numFmtId="1" fontId="39" fillId="9" borderId="0" xfId="0" applyNumberFormat="1" applyFont="1" applyFill="1" applyBorder="1" applyAlignment="1">
      <alignment horizontal="center" vertical="center"/>
    </xf>
    <xf numFmtId="165" fontId="33" fillId="5" borderId="0" xfId="0" applyNumberFormat="1" applyFont="1" applyFill="1" applyBorder="1" applyAlignment="1">
      <alignment horizontal="center" vertical="center"/>
    </xf>
    <xf numFmtId="165" fontId="36" fillId="5" borderId="0" xfId="0" applyNumberFormat="1" applyFont="1" applyFill="1" applyBorder="1" applyAlignment="1">
      <alignment horizontal="center" vertical="center"/>
    </xf>
    <xf numFmtId="14" fontId="12" fillId="5" borderId="0" xfId="0" applyNumberFormat="1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/>
    </xf>
    <xf numFmtId="168" fontId="23" fillId="4" borderId="0" xfId="0" applyNumberFormat="1" applyFont="1" applyFill="1" applyBorder="1" applyAlignment="1">
      <alignment horizontal="right" vertical="center"/>
    </xf>
    <xf numFmtId="165" fontId="5" fillId="0" borderId="0" xfId="0" applyNumberFormat="1" applyFont="1" applyBorder="1" applyAlignment="1">
      <alignment horizontal="center" vertical="center"/>
    </xf>
    <xf numFmtId="165" fontId="5" fillId="0" borderId="14" xfId="0" applyNumberFormat="1" applyFont="1" applyBorder="1" applyAlignment="1">
      <alignment horizontal="center" vertical="center"/>
    </xf>
    <xf numFmtId="0" fontId="62" fillId="0" borderId="8" xfId="0" applyFont="1" applyFill="1" applyBorder="1" applyAlignment="1">
      <alignment horizontal="center" vertical="center" wrapText="1"/>
    </xf>
    <xf numFmtId="0" fontId="61" fillId="0" borderId="8" xfId="0" applyFont="1" applyFill="1" applyBorder="1" applyAlignment="1">
      <alignment horizontal="left" vertical="center" wrapText="1"/>
    </xf>
    <xf numFmtId="0" fontId="5" fillId="0" borderId="7" xfId="0" applyFont="1" applyBorder="1"/>
    <xf numFmtId="0" fontId="5" fillId="0" borderId="8" xfId="0" applyFont="1" applyBorder="1"/>
    <xf numFmtId="0" fontId="5" fillId="9" borderId="8" xfId="0" applyFont="1" applyFill="1" applyBorder="1" applyAlignment="1">
      <alignment horizontal="center"/>
    </xf>
    <xf numFmtId="0" fontId="32" fillId="0" borderId="28" xfId="0" applyFont="1" applyFill="1" applyBorder="1" applyAlignment="1">
      <alignment horizontal="left" vertical="center" wrapText="1"/>
    </xf>
    <xf numFmtId="0" fontId="5" fillId="0" borderId="28" xfId="0" applyFont="1" applyBorder="1"/>
    <xf numFmtId="0" fontId="5" fillId="0" borderId="26" xfId="0" applyFont="1" applyBorder="1"/>
    <xf numFmtId="0" fontId="32" fillId="8" borderId="1" xfId="0" applyFont="1" applyFill="1" applyBorder="1" applyAlignment="1">
      <alignment horizontal="center" vertical="center" wrapText="1"/>
    </xf>
    <xf numFmtId="0" fontId="5" fillId="0" borderId="70" xfId="0" applyFont="1" applyBorder="1"/>
    <xf numFmtId="0" fontId="32" fillId="8" borderId="39" xfId="0" applyFont="1" applyFill="1" applyBorder="1" applyAlignment="1">
      <alignment horizontal="center" vertical="center" wrapText="1"/>
    </xf>
    <xf numFmtId="0" fontId="12" fillId="8" borderId="39" xfId="0" applyFont="1" applyFill="1" applyBorder="1" applyAlignment="1">
      <alignment horizontal="center" vertical="center" wrapText="1"/>
    </xf>
    <xf numFmtId="0" fontId="32" fillId="8" borderId="20" xfId="0" applyFont="1" applyFill="1" applyBorder="1" applyAlignment="1">
      <alignment horizontal="center" vertical="center" wrapText="1"/>
    </xf>
    <xf numFmtId="0" fontId="9" fillId="8" borderId="6" xfId="5" applyFont="1" applyFill="1" applyBorder="1" applyAlignment="1" applyProtection="1">
      <alignment horizontal="center" vertical="center" wrapText="1"/>
    </xf>
    <xf numFmtId="0" fontId="67" fillId="8" borderId="24" xfId="0" applyFont="1" applyFill="1" applyBorder="1" applyAlignment="1">
      <alignment horizontal="center" vertical="center" wrapText="1"/>
    </xf>
    <xf numFmtId="0" fontId="67" fillId="8" borderId="36" xfId="0" applyFont="1" applyFill="1" applyBorder="1" applyAlignment="1">
      <alignment horizontal="center" vertical="center" wrapText="1"/>
    </xf>
    <xf numFmtId="0" fontId="68" fillId="0" borderId="74" xfId="0" applyFont="1" applyBorder="1" applyAlignment="1">
      <alignment horizontal="center" vertical="center" wrapText="1"/>
    </xf>
    <xf numFmtId="0" fontId="69" fillId="19" borderId="74" xfId="0" applyFont="1" applyFill="1" applyBorder="1" applyAlignment="1">
      <alignment horizontal="center" vertical="center" wrapText="1"/>
    </xf>
    <xf numFmtId="0" fontId="69" fillId="0" borderId="0" xfId="0" applyFont="1" applyAlignment="1">
      <alignment vertical="center" wrapText="1"/>
    </xf>
    <xf numFmtId="0" fontId="69" fillId="0" borderId="0" xfId="0" applyFont="1" applyAlignment="1">
      <alignment horizontal="center" vertical="center" wrapText="1"/>
    </xf>
    <xf numFmtId="0" fontId="70" fillId="19" borderId="74" xfId="0" applyFont="1" applyFill="1" applyBorder="1" applyAlignment="1">
      <alignment horizontal="center" vertical="center" wrapText="1"/>
    </xf>
    <xf numFmtId="0" fontId="71" fillId="19" borderId="74" xfId="0" applyFont="1" applyFill="1" applyBorder="1" applyAlignment="1">
      <alignment horizontal="center" vertical="center" wrapText="1"/>
    </xf>
    <xf numFmtId="0" fontId="5" fillId="5" borderId="39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7" borderId="39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39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32" fillId="8" borderId="2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32" fillId="8" borderId="14" xfId="0" applyFont="1" applyFill="1" applyBorder="1" applyAlignment="1">
      <alignment horizontal="center" vertical="center" wrapText="1"/>
    </xf>
    <xf numFmtId="0" fontId="32" fillId="8" borderId="6" xfId="0" applyFont="1" applyFill="1" applyBorder="1" applyAlignment="1">
      <alignment horizontal="center" vertical="center" wrapText="1"/>
    </xf>
    <xf numFmtId="1" fontId="33" fillId="8" borderId="13" xfId="0" applyNumberFormat="1" applyFont="1" applyFill="1" applyBorder="1" applyAlignment="1">
      <alignment horizontal="center" vertical="center"/>
    </xf>
    <xf numFmtId="0" fontId="32" fillId="8" borderId="13" xfId="0" applyFont="1" applyFill="1" applyBorder="1" applyAlignment="1">
      <alignment horizontal="center" vertical="center" wrapText="1"/>
    </xf>
    <xf numFmtId="0" fontId="32" fillId="8" borderId="28" xfId="0" applyFont="1" applyFill="1" applyBorder="1" applyAlignment="1">
      <alignment horizontal="center" vertical="center" wrapText="1"/>
    </xf>
    <xf numFmtId="0" fontId="12" fillId="8" borderId="13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9" fillId="10" borderId="75" xfId="0" applyFont="1" applyFill="1" applyBorder="1" applyAlignment="1">
      <alignment horizontal="center" vertical="center" wrapText="1"/>
    </xf>
    <xf numFmtId="0" fontId="72" fillId="19" borderId="74" xfId="0" applyFont="1" applyFill="1" applyBorder="1" applyAlignment="1">
      <alignment horizontal="center" vertical="center" wrapText="1"/>
    </xf>
    <xf numFmtId="0" fontId="67" fillId="8" borderId="0" xfId="0" applyFont="1" applyFill="1" applyBorder="1" applyAlignment="1">
      <alignment horizontal="center" vertical="center" wrapText="1"/>
    </xf>
    <xf numFmtId="0" fontId="72" fillId="19" borderId="76" xfId="0" applyFont="1" applyFill="1" applyBorder="1" applyAlignment="1">
      <alignment horizontal="center" vertical="center" wrapText="1"/>
    </xf>
    <xf numFmtId="0" fontId="72" fillId="19" borderId="77" xfId="0" applyFont="1" applyFill="1" applyBorder="1" applyAlignment="1">
      <alignment horizontal="center" vertical="center" wrapText="1"/>
    </xf>
    <xf numFmtId="0" fontId="69" fillId="19" borderId="78" xfId="0" applyFont="1" applyFill="1" applyBorder="1" applyAlignment="1">
      <alignment horizontal="center" vertical="center" wrapText="1"/>
    </xf>
    <xf numFmtId="0" fontId="72" fillId="19" borderId="36" xfId="0" applyFont="1" applyFill="1" applyBorder="1" applyAlignment="1">
      <alignment horizontal="center" vertical="center" wrapText="1"/>
    </xf>
    <xf numFmtId="0" fontId="68" fillId="0" borderId="79" xfId="0" applyFont="1" applyBorder="1" applyAlignment="1">
      <alignment horizontal="center" vertical="center" wrapText="1"/>
    </xf>
    <xf numFmtId="0" fontId="68" fillId="8" borderId="36" xfId="0" applyFont="1" applyFill="1" applyBorder="1" applyAlignment="1">
      <alignment horizontal="center" vertical="center" wrapText="1"/>
    </xf>
    <xf numFmtId="0" fontId="68" fillId="8" borderId="78" xfId="0" applyFont="1" applyFill="1" applyBorder="1" applyAlignment="1">
      <alignment horizontal="center" vertical="center" wrapText="1"/>
    </xf>
    <xf numFmtId="0" fontId="0" fillId="8" borderId="0" xfId="0" applyFill="1"/>
    <xf numFmtId="0" fontId="72" fillId="8" borderId="74" xfId="0" applyFont="1" applyFill="1" applyBorder="1" applyAlignment="1">
      <alignment horizontal="center" vertical="center" wrapText="1"/>
    </xf>
    <xf numFmtId="0" fontId="9" fillId="10" borderId="80" xfId="0" applyFont="1" applyFill="1" applyBorder="1" applyAlignment="1">
      <alignment horizontal="center" vertical="center" wrapText="1"/>
    </xf>
    <xf numFmtId="0" fontId="9" fillId="10" borderId="81" xfId="0" applyFont="1" applyFill="1" applyBorder="1" applyAlignment="1">
      <alignment horizontal="center" vertical="center" wrapText="1"/>
    </xf>
    <xf numFmtId="0" fontId="9" fillId="5" borderId="41" xfId="0" applyFont="1" applyFill="1" applyBorder="1" applyAlignment="1">
      <alignment vertical="center" wrapText="1"/>
    </xf>
    <xf numFmtId="0" fontId="9" fillId="8" borderId="8" xfId="0" applyFont="1" applyFill="1" applyBorder="1" applyAlignment="1">
      <alignment horizontal="center" vertical="center"/>
    </xf>
    <xf numFmtId="0" fontId="37" fillId="8" borderId="8" xfId="0" applyFont="1" applyFill="1" applyBorder="1" applyAlignment="1">
      <alignment horizontal="left" vertical="center" wrapText="1"/>
    </xf>
    <xf numFmtId="1" fontId="33" fillId="8" borderId="9" xfId="0" applyNumberFormat="1" applyFont="1" applyFill="1" applyBorder="1" applyAlignment="1">
      <alignment horizontal="center" vertical="center"/>
    </xf>
    <xf numFmtId="0" fontId="32" fillId="0" borderId="28" xfId="0" applyFont="1" applyFill="1" applyBorder="1" applyAlignment="1">
      <alignment horizontal="center" vertical="center" wrapText="1"/>
    </xf>
    <xf numFmtId="0" fontId="9" fillId="19" borderId="2" xfId="5" applyFont="1" applyFill="1" applyBorder="1" applyAlignment="1" applyProtection="1">
      <alignment horizontal="center" vertical="center" wrapText="1"/>
    </xf>
    <xf numFmtId="0" fontId="37" fillId="19" borderId="2" xfId="5" applyFont="1" applyFill="1" applyBorder="1" applyAlignment="1" applyProtection="1">
      <alignment horizontal="left" vertical="center" wrapText="1"/>
    </xf>
    <xf numFmtId="1" fontId="33" fillId="19" borderId="2" xfId="0" applyNumberFormat="1" applyFont="1" applyFill="1" applyBorder="1" applyAlignment="1">
      <alignment horizontal="center" vertical="center" wrapText="1"/>
    </xf>
    <xf numFmtId="1" fontId="33" fillId="19" borderId="2" xfId="0" applyNumberFormat="1" applyFont="1" applyFill="1" applyBorder="1" applyAlignment="1">
      <alignment horizontal="center" vertical="center"/>
    </xf>
    <xf numFmtId="1" fontId="33" fillId="19" borderId="12" xfId="0" applyNumberFormat="1" applyFont="1" applyFill="1" applyBorder="1" applyAlignment="1">
      <alignment horizontal="center" vertical="center"/>
    </xf>
    <xf numFmtId="1" fontId="33" fillId="19" borderId="19" xfId="0" applyNumberFormat="1" applyFont="1" applyFill="1" applyBorder="1" applyAlignment="1">
      <alignment horizontal="center" vertical="center"/>
    </xf>
    <xf numFmtId="165" fontId="33" fillId="19" borderId="2" xfId="0" applyNumberFormat="1" applyFont="1" applyFill="1" applyBorder="1" applyAlignment="1">
      <alignment horizontal="center" vertical="center"/>
    </xf>
    <xf numFmtId="165" fontId="36" fillId="19" borderId="12" xfId="0" applyNumberFormat="1" applyFont="1" applyFill="1" applyBorder="1" applyAlignment="1">
      <alignment horizontal="center" vertical="center"/>
    </xf>
    <xf numFmtId="14" fontId="12" fillId="19" borderId="3" xfId="0" applyNumberFormat="1" applyFont="1" applyFill="1" applyBorder="1" applyAlignment="1">
      <alignment horizontal="center" vertical="center"/>
    </xf>
    <xf numFmtId="0" fontId="5" fillId="19" borderId="19" xfId="0" applyFont="1" applyFill="1" applyBorder="1"/>
    <xf numFmtId="0" fontId="5" fillId="19" borderId="2" xfId="0" applyFont="1" applyFill="1" applyBorder="1"/>
    <xf numFmtId="0" fontId="5" fillId="19" borderId="12" xfId="0" applyFont="1" applyFill="1" applyBorder="1" applyAlignment="1">
      <alignment horizontal="center"/>
    </xf>
    <xf numFmtId="0" fontId="5" fillId="19" borderId="2" xfId="0" applyFont="1" applyFill="1" applyBorder="1" applyAlignment="1">
      <alignment horizontal="center"/>
    </xf>
    <xf numFmtId="0" fontId="5" fillId="19" borderId="0" xfId="0" applyFont="1" applyFill="1" applyBorder="1"/>
    <xf numFmtId="168" fontId="23" fillId="19" borderId="57" xfId="0" applyNumberFormat="1" applyFont="1" applyFill="1" applyBorder="1" applyAlignment="1">
      <alignment horizontal="right" vertical="center"/>
    </xf>
    <xf numFmtId="0" fontId="9" fillId="19" borderId="14" xfId="5" applyFont="1" applyFill="1" applyBorder="1" applyAlignment="1" applyProtection="1">
      <alignment horizontal="center" vertical="center" wrapText="1"/>
    </xf>
    <xf numFmtId="0" fontId="37" fillId="19" borderId="14" xfId="5" applyFont="1" applyFill="1" applyBorder="1" applyAlignment="1" applyProtection="1">
      <alignment horizontal="left" vertical="center" wrapText="1"/>
    </xf>
    <xf numFmtId="1" fontId="33" fillId="19" borderId="14" xfId="0" applyNumberFormat="1" applyFont="1" applyFill="1" applyBorder="1" applyAlignment="1">
      <alignment horizontal="center" vertical="center" wrapText="1"/>
    </xf>
    <xf numFmtId="1" fontId="33" fillId="19" borderId="14" xfId="0" applyNumberFormat="1" applyFont="1" applyFill="1" applyBorder="1" applyAlignment="1">
      <alignment horizontal="center" vertical="center"/>
    </xf>
    <xf numFmtId="1" fontId="33" fillId="19" borderId="15" xfId="0" applyNumberFormat="1" applyFont="1" applyFill="1" applyBorder="1" applyAlignment="1">
      <alignment horizontal="center" vertical="center"/>
    </xf>
    <xf numFmtId="1" fontId="33" fillId="19" borderId="13" xfId="0" applyNumberFormat="1" applyFont="1" applyFill="1" applyBorder="1" applyAlignment="1">
      <alignment horizontal="center" vertical="center"/>
    </xf>
    <xf numFmtId="165" fontId="33" fillId="19" borderId="14" xfId="0" applyNumberFormat="1" applyFont="1" applyFill="1" applyBorder="1" applyAlignment="1">
      <alignment horizontal="center" vertical="center"/>
    </xf>
    <xf numFmtId="14" fontId="12" fillId="19" borderId="4" xfId="0" applyNumberFormat="1" applyFont="1" applyFill="1" applyBorder="1" applyAlignment="1">
      <alignment horizontal="center" vertical="center"/>
    </xf>
    <xf numFmtId="0" fontId="5" fillId="19" borderId="13" xfId="0" applyFont="1" applyFill="1" applyBorder="1"/>
    <xf numFmtId="0" fontId="5" fillId="19" borderId="14" xfId="0" applyFont="1" applyFill="1" applyBorder="1"/>
    <xf numFmtId="0" fontId="5" fillId="19" borderId="15" xfId="0" applyFont="1" applyFill="1" applyBorder="1" applyAlignment="1">
      <alignment horizontal="center"/>
    </xf>
    <xf numFmtId="0" fontId="5" fillId="19" borderId="14" xfId="0" applyFont="1" applyFill="1" applyBorder="1" applyAlignment="1">
      <alignment horizontal="center"/>
    </xf>
    <xf numFmtId="168" fontId="23" fillId="23" borderId="57" xfId="0" applyNumberFormat="1" applyFont="1" applyFill="1" applyBorder="1" applyAlignment="1">
      <alignment horizontal="right" vertical="center"/>
    </xf>
    <xf numFmtId="0" fontId="32" fillId="19" borderId="13" xfId="0" applyFont="1" applyFill="1" applyBorder="1" applyAlignment="1">
      <alignment horizontal="center" vertical="center" wrapText="1"/>
    </xf>
    <xf numFmtId="0" fontId="5" fillId="19" borderId="39" xfId="0" applyFont="1" applyFill="1" applyBorder="1" applyAlignment="1">
      <alignment horizontal="center" vertical="center"/>
    </xf>
    <xf numFmtId="0" fontId="5" fillId="19" borderId="14" xfId="0" applyFont="1" applyFill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5" fillId="19" borderId="39" xfId="0" applyFont="1" applyFill="1" applyBorder="1" applyAlignment="1">
      <alignment horizontal="center"/>
    </xf>
    <xf numFmtId="0" fontId="5" fillId="19" borderId="4" xfId="0" applyFont="1" applyFill="1" applyBorder="1" applyAlignment="1">
      <alignment horizontal="center"/>
    </xf>
    <xf numFmtId="0" fontId="37" fillId="19" borderId="14" xfId="0" applyFont="1" applyFill="1" applyBorder="1" applyAlignment="1">
      <alignment horizontal="left" vertical="center" wrapText="1"/>
    </xf>
    <xf numFmtId="165" fontId="36" fillId="19" borderId="15" xfId="0" applyNumberFormat="1" applyFont="1" applyFill="1" applyBorder="1" applyAlignment="1">
      <alignment horizontal="center" vertical="center"/>
    </xf>
    <xf numFmtId="20" fontId="5" fillId="19" borderId="4" xfId="0" applyNumberFormat="1" applyFont="1" applyFill="1" applyBorder="1" applyAlignment="1">
      <alignment horizontal="center" vertical="center"/>
    </xf>
    <xf numFmtId="49" fontId="9" fillId="19" borderId="14" xfId="5" applyNumberFormat="1" applyFont="1" applyFill="1" applyBorder="1" applyAlignment="1" applyProtection="1">
      <alignment horizontal="center" vertical="center" wrapText="1"/>
    </xf>
    <xf numFmtId="0" fontId="5" fillId="19" borderId="8" xfId="0" applyFont="1" applyFill="1" applyBorder="1" applyAlignment="1">
      <alignment horizontal="center"/>
    </xf>
    <xf numFmtId="0" fontId="5" fillId="19" borderId="11" xfId="0" applyFont="1" applyFill="1" applyBorder="1" applyAlignment="1">
      <alignment horizontal="center"/>
    </xf>
    <xf numFmtId="0" fontId="5" fillId="19" borderId="10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5" fillId="19" borderId="55" xfId="0" applyFont="1" applyFill="1" applyBorder="1" applyAlignment="1">
      <alignment horizontal="center"/>
    </xf>
    <xf numFmtId="0" fontId="5" fillId="19" borderId="56" xfId="0" applyFont="1" applyFill="1" applyBorder="1" applyAlignment="1">
      <alignment horizontal="center"/>
    </xf>
    <xf numFmtId="49" fontId="9" fillId="19" borderId="6" xfId="5" applyNumberFormat="1" applyFont="1" applyFill="1" applyBorder="1" applyAlignment="1" applyProtection="1">
      <alignment horizontal="center" vertical="center" wrapText="1"/>
    </xf>
    <xf numFmtId="0" fontId="37" fillId="19" borderId="6" xfId="0" applyFont="1" applyFill="1" applyBorder="1" applyAlignment="1">
      <alignment horizontal="left" vertical="center" wrapText="1"/>
    </xf>
    <xf numFmtId="1" fontId="33" fillId="19" borderId="6" xfId="0" applyNumberFormat="1" applyFont="1" applyFill="1" applyBorder="1" applyAlignment="1">
      <alignment horizontal="center" vertical="center" wrapText="1"/>
    </xf>
    <xf numFmtId="1" fontId="33" fillId="19" borderId="6" xfId="0" applyNumberFormat="1" applyFont="1" applyFill="1" applyBorder="1" applyAlignment="1">
      <alignment horizontal="center" vertical="center"/>
    </xf>
    <xf numFmtId="1" fontId="33" fillId="19" borderId="18" xfId="0" applyNumberFormat="1" applyFont="1" applyFill="1" applyBorder="1" applyAlignment="1">
      <alignment horizontal="center" vertical="center"/>
    </xf>
    <xf numFmtId="1" fontId="33" fillId="19" borderId="17" xfId="0" applyNumberFormat="1" applyFont="1" applyFill="1" applyBorder="1" applyAlignment="1">
      <alignment horizontal="center" vertical="center"/>
    </xf>
    <xf numFmtId="165" fontId="33" fillId="19" borderId="6" xfId="0" applyNumberFormat="1" applyFont="1" applyFill="1" applyBorder="1" applyAlignment="1">
      <alignment horizontal="center" vertical="center"/>
    </xf>
    <xf numFmtId="165" fontId="36" fillId="19" borderId="18" xfId="0" applyNumberFormat="1" applyFont="1" applyFill="1" applyBorder="1" applyAlignment="1">
      <alignment horizontal="center" vertical="center"/>
    </xf>
    <xf numFmtId="14" fontId="12" fillId="19" borderId="5" xfId="0" applyNumberFormat="1" applyFont="1" applyFill="1" applyBorder="1" applyAlignment="1">
      <alignment horizontal="center" vertical="center"/>
    </xf>
    <xf numFmtId="0" fontId="5" fillId="19" borderId="26" xfId="0" applyFont="1" applyFill="1" applyBorder="1" applyAlignment="1">
      <alignment horizontal="center"/>
    </xf>
    <xf numFmtId="0" fontId="5" fillId="19" borderId="43" xfId="0" applyFont="1" applyFill="1" applyBorder="1" applyAlignment="1">
      <alignment horizontal="center"/>
    </xf>
    <xf numFmtId="0" fontId="5" fillId="19" borderId="42" xfId="0" applyFont="1" applyFill="1" applyBorder="1" applyAlignment="1">
      <alignment horizontal="center"/>
    </xf>
    <xf numFmtId="0" fontId="5" fillId="19" borderId="0" xfId="0" applyFont="1" applyFill="1"/>
    <xf numFmtId="0" fontId="5" fillId="19" borderId="0" xfId="0" applyFont="1" applyFill="1" applyAlignment="1">
      <alignment horizontal="center"/>
    </xf>
    <xf numFmtId="0" fontId="35" fillId="19" borderId="0" xfId="0" applyFont="1" applyFill="1"/>
    <xf numFmtId="0" fontId="5" fillId="19" borderId="0" xfId="0" applyFont="1" applyFill="1" applyAlignment="1">
      <alignment horizontal="center" vertical="center"/>
    </xf>
    <xf numFmtId="0" fontId="35" fillId="0" borderId="41" xfId="0" applyFont="1" applyBorder="1" applyAlignment="1">
      <alignment horizontal="center"/>
    </xf>
    <xf numFmtId="0" fontId="35" fillId="11" borderId="41" xfId="0" applyFont="1" applyFill="1" applyBorder="1" applyAlignment="1">
      <alignment horizontal="center"/>
    </xf>
    <xf numFmtId="2" fontId="68" fillId="0" borderId="74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9" fillId="12" borderId="15" xfId="0" applyFont="1" applyFill="1" applyBorder="1"/>
    <xf numFmtId="0" fontId="9" fillId="10" borderId="75" xfId="0" applyFont="1" applyFill="1" applyBorder="1" applyAlignment="1">
      <alignment horizontal="center" vertical="center" wrapText="1"/>
    </xf>
    <xf numFmtId="0" fontId="32" fillId="8" borderId="14" xfId="0" applyFont="1" applyFill="1" applyBorder="1" applyAlignment="1">
      <alignment horizontal="center" vertical="center" wrapText="1"/>
    </xf>
    <xf numFmtId="0" fontId="32" fillId="19" borderId="13" xfId="0" applyFont="1" applyFill="1" applyBorder="1" applyAlignment="1">
      <alignment horizontal="center" vertical="center" wrapText="1"/>
    </xf>
    <xf numFmtId="0" fontId="32" fillId="8" borderId="6" xfId="0" applyFont="1" applyFill="1" applyBorder="1" applyAlignment="1">
      <alignment horizontal="center" vertical="center" wrapText="1"/>
    </xf>
    <xf numFmtId="0" fontId="32" fillId="8" borderId="2" xfId="0" applyFont="1" applyFill="1" applyBorder="1" applyAlignment="1">
      <alignment horizontal="center" vertical="center" wrapText="1"/>
    </xf>
    <xf numFmtId="0" fontId="32" fillId="8" borderId="13" xfId="0" applyFont="1" applyFill="1" applyBorder="1" applyAlignment="1">
      <alignment horizontal="center" vertical="center" wrapText="1"/>
    </xf>
    <xf numFmtId="0" fontId="32" fillId="8" borderId="28" xfId="0" applyFont="1" applyFill="1" applyBorder="1" applyAlignment="1">
      <alignment horizontal="center" vertical="center" wrapText="1"/>
    </xf>
    <xf numFmtId="0" fontId="32" fillId="0" borderId="24" xfId="0" applyFont="1" applyFill="1" applyBorder="1" applyAlignment="1">
      <alignment horizontal="center" vertical="center" wrapText="1"/>
    </xf>
    <xf numFmtId="1" fontId="32" fillId="5" borderId="14" xfId="0" applyNumberFormat="1" applyFont="1" applyFill="1" applyBorder="1" applyAlignment="1">
      <alignment horizontal="left" vertical="center" wrapText="1"/>
    </xf>
    <xf numFmtId="1" fontId="33" fillId="5" borderId="26" xfId="0" applyNumberFormat="1" applyFont="1" applyFill="1" applyBorder="1" applyAlignment="1">
      <alignment horizontal="center" vertical="center"/>
    </xf>
    <xf numFmtId="1" fontId="32" fillId="5" borderId="8" xfId="0" applyNumberFormat="1" applyFont="1" applyFill="1" applyBorder="1" applyAlignment="1">
      <alignment horizontal="left" vertical="center" wrapText="1"/>
    </xf>
    <xf numFmtId="1" fontId="32" fillId="5" borderId="26" xfId="0" applyNumberFormat="1" applyFont="1" applyFill="1" applyBorder="1" applyAlignment="1">
      <alignment horizontal="left" vertical="center" wrapText="1"/>
    </xf>
    <xf numFmtId="1" fontId="33" fillId="5" borderId="8" xfId="0" applyNumberFormat="1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0" fontId="56" fillId="12" borderId="0" xfId="0" applyNumberFormat="1" applyFont="1" applyFill="1" applyBorder="1" applyAlignment="1">
      <alignment horizontal="center"/>
    </xf>
    <xf numFmtId="0" fontId="13" fillId="0" borderId="14" xfId="0" applyFon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20" fontId="1" fillId="0" borderId="14" xfId="0" applyNumberFormat="1" applyFont="1" applyBorder="1" applyAlignment="1">
      <alignment horizontal="center"/>
    </xf>
    <xf numFmtId="0" fontId="56" fillId="13" borderId="87" xfId="0" applyFont="1" applyFill="1" applyBorder="1"/>
    <xf numFmtId="14" fontId="56" fillId="13" borderId="87" xfId="0" applyNumberFormat="1" applyFont="1" applyFill="1" applyBorder="1"/>
    <xf numFmtId="0" fontId="56" fillId="0" borderId="87" xfId="0" applyFont="1" applyBorder="1"/>
    <xf numFmtId="0" fontId="56" fillId="13" borderId="88" xfId="0" applyFont="1" applyFill="1" applyBorder="1"/>
    <xf numFmtId="0" fontId="56" fillId="13" borderId="88" xfId="0" applyNumberFormat="1" applyFont="1" applyFill="1" applyBorder="1"/>
    <xf numFmtId="0" fontId="56" fillId="19" borderId="87" xfId="0" applyFont="1" applyFill="1" applyBorder="1"/>
    <xf numFmtId="0" fontId="0" fillId="19" borderId="0" xfId="0" applyFill="1"/>
    <xf numFmtId="0" fontId="0" fillId="19" borderId="0" xfId="0" applyNumberFormat="1" applyFill="1"/>
    <xf numFmtId="0" fontId="15" fillId="5" borderId="2" xfId="0" applyFont="1" applyFill="1" applyBorder="1" applyAlignment="1" applyProtection="1">
      <alignment horizontal="center" vertical="center"/>
    </xf>
    <xf numFmtId="0" fontId="15" fillId="5" borderId="6" xfId="0" applyFont="1" applyFill="1" applyBorder="1" applyAlignment="1" applyProtection="1">
      <alignment horizontal="center" vertical="center"/>
    </xf>
    <xf numFmtId="0" fontId="37" fillId="5" borderId="14" xfId="0" applyFont="1" applyFill="1" applyBorder="1" applyAlignment="1">
      <alignment horizontal="center" vertical="center" wrapText="1"/>
    </xf>
    <xf numFmtId="0" fontId="63" fillId="5" borderId="14" xfId="0" applyFont="1" applyFill="1" applyBorder="1" applyAlignment="1">
      <alignment horizontal="center" vertical="center" wrapText="1"/>
    </xf>
    <xf numFmtId="0" fontId="9" fillId="5" borderId="6" xfId="5" applyFont="1" applyFill="1" applyBorder="1" applyAlignment="1" applyProtection="1">
      <alignment horizontal="center" vertical="center" wrapText="1"/>
    </xf>
    <xf numFmtId="0" fontId="12" fillId="5" borderId="2" xfId="0" applyNumberFormat="1" applyFont="1" applyFill="1" applyBorder="1" applyAlignment="1">
      <alignment horizontal="center" vertical="center"/>
    </xf>
    <xf numFmtId="0" fontId="12" fillId="5" borderId="6" xfId="0" applyNumberFormat="1" applyFont="1" applyFill="1" applyBorder="1" applyAlignment="1">
      <alignment horizontal="center" vertical="center"/>
    </xf>
    <xf numFmtId="0" fontId="62" fillId="5" borderId="6" xfId="0" applyFont="1" applyFill="1" applyBorder="1" applyAlignment="1">
      <alignment horizontal="center" vertical="center" wrapText="1"/>
    </xf>
    <xf numFmtId="0" fontId="12" fillId="5" borderId="14" xfId="0" applyNumberFormat="1" applyFont="1" applyFill="1" applyBorder="1" applyAlignment="1">
      <alignment horizontal="center" vertical="center"/>
    </xf>
    <xf numFmtId="0" fontId="9" fillId="5" borderId="14" xfId="5" applyFont="1" applyFill="1" applyBorder="1" applyAlignment="1" applyProtection="1">
      <alignment horizontal="center" vertical="center" wrapText="1"/>
    </xf>
    <xf numFmtId="49" fontId="9" fillId="5" borderId="14" xfId="5" applyNumberFormat="1" applyFont="1" applyFill="1" applyBorder="1" applyAlignment="1" applyProtection="1">
      <alignment horizontal="center" vertical="center" wrapText="1"/>
    </xf>
    <xf numFmtId="0" fontId="62" fillId="5" borderId="14" xfId="0" applyFont="1" applyFill="1" applyBorder="1" applyAlignment="1">
      <alignment horizontal="center" vertical="center" wrapText="1"/>
    </xf>
    <xf numFmtId="0" fontId="9" fillId="5" borderId="14" xfId="0" applyFont="1" applyFill="1" applyBorder="1" applyAlignment="1">
      <alignment horizontal="center" vertical="center"/>
    </xf>
    <xf numFmtId="0" fontId="17" fillId="5" borderId="14" xfId="0" applyFont="1" applyFill="1" applyBorder="1" applyAlignment="1" applyProtection="1">
      <alignment horizontal="center" vertical="center" wrapText="1"/>
    </xf>
    <xf numFmtId="0" fontId="63" fillId="5" borderId="14" xfId="0" applyFont="1" applyFill="1" applyBorder="1" applyAlignment="1">
      <alignment horizontal="left" vertical="center" wrapText="1"/>
    </xf>
    <xf numFmtId="0" fontId="17" fillId="5" borderId="2" xfId="0" applyFont="1" applyFill="1" applyBorder="1" applyAlignment="1" applyProtection="1">
      <alignment horizontal="center" vertical="center" wrapText="1"/>
    </xf>
    <xf numFmtId="0" fontId="37" fillId="5" borderId="2" xfId="0" applyFont="1" applyFill="1" applyBorder="1" applyAlignment="1">
      <alignment horizontal="left" vertical="center" wrapText="1"/>
    </xf>
    <xf numFmtId="0" fontId="17" fillId="5" borderId="6" xfId="0" applyFont="1" applyFill="1" applyBorder="1" applyAlignment="1" applyProtection="1">
      <alignment horizontal="center" vertical="center" wrapText="1"/>
    </xf>
    <xf numFmtId="0" fontId="37" fillId="5" borderId="14" xfId="5" applyFont="1" applyFill="1" applyBorder="1" applyAlignment="1" applyProtection="1">
      <alignment horizontal="center" vertical="center" wrapText="1"/>
    </xf>
    <xf numFmtId="0" fontId="37" fillId="5" borderId="6" xfId="0" applyFont="1" applyFill="1" applyBorder="1" applyAlignment="1">
      <alignment horizontal="center" vertical="center" wrapText="1"/>
    </xf>
    <xf numFmtId="0" fontId="37" fillId="5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63" fillId="5" borderId="6" xfId="0" applyFont="1" applyFill="1" applyBorder="1" applyAlignment="1">
      <alignment horizontal="center" vertical="center" wrapText="1"/>
    </xf>
    <xf numFmtId="0" fontId="63" fillId="5" borderId="6" xfId="0" applyFont="1" applyFill="1" applyBorder="1" applyAlignment="1">
      <alignment horizontal="left" vertical="center" wrapText="1"/>
    </xf>
    <xf numFmtId="0" fontId="37" fillId="5" borderId="6" xfId="5" applyFont="1" applyFill="1" applyBorder="1" applyAlignment="1" applyProtection="1">
      <alignment horizontal="center" vertical="center" wrapText="1"/>
    </xf>
    <xf numFmtId="0" fontId="37" fillId="5" borderId="6" xfId="5" applyFont="1" applyFill="1" applyBorder="1" applyAlignment="1" applyProtection="1">
      <alignment horizontal="left" vertical="center" wrapText="1"/>
    </xf>
    <xf numFmtId="0" fontId="9" fillId="24" borderId="14" xfId="5" applyFont="1" applyFill="1" applyBorder="1" applyAlignment="1" applyProtection="1">
      <alignment horizontal="center" vertical="center" wrapText="1"/>
    </xf>
    <xf numFmtId="0" fontId="12" fillId="24" borderId="14" xfId="0" applyNumberFormat="1" applyFont="1" applyFill="1" applyBorder="1" applyAlignment="1">
      <alignment horizontal="center" vertical="center"/>
    </xf>
    <xf numFmtId="0" fontId="37" fillId="24" borderId="14" xfId="0" applyFont="1" applyFill="1" applyBorder="1" applyAlignment="1">
      <alignment horizontal="left" vertical="center" wrapText="1"/>
    </xf>
    <xf numFmtId="0" fontId="17" fillId="24" borderId="14" xfId="0" applyFont="1" applyFill="1" applyBorder="1" applyAlignment="1" applyProtection="1">
      <alignment horizontal="center" vertical="center" wrapText="1"/>
    </xf>
    <xf numFmtId="0" fontId="37" fillId="24" borderId="14" xfId="0" applyFont="1" applyFill="1" applyBorder="1" applyAlignment="1">
      <alignment horizontal="center" vertical="center" wrapText="1"/>
    </xf>
    <xf numFmtId="0" fontId="9" fillId="24" borderId="2" xfId="5" applyFont="1" applyFill="1" applyBorder="1" applyAlignment="1" applyProtection="1">
      <alignment horizontal="center" vertical="center" wrapText="1"/>
    </xf>
    <xf numFmtId="0" fontId="12" fillId="24" borderId="2" xfId="0" applyNumberFormat="1" applyFont="1" applyFill="1" applyBorder="1" applyAlignment="1">
      <alignment horizontal="center" vertical="center"/>
    </xf>
    <xf numFmtId="0" fontId="37" fillId="24" borderId="2" xfId="0" applyFont="1" applyFill="1" applyBorder="1" applyAlignment="1" applyProtection="1">
      <alignment horizontal="center" vertical="center"/>
    </xf>
    <xf numFmtId="0" fontId="37" fillId="24" borderId="2" xfId="0" applyFont="1" applyFill="1" applyBorder="1" applyAlignment="1">
      <alignment horizontal="left" vertical="center" wrapText="1"/>
    </xf>
    <xf numFmtId="0" fontId="63" fillId="24" borderId="14" xfId="0" applyFont="1" applyFill="1" applyBorder="1" applyAlignment="1" applyProtection="1">
      <alignment horizontal="center" vertical="center" wrapText="1"/>
    </xf>
    <xf numFmtId="0" fontId="63" fillId="24" borderId="14" xfId="0" applyFont="1" applyFill="1" applyBorder="1" applyAlignment="1" applyProtection="1">
      <alignment horizontal="center" vertical="center"/>
    </xf>
    <xf numFmtId="0" fontId="37" fillId="24" borderId="14" xfId="0" applyFont="1" applyFill="1" applyBorder="1" applyAlignment="1" applyProtection="1">
      <alignment horizontal="center" vertical="center"/>
    </xf>
    <xf numFmtId="1" fontId="10" fillId="0" borderId="14" xfId="0" applyNumberFormat="1" applyFont="1" applyBorder="1" applyAlignment="1">
      <alignment horizontal="center" vertical="center"/>
    </xf>
    <xf numFmtId="0" fontId="17" fillId="24" borderId="2" xfId="0" applyFont="1" applyFill="1" applyBorder="1" applyAlignment="1" applyProtection="1">
      <alignment horizontal="center" vertical="center" wrapText="1"/>
    </xf>
    <xf numFmtId="0" fontId="37" fillId="24" borderId="2" xfId="0" applyFont="1" applyFill="1" applyBorder="1" applyAlignment="1" applyProtection="1">
      <alignment horizontal="center" vertical="center" wrapText="1"/>
    </xf>
    <xf numFmtId="0" fontId="32" fillId="5" borderId="14" xfId="0" applyFont="1" applyFill="1" applyBorder="1" applyAlignment="1">
      <alignment horizontal="center" vertical="center" wrapText="1"/>
    </xf>
    <xf numFmtId="0" fontId="32" fillId="5" borderId="6" xfId="0" applyFont="1" applyFill="1" applyBorder="1" applyAlignment="1">
      <alignment horizontal="center" vertical="center" wrapText="1"/>
    </xf>
    <xf numFmtId="0" fontId="32" fillId="24" borderId="14" xfId="0" applyFont="1" applyFill="1" applyBorder="1" applyAlignment="1">
      <alignment horizontal="center" vertical="center" wrapText="1"/>
    </xf>
    <xf numFmtId="0" fontId="9" fillId="5" borderId="14" xfId="5" applyFont="1" applyFill="1" applyBorder="1" applyAlignment="1" applyProtection="1">
      <alignment horizontal="center" vertical="center" wrapText="1"/>
    </xf>
    <xf numFmtId="0" fontId="9" fillId="5" borderId="6" xfId="5" applyFont="1" applyFill="1" applyBorder="1" applyAlignment="1" applyProtection="1">
      <alignment horizontal="center" vertical="center" wrapText="1"/>
    </xf>
    <xf numFmtId="0" fontId="9" fillId="5" borderId="14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32" fillId="5" borderId="2" xfId="0" applyFont="1" applyFill="1" applyBorder="1" applyAlignment="1">
      <alignment horizontal="center" vertical="center" wrapText="1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1" applyNumberFormat="1" applyFont="1" applyFill="1" applyBorder="1" applyAlignment="1" applyProtection="1">
      <alignment horizontal="center" vertical="center" wrapText="1"/>
    </xf>
    <xf numFmtId="165" fontId="35" fillId="0" borderId="3" xfId="1" applyNumberFormat="1" applyFont="1" applyFill="1" applyBorder="1" applyAlignment="1" applyProtection="1">
      <alignment horizontal="center" vertical="center" wrapText="1"/>
    </xf>
    <xf numFmtId="1" fontId="35" fillId="0" borderId="39" xfId="1" applyNumberFormat="1" applyFont="1" applyFill="1" applyBorder="1" applyAlignment="1" applyProtection="1">
      <alignment horizontal="center" vertical="center" wrapText="1"/>
    </xf>
    <xf numFmtId="1" fontId="35" fillId="0" borderId="14" xfId="1" applyNumberFormat="1" applyFont="1" applyFill="1" applyBorder="1" applyAlignment="1" applyProtection="1">
      <alignment horizontal="center" vertical="center" wrapText="1"/>
    </xf>
    <xf numFmtId="165" fontId="35" fillId="0" borderId="4" xfId="1" applyNumberFormat="1" applyFont="1" applyFill="1" applyBorder="1" applyAlignment="1" applyProtection="1">
      <alignment horizontal="center" vertical="center" wrapText="1"/>
    </xf>
    <xf numFmtId="1" fontId="35" fillId="2" borderId="39" xfId="0" applyNumberFormat="1" applyFont="1" applyFill="1" applyBorder="1" applyAlignment="1">
      <alignment horizontal="center" vertical="center"/>
    </xf>
    <xf numFmtId="1" fontId="35" fillId="0" borderId="20" xfId="1" applyNumberFormat="1" applyFont="1" applyFill="1" applyBorder="1" applyAlignment="1" applyProtection="1">
      <alignment horizontal="center" vertical="center" wrapText="1"/>
    </xf>
    <xf numFmtId="1" fontId="35" fillId="0" borderId="6" xfId="1" applyNumberFormat="1" applyFont="1" applyFill="1" applyBorder="1" applyAlignment="1" applyProtection="1">
      <alignment horizontal="center" vertical="center" wrapText="1"/>
    </xf>
    <xf numFmtId="165" fontId="35" fillId="0" borderId="5" xfId="1" applyNumberFormat="1" applyFont="1" applyFill="1" applyBorder="1" applyAlignment="1" applyProtection="1">
      <alignment horizontal="center" vertical="center" wrapText="1"/>
    </xf>
    <xf numFmtId="1" fontId="35" fillId="0" borderId="1" xfId="1" applyNumberFormat="1" applyFont="1" applyFill="1" applyBorder="1" applyAlignment="1" applyProtection="1">
      <alignment horizontal="center" vertical="center" wrapText="1"/>
    </xf>
    <xf numFmtId="1" fontId="35" fillId="0" borderId="42" xfId="1" applyNumberFormat="1" applyFont="1" applyFill="1" applyBorder="1" applyAlignment="1" applyProtection="1">
      <alignment horizontal="center" vertical="center" wrapText="1"/>
    </xf>
    <xf numFmtId="1" fontId="35" fillId="2" borderId="1" xfId="0" applyNumberFormat="1" applyFont="1" applyFill="1" applyBorder="1" applyAlignment="1">
      <alignment horizontal="center" vertical="center"/>
    </xf>
    <xf numFmtId="1" fontId="35" fillId="0" borderId="39" xfId="0" applyNumberFormat="1" applyFont="1" applyBorder="1" applyAlignment="1">
      <alignment horizontal="center" vertical="center"/>
    </xf>
    <xf numFmtId="1" fontId="19" fillId="0" borderId="2" xfId="1" applyNumberFormat="1" applyFont="1" applyFill="1" applyBorder="1" applyAlignment="1" applyProtection="1">
      <alignment horizontal="center" vertical="center" wrapText="1"/>
    </xf>
    <xf numFmtId="1" fontId="19" fillId="0" borderId="14" xfId="1" applyNumberFormat="1" applyFont="1" applyFill="1" applyBorder="1" applyAlignment="1" applyProtection="1">
      <alignment horizontal="center" vertical="center" wrapText="1"/>
    </xf>
    <xf numFmtId="1" fontId="19" fillId="0" borderId="6" xfId="1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center" wrapText="1"/>
    </xf>
    <xf numFmtId="0" fontId="44" fillId="25" borderId="64" xfId="0" applyFont="1" applyFill="1" applyBorder="1" applyAlignment="1" applyProtection="1">
      <alignment horizontal="center" vertical="center" wrapText="1"/>
    </xf>
    <xf numFmtId="0" fontId="44" fillId="25" borderId="68" xfId="0" applyFont="1" applyFill="1" applyBorder="1" applyAlignment="1" applyProtection="1">
      <alignment horizontal="center" vertical="center" wrapText="1"/>
    </xf>
    <xf numFmtId="0" fontId="44" fillId="25" borderId="2" xfId="0" applyFont="1" applyFill="1" applyBorder="1" applyAlignment="1" applyProtection="1">
      <alignment horizontal="center" vertical="center" wrapText="1"/>
    </xf>
    <xf numFmtId="0" fontId="44" fillId="25" borderId="14" xfId="0" applyFont="1" applyFill="1" applyBorder="1" applyAlignment="1" applyProtection="1">
      <alignment horizontal="center" vertical="center" wrapText="1"/>
    </xf>
    <xf numFmtId="0" fontId="44" fillId="25" borderId="6" xfId="0" applyFont="1" applyFill="1" applyBorder="1" applyAlignment="1" applyProtection="1">
      <alignment horizontal="center" vertical="center" wrapText="1"/>
    </xf>
    <xf numFmtId="0" fontId="45" fillId="0" borderId="0" xfId="0" applyFont="1"/>
    <xf numFmtId="0" fontId="10" fillId="0" borderId="15" xfId="0" applyFont="1" applyBorder="1" applyAlignment="1">
      <alignment vertical="center"/>
    </xf>
    <xf numFmtId="0" fontId="48" fillId="5" borderId="2" xfId="0" applyFont="1" applyFill="1" applyBorder="1" applyAlignment="1">
      <alignment horizontal="center" vertical="center"/>
    </xf>
    <xf numFmtId="0" fontId="48" fillId="5" borderId="14" xfId="0" applyFont="1" applyFill="1" applyBorder="1" applyAlignment="1">
      <alignment horizontal="center" vertical="center"/>
    </xf>
    <xf numFmtId="0" fontId="48" fillId="5" borderId="6" xfId="0" applyFont="1" applyFill="1" applyBorder="1" applyAlignment="1">
      <alignment horizontal="center" vertical="center"/>
    </xf>
    <xf numFmtId="0" fontId="46" fillId="24" borderId="2" xfId="0" applyFont="1" applyFill="1" applyBorder="1" applyAlignment="1">
      <alignment horizontal="center" vertical="center" wrapText="1"/>
    </xf>
    <xf numFmtId="0" fontId="46" fillId="24" borderId="14" xfId="0" applyFont="1" applyFill="1" applyBorder="1" applyAlignment="1">
      <alignment horizontal="center" vertical="center" wrapText="1"/>
    </xf>
    <xf numFmtId="0" fontId="46" fillId="5" borderId="14" xfId="0" applyFont="1" applyFill="1" applyBorder="1" applyAlignment="1">
      <alignment horizontal="center" vertical="center" wrapText="1"/>
    </xf>
    <xf numFmtId="0" fontId="46" fillId="5" borderId="2" xfId="0" applyFont="1" applyFill="1" applyBorder="1" applyAlignment="1">
      <alignment horizontal="center" vertical="center" wrapText="1"/>
    </xf>
    <xf numFmtId="0" fontId="46" fillId="5" borderId="6" xfId="0" applyFont="1" applyFill="1" applyBorder="1" applyAlignment="1">
      <alignment horizontal="center" vertical="center" wrapText="1"/>
    </xf>
    <xf numFmtId="0" fontId="32" fillId="5" borderId="26" xfId="0" applyFont="1" applyFill="1" applyBorder="1" applyAlignment="1">
      <alignment horizontal="center" vertical="center" wrapText="1"/>
    </xf>
    <xf numFmtId="0" fontId="9" fillId="5" borderId="26" xfId="0" applyFont="1" applyFill="1" applyBorder="1" applyAlignment="1">
      <alignment horizontal="center" vertical="center" wrapText="1"/>
    </xf>
    <xf numFmtId="0" fontId="37" fillId="5" borderId="26" xfId="0" applyFont="1" applyFill="1" applyBorder="1" applyAlignment="1">
      <alignment horizontal="center" vertical="center" wrapText="1"/>
    </xf>
    <xf numFmtId="0" fontId="37" fillId="5" borderId="26" xfId="0" applyFont="1" applyFill="1" applyBorder="1" applyAlignment="1">
      <alignment horizontal="left" vertical="center" wrapText="1"/>
    </xf>
    <xf numFmtId="0" fontId="46" fillId="5" borderId="26" xfId="0" applyFont="1" applyFill="1" applyBorder="1" applyAlignment="1">
      <alignment horizontal="center" vertical="center" wrapText="1"/>
    </xf>
    <xf numFmtId="0" fontId="44" fillId="25" borderId="26" xfId="0" applyFont="1" applyFill="1" applyBorder="1" applyAlignment="1" applyProtection="1">
      <alignment horizontal="center" vertical="center" wrapText="1"/>
    </xf>
    <xf numFmtId="1" fontId="19" fillId="0" borderId="26" xfId="1" applyNumberFormat="1" applyFont="1" applyFill="1" applyBorder="1" applyAlignment="1" applyProtection="1">
      <alignment horizontal="center" vertical="center" wrapText="1"/>
    </xf>
    <xf numFmtId="165" fontId="35" fillId="0" borderId="43" xfId="1" applyNumberFormat="1" applyFont="1" applyFill="1" applyBorder="1" applyAlignment="1" applyProtection="1">
      <alignment horizontal="center" vertical="center" wrapText="1"/>
    </xf>
    <xf numFmtId="0" fontId="14" fillId="5" borderId="0" xfId="0" applyFont="1" applyFill="1" applyBorder="1" applyAlignment="1">
      <alignment vertical="center"/>
    </xf>
    <xf numFmtId="0" fontId="73" fillId="0" borderId="0" xfId="0" applyFont="1" applyBorder="1" applyAlignment="1">
      <alignment vertical="center"/>
    </xf>
    <xf numFmtId="0" fontId="63" fillId="24" borderId="14" xfId="0" applyFont="1" applyFill="1" applyBorder="1" applyAlignment="1">
      <alignment horizontal="left" vertical="center" wrapText="1"/>
    </xf>
    <xf numFmtId="0" fontId="37" fillId="24" borderId="6" xfId="0" applyFont="1" applyFill="1" applyBorder="1" applyAlignment="1">
      <alignment horizontal="left" vertical="center" wrapText="1"/>
    </xf>
    <xf numFmtId="0" fontId="9" fillId="5" borderId="14" xfId="5" applyFont="1" applyFill="1" applyBorder="1" applyAlignment="1" applyProtection="1">
      <alignment horizontal="center" vertical="center" wrapText="1"/>
    </xf>
    <xf numFmtId="1" fontId="35" fillId="0" borderId="56" xfId="1" applyNumberFormat="1" applyFont="1" applyFill="1" applyBorder="1" applyAlignment="1" applyProtection="1">
      <alignment horizontal="center" vertical="center" wrapText="1"/>
    </xf>
    <xf numFmtId="0" fontId="56" fillId="0" borderId="0" xfId="0" applyFont="1" applyBorder="1"/>
    <xf numFmtId="0" fontId="74" fillId="26" borderId="56" xfId="1" applyFont="1" applyFill="1" applyBorder="1" applyAlignment="1" applyProtection="1">
      <alignment horizontal="center" vertical="center" wrapText="1"/>
    </xf>
    <xf numFmtId="0" fontId="74" fillId="26" borderId="24" xfId="1" applyFont="1" applyFill="1" applyBorder="1" applyAlignment="1" applyProtection="1">
      <alignment horizontal="center" vertical="center" wrapText="1"/>
    </xf>
    <xf numFmtId="0" fontId="46" fillId="5" borderId="58" xfId="0" applyFont="1" applyFill="1" applyBorder="1" applyAlignment="1">
      <alignment horizontal="center" vertical="center" wrapText="1"/>
    </xf>
    <xf numFmtId="0" fontId="62" fillId="5" borderId="58" xfId="0" applyFont="1" applyFill="1" applyBorder="1" applyAlignment="1">
      <alignment horizontal="center" vertical="center" wrapText="1"/>
    </xf>
    <xf numFmtId="0" fontId="37" fillId="5" borderId="58" xfId="0" applyFont="1" applyFill="1" applyBorder="1" applyAlignment="1">
      <alignment horizontal="center" vertical="center" wrapText="1"/>
    </xf>
    <xf numFmtId="0" fontId="37" fillId="5" borderId="58" xfId="0" applyFont="1" applyFill="1" applyBorder="1" applyAlignment="1">
      <alignment horizontal="left" vertical="center" wrapText="1"/>
    </xf>
    <xf numFmtId="0" fontId="44" fillId="25" borderId="58" xfId="0" applyFont="1" applyFill="1" applyBorder="1" applyAlignment="1" applyProtection="1">
      <alignment horizontal="center" vertical="center" wrapText="1"/>
    </xf>
    <xf numFmtId="1" fontId="35" fillId="0" borderId="63" xfId="1" applyNumberFormat="1" applyFont="1" applyFill="1" applyBorder="1" applyAlignment="1" applyProtection="1">
      <alignment horizontal="center" vertical="center" wrapText="1"/>
    </xf>
    <xf numFmtId="1" fontId="19" fillId="0" borderId="58" xfId="1" applyNumberFormat="1" applyFont="1" applyFill="1" applyBorder="1" applyAlignment="1" applyProtection="1">
      <alignment horizontal="center" vertical="center" wrapText="1"/>
    </xf>
    <xf numFmtId="165" fontId="35" fillId="0" borderId="60" xfId="1" applyNumberFormat="1" applyFont="1" applyFill="1" applyBorder="1" applyAlignment="1" applyProtection="1">
      <alignment horizontal="center" vertical="center" wrapText="1"/>
    </xf>
    <xf numFmtId="0" fontId="62" fillId="5" borderId="66" xfId="0" applyFont="1" applyFill="1" applyBorder="1" applyAlignment="1">
      <alignment horizontal="center" vertical="center" wrapText="1"/>
    </xf>
    <xf numFmtId="0" fontId="37" fillId="5" borderId="31" xfId="0" applyFont="1" applyFill="1" applyBorder="1" applyAlignment="1">
      <alignment horizontal="center" vertical="center" wrapText="1"/>
    </xf>
    <xf numFmtId="0" fontId="37" fillId="5" borderId="31" xfId="0" applyFont="1" applyFill="1" applyBorder="1" applyAlignment="1">
      <alignment horizontal="left" vertical="center" wrapText="1"/>
    </xf>
    <xf numFmtId="0" fontId="46" fillId="5" borderId="31" xfId="0" applyFont="1" applyFill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center" wrapText="1"/>
    </xf>
    <xf numFmtId="1" fontId="35" fillId="0" borderId="66" xfId="1" applyNumberFormat="1" applyFont="1" applyFill="1" applyBorder="1" applyAlignment="1" applyProtection="1">
      <alignment horizontal="center" vertical="center" wrapText="1"/>
    </xf>
    <xf numFmtId="1" fontId="19" fillId="0" borderId="31" xfId="1" applyNumberFormat="1" applyFont="1" applyFill="1" applyBorder="1" applyAlignment="1" applyProtection="1">
      <alignment horizontal="center" vertical="center" wrapText="1"/>
    </xf>
    <xf numFmtId="165" fontId="35" fillId="0" borderId="49" xfId="1" applyNumberFormat="1" applyFont="1" applyFill="1" applyBorder="1" applyAlignment="1" applyProtection="1">
      <alignment horizontal="center" vertical="center" wrapText="1"/>
    </xf>
    <xf numFmtId="0" fontId="75" fillId="5" borderId="8" xfId="0" applyFont="1" applyFill="1" applyBorder="1" applyAlignment="1">
      <alignment vertical="center" wrapText="1"/>
    </xf>
    <xf numFmtId="0" fontId="32" fillId="5" borderId="58" xfId="0" applyFont="1" applyFill="1" applyBorder="1" applyAlignment="1">
      <alignment horizontal="center" vertical="center" wrapText="1"/>
    </xf>
    <xf numFmtId="0" fontId="32" fillId="24" borderId="26" xfId="0" applyFont="1" applyFill="1" applyBorder="1" applyAlignment="1">
      <alignment horizontal="center" vertical="center" wrapText="1"/>
    </xf>
    <xf numFmtId="0" fontId="9" fillId="24" borderId="26" xfId="5" applyFont="1" applyFill="1" applyBorder="1" applyAlignment="1" applyProtection="1">
      <alignment horizontal="center" vertical="center" wrapText="1"/>
    </xf>
    <xf numFmtId="0" fontId="75" fillId="5" borderId="66" xfId="0" applyFont="1" applyFill="1" applyBorder="1" applyAlignment="1">
      <alignment vertical="center" wrapText="1"/>
    </xf>
    <xf numFmtId="0" fontId="32" fillId="5" borderId="31" xfId="0" applyFont="1" applyFill="1" applyBorder="1" applyAlignment="1">
      <alignment horizontal="center" vertical="center" wrapText="1"/>
    </xf>
    <xf numFmtId="0" fontId="62" fillId="5" borderId="49" xfId="0" applyFont="1" applyFill="1" applyBorder="1" applyAlignment="1">
      <alignment horizontal="center" vertical="center" wrapText="1"/>
    </xf>
    <xf numFmtId="0" fontId="50" fillId="5" borderId="14" xfId="0" applyNumberFormat="1" applyFont="1" applyFill="1" applyBorder="1" applyAlignment="1">
      <alignment horizontal="center" vertical="center"/>
    </xf>
    <xf numFmtId="1" fontId="27" fillId="5" borderId="37" xfId="0" applyNumberFormat="1" applyFont="1" applyFill="1" applyBorder="1" applyAlignment="1" applyProtection="1">
      <alignment horizontal="center" vertical="center"/>
    </xf>
    <xf numFmtId="1" fontId="27" fillId="5" borderId="15" xfId="0" applyNumberFormat="1" applyFont="1" applyFill="1" applyBorder="1" applyAlignment="1" applyProtection="1">
      <alignment horizontal="center" vertical="center"/>
    </xf>
    <xf numFmtId="1" fontId="27" fillId="21" borderId="47" xfId="0" applyNumberFormat="1" applyFont="1" applyFill="1" applyBorder="1" applyAlignment="1" applyProtection="1">
      <alignment horizontal="center" vertical="center"/>
    </xf>
    <xf numFmtId="0" fontId="50" fillId="0" borderId="42" xfId="0" applyFont="1" applyBorder="1" applyAlignment="1">
      <alignment horizontal="center" vertical="center"/>
    </xf>
    <xf numFmtId="0" fontId="50" fillId="0" borderId="26" xfId="0" applyFont="1" applyBorder="1" applyAlignment="1">
      <alignment horizontal="center" vertical="center"/>
    </xf>
    <xf numFmtId="0" fontId="50" fillId="0" borderId="39" xfId="0" applyFont="1" applyBorder="1" applyAlignment="1">
      <alignment horizontal="center" vertical="center"/>
    </xf>
    <xf numFmtId="0" fontId="50" fillId="0" borderId="14" xfId="0" applyFont="1" applyBorder="1" applyAlignment="1">
      <alignment horizontal="center" vertical="center"/>
    </xf>
    <xf numFmtId="0" fontId="50" fillId="0" borderId="20" xfId="0" applyFont="1" applyBorder="1" applyAlignment="1">
      <alignment horizontal="center" vertical="center"/>
    </xf>
    <xf numFmtId="0" fontId="50" fillId="0" borderId="6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46" fillId="5" borderId="26" xfId="0" applyFont="1" applyFill="1" applyBorder="1" applyAlignment="1">
      <alignment horizontal="center" vertical="center" wrapText="1"/>
    </xf>
    <xf numFmtId="0" fontId="46" fillId="5" borderId="14" xfId="0" applyFont="1" applyFill="1" applyBorder="1" applyAlignment="1">
      <alignment horizontal="center" vertical="center" wrapText="1"/>
    </xf>
    <xf numFmtId="0" fontId="46" fillId="5" borderId="6" xfId="0" applyFont="1" applyFill="1" applyBorder="1" applyAlignment="1">
      <alignment horizontal="center" vertical="center" wrapText="1"/>
    </xf>
    <xf numFmtId="0" fontId="46" fillId="24" borderId="2" xfId="0" applyFont="1" applyFill="1" applyBorder="1" applyAlignment="1">
      <alignment horizontal="center" vertical="center" wrapText="1"/>
    </xf>
    <xf numFmtId="0" fontId="46" fillId="24" borderId="14" xfId="0" applyFont="1" applyFill="1" applyBorder="1" applyAlignment="1">
      <alignment horizontal="center" vertical="center" wrapText="1"/>
    </xf>
    <xf numFmtId="0" fontId="19" fillId="5" borderId="67" xfId="1" applyFont="1" applyFill="1" applyBorder="1" applyAlignment="1" applyProtection="1">
      <alignment horizontal="center" vertical="center" wrapText="1"/>
      <protection locked="0"/>
    </xf>
    <xf numFmtId="0" fontId="32" fillId="5" borderId="14" xfId="0" applyFont="1" applyFill="1" applyBorder="1" applyAlignment="1">
      <alignment horizontal="center" vertical="center" wrapText="1"/>
    </xf>
    <xf numFmtId="0" fontId="12" fillId="24" borderId="14" xfId="0" applyNumberFormat="1" applyFont="1" applyFill="1" applyBorder="1" applyAlignment="1">
      <alignment horizontal="center" vertical="center"/>
    </xf>
    <xf numFmtId="0" fontId="62" fillId="5" borderId="14" xfId="0" applyFont="1" applyFill="1" applyBorder="1" applyAlignment="1">
      <alignment horizontal="center" vertical="center" wrapText="1"/>
    </xf>
    <xf numFmtId="0" fontId="62" fillId="5" borderId="6" xfId="0" applyFont="1" applyFill="1" applyBorder="1" applyAlignment="1">
      <alignment horizontal="center" vertical="center" wrapText="1"/>
    </xf>
    <xf numFmtId="0" fontId="9" fillId="5" borderId="14" xfId="5" applyFont="1" applyFill="1" applyBorder="1" applyAlignment="1" applyProtection="1">
      <alignment horizontal="center" vertical="center" wrapText="1"/>
    </xf>
    <xf numFmtId="0" fontId="9" fillId="5" borderId="6" xfId="5" applyFont="1" applyFill="1" applyBorder="1" applyAlignment="1" applyProtection="1">
      <alignment horizontal="center" vertical="center" wrapText="1"/>
    </xf>
    <xf numFmtId="0" fontId="9" fillId="5" borderId="26" xfId="0" applyFont="1" applyFill="1" applyBorder="1" applyAlignment="1">
      <alignment horizontal="center" vertical="center" wrapText="1"/>
    </xf>
    <xf numFmtId="0" fontId="9" fillId="5" borderId="14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46" fillId="5" borderId="58" xfId="0" applyFont="1" applyFill="1" applyBorder="1" applyAlignment="1">
      <alignment horizontal="center" vertical="center" wrapText="1"/>
    </xf>
    <xf numFmtId="0" fontId="32" fillId="5" borderId="6" xfId="0" applyFont="1" applyFill="1" applyBorder="1" applyAlignment="1">
      <alignment horizontal="center" vertical="center" wrapText="1"/>
    </xf>
    <xf numFmtId="0" fontId="32" fillId="24" borderId="14" xfId="0" applyFont="1" applyFill="1" applyBorder="1" applyAlignment="1">
      <alignment horizontal="center" vertical="center" wrapText="1"/>
    </xf>
    <xf numFmtId="0" fontId="12" fillId="5" borderId="14" xfId="0" applyNumberFormat="1" applyFont="1" applyFill="1" applyBorder="1" applyAlignment="1">
      <alignment horizontal="center" vertical="center"/>
    </xf>
    <xf numFmtId="0" fontId="25" fillId="5" borderId="18" xfId="0" applyFont="1" applyFill="1" applyBorder="1" applyAlignment="1">
      <alignment horizontal="center" vertical="center" wrapText="1"/>
    </xf>
    <xf numFmtId="0" fontId="19" fillId="5" borderId="67" xfId="1" applyFont="1" applyFill="1" applyBorder="1" applyAlignment="1" applyProtection="1">
      <alignment vertical="center" wrapText="1"/>
      <protection locked="0"/>
    </xf>
    <xf numFmtId="0" fontId="25" fillId="5" borderId="12" xfId="0" applyFont="1" applyFill="1" applyBorder="1" applyAlignment="1">
      <alignment horizontal="center" vertical="center" wrapText="1"/>
    </xf>
    <xf numFmtId="0" fontId="1" fillId="5" borderId="16" xfId="1" applyFont="1" applyFill="1" applyBorder="1" applyAlignment="1" applyProtection="1">
      <alignment horizontal="center" vertical="center" wrapText="1"/>
    </xf>
    <xf numFmtId="0" fontId="50" fillId="0" borderId="28" xfId="0" applyFont="1" applyBorder="1" applyAlignment="1">
      <alignment horizontal="center" vertical="center"/>
    </xf>
    <xf numFmtId="0" fontId="50" fillId="0" borderId="13" xfId="0" applyFont="1" applyBorder="1" applyAlignment="1">
      <alignment horizontal="center" vertical="center"/>
    </xf>
    <xf numFmtId="0" fontId="50" fillId="0" borderId="17" xfId="0" applyFont="1" applyBorder="1" applyAlignment="1">
      <alignment horizontal="center" vertical="center"/>
    </xf>
    <xf numFmtId="0" fontId="35" fillId="0" borderId="14" xfId="0" applyFont="1" applyBorder="1" applyAlignment="1">
      <alignment horizontal="center" vertical="center"/>
    </xf>
    <xf numFmtId="0" fontId="59" fillId="12" borderId="14" xfId="0" applyNumberFormat="1" applyFont="1" applyFill="1" applyBorder="1" applyAlignment="1">
      <alignment horizontal="center"/>
    </xf>
    <xf numFmtId="0" fontId="14" fillId="5" borderId="14" xfId="1" applyFont="1" applyFill="1" applyBorder="1" applyAlignment="1" applyProtection="1">
      <alignment horizontal="center" vertical="center" wrapText="1"/>
    </xf>
    <xf numFmtId="0" fontId="76" fillId="21" borderId="1" xfId="0" applyFont="1" applyFill="1" applyBorder="1" applyAlignment="1">
      <alignment horizontal="center" vertical="center" wrapText="1"/>
    </xf>
    <xf numFmtId="0" fontId="77" fillId="21" borderId="14" xfId="0" applyFont="1" applyFill="1" applyBorder="1" applyAlignment="1">
      <alignment horizontal="center" vertical="center" wrapText="1"/>
    </xf>
    <xf numFmtId="0" fontId="53" fillId="5" borderId="14" xfId="0" applyNumberFormat="1" applyFont="1" applyFill="1" applyBorder="1" applyAlignment="1">
      <alignment horizontal="center" vertical="center"/>
    </xf>
    <xf numFmtId="0" fontId="76" fillId="0" borderId="20" xfId="0" applyFont="1" applyBorder="1" applyAlignment="1">
      <alignment horizontal="center" vertical="center" wrapText="1"/>
    </xf>
    <xf numFmtId="0" fontId="77" fillId="0" borderId="14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5" borderId="14" xfId="0" applyNumberFormat="1" applyFont="1" applyFill="1" applyBorder="1" applyAlignment="1">
      <alignment horizontal="center" vertical="center"/>
    </xf>
    <xf numFmtId="0" fontId="28" fillId="0" borderId="26" xfId="0" applyFont="1" applyBorder="1" applyAlignment="1">
      <alignment horizontal="center" vertical="center" wrapText="1"/>
    </xf>
    <xf numFmtId="0" fontId="77" fillId="21" borderId="6" xfId="0" applyFont="1" applyFill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/>
    </xf>
    <xf numFmtId="0" fontId="28" fillId="0" borderId="36" xfId="0" applyFont="1" applyBorder="1" applyAlignment="1">
      <alignment horizontal="center" vertical="center" wrapText="1"/>
    </xf>
    <xf numFmtId="1" fontId="28" fillId="0" borderId="49" xfId="0" applyNumberFormat="1" applyFont="1" applyBorder="1" applyAlignment="1">
      <alignment horizontal="center" vertical="center"/>
    </xf>
    <xf numFmtId="0" fontId="1" fillId="0" borderId="33" xfId="0" applyFont="1" applyBorder="1"/>
    <xf numFmtId="0" fontId="50" fillId="0" borderId="2" xfId="0" applyFont="1" applyBorder="1" applyAlignment="1">
      <alignment horizontal="center" vertical="center" wrapText="1"/>
    </xf>
    <xf numFmtId="0" fontId="77" fillId="0" borderId="2" xfId="0" applyFont="1" applyBorder="1" applyAlignment="1">
      <alignment horizontal="center" vertical="center" wrapText="1"/>
    </xf>
    <xf numFmtId="0" fontId="78" fillId="0" borderId="14" xfId="0" applyFont="1" applyBorder="1" applyAlignment="1">
      <alignment horizontal="center" vertical="center" wrapText="1"/>
    </xf>
    <xf numFmtId="0" fontId="50" fillId="0" borderId="14" xfId="0" applyFont="1" applyBorder="1" applyAlignment="1">
      <alignment horizontal="center" vertical="center" wrapText="1"/>
    </xf>
    <xf numFmtId="0" fontId="50" fillId="0" borderId="6" xfId="0" applyFont="1" applyBorder="1" applyAlignment="1">
      <alignment horizontal="center" vertical="center" wrapText="1"/>
    </xf>
    <xf numFmtId="0" fontId="77" fillId="0" borderId="6" xfId="0" applyFont="1" applyBorder="1" applyAlignment="1">
      <alignment horizontal="center" vertical="center" wrapText="1"/>
    </xf>
    <xf numFmtId="0" fontId="56" fillId="13" borderId="0" xfId="0" applyFont="1" applyFill="1" applyBorder="1"/>
    <xf numFmtId="0" fontId="56" fillId="13" borderId="0" xfId="0" applyNumberFormat="1" applyFont="1" applyFill="1" applyBorder="1"/>
    <xf numFmtId="0" fontId="9" fillId="5" borderId="12" xfId="5" applyFont="1" applyFill="1" applyBorder="1" applyAlignment="1" applyProtection="1">
      <alignment horizontal="center" vertical="center" wrapText="1"/>
    </xf>
    <xf numFmtId="0" fontId="9" fillId="5" borderId="15" xfId="5" applyFont="1" applyFill="1" applyBorder="1" applyAlignment="1" applyProtection="1">
      <alignment horizontal="center" vertical="center" wrapText="1"/>
    </xf>
    <xf numFmtId="0" fontId="9" fillId="5" borderId="18" xfId="5" applyFont="1" applyFill="1" applyBorder="1" applyAlignment="1" applyProtection="1">
      <alignment horizontal="center" vertical="center" wrapText="1"/>
    </xf>
    <xf numFmtId="0" fontId="9" fillId="24" borderId="12" xfId="5" applyFont="1" applyFill="1" applyBorder="1" applyAlignment="1" applyProtection="1">
      <alignment horizontal="center" vertical="center" wrapText="1"/>
    </xf>
    <xf numFmtId="0" fontId="9" fillId="24" borderId="15" xfId="5" applyFont="1" applyFill="1" applyBorder="1" applyAlignment="1" applyProtection="1">
      <alignment horizontal="center" vertical="center" wrapText="1"/>
    </xf>
    <xf numFmtId="0" fontId="9" fillId="5" borderId="15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9" fillId="5" borderId="18" xfId="0" applyFont="1" applyFill="1" applyBorder="1" applyAlignment="1">
      <alignment horizontal="center" vertical="center"/>
    </xf>
    <xf numFmtId="0" fontId="62" fillId="5" borderId="15" xfId="0" applyFont="1" applyFill="1" applyBorder="1" applyAlignment="1">
      <alignment horizontal="center" vertical="center" wrapText="1"/>
    </xf>
    <xf numFmtId="49" fontId="9" fillId="5" borderId="15" xfId="5" applyNumberFormat="1" applyFont="1" applyFill="1" applyBorder="1" applyAlignment="1" applyProtection="1">
      <alignment horizontal="center" vertical="center" wrapText="1"/>
    </xf>
    <xf numFmtId="0" fontId="12" fillId="5" borderId="38" xfId="0" applyNumberFormat="1" applyFont="1" applyFill="1" applyBorder="1" applyAlignment="1">
      <alignment horizontal="center" vertical="center"/>
    </xf>
    <xf numFmtId="0" fontId="12" fillId="5" borderId="40" xfId="0" applyNumberFormat="1" applyFont="1" applyFill="1" applyBorder="1" applyAlignment="1">
      <alignment horizontal="center" vertical="center"/>
    </xf>
    <xf numFmtId="0" fontId="12" fillId="5" borderId="48" xfId="0" applyNumberFormat="1" applyFont="1" applyFill="1" applyBorder="1" applyAlignment="1">
      <alignment horizontal="center" vertical="center"/>
    </xf>
    <xf numFmtId="0" fontId="9" fillId="5" borderId="40" xfId="5" applyFont="1" applyFill="1" applyBorder="1" applyAlignment="1" applyProtection="1">
      <alignment horizontal="center" vertical="center" wrapText="1"/>
    </xf>
    <xf numFmtId="0" fontId="9" fillId="5" borderId="48" xfId="5" applyFont="1" applyFill="1" applyBorder="1" applyAlignment="1" applyProtection="1">
      <alignment horizontal="center" vertical="center" wrapText="1"/>
    </xf>
    <xf numFmtId="0" fontId="12" fillId="24" borderId="38" xfId="0" applyNumberFormat="1" applyFont="1" applyFill="1" applyBorder="1" applyAlignment="1">
      <alignment horizontal="center" vertical="center"/>
    </xf>
    <xf numFmtId="0" fontId="9" fillId="5" borderId="40" xfId="0" applyFont="1" applyFill="1" applyBorder="1" applyAlignment="1">
      <alignment horizontal="center" vertical="center"/>
    </xf>
    <xf numFmtId="0" fontId="12" fillId="24" borderId="40" xfId="0" applyNumberFormat="1" applyFont="1" applyFill="1" applyBorder="1" applyAlignment="1">
      <alignment horizontal="center" vertical="center"/>
    </xf>
    <xf numFmtId="0" fontId="9" fillId="5" borderId="48" xfId="0" applyFont="1" applyFill="1" applyBorder="1" applyAlignment="1">
      <alignment horizontal="center" vertical="center"/>
    </xf>
    <xf numFmtId="0" fontId="9" fillId="5" borderId="38" xfId="5" applyFont="1" applyFill="1" applyBorder="1" applyAlignment="1" applyProtection="1">
      <alignment horizontal="center" vertical="center" wrapText="1"/>
    </xf>
    <xf numFmtId="0" fontId="62" fillId="5" borderId="40" xfId="0" applyFont="1" applyFill="1" applyBorder="1" applyAlignment="1">
      <alignment horizontal="center" vertical="center" wrapText="1"/>
    </xf>
    <xf numFmtId="0" fontId="9" fillId="5" borderId="75" xfId="0" applyFon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/>
    </xf>
    <xf numFmtId="0" fontId="9" fillId="5" borderId="24" xfId="5" applyFont="1" applyFill="1" applyBorder="1" applyAlignment="1" applyProtection="1">
      <alignment horizontal="center" vertical="center" wrapText="1"/>
    </xf>
    <xf numFmtId="1" fontId="35" fillId="0" borderId="19" xfId="0" applyNumberFormat="1" applyFont="1" applyBorder="1" applyAlignment="1">
      <alignment horizontal="center" vertical="center"/>
    </xf>
    <xf numFmtId="1" fontId="35" fillId="0" borderId="13" xfId="1" applyNumberFormat="1" applyFont="1" applyFill="1" applyBorder="1" applyAlignment="1" applyProtection="1">
      <alignment horizontal="center" vertical="center" wrapText="1"/>
    </xf>
    <xf numFmtId="1" fontId="35" fillId="2" borderId="13" xfId="0" applyNumberFormat="1" applyFont="1" applyFill="1" applyBorder="1" applyAlignment="1">
      <alignment horizontal="center" vertical="center"/>
    </xf>
    <xf numFmtId="1" fontId="35" fillId="0" borderId="17" xfId="1" applyNumberFormat="1" applyFont="1" applyFill="1" applyBorder="1" applyAlignment="1" applyProtection="1">
      <alignment horizontal="center" vertical="center" wrapText="1"/>
    </xf>
    <xf numFmtId="1" fontId="35" fillId="0" borderId="19" xfId="1" applyNumberFormat="1" applyFont="1" applyFill="1" applyBorder="1" applyAlignment="1" applyProtection="1">
      <alignment horizontal="center" vertical="center" wrapText="1"/>
    </xf>
    <xf numFmtId="1" fontId="35" fillId="0" borderId="28" xfId="1" applyNumberFormat="1" applyFont="1" applyFill="1" applyBorder="1" applyAlignment="1" applyProtection="1">
      <alignment horizontal="center" vertical="center" wrapText="1"/>
    </xf>
    <xf numFmtId="1" fontId="35" fillId="0" borderId="59" xfId="1" applyNumberFormat="1" applyFont="1" applyFill="1" applyBorder="1" applyAlignment="1" applyProtection="1">
      <alignment horizontal="center" vertical="center" wrapText="1"/>
    </xf>
    <xf numFmtId="1" fontId="35" fillId="0" borderId="29" xfId="1" applyNumberFormat="1" applyFont="1" applyFill="1" applyBorder="1" applyAlignment="1" applyProtection="1">
      <alignment horizontal="center" vertical="center" wrapText="1"/>
    </xf>
    <xf numFmtId="1" fontId="35" fillId="0" borderId="13" xfId="0" applyNumberFormat="1" applyFont="1" applyBorder="1" applyAlignment="1">
      <alignment horizontal="center" vertical="center"/>
    </xf>
    <xf numFmtId="0" fontId="48" fillId="6" borderId="14" xfId="0" applyFont="1" applyFill="1" applyBorder="1" applyAlignment="1">
      <alignment horizontal="center" vertical="center"/>
    </xf>
    <xf numFmtId="0" fontId="46" fillId="26" borderId="14" xfId="0" applyFont="1" applyFill="1" applyBorder="1" applyAlignment="1">
      <alignment vertical="center" wrapText="1"/>
    </xf>
    <xf numFmtId="0" fontId="46" fillId="22" borderId="14" xfId="0" applyFont="1" applyFill="1" applyBorder="1" applyAlignment="1">
      <alignment vertical="center" wrapText="1"/>
    </xf>
    <xf numFmtId="0" fontId="46" fillId="22" borderId="14" xfId="0" applyFont="1" applyFill="1" applyBorder="1" applyAlignment="1">
      <alignment horizontal="center" vertical="center" wrapText="1"/>
    </xf>
    <xf numFmtId="0" fontId="19" fillId="5" borderId="35" xfId="1" applyFont="1" applyFill="1" applyBorder="1" applyAlignment="1" applyProtection="1">
      <alignment vertical="center" wrapText="1"/>
      <protection locked="0"/>
    </xf>
    <xf numFmtId="0" fontId="19" fillId="5" borderId="35" xfId="1" applyFont="1" applyFill="1" applyBorder="1" applyAlignment="1" applyProtection="1">
      <alignment vertical="center" wrapText="1"/>
    </xf>
    <xf numFmtId="170" fontId="79" fillId="26" borderId="82" xfId="0" quotePrefix="1" applyNumberFormat="1" applyFont="1" applyFill="1" applyBorder="1" applyAlignment="1">
      <alignment vertical="center"/>
    </xf>
    <xf numFmtId="170" fontId="79" fillId="26" borderId="46" xfId="0" quotePrefix="1" applyNumberFormat="1" applyFont="1" applyFill="1" applyBorder="1" applyAlignment="1">
      <alignment vertical="center"/>
    </xf>
    <xf numFmtId="170" fontId="79" fillId="26" borderId="30" xfId="0" quotePrefix="1" applyNumberFormat="1" applyFont="1" applyFill="1" applyBorder="1" applyAlignment="1">
      <alignment vertical="center"/>
    </xf>
    <xf numFmtId="0" fontId="9" fillId="5" borderId="16" xfId="5" applyFont="1" applyFill="1" applyBorder="1" applyAlignment="1" applyProtection="1">
      <alignment horizontal="center" vertical="center" wrapText="1"/>
    </xf>
    <xf numFmtId="0" fontId="9" fillId="5" borderId="32" xfId="5" applyFont="1" applyFill="1" applyBorder="1" applyAlignment="1" applyProtection="1">
      <alignment horizontal="center" vertical="center" wrapText="1"/>
    </xf>
    <xf numFmtId="0" fontId="62" fillId="5" borderId="12" xfId="0" applyFont="1" applyFill="1" applyBorder="1" applyAlignment="1">
      <alignment horizontal="center" vertical="center" wrapText="1"/>
    </xf>
    <xf numFmtId="0" fontId="9" fillId="5" borderId="15" xfId="0" applyFont="1" applyFill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center" vertical="center"/>
    </xf>
    <xf numFmtId="0" fontId="9" fillId="5" borderId="69" xfId="5" applyFont="1" applyFill="1" applyBorder="1" applyAlignment="1" applyProtection="1">
      <alignment horizontal="center" vertical="center" wrapText="1"/>
    </xf>
    <xf numFmtId="0" fontId="9" fillId="5" borderId="38" xfId="0" applyFont="1" applyFill="1" applyBorder="1" applyAlignment="1">
      <alignment horizontal="center" vertical="center"/>
    </xf>
    <xf numFmtId="0" fontId="62" fillId="5" borderId="38" xfId="0" applyFont="1" applyFill="1" applyBorder="1" applyAlignment="1">
      <alignment horizontal="center" vertical="center" wrapText="1"/>
    </xf>
    <xf numFmtId="0" fontId="9" fillId="5" borderId="82" xfId="0" applyFont="1" applyFill="1" applyBorder="1" applyAlignment="1">
      <alignment horizontal="center" vertical="center"/>
    </xf>
    <xf numFmtId="0" fontId="63" fillId="5" borderId="2" xfId="0" applyFont="1" applyFill="1" applyBorder="1" applyAlignment="1">
      <alignment horizontal="left" vertical="center" wrapText="1"/>
    </xf>
    <xf numFmtId="0" fontId="37" fillId="5" borderId="58" xfId="5" applyFont="1" applyFill="1" applyBorder="1" applyAlignment="1" applyProtection="1">
      <alignment horizontal="left" vertical="center" wrapText="1"/>
    </xf>
    <xf numFmtId="0" fontId="0" fillId="0" borderId="14" xfId="0" applyFill="1" applyBorder="1"/>
    <xf numFmtId="0" fontId="2" fillId="0" borderId="14" xfId="0" applyFont="1" applyBorder="1" applyAlignment="1">
      <alignment horizontal="center"/>
    </xf>
    <xf numFmtId="0" fontId="6" fillId="5" borderId="56" xfId="1" applyFont="1" applyFill="1" applyBorder="1" applyAlignment="1" applyProtection="1">
      <alignment horizontal="center" vertical="center" wrapText="1"/>
    </xf>
    <xf numFmtId="0" fontId="6" fillId="5" borderId="24" xfId="1" applyFont="1" applyFill="1" applyBorder="1" applyAlignment="1" applyProtection="1">
      <alignment horizontal="center" vertical="center" wrapText="1"/>
    </xf>
    <xf numFmtId="0" fontId="56" fillId="13" borderId="87" xfId="0" applyFont="1" applyFill="1" applyBorder="1"/>
    <xf numFmtId="14" fontId="56" fillId="13" borderId="87" xfId="0" applyNumberFormat="1" applyFont="1" applyFill="1" applyBorder="1"/>
    <xf numFmtId="0" fontId="56" fillId="0" borderId="87" xfId="0" applyFont="1" applyBorder="1"/>
    <xf numFmtId="0" fontId="56" fillId="13" borderId="88" xfId="0" applyFont="1" applyFill="1" applyBorder="1"/>
    <xf numFmtId="0" fontId="56" fillId="13" borderId="88" xfId="0" applyNumberFormat="1" applyFont="1" applyFill="1" applyBorder="1"/>
    <xf numFmtId="0" fontId="56" fillId="13" borderId="87" xfId="0" applyFont="1" applyFill="1" applyBorder="1" applyAlignment="1">
      <alignment horizontal="center"/>
    </xf>
    <xf numFmtId="14" fontId="56" fillId="13" borderId="87" xfId="0" applyNumberFormat="1" applyFont="1" applyFill="1" applyBorder="1" applyAlignment="1">
      <alignment horizontal="center" vertical="center" wrapText="1"/>
    </xf>
    <xf numFmtId="0" fontId="56" fillId="0" borderId="8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4" fillId="0" borderId="0" xfId="0" applyFont="1" applyAlignment="1">
      <alignment horizontal="center"/>
    </xf>
    <xf numFmtId="16" fontId="21" fillId="0" borderId="0" xfId="0" applyNumberFormat="1" applyFont="1" applyAlignment="1">
      <alignment horizontal="center"/>
    </xf>
    <xf numFmtId="0" fontId="19" fillId="0" borderId="28" xfId="1" applyNumberFormat="1" applyFont="1" applyFill="1" applyBorder="1" applyAlignment="1" applyProtection="1">
      <alignment horizontal="center" vertical="center" wrapText="1"/>
      <protection locked="0"/>
    </xf>
    <xf numFmtId="0" fontId="46" fillId="0" borderId="48" xfId="0" applyFont="1" applyFill="1" applyBorder="1" applyAlignment="1">
      <alignment horizontal="center" vertical="center" wrapText="1"/>
    </xf>
    <xf numFmtId="0" fontId="46" fillId="0" borderId="40" xfId="0" applyFont="1" applyFill="1" applyBorder="1" applyAlignment="1">
      <alignment horizontal="center" vertical="center" wrapText="1"/>
    </xf>
    <xf numFmtId="0" fontId="0" fillId="0" borderId="0" xfId="0" applyFill="1"/>
    <xf numFmtId="0" fontId="19" fillId="0" borderId="35" xfId="1" applyFont="1" applyFill="1" applyBorder="1" applyAlignment="1" applyProtection="1">
      <alignment horizontal="center" vertical="center" wrapText="1"/>
    </xf>
    <xf numFmtId="0" fontId="19" fillId="0" borderId="51" xfId="1" applyFont="1" applyFill="1" applyBorder="1" applyAlignment="1" applyProtection="1">
      <alignment horizontal="center" vertical="center" wrapText="1"/>
      <protection locked="0"/>
    </xf>
    <xf numFmtId="0" fontId="19" fillId="0" borderId="66" xfId="1" applyFont="1" applyFill="1" applyBorder="1" applyAlignment="1" applyProtection="1">
      <alignment horizontal="center" vertical="center" wrapText="1"/>
      <protection locked="0"/>
    </xf>
    <xf numFmtId="0" fontId="19" fillId="0" borderId="31" xfId="1" applyFont="1" applyFill="1" applyBorder="1" applyAlignment="1" applyProtection="1">
      <alignment horizontal="center" vertical="center" wrapText="1"/>
      <protection locked="0"/>
    </xf>
    <xf numFmtId="0" fontId="19" fillId="0" borderId="49" xfId="1" applyFont="1" applyFill="1" applyBorder="1" applyAlignment="1" applyProtection="1">
      <alignment horizontal="center" vertical="center" wrapText="1"/>
      <protection locked="0"/>
    </xf>
    <xf numFmtId="0" fontId="37" fillId="0" borderId="38" xfId="0" applyFont="1" applyFill="1" applyBorder="1" applyAlignment="1">
      <alignment horizontal="left" vertical="center" wrapText="1"/>
    </xf>
    <xf numFmtId="0" fontId="46" fillId="0" borderId="38" xfId="0" applyFont="1" applyFill="1" applyBorder="1" applyAlignment="1">
      <alignment horizontal="center" vertical="center" wrapText="1"/>
    </xf>
    <xf numFmtId="0" fontId="37" fillId="0" borderId="40" xfId="0" applyFont="1" applyFill="1" applyBorder="1" applyAlignment="1">
      <alignment horizontal="left" vertical="center" wrapText="1"/>
    </xf>
    <xf numFmtId="0" fontId="63" fillId="0" borderId="40" xfId="0" applyFont="1" applyFill="1" applyBorder="1" applyAlignment="1">
      <alignment horizontal="left" vertical="center" wrapText="1"/>
    </xf>
    <xf numFmtId="0" fontId="37" fillId="0" borderId="40" xfId="5" applyFont="1" applyFill="1" applyBorder="1" applyAlignment="1" applyProtection="1">
      <alignment horizontal="left" vertical="center" wrapText="1"/>
    </xf>
    <xf numFmtId="0" fontId="37" fillId="0" borderId="48" xfId="0" applyFont="1" applyFill="1" applyBorder="1" applyAlignment="1">
      <alignment horizontal="left" vertical="center" wrapText="1"/>
    </xf>
    <xf numFmtId="0" fontId="46" fillId="5" borderId="14" xfId="0" applyFont="1" applyFill="1" applyBorder="1" applyAlignment="1">
      <alignment horizontal="center" vertical="center" wrapText="1"/>
    </xf>
    <xf numFmtId="0" fontId="46" fillId="5" borderId="6" xfId="0" applyFont="1" applyFill="1" applyBorder="1" applyAlignment="1">
      <alignment horizontal="center" vertical="center" wrapText="1"/>
    </xf>
    <xf numFmtId="0" fontId="46" fillId="24" borderId="2" xfId="0" applyFont="1" applyFill="1" applyBorder="1" applyAlignment="1">
      <alignment horizontal="center" vertical="center" wrapText="1"/>
    </xf>
    <xf numFmtId="0" fontId="46" fillId="24" borderId="14" xfId="0" applyFont="1" applyFill="1" applyBorder="1" applyAlignment="1">
      <alignment horizontal="center" vertical="center" wrapText="1"/>
    </xf>
    <xf numFmtId="0" fontId="46" fillId="5" borderId="8" xfId="0" applyFont="1" applyFill="1" applyBorder="1" applyAlignment="1">
      <alignment horizontal="center" vertical="center" wrapText="1"/>
    </xf>
    <xf numFmtId="0" fontId="46" fillId="5" borderId="26" xfId="0" applyFont="1" applyFill="1" applyBorder="1" applyAlignment="1">
      <alignment horizontal="center" vertical="center" wrapText="1"/>
    </xf>
    <xf numFmtId="0" fontId="19" fillId="5" borderId="35" xfId="1" applyFont="1" applyFill="1" applyBorder="1" applyAlignment="1" applyProtection="1">
      <alignment horizontal="center" vertical="center" wrapText="1"/>
      <protection locked="0"/>
    </xf>
    <xf numFmtId="0" fontId="19" fillId="5" borderId="41" xfId="1" applyFont="1" applyFill="1" applyBorder="1" applyAlignment="1" applyProtection="1">
      <alignment horizontal="center" vertical="center" wrapText="1"/>
      <protection locked="0"/>
    </xf>
    <xf numFmtId="0" fontId="9" fillId="5" borderId="14" xfId="5" applyFont="1" applyFill="1" applyBorder="1" applyAlignment="1" applyProtection="1">
      <alignment horizontal="center" vertical="center" wrapText="1"/>
    </xf>
    <xf numFmtId="0" fontId="9" fillId="5" borderId="6" xfId="5" applyFont="1" applyFill="1" applyBorder="1" applyAlignment="1" applyProtection="1">
      <alignment horizontal="center" vertical="center" wrapText="1"/>
    </xf>
    <xf numFmtId="0" fontId="20" fillId="0" borderId="0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42" fillId="0" borderId="25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170" fontId="79" fillId="26" borderId="82" xfId="0" quotePrefix="1" applyNumberFormat="1" applyFont="1" applyFill="1" applyBorder="1" applyAlignment="1">
      <alignment horizontal="center" vertical="center"/>
    </xf>
    <xf numFmtId="170" fontId="79" fillId="26" borderId="46" xfId="0" quotePrefix="1" applyNumberFormat="1" applyFont="1" applyFill="1" applyBorder="1" applyAlignment="1">
      <alignment horizontal="center" vertical="center"/>
    </xf>
    <xf numFmtId="170" fontId="79" fillId="26" borderId="30" xfId="0" quotePrefix="1" applyNumberFormat="1" applyFont="1" applyFill="1" applyBorder="1" applyAlignment="1">
      <alignment horizontal="center" vertical="center"/>
    </xf>
    <xf numFmtId="0" fontId="9" fillId="5" borderId="8" xfId="5" applyFont="1" applyFill="1" applyBorder="1" applyAlignment="1" applyProtection="1">
      <alignment horizontal="center" vertical="center" wrapText="1"/>
    </xf>
    <xf numFmtId="0" fontId="9" fillId="5" borderId="24" xfId="5" applyFont="1" applyFill="1" applyBorder="1" applyAlignment="1" applyProtection="1">
      <alignment horizontal="center" vertical="center" wrapText="1"/>
    </xf>
    <xf numFmtId="0" fontId="9" fillId="5" borderId="26" xfId="5" applyFont="1" applyFill="1" applyBorder="1" applyAlignment="1" applyProtection="1">
      <alignment horizontal="center" vertical="center" wrapText="1"/>
    </xf>
    <xf numFmtId="0" fontId="48" fillId="5" borderId="6" xfId="0" applyFont="1" applyFill="1" applyBorder="1" applyAlignment="1">
      <alignment horizontal="center" vertical="center" wrapText="1"/>
    </xf>
    <xf numFmtId="0" fontId="9" fillId="5" borderId="58" xfId="0" applyFont="1" applyFill="1" applyBorder="1" applyAlignment="1">
      <alignment horizontal="center" vertical="center" wrapText="1"/>
    </xf>
    <xf numFmtId="0" fontId="9" fillId="5" borderId="24" xfId="0" applyFont="1" applyFill="1" applyBorder="1" applyAlignment="1">
      <alignment horizontal="center" vertical="center" wrapText="1"/>
    </xf>
    <xf numFmtId="0" fontId="9" fillId="5" borderId="26" xfId="0" applyFont="1" applyFill="1" applyBorder="1" applyAlignment="1">
      <alignment horizontal="center" vertical="center" wrapText="1"/>
    </xf>
    <xf numFmtId="0" fontId="62" fillId="5" borderId="14" xfId="0" applyFont="1" applyFill="1" applyBorder="1" applyAlignment="1">
      <alignment horizontal="center" vertical="center" wrapText="1"/>
    </xf>
    <xf numFmtId="0" fontId="62" fillId="5" borderId="6" xfId="0" applyFont="1" applyFill="1" applyBorder="1" applyAlignment="1">
      <alignment horizontal="center" vertical="center" wrapText="1"/>
    </xf>
    <xf numFmtId="0" fontId="9" fillId="5" borderId="14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12" fillId="24" borderId="58" xfId="0" applyNumberFormat="1" applyFont="1" applyFill="1" applyBorder="1" applyAlignment="1">
      <alignment horizontal="center" vertical="center"/>
    </xf>
    <xf numFmtId="0" fontId="12" fillId="24" borderId="24" xfId="0" applyNumberFormat="1" applyFont="1" applyFill="1" applyBorder="1" applyAlignment="1">
      <alignment horizontal="center" vertical="center"/>
    </xf>
    <xf numFmtId="0" fontId="12" fillId="24" borderId="26" xfId="0" applyNumberFormat="1" applyFont="1" applyFill="1" applyBorder="1" applyAlignment="1">
      <alignment horizontal="center" vertical="center"/>
    </xf>
    <xf numFmtId="0" fontId="9" fillId="5" borderId="58" xfId="5" applyFont="1" applyFill="1" applyBorder="1" applyAlignment="1" applyProtection="1">
      <alignment horizontal="center" vertical="center" wrapText="1"/>
    </xf>
    <xf numFmtId="0" fontId="9" fillId="5" borderId="71" xfId="5" applyFont="1" applyFill="1" applyBorder="1" applyAlignment="1" applyProtection="1">
      <alignment horizontal="center" vertical="center" wrapText="1"/>
    </xf>
    <xf numFmtId="0" fontId="46" fillId="5" borderId="24" xfId="0" applyFont="1" applyFill="1" applyBorder="1" applyAlignment="1">
      <alignment horizontal="center" vertical="center" wrapText="1"/>
    </xf>
    <xf numFmtId="0" fontId="48" fillId="5" borderId="14" xfId="0" applyFont="1" applyFill="1" applyBorder="1" applyAlignment="1">
      <alignment horizontal="center" vertical="center" wrapText="1"/>
    </xf>
    <xf numFmtId="0" fontId="12" fillId="24" borderId="14" xfId="0" applyNumberFormat="1" applyFont="1" applyFill="1" applyBorder="1" applyAlignment="1">
      <alignment horizontal="center" vertical="center"/>
    </xf>
    <xf numFmtId="0" fontId="46" fillId="5" borderId="58" xfId="0" applyFont="1" applyFill="1" applyBorder="1" applyAlignment="1">
      <alignment horizontal="center" vertical="center" wrapText="1"/>
    </xf>
    <xf numFmtId="0" fontId="9" fillId="5" borderId="58" xfId="0" applyFont="1" applyFill="1" applyBorder="1" applyAlignment="1">
      <alignment horizontal="center" vertical="center"/>
    </xf>
    <xf numFmtId="0" fontId="9" fillId="5" borderId="24" xfId="0" applyFont="1" applyFill="1" applyBorder="1" applyAlignment="1">
      <alignment horizontal="center" vertical="center"/>
    </xf>
    <xf numFmtId="0" fontId="9" fillId="5" borderId="71" xfId="0" applyFont="1" applyFill="1" applyBorder="1" applyAlignment="1">
      <alignment horizontal="center" vertical="center"/>
    </xf>
    <xf numFmtId="0" fontId="32" fillId="5" borderId="14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/>
    </xf>
    <xf numFmtId="0" fontId="9" fillId="5" borderId="26" xfId="0" applyFont="1" applyFill="1" applyBorder="1" applyAlignment="1">
      <alignment horizontal="center" vertical="center"/>
    </xf>
    <xf numFmtId="0" fontId="47" fillId="5" borderId="1" xfId="5" applyFont="1" applyFill="1" applyBorder="1" applyAlignment="1" applyProtection="1">
      <alignment horizontal="center" vertical="center" wrapText="1"/>
    </xf>
    <xf numFmtId="0" fontId="47" fillId="5" borderId="39" xfId="5" applyFont="1" applyFill="1" applyBorder="1" applyAlignment="1" applyProtection="1">
      <alignment horizontal="center" vertical="center" wrapText="1"/>
    </xf>
    <xf numFmtId="0" fontId="47" fillId="5" borderId="20" xfId="5" applyFont="1" applyFill="1" applyBorder="1" applyAlignment="1" applyProtection="1">
      <alignment horizontal="center" vertical="center" wrapText="1"/>
    </xf>
    <xf numFmtId="0" fontId="47" fillId="5" borderId="10" xfId="5" applyFont="1" applyFill="1" applyBorder="1" applyAlignment="1" applyProtection="1">
      <alignment horizontal="center" vertical="center" wrapText="1"/>
    </xf>
    <xf numFmtId="0" fontId="47" fillId="5" borderId="42" xfId="5" applyFont="1" applyFill="1" applyBorder="1" applyAlignment="1" applyProtection="1">
      <alignment horizontal="center" vertical="center" wrapText="1"/>
    </xf>
    <xf numFmtId="0" fontId="32" fillId="5" borderId="6" xfId="0" applyFont="1" applyFill="1" applyBorder="1" applyAlignment="1">
      <alignment horizontal="center" vertical="center" wrapText="1"/>
    </xf>
    <xf numFmtId="0" fontId="32" fillId="24" borderId="2" xfId="0" applyFont="1" applyFill="1" applyBorder="1" applyAlignment="1">
      <alignment horizontal="center" vertical="center" wrapText="1"/>
    </xf>
    <xf numFmtId="0" fontId="32" fillId="24" borderId="14" xfId="0" applyFont="1" applyFill="1" applyBorder="1" applyAlignment="1">
      <alignment horizontal="center" vertical="center" wrapText="1"/>
    </xf>
    <xf numFmtId="0" fontId="47" fillId="5" borderId="42" xfId="0" applyFont="1" applyFill="1" applyBorder="1" applyAlignment="1">
      <alignment horizontal="center" vertical="center" wrapText="1"/>
    </xf>
    <xf numFmtId="0" fontId="47" fillId="5" borderId="39" xfId="0" applyFont="1" applyFill="1" applyBorder="1" applyAlignment="1">
      <alignment horizontal="center" vertical="center" wrapText="1"/>
    </xf>
    <xf numFmtId="0" fontId="47" fillId="5" borderId="20" xfId="0" applyFont="1" applyFill="1" applyBorder="1" applyAlignment="1">
      <alignment horizontal="center" vertical="center" wrapText="1"/>
    </xf>
    <xf numFmtId="0" fontId="62" fillId="5" borderId="8" xfId="0" applyFont="1" applyFill="1" applyBorder="1" applyAlignment="1">
      <alignment horizontal="center" vertical="center" wrapText="1"/>
    </xf>
    <xf numFmtId="0" fontId="62" fillId="5" borderId="24" xfId="0" applyFont="1" applyFill="1" applyBorder="1" applyAlignment="1">
      <alignment horizontal="center" vertical="center" wrapText="1"/>
    </xf>
    <xf numFmtId="0" fontId="62" fillId="5" borderId="27" xfId="0" applyFont="1" applyFill="1" applyBorder="1" applyAlignment="1">
      <alignment horizontal="center" vertical="center" wrapText="1"/>
    </xf>
    <xf numFmtId="170" fontId="12" fillId="5" borderId="82" xfId="0" quotePrefix="1" applyNumberFormat="1" applyFont="1" applyFill="1" applyBorder="1" applyAlignment="1">
      <alignment horizontal="center" vertical="center"/>
    </xf>
    <xf numFmtId="170" fontId="12" fillId="5" borderId="46" xfId="0" quotePrefix="1" applyNumberFormat="1" applyFont="1" applyFill="1" applyBorder="1" applyAlignment="1">
      <alignment horizontal="center" vertical="center"/>
    </xf>
    <xf numFmtId="170" fontId="12" fillId="5" borderId="30" xfId="0" quotePrefix="1" applyNumberFormat="1" applyFont="1" applyFill="1" applyBorder="1" applyAlignment="1">
      <alignment horizontal="center" vertical="center"/>
    </xf>
    <xf numFmtId="0" fontId="18" fillId="25" borderId="35" xfId="0" applyFont="1" applyFill="1" applyBorder="1" applyAlignment="1" applyProtection="1">
      <alignment horizontal="center" vertical="center" wrapText="1"/>
    </xf>
    <xf numFmtId="0" fontId="18" fillId="25" borderId="41" xfId="0" applyFont="1" applyFill="1" applyBorder="1" applyAlignment="1" applyProtection="1">
      <alignment horizontal="center" vertical="center" wrapText="1"/>
    </xf>
    <xf numFmtId="0" fontId="19" fillId="5" borderId="35" xfId="1" applyFont="1" applyFill="1" applyBorder="1" applyAlignment="1" applyProtection="1">
      <alignment horizontal="center" vertical="center" wrapText="1"/>
    </xf>
    <xf numFmtId="0" fontId="19" fillId="5" borderId="41" xfId="1" applyFont="1" applyFill="1" applyBorder="1" applyAlignment="1" applyProtection="1">
      <alignment horizontal="center" vertical="center" wrapText="1"/>
    </xf>
    <xf numFmtId="0" fontId="12" fillId="5" borderId="58" xfId="0" applyNumberFormat="1" applyFont="1" applyFill="1" applyBorder="1" applyAlignment="1">
      <alignment horizontal="center" vertical="center"/>
    </xf>
    <xf numFmtId="0" fontId="12" fillId="5" borderId="24" xfId="0" applyNumberFormat="1" applyFont="1" applyFill="1" applyBorder="1" applyAlignment="1">
      <alignment horizontal="center" vertical="center"/>
    </xf>
    <xf numFmtId="0" fontId="12" fillId="5" borderId="26" xfId="0" applyNumberFormat="1" applyFont="1" applyFill="1" applyBorder="1" applyAlignment="1">
      <alignment horizontal="center" vertical="center"/>
    </xf>
    <xf numFmtId="0" fontId="19" fillId="5" borderId="67" xfId="1" applyFont="1" applyFill="1" applyBorder="1" applyAlignment="1" applyProtection="1">
      <alignment horizontal="center" vertical="center" wrapText="1"/>
      <protection locked="0"/>
    </xf>
    <xf numFmtId="0" fontId="12" fillId="5" borderId="14" xfId="0" applyNumberFormat="1" applyFont="1" applyFill="1" applyBorder="1" applyAlignment="1">
      <alignment horizontal="center" vertical="center"/>
    </xf>
    <xf numFmtId="0" fontId="47" fillId="5" borderId="63" xfId="5" applyFont="1" applyFill="1" applyBorder="1" applyAlignment="1" applyProtection="1">
      <alignment horizontal="center" vertical="center" wrapText="1"/>
    </xf>
    <xf numFmtId="0" fontId="47" fillId="5" borderId="56" xfId="5" applyFont="1" applyFill="1" applyBorder="1" applyAlignment="1" applyProtection="1">
      <alignment horizontal="center" vertical="center" wrapText="1"/>
    </xf>
    <xf numFmtId="0" fontId="47" fillId="5" borderId="72" xfId="5" applyFont="1" applyFill="1" applyBorder="1" applyAlignment="1" applyProtection="1">
      <alignment horizontal="center" vertical="center" wrapText="1"/>
    </xf>
    <xf numFmtId="0" fontId="47" fillId="5" borderId="63" xfId="0" applyFont="1" applyFill="1" applyBorder="1" applyAlignment="1">
      <alignment horizontal="center" vertical="center"/>
    </xf>
    <xf numFmtId="0" fontId="47" fillId="5" borderId="56" xfId="0" applyFont="1" applyFill="1" applyBorder="1" applyAlignment="1">
      <alignment horizontal="center" vertical="center"/>
    </xf>
    <xf numFmtId="0" fontId="47" fillId="5" borderId="72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 wrapText="1"/>
    </xf>
    <xf numFmtId="0" fontId="19" fillId="5" borderId="33" xfId="1" applyFont="1" applyFill="1" applyBorder="1" applyAlignment="1" applyProtection="1">
      <alignment horizontal="center" vertical="center" wrapText="1"/>
      <protection locked="0"/>
    </xf>
    <xf numFmtId="0" fontId="12" fillId="5" borderId="14" xfId="0" applyFont="1" applyFill="1" applyBorder="1" applyAlignment="1">
      <alignment horizontal="center" vertical="center" wrapText="1"/>
    </xf>
    <xf numFmtId="0" fontId="43" fillId="0" borderId="44" xfId="0" applyFont="1" applyBorder="1" applyAlignment="1">
      <alignment horizontal="center" vertical="center"/>
    </xf>
    <xf numFmtId="0" fontId="56" fillId="13" borderId="88" xfId="0" applyFont="1" applyFill="1" applyBorder="1" applyAlignment="1">
      <alignment horizontal="center" vertical="center" wrapText="1"/>
    </xf>
    <xf numFmtId="0" fontId="56" fillId="13" borderId="88" xfId="0" applyFont="1" applyFill="1" applyBorder="1" applyAlignment="1">
      <alignment horizontal="center"/>
    </xf>
    <xf numFmtId="14" fontId="12" fillId="5" borderId="15" xfId="0" quotePrefix="1" applyNumberFormat="1" applyFont="1" applyFill="1" applyBorder="1" applyAlignment="1">
      <alignment horizontal="center" vertical="center"/>
    </xf>
    <xf numFmtId="14" fontId="12" fillId="5" borderId="13" xfId="0" quotePrefix="1" applyNumberFormat="1" applyFont="1" applyFill="1" applyBorder="1" applyAlignment="1">
      <alignment horizontal="center" vertical="center"/>
    </xf>
    <xf numFmtId="0" fontId="77" fillId="0" borderId="1" xfId="0" applyFont="1" applyBorder="1" applyAlignment="1">
      <alignment horizontal="center" vertical="center" wrapText="1"/>
    </xf>
    <xf numFmtId="0" fontId="77" fillId="0" borderId="20" xfId="0" applyFont="1" applyBorder="1" applyAlignment="1">
      <alignment horizontal="center" vertical="center" wrapText="1"/>
    </xf>
    <xf numFmtId="0" fontId="35" fillId="5" borderId="2" xfId="1" applyFont="1" applyFill="1" applyBorder="1" applyAlignment="1" applyProtection="1">
      <alignment horizontal="center" vertical="center" wrapText="1"/>
    </xf>
    <xf numFmtId="0" fontId="35" fillId="5" borderId="14" xfId="1" applyFont="1" applyFill="1" applyBorder="1" applyAlignment="1" applyProtection="1">
      <alignment horizontal="center" vertical="center" wrapText="1"/>
    </xf>
    <xf numFmtId="0" fontId="35" fillId="5" borderId="1" xfId="1" applyFont="1" applyFill="1" applyBorder="1" applyAlignment="1" applyProtection="1">
      <alignment horizontal="center" vertical="center" wrapText="1"/>
      <protection locked="0"/>
    </xf>
    <xf numFmtId="0" fontId="35" fillId="5" borderId="39" xfId="1" applyFont="1" applyFill="1" applyBorder="1" applyAlignment="1" applyProtection="1">
      <alignment horizontal="center" vertical="center" wrapText="1"/>
      <protection locked="0"/>
    </xf>
    <xf numFmtId="0" fontId="28" fillId="0" borderId="2" xfId="0" applyFont="1" applyBorder="1" applyAlignment="1">
      <alignment horizontal="center" vertical="center" wrapText="1"/>
    </xf>
    <xf numFmtId="0" fontId="28" fillId="0" borderId="6" xfId="0" applyFont="1" applyBorder="1" applyAlignment="1">
      <alignment horizontal="center" vertical="center" wrapText="1"/>
    </xf>
    <xf numFmtId="0" fontId="27" fillId="25" borderId="2" xfId="0" applyFont="1" applyFill="1" applyBorder="1" applyAlignment="1" applyProtection="1">
      <alignment horizontal="center" vertical="center" wrapText="1"/>
    </xf>
    <xf numFmtId="0" fontId="27" fillId="25" borderId="14" xfId="0" applyFont="1" applyFill="1" applyBorder="1" applyAlignment="1" applyProtection="1">
      <alignment horizontal="center" vertical="center" wrapText="1"/>
    </xf>
    <xf numFmtId="0" fontId="77" fillId="0" borderId="39" xfId="0" applyFont="1" applyBorder="1" applyAlignment="1">
      <alignment horizontal="center" vertical="center" wrapText="1"/>
    </xf>
    <xf numFmtId="0" fontId="28" fillId="5" borderId="2" xfId="0" applyFont="1" applyFill="1" applyBorder="1" applyAlignment="1">
      <alignment horizontal="center" vertical="center" wrapText="1"/>
    </xf>
    <xf numFmtId="0" fontId="28" fillId="5" borderId="6" xfId="0" applyFont="1" applyFill="1" applyBorder="1" applyAlignment="1">
      <alignment horizontal="center" vertical="center" wrapText="1"/>
    </xf>
    <xf numFmtId="0" fontId="1" fillId="5" borderId="2" xfId="1" applyFont="1" applyFill="1" applyBorder="1" applyAlignment="1" applyProtection="1">
      <alignment horizontal="center" vertical="center" wrapText="1"/>
    </xf>
    <xf numFmtId="0" fontId="1" fillId="5" borderId="14" xfId="1" applyFont="1" applyFill="1" applyBorder="1" applyAlignment="1" applyProtection="1">
      <alignment horizontal="center" vertical="center" wrapText="1"/>
    </xf>
    <xf numFmtId="0" fontId="49" fillId="0" borderId="3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50" fillId="0" borderId="27" xfId="0" applyFont="1" applyBorder="1" applyAlignment="1">
      <alignment horizontal="center" vertical="center"/>
    </xf>
    <xf numFmtId="0" fontId="42" fillId="0" borderId="52" xfId="0" applyFont="1" applyBorder="1" applyAlignment="1">
      <alignment horizontal="center" vertical="center"/>
    </xf>
    <xf numFmtId="0" fontId="42" fillId="0" borderId="83" xfId="0" applyFont="1" applyBorder="1" applyAlignment="1">
      <alignment horizontal="center" vertical="center"/>
    </xf>
    <xf numFmtId="0" fontId="42" fillId="0" borderId="84" xfId="0" applyFont="1" applyBorder="1" applyAlignment="1">
      <alignment horizontal="center" vertical="center"/>
    </xf>
    <xf numFmtId="0" fontId="42" fillId="5" borderId="52" xfId="1" applyFont="1" applyFill="1" applyBorder="1" applyAlignment="1" applyProtection="1">
      <alignment horizontal="center" vertical="center" wrapText="1"/>
      <protection locked="0"/>
    </xf>
    <xf numFmtId="0" fontId="42" fillId="5" borderId="83" xfId="1" applyFont="1" applyFill="1" applyBorder="1" applyAlignment="1" applyProtection="1">
      <alignment horizontal="center" vertical="center" wrapText="1"/>
      <protection locked="0"/>
    </xf>
    <xf numFmtId="0" fontId="42" fillId="5" borderId="84" xfId="1" applyFont="1" applyFill="1" applyBorder="1" applyAlignment="1" applyProtection="1">
      <alignment horizontal="center" vertical="center" wrapText="1"/>
      <protection locked="0"/>
    </xf>
    <xf numFmtId="0" fontId="19" fillId="5" borderId="52" xfId="1" applyFont="1" applyFill="1" applyBorder="1" applyAlignment="1" applyProtection="1">
      <alignment horizontal="center" vertical="center" wrapText="1"/>
      <protection locked="0"/>
    </xf>
    <xf numFmtId="0" fontId="19" fillId="5" borderId="83" xfId="1" applyFont="1" applyFill="1" applyBorder="1" applyAlignment="1" applyProtection="1">
      <alignment horizontal="center" vertical="center" wrapText="1"/>
      <protection locked="0"/>
    </xf>
    <xf numFmtId="0" fontId="19" fillId="5" borderId="84" xfId="1" applyFont="1" applyFill="1" applyBorder="1" applyAlignment="1" applyProtection="1">
      <alignment horizontal="center" vertical="center" wrapText="1"/>
      <protection locked="0"/>
    </xf>
    <xf numFmtId="0" fontId="42" fillId="0" borderId="34" xfId="0" applyFont="1" applyBorder="1" applyAlignment="1">
      <alignment horizontal="center" vertical="center"/>
    </xf>
    <xf numFmtId="0" fontId="42" fillId="0" borderId="22" xfId="0" applyFont="1" applyBorder="1" applyAlignment="1">
      <alignment horizontal="center" vertical="center"/>
    </xf>
    <xf numFmtId="0" fontId="42" fillId="0" borderId="27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51" fillId="0" borderId="82" xfId="0" applyFont="1" applyBorder="1" applyAlignment="1">
      <alignment horizontal="center" vertical="center"/>
    </xf>
    <xf numFmtId="0" fontId="51" fillId="0" borderId="46" xfId="0" applyFont="1" applyBorder="1" applyAlignment="1">
      <alignment horizontal="center" vertical="center"/>
    </xf>
    <xf numFmtId="0" fontId="51" fillId="0" borderId="30" xfId="0" applyFont="1" applyBorder="1" applyAlignment="1">
      <alignment horizontal="center" vertical="center"/>
    </xf>
    <xf numFmtId="0" fontId="25" fillId="5" borderId="58" xfId="0" applyFont="1" applyFill="1" applyBorder="1" applyAlignment="1">
      <alignment horizontal="center" vertical="center" wrapText="1"/>
    </xf>
    <xf numFmtId="0" fontId="25" fillId="5" borderId="71" xfId="0" applyFont="1" applyFill="1" applyBorder="1" applyAlignment="1">
      <alignment horizontal="center" vertical="center" wrapText="1"/>
    </xf>
    <xf numFmtId="0" fontId="35" fillId="0" borderId="75" xfId="0" applyFont="1" applyBorder="1" applyAlignment="1">
      <alignment horizontal="center" vertical="center"/>
    </xf>
    <xf numFmtId="0" fontId="35" fillId="0" borderId="13" xfId="0" applyFont="1" applyBorder="1" applyAlignment="1">
      <alignment horizontal="center" vertical="center"/>
    </xf>
    <xf numFmtId="0" fontId="35" fillId="0" borderId="15" xfId="0" applyFont="1" applyBorder="1" applyAlignment="1">
      <alignment horizontal="center" vertical="center"/>
    </xf>
    <xf numFmtId="0" fontId="35" fillId="0" borderId="64" xfId="0" applyFont="1" applyBorder="1" applyAlignment="1">
      <alignment horizontal="center" vertical="center"/>
    </xf>
    <xf numFmtId="0" fontId="19" fillId="5" borderId="51" xfId="1" applyFont="1" applyFill="1" applyBorder="1" applyAlignment="1" applyProtection="1">
      <alignment horizontal="center" vertical="center" wrapText="1"/>
      <protection locked="0"/>
    </xf>
    <xf numFmtId="0" fontId="19" fillId="5" borderId="59" xfId="1" applyFont="1" applyFill="1" applyBorder="1" applyAlignment="1" applyProtection="1">
      <alignment horizontal="center" vertical="center" wrapText="1"/>
      <protection locked="0"/>
    </xf>
    <xf numFmtId="0" fontId="19" fillId="5" borderId="23" xfId="1" applyFont="1" applyFill="1" applyBorder="1" applyAlignment="1" applyProtection="1">
      <alignment horizontal="center" vertical="center" wrapText="1"/>
      <protection locked="0"/>
    </xf>
    <xf numFmtId="0" fontId="19" fillId="5" borderId="65" xfId="1" applyFont="1" applyFill="1" applyBorder="1" applyAlignment="1" applyProtection="1">
      <alignment horizontal="center" vertical="center" wrapText="1"/>
      <protection locked="0"/>
    </xf>
    <xf numFmtId="0" fontId="19" fillId="5" borderId="85" xfId="1" applyFont="1" applyFill="1" applyBorder="1" applyAlignment="1" applyProtection="1">
      <alignment horizontal="center" vertical="center" wrapText="1"/>
      <protection locked="0"/>
    </xf>
    <xf numFmtId="0" fontId="1" fillId="5" borderId="12" xfId="1" applyFont="1" applyFill="1" applyBorder="1" applyAlignment="1" applyProtection="1">
      <alignment horizontal="center" vertical="center" wrapText="1"/>
    </xf>
    <xf numFmtId="0" fontId="1" fillId="5" borderId="15" xfId="1" applyFont="1" applyFill="1" applyBorder="1" applyAlignment="1" applyProtection="1">
      <alignment horizontal="center" vertical="center" wrapText="1"/>
    </xf>
    <xf numFmtId="0" fontId="52" fillId="0" borderId="33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65" xfId="0" applyFont="1" applyBorder="1" applyAlignment="1">
      <alignment horizontal="center" vertical="center"/>
    </xf>
    <xf numFmtId="0" fontId="52" fillId="0" borderId="27" xfId="0" applyFont="1" applyBorder="1" applyAlignment="1">
      <alignment horizontal="center" vertical="center"/>
    </xf>
    <xf numFmtId="0" fontId="35" fillId="0" borderId="14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9" xfId="0" applyFont="1" applyBorder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0" fontId="57" fillId="0" borderId="38" xfId="0" applyFont="1" applyBorder="1" applyAlignment="1">
      <alignment horizontal="center" vertical="center" wrapText="1"/>
    </xf>
    <xf numFmtId="0" fontId="57" fillId="0" borderId="48" xfId="0" applyFont="1" applyBorder="1" applyAlignment="1">
      <alignment horizontal="center"/>
    </xf>
    <xf numFmtId="0" fontId="57" fillId="0" borderId="45" xfId="0" applyFont="1" applyBorder="1" applyAlignment="1">
      <alignment horizontal="center" vertical="center" wrapText="1"/>
    </xf>
    <xf numFmtId="0" fontId="57" fillId="0" borderId="40" xfId="0" applyFont="1" applyBorder="1" applyAlignment="1">
      <alignment horizontal="center"/>
    </xf>
    <xf numFmtId="0" fontId="6" fillId="0" borderId="52" xfId="0" applyFont="1" applyBorder="1" applyAlignment="1">
      <alignment horizontal="center"/>
    </xf>
    <xf numFmtId="0" fontId="6" fillId="0" borderId="83" xfId="0" applyFont="1" applyBorder="1" applyAlignment="1">
      <alignment horizontal="center"/>
    </xf>
    <xf numFmtId="0" fontId="6" fillId="0" borderId="84" xfId="0" applyFont="1" applyBorder="1" applyAlignment="1">
      <alignment horizontal="center"/>
    </xf>
    <xf numFmtId="0" fontId="25" fillId="0" borderId="0" xfId="0" applyFont="1" applyAlignment="1">
      <alignment horizontal="center" vertical="center"/>
    </xf>
    <xf numFmtId="14" fontId="57" fillId="13" borderId="51" xfId="0" applyNumberFormat="1" applyFont="1" applyFill="1" applyBorder="1" applyAlignment="1">
      <alignment horizontal="center" vertical="center" wrapText="1"/>
    </xf>
    <xf numFmtId="0" fontId="57" fillId="13" borderId="50" xfId="0" applyFont="1" applyFill="1" applyBorder="1" applyAlignment="1">
      <alignment horizontal="center"/>
    </xf>
    <xf numFmtId="14" fontId="57" fillId="17" borderId="51" xfId="0" applyNumberFormat="1" applyFont="1" applyFill="1" applyBorder="1" applyAlignment="1">
      <alignment horizontal="center" vertical="center" wrapText="1"/>
    </xf>
    <xf numFmtId="0" fontId="57" fillId="17" borderId="50" xfId="0" applyFont="1" applyFill="1" applyBorder="1" applyAlignment="1">
      <alignment horizontal="center"/>
    </xf>
    <xf numFmtId="14" fontId="57" fillId="17" borderId="52" xfId="0" applyNumberFormat="1" applyFont="1" applyFill="1" applyBorder="1" applyAlignment="1">
      <alignment horizontal="center" vertical="center" wrapText="1"/>
    </xf>
    <xf numFmtId="0" fontId="57" fillId="17" borderId="84" xfId="0" applyFont="1" applyFill="1" applyBorder="1" applyAlignment="1">
      <alignment horizontal="center"/>
    </xf>
    <xf numFmtId="14" fontId="0" fillId="0" borderId="60" xfId="0" applyNumberFormat="1" applyBorder="1" applyAlignment="1">
      <alignment horizontal="center" vertical="center"/>
    </xf>
    <xf numFmtId="14" fontId="0" fillId="0" borderId="61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1" fillId="0" borderId="82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7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3" fillId="0" borderId="70" xfId="0" applyFont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14" fontId="0" fillId="0" borderId="58" xfId="0" applyNumberForma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4" fontId="0" fillId="0" borderId="58" xfId="0" applyNumberFormat="1" applyBorder="1" applyAlignment="1">
      <alignment horizontal="center" vertical="center"/>
    </xf>
    <xf numFmtId="14" fontId="0" fillId="0" borderId="26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5" fillId="0" borderId="51" xfId="0" applyFont="1" applyBorder="1" applyAlignment="1">
      <alignment horizontal="center"/>
    </xf>
    <xf numFmtId="0" fontId="5" fillId="0" borderId="50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65" xfId="0" applyFont="1" applyBorder="1" applyAlignment="1">
      <alignment horizontal="center"/>
    </xf>
    <xf numFmtId="0" fontId="5" fillId="0" borderId="86" xfId="0" applyFont="1" applyBorder="1" applyAlignment="1">
      <alignment horizontal="center"/>
    </xf>
    <xf numFmtId="0" fontId="10" fillId="0" borderId="82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75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164" fontId="40" fillId="26" borderId="1" xfId="0" applyNumberFormat="1" applyFont="1" applyFill="1" applyBorder="1" applyAlignment="1">
      <alignment horizontal="center" vertical="center" wrapText="1"/>
    </xf>
    <xf numFmtId="0" fontId="27" fillId="0" borderId="20" xfId="0" applyFont="1" applyBorder="1" applyAlignment="1">
      <alignment horizontal="center"/>
    </xf>
    <xf numFmtId="164" fontId="11" fillId="26" borderId="2" xfId="0" applyNumberFormat="1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/>
    </xf>
    <xf numFmtId="164" fontId="40" fillId="26" borderId="2" xfId="0" applyNumberFormat="1" applyFont="1" applyFill="1" applyBorder="1" applyAlignment="1">
      <alignment horizontal="center" vertical="center" wrapText="1"/>
    </xf>
    <xf numFmtId="0" fontId="27" fillId="0" borderId="6" xfId="0" applyFont="1" applyBorder="1" applyAlignment="1">
      <alignment horizontal="center"/>
    </xf>
    <xf numFmtId="164" fontId="29" fillId="26" borderId="2" xfId="0" applyNumberFormat="1" applyFont="1" applyFill="1" applyBorder="1" applyAlignment="1">
      <alignment horizontal="center" vertical="center" wrapText="1"/>
    </xf>
    <xf numFmtId="0" fontId="16" fillId="0" borderId="6" xfId="0" applyFont="1" applyBorder="1" applyAlignment="1">
      <alignment horizontal="center"/>
    </xf>
    <xf numFmtId="164" fontId="29" fillId="26" borderId="58" xfId="0" applyNumberFormat="1" applyFont="1" applyFill="1" applyBorder="1" applyAlignment="1">
      <alignment horizontal="center" vertical="center" wrapText="1"/>
    </xf>
    <xf numFmtId="0" fontId="16" fillId="0" borderId="71" xfId="0" applyFont="1" applyBorder="1" applyAlignment="1">
      <alignment horizontal="center"/>
    </xf>
    <xf numFmtId="164" fontId="29" fillId="26" borderId="14" xfId="0" applyNumberFormat="1" applyFont="1" applyFill="1" applyBorder="1" applyAlignment="1">
      <alignment horizontal="center" vertical="center" wrapText="1"/>
    </xf>
    <xf numFmtId="0" fontId="16" fillId="0" borderId="14" xfId="0" applyFont="1" applyBorder="1" applyAlignment="1">
      <alignment horizontal="center"/>
    </xf>
    <xf numFmtId="164" fontId="36" fillId="9" borderId="30" xfId="0" applyNumberFormat="1" applyFont="1" applyFill="1" applyBorder="1" applyAlignment="1">
      <alignment horizontal="center" vertical="center" wrapText="1"/>
    </xf>
    <xf numFmtId="0" fontId="37" fillId="9" borderId="68" xfId="0" applyFont="1" applyFill="1" applyBorder="1" applyAlignment="1">
      <alignment horizontal="center"/>
    </xf>
    <xf numFmtId="164" fontId="29" fillId="26" borderId="50" xfId="0" applyNumberFormat="1" applyFont="1" applyFill="1" applyBorder="1" applyAlignment="1">
      <alignment horizontal="center" vertical="center" wrapText="1"/>
    </xf>
    <xf numFmtId="164" fontId="29" fillId="26" borderId="86" xfId="0" applyNumberFormat="1" applyFont="1" applyFill="1" applyBorder="1" applyAlignment="1">
      <alignment horizontal="center" vertical="center" wrapText="1"/>
    </xf>
    <xf numFmtId="164" fontId="29" fillId="26" borderId="46" xfId="0" applyNumberFormat="1" applyFont="1" applyFill="1" applyBorder="1" applyAlignment="1">
      <alignment horizontal="center" vertical="center" wrapText="1"/>
    </xf>
    <xf numFmtId="0" fontId="16" fillId="0" borderId="47" xfId="0" applyFont="1" applyBorder="1" applyAlignment="1">
      <alignment horizontal="center"/>
    </xf>
    <xf numFmtId="164" fontId="29" fillId="26" borderId="38" xfId="0" applyNumberFormat="1" applyFont="1" applyFill="1" applyBorder="1" applyAlignment="1">
      <alignment horizontal="center" vertical="center" wrapText="1"/>
    </xf>
    <xf numFmtId="0" fontId="16" fillId="0" borderId="48" xfId="0" applyFont="1" applyBorder="1" applyAlignment="1">
      <alignment horizontal="center"/>
    </xf>
    <xf numFmtId="164" fontId="29" fillId="26" borderId="61" xfId="0" applyNumberFormat="1" applyFont="1" applyFill="1" applyBorder="1" applyAlignment="1">
      <alignment horizontal="center" vertical="center" wrapText="1"/>
    </xf>
    <xf numFmtId="0" fontId="16" fillId="0" borderId="68" xfId="0" applyFont="1" applyBorder="1" applyAlignment="1">
      <alignment horizontal="center" vertical="center"/>
    </xf>
    <xf numFmtId="164" fontId="29" fillId="26" borderId="43" xfId="0" applyNumberFormat="1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164" fontId="30" fillId="26" borderId="41" xfId="0" applyNumberFormat="1" applyFont="1" applyFill="1" applyBorder="1" applyAlignment="1">
      <alignment horizontal="center" vertical="center" wrapText="1"/>
    </xf>
    <xf numFmtId="0" fontId="14" fillId="0" borderId="67" xfId="0" applyFont="1" applyBorder="1" applyAlignment="1">
      <alignment horizontal="center" vertical="center" wrapText="1"/>
    </xf>
    <xf numFmtId="0" fontId="6" fillId="3" borderId="28" xfId="6" applyFont="1" applyFill="1" applyBorder="1" applyAlignment="1">
      <alignment horizontal="center" vertical="center" wrapText="1"/>
    </xf>
    <xf numFmtId="0" fontId="6" fillId="3" borderId="26" xfId="6" applyFont="1" applyFill="1" applyBorder="1" applyAlignment="1">
      <alignment horizontal="center" vertical="center" wrapText="1"/>
    </xf>
    <xf numFmtId="164" fontId="7" fillId="26" borderId="26" xfId="0" applyNumberFormat="1" applyFont="1" applyFill="1" applyBorder="1" applyAlignment="1">
      <alignment horizontal="center" vertical="center" wrapText="1"/>
    </xf>
    <xf numFmtId="0" fontId="5" fillId="0" borderId="8" xfId="0" applyFont="1" applyBorder="1" applyAlignment="1"/>
    <xf numFmtId="0" fontId="6" fillId="3" borderId="16" xfId="6" applyFont="1" applyFill="1" applyBorder="1" applyAlignment="1">
      <alignment horizontal="center" vertical="center" wrapText="1"/>
    </xf>
    <xf numFmtId="0" fontId="6" fillId="3" borderId="44" xfId="6" applyFont="1" applyFill="1" applyBorder="1" applyAlignment="1">
      <alignment horizontal="center" vertical="center" wrapText="1"/>
    </xf>
    <xf numFmtId="166" fontId="6" fillId="3" borderId="42" xfId="6" applyNumberFormat="1" applyFont="1" applyFill="1" applyBorder="1" applyAlignment="1">
      <alignment horizontal="center" vertical="center" wrapText="1"/>
    </xf>
    <xf numFmtId="166" fontId="6" fillId="3" borderId="26" xfId="6" applyNumberFormat="1" applyFont="1" applyFill="1" applyBorder="1" applyAlignment="1">
      <alignment horizontal="center" vertical="center" wrapText="1"/>
    </xf>
    <xf numFmtId="166" fontId="6" fillId="3" borderId="43" xfId="6" applyNumberFormat="1" applyFont="1" applyFill="1" applyBorder="1" applyAlignment="1">
      <alignment horizontal="center" vertical="center" wrapText="1"/>
    </xf>
    <xf numFmtId="166" fontId="6" fillId="3" borderId="1" xfId="6" applyNumberFormat="1" applyFont="1" applyFill="1" applyBorder="1" applyAlignment="1">
      <alignment horizontal="center" vertical="center" wrapText="1"/>
    </xf>
    <xf numFmtId="166" fontId="6" fillId="3" borderId="2" xfId="6" applyNumberFormat="1" applyFont="1" applyFill="1" applyBorder="1" applyAlignment="1">
      <alignment horizontal="center" vertical="center" wrapText="1"/>
    </xf>
    <xf numFmtId="166" fontId="6" fillId="3" borderId="3" xfId="6" applyNumberFormat="1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/>
    </xf>
    <xf numFmtId="0" fontId="5" fillId="5" borderId="42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4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7" borderId="42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26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43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5" fillId="7" borderId="4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/>
    </xf>
    <xf numFmtId="0" fontId="5" fillId="7" borderId="42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5" fillId="7" borderId="26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43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71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73" xfId="0" applyFont="1" applyBorder="1" applyAlignment="1">
      <alignment horizontal="center"/>
    </xf>
    <xf numFmtId="0" fontId="5" fillId="5" borderId="72" xfId="0" applyFont="1" applyFill="1" applyBorder="1" applyAlignment="1">
      <alignment horizontal="center" vertical="center"/>
    </xf>
    <xf numFmtId="0" fontId="5" fillId="5" borderId="71" xfId="0" applyFont="1" applyFill="1" applyBorder="1" applyAlignment="1">
      <alignment horizontal="center" vertical="center"/>
    </xf>
    <xf numFmtId="0" fontId="5" fillId="6" borderId="73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72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71" xfId="0" applyFont="1" applyFill="1" applyBorder="1" applyAlignment="1">
      <alignment horizontal="center" vertical="center"/>
    </xf>
    <xf numFmtId="0" fontId="5" fillId="7" borderId="72" xfId="0" applyFont="1" applyFill="1" applyBorder="1" applyAlignment="1">
      <alignment horizontal="center" vertical="center"/>
    </xf>
    <xf numFmtId="0" fontId="5" fillId="7" borderId="71" xfId="0" applyFont="1" applyFill="1" applyBorder="1" applyAlignment="1">
      <alignment horizontal="center" vertical="center"/>
    </xf>
    <xf numFmtId="0" fontId="5" fillId="7" borderId="73" xfId="0" applyFont="1" applyFill="1" applyBorder="1" applyAlignment="1">
      <alignment horizontal="center" vertical="center"/>
    </xf>
    <xf numFmtId="0" fontId="5" fillId="7" borderId="72" xfId="0" applyFont="1" applyFill="1" applyBorder="1" applyAlignment="1">
      <alignment horizontal="center"/>
    </xf>
    <xf numFmtId="0" fontId="5" fillId="7" borderId="71" xfId="0" applyFont="1" applyFill="1" applyBorder="1" applyAlignment="1">
      <alignment horizontal="center"/>
    </xf>
    <xf numFmtId="0" fontId="5" fillId="7" borderId="73" xfId="0" applyFont="1" applyFill="1" applyBorder="1" applyAlignment="1">
      <alignment horizontal="center"/>
    </xf>
    <xf numFmtId="0" fontId="37" fillId="8" borderId="63" xfId="0" applyFont="1" applyFill="1" applyBorder="1" applyAlignment="1">
      <alignment horizontal="center" vertical="center" wrapText="1"/>
    </xf>
    <xf numFmtId="0" fontId="37" fillId="8" borderId="56" xfId="0" applyFont="1" applyFill="1" applyBorder="1" applyAlignment="1">
      <alignment horizontal="center" vertical="center" wrapText="1"/>
    </xf>
    <xf numFmtId="0" fontId="37" fillId="8" borderId="72" xfId="0" applyFont="1" applyFill="1" applyBorder="1" applyAlignment="1">
      <alignment horizontal="center" vertical="center" wrapText="1"/>
    </xf>
    <xf numFmtId="0" fontId="32" fillId="8" borderId="2" xfId="0" applyFont="1" applyFill="1" applyBorder="1" applyAlignment="1">
      <alignment horizontal="center" vertical="center" wrapText="1"/>
    </xf>
    <xf numFmtId="0" fontId="12" fillId="8" borderId="14" xfId="0" applyFont="1" applyFill="1" applyBorder="1" applyAlignment="1">
      <alignment horizontal="center" vertical="center" wrapText="1"/>
    </xf>
    <xf numFmtId="0" fontId="32" fillId="8" borderId="8" xfId="0" applyFont="1" applyFill="1" applyBorder="1" applyAlignment="1">
      <alignment horizontal="center" vertical="center" wrapText="1"/>
    </xf>
    <xf numFmtId="0" fontId="32" fillId="8" borderId="26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6" borderId="42" xfId="0" applyFont="1" applyFill="1" applyBorder="1" applyAlignment="1">
      <alignment horizontal="center" vertical="center"/>
    </xf>
    <xf numFmtId="0" fontId="32" fillId="8" borderId="14" xfId="0" applyFont="1" applyFill="1" applyBorder="1" applyAlignment="1">
      <alignment horizontal="center" vertical="center" wrapText="1"/>
    </xf>
    <xf numFmtId="0" fontId="5" fillId="5" borderId="39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/>
    </xf>
    <xf numFmtId="0" fontId="5" fillId="5" borderId="14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5" fillId="5" borderId="43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5" borderId="42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/>
    </xf>
    <xf numFmtId="0" fontId="37" fillId="0" borderId="63" xfId="0" applyFont="1" applyFill="1" applyBorder="1" applyAlignment="1">
      <alignment horizontal="center" vertical="center" wrapText="1"/>
    </xf>
    <xf numFmtId="0" fontId="37" fillId="0" borderId="56" xfId="0" applyFont="1" applyFill="1" applyBorder="1" applyAlignment="1">
      <alignment horizontal="center" vertical="center" wrapText="1"/>
    </xf>
    <xf numFmtId="0" fontId="37" fillId="0" borderId="72" xfId="0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horizontal="center" vertical="center" wrapText="1"/>
    </xf>
    <xf numFmtId="0" fontId="12" fillId="0" borderId="14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6" borderId="4" xfId="0" applyFont="1" applyFill="1" applyBorder="1" applyAlignment="1">
      <alignment horizontal="center" vertical="center"/>
    </xf>
    <xf numFmtId="0" fontId="5" fillId="6" borderId="39" xfId="0" applyFont="1" applyFill="1" applyBorder="1" applyAlignment="1">
      <alignment horizontal="center" vertical="center"/>
    </xf>
    <xf numFmtId="1" fontId="5" fillId="6" borderId="4" xfId="0" applyNumberFormat="1" applyFont="1" applyFill="1" applyBorder="1" applyAlignment="1">
      <alignment horizontal="center" vertical="center"/>
    </xf>
    <xf numFmtId="0" fontId="5" fillId="5" borderId="56" xfId="0" applyFont="1" applyFill="1" applyBorder="1" applyAlignment="1">
      <alignment horizontal="center"/>
    </xf>
    <xf numFmtId="0" fontId="5" fillId="5" borderId="24" xfId="0" applyFont="1" applyFill="1" applyBorder="1" applyAlignment="1">
      <alignment horizontal="center"/>
    </xf>
    <xf numFmtId="0" fontId="5" fillId="5" borderId="55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73" xfId="0" applyFont="1" applyFill="1" applyBorder="1" applyAlignment="1">
      <alignment horizontal="center" vertical="center"/>
    </xf>
    <xf numFmtId="0" fontId="5" fillId="5" borderId="72" xfId="0" applyFont="1" applyFill="1" applyBorder="1" applyAlignment="1">
      <alignment horizontal="center"/>
    </xf>
    <xf numFmtId="0" fontId="5" fillId="5" borderId="71" xfId="0" applyFont="1" applyFill="1" applyBorder="1" applyAlignment="1">
      <alignment horizontal="center"/>
    </xf>
    <xf numFmtId="0" fontId="5" fillId="5" borderId="73" xfId="0" applyFont="1" applyFill="1" applyBorder="1" applyAlignment="1">
      <alignment horizontal="center"/>
    </xf>
    <xf numFmtId="0" fontId="32" fillId="0" borderId="14" xfId="0" applyFont="1" applyFill="1" applyBorder="1" applyAlignment="1">
      <alignment horizontal="center" vertical="center" wrapText="1"/>
    </xf>
    <xf numFmtId="0" fontId="5" fillId="5" borderId="56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55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20" fontId="5" fillId="5" borderId="11" xfId="0" applyNumberFormat="1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5" fillId="6" borderId="55" xfId="0" applyFont="1" applyFill="1" applyBorder="1" applyAlignment="1">
      <alignment horizontal="center" vertical="center"/>
    </xf>
    <xf numFmtId="0" fontId="5" fillId="6" borderId="56" xfId="0" applyFont="1" applyFill="1" applyBorder="1" applyAlignment="1">
      <alignment horizontal="center" vertical="center"/>
    </xf>
    <xf numFmtId="0" fontId="5" fillId="7" borderId="55" xfId="0" applyFont="1" applyFill="1" applyBorder="1" applyAlignment="1">
      <alignment horizontal="center" vertical="center"/>
    </xf>
    <xf numFmtId="0" fontId="5" fillId="7" borderId="56" xfId="0" applyFont="1" applyFill="1" applyBorder="1" applyAlignment="1">
      <alignment horizontal="center"/>
    </xf>
    <xf numFmtId="0" fontId="5" fillId="7" borderId="24" xfId="0" applyFont="1" applyFill="1" applyBorder="1" applyAlignment="1">
      <alignment horizontal="center"/>
    </xf>
    <xf numFmtId="0" fontId="5" fillId="7" borderId="55" xfId="0" applyFont="1" applyFill="1" applyBorder="1" applyAlignment="1">
      <alignment horizontal="center"/>
    </xf>
    <xf numFmtId="0" fontId="37" fillId="0" borderId="35" xfId="0" applyFont="1" applyFill="1" applyBorder="1" applyAlignment="1">
      <alignment horizontal="center" vertical="center" wrapText="1"/>
    </xf>
    <xf numFmtId="0" fontId="37" fillId="0" borderId="41" xfId="0" applyFont="1" applyFill="1" applyBorder="1" applyAlignment="1">
      <alignment horizontal="center" vertical="center" wrapText="1"/>
    </xf>
    <xf numFmtId="0" fontId="37" fillId="0" borderId="67" xfId="0" applyFont="1" applyFill="1" applyBorder="1" applyAlignment="1">
      <alignment horizontal="center" vertical="center" wrapText="1"/>
    </xf>
    <xf numFmtId="0" fontId="32" fillId="0" borderId="13" xfId="0" applyFont="1" applyFill="1" applyBorder="1" applyAlignment="1">
      <alignment horizontal="center" vertical="center" wrapText="1"/>
    </xf>
    <xf numFmtId="0" fontId="32" fillId="0" borderId="7" xfId="0" applyFont="1" applyFill="1" applyBorder="1" applyAlignment="1">
      <alignment horizontal="center" vertical="center" wrapText="1"/>
    </xf>
    <xf numFmtId="0" fontId="32" fillId="0" borderId="23" xfId="0" applyFont="1" applyFill="1" applyBorder="1" applyAlignment="1">
      <alignment horizontal="center" vertical="center" wrapText="1"/>
    </xf>
    <xf numFmtId="1" fontId="33" fillId="0" borderId="13" xfId="0" applyNumberFormat="1" applyFont="1" applyFill="1" applyBorder="1" applyAlignment="1">
      <alignment horizontal="center" vertical="center"/>
    </xf>
    <xf numFmtId="1" fontId="33" fillId="0" borderId="7" xfId="0" applyNumberFormat="1" applyFont="1" applyFill="1" applyBorder="1" applyAlignment="1">
      <alignment horizontal="center" vertical="center"/>
    </xf>
    <xf numFmtId="0" fontId="37" fillId="8" borderId="41" xfId="0" applyFont="1" applyFill="1" applyBorder="1" applyAlignment="1">
      <alignment horizontal="center" vertical="center" wrapText="1"/>
    </xf>
    <xf numFmtId="0" fontId="37" fillId="8" borderId="67" xfId="0" applyFont="1" applyFill="1" applyBorder="1" applyAlignment="1">
      <alignment horizontal="center" vertical="center" wrapText="1"/>
    </xf>
    <xf numFmtId="0" fontId="37" fillId="8" borderId="35" xfId="0" applyFont="1" applyFill="1" applyBorder="1" applyAlignment="1">
      <alignment horizontal="center" vertical="center" wrapText="1"/>
    </xf>
    <xf numFmtId="0" fontId="32" fillId="8" borderId="39" xfId="0" applyFont="1" applyFill="1" applyBorder="1" applyAlignment="1">
      <alignment horizontal="center" vertical="center" wrapText="1"/>
    </xf>
    <xf numFmtId="0" fontId="5" fillId="0" borderId="24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2" fillId="8" borderId="10" xfId="0" applyFont="1" applyFill="1" applyBorder="1" applyAlignment="1">
      <alignment horizontal="center" vertical="center" wrapText="1"/>
    </xf>
    <xf numFmtId="0" fontId="32" fillId="8" borderId="42" xfId="0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center"/>
    </xf>
    <xf numFmtId="0" fontId="37" fillId="5" borderId="35" xfId="0" applyFont="1" applyFill="1" applyBorder="1" applyAlignment="1">
      <alignment horizontal="center" vertical="center" wrapText="1"/>
    </xf>
    <xf numFmtId="0" fontId="37" fillId="5" borderId="41" xfId="0" applyFont="1" applyFill="1" applyBorder="1" applyAlignment="1">
      <alignment horizontal="center" vertical="center" wrapText="1"/>
    </xf>
    <xf numFmtId="0" fontId="37" fillId="5" borderId="67" xfId="0" applyFont="1" applyFill="1" applyBorder="1" applyAlignment="1">
      <alignment horizontal="center" vertical="center" wrapText="1"/>
    </xf>
    <xf numFmtId="0" fontId="32" fillId="5" borderId="19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32" fillId="5" borderId="13" xfId="0" applyFont="1" applyFill="1" applyBorder="1" applyAlignment="1">
      <alignment horizontal="center" vertical="center" wrapText="1"/>
    </xf>
    <xf numFmtId="0" fontId="12" fillId="5" borderId="17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60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10" fillId="0" borderId="63" xfId="0" applyFont="1" applyFill="1" applyBorder="1" applyAlignment="1">
      <alignment horizontal="center" vertical="center"/>
    </xf>
    <xf numFmtId="0" fontId="10" fillId="0" borderId="72" xfId="0" applyFont="1" applyFill="1" applyBorder="1" applyAlignment="1">
      <alignment horizontal="center" vertical="center"/>
    </xf>
    <xf numFmtId="0" fontId="10" fillId="0" borderId="56" xfId="0" applyFont="1" applyFill="1" applyBorder="1" applyAlignment="1">
      <alignment horizontal="center" vertical="center"/>
    </xf>
    <xf numFmtId="1" fontId="33" fillId="0" borderId="8" xfId="0" applyNumberFormat="1" applyFont="1" applyFill="1" applyBorder="1" applyAlignment="1">
      <alignment horizontal="center" vertical="center" wrapText="1"/>
    </xf>
    <xf numFmtId="1" fontId="33" fillId="0" borderId="26" xfId="0" applyNumberFormat="1" applyFont="1" applyFill="1" applyBorder="1" applyAlignment="1">
      <alignment horizontal="center" vertical="center" wrapText="1"/>
    </xf>
    <xf numFmtId="1" fontId="33" fillId="0" borderId="8" xfId="0" applyNumberFormat="1" applyFont="1" applyFill="1" applyBorder="1" applyAlignment="1">
      <alignment horizontal="center" vertical="center"/>
    </xf>
    <xf numFmtId="1" fontId="33" fillId="0" borderId="26" xfId="0" applyNumberFormat="1" applyFont="1" applyFill="1" applyBorder="1" applyAlignment="1">
      <alignment horizontal="center" vertical="center"/>
    </xf>
    <xf numFmtId="0" fontId="37" fillId="8" borderId="51" xfId="0" applyFont="1" applyFill="1" applyBorder="1" applyAlignment="1">
      <alignment horizontal="center" vertical="center" wrapText="1"/>
    </xf>
    <xf numFmtId="0" fontId="37" fillId="8" borderId="33" xfId="0" applyFont="1" applyFill="1" applyBorder="1" applyAlignment="1">
      <alignment horizontal="center" vertical="center" wrapText="1"/>
    </xf>
    <xf numFmtId="0" fontId="37" fillId="8" borderId="65" xfId="0" applyFont="1" applyFill="1" applyBorder="1" applyAlignment="1">
      <alignment horizontal="center" vertical="center" wrapText="1"/>
    </xf>
    <xf numFmtId="0" fontId="5" fillId="7" borderId="56" xfId="0" applyFont="1" applyFill="1" applyBorder="1" applyAlignment="1">
      <alignment horizontal="center" vertical="center"/>
    </xf>
    <xf numFmtId="0" fontId="5" fillId="7" borderId="24" xfId="0" applyFont="1" applyFill="1" applyBorder="1" applyAlignment="1">
      <alignment horizontal="center" vertical="center"/>
    </xf>
    <xf numFmtId="0" fontId="32" fillId="8" borderId="7" xfId="0" applyFont="1" applyFill="1" applyBorder="1" applyAlignment="1">
      <alignment horizontal="center" vertical="center" wrapText="1"/>
    </xf>
    <xf numFmtId="0" fontId="32" fillId="8" borderId="23" xfId="0" applyFont="1" applyFill="1" applyBorder="1" applyAlignment="1">
      <alignment horizontal="center" vertical="center" wrapText="1"/>
    </xf>
    <xf numFmtId="0" fontId="32" fillId="8" borderId="85" xfId="0" applyFont="1" applyFill="1" applyBorder="1" applyAlignment="1">
      <alignment horizontal="center" vertical="center" wrapText="1"/>
    </xf>
    <xf numFmtId="1" fontId="33" fillId="8" borderId="13" xfId="0" applyNumberFormat="1" applyFont="1" applyFill="1" applyBorder="1" applyAlignment="1">
      <alignment horizontal="center" vertical="center"/>
    </xf>
    <xf numFmtId="1" fontId="33" fillId="8" borderId="17" xfId="0" applyNumberFormat="1" applyFont="1" applyFill="1" applyBorder="1" applyAlignment="1">
      <alignment horizontal="center" vertical="center"/>
    </xf>
    <xf numFmtId="0" fontId="5" fillId="5" borderId="63" xfId="0" applyFont="1" applyFill="1" applyBorder="1" applyAlignment="1">
      <alignment horizontal="center"/>
    </xf>
    <xf numFmtId="0" fontId="5" fillId="5" borderId="58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35" fillId="0" borderId="35" xfId="0" applyFont="1" applyBorder="1" applyAlignment="1">
      <alignment horizontal="center" vertical="center"/>
    </xf>
    <xf numFmtId="0" fontId="35" fillId="0" borderId="41" xfId="0" applyFont="1" applyBorder="1" applyAlignment="1">
      <alignment horizontal="center" vertical="center"/>
    </xf>
    <xf numFmtId="0" fontId="35" fillId="0" borderId="6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80" fillId="5" borderId="33" xfId="0" applyFont="1" applyFill="1" applyBorder="1" applyAlignment="1">
      <alignment horizontal="center" vertical="center" wrapText="1"/>
    </xf>
    <xf numFmtId="0" fontId="80" fillId="5" borderId="0" xfId="0" applyFont="1" applyFill="1" applyBorder="1" applyAlignment="1">
      <alignment horizontal="center" vertical="center" wrapText="1"/>
    </xf>
    <xf numFmtId="0" fontId="9" fillId="10" borderId="35" xfId="0" applyFont="1" applyFill="1" applyBorder="1" applyAlignment="1">
      <alignment horizontal="center" vertical="center" wrapText="1"/>
    </xf>
    <xf numFmtId="0" fontId="9" fillId="10" borderId="41" xfId="0" applyFont="1" applyFill="1" applyBorder="1" applyAlignment="1">
      <alignment horizontal="center" vertical="center" wrapText="1"/>
    </xf>
    <xf numFmtId="0" fontId="9" fillId="10" borderId="67" xfId="0" applyFont="1" applyFill="1" applyBorder="1" applyAlignment="1">
      <alignment horizontal="center" vertical="center" wrapText="1"/>
    </xf>
    <xf numFmtId="164" fontId="29" fillId="26" borderId="19" xfId="0" applyNumberFormat="1" applyFont="1" applyFill="1" applyBorder="1" applyAlignment="1">
      <alignment horizontal="center" vertical="center" wrapText="1"/>
    </xf>
    <xf numFmtId="0" fontId="16" fillId="0" borderId="17" xfId="0" applyFont="1" applyBorder="1" applyAlignment="1">
      <alignment horizontal="center"/>
    </xf>
    <xf numFmtId="165" fontId="35" fillId="0" borderId="35" xfId="0" applyNumberFormat="1" applyFont="1" applyBorder="1" applyAlignment="1">
      <alignment horizontal="center" vertical="center"/>
    </xf>
    <xf numFmtId="165" fontId="35" fillId="0" borderId="41" xfId="0" applyNumberFormat="1" applyFont="1" applyBorder="1" applyAlignment="1">
      <alignment horizontal="center" vertical="center"/>
    </xf>
    <xf numFmtId="165" fontId="35" fillId="0" borderId="67" xfId="0" applyNumberFormat="1" applyFont="1" applyBorder="1" applyAlignment="1">
      <alignment horizontal="center" vertical="center"/>
    </xf>
    <xf numFmtId="0" fontId="37" fillId="8" borderId="58" xfId="0" applyFont="1" applyFill="1" applyBorder="1" applyAlignment="1">
      <alignment horizontal="center" vertical="center" wrapText="1"/>
    </xf>
    <xf numFmtId="0" fontId="37" fillId="8" borderId="26" xfId="0" applyFont="1" applyFill="1" applyBorder="1" applyAlignment="1">
      <alignment horizontal="center" vertical="center" wrapText="1"/>
    </xf>
    <xf numFmtId="0" fontId="37" fillId="8" borderId="8" xfId="0" applyFont="1" applyFill="1" applyBorder="1" applyAlignment="1">
      <alignment horizontal="center" vertical="center" wrapText="1"/>
    </xf>
    <xf numFmtId="0" fontId="37" fillId="8" borderId="71" xfId="0" applyFont="1" applyFill="1" applyBorder="1" applyAlignment="1">
      <alignment horizontal="center" vertical="center" wrapText="1"/>
    </xf>
    <xf numFmtId="0" fontId="32" fillId="8" borderId="24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14" fontId="0" fillId="0" borderId="35" xfId="0" applyNumberFormat="1" applyBorder="1" applyAlignment="1">
      <alignment horizontal="center" vertical="center"/>
    </xf>
    <xf numFmtId="14" fontId="0" fillId="0" borderId="67" xfId="0" applyNumberFormat="1" applyBorder="1" applyAlignment="1">
      <alignment horizontal="center" vertical="center"/>
    </xf>
    <xf numFmtId="14" fontId="0" fillId="0" borderId="59" xfId="0" applyNumberFormat="1" applyBorder="1" applyAlignment="1">
      <alignment horizontal="center"/>
    </xf>
    <xf numFmtId="14" fontId="0" fillId="0" borderId="52" xfId="0" applyNumberFormat="1" applyBorder="1" applyAlignment="1">
      <alignment horizontal="center" vertical="center"/>
    </xf>
    <xf numFmtId="14" fontId="0" fillId="0" borderId="83" xfId="0" applyNumberFormat="1" applyBorder="1" applyAlignment="1">
      <alignment horizontal="center" vertical="center"/>
    </xf>
    <xf numFmtId="14" fontId="0" fillId="0" borderId="84" xfId="0" applyNumberForma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66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0" borderId="85" xfId="0" applyFont="1" applyBorder="1" applyAlignment="1">
      <alignment horizontal="center"/>
    </xf>
    <xf numFmtId="0" fontId="1" fillId="0" borderId="71" xfId="0" applyFont="1" applyBorder="1" applyAlignment="1">
      <alignment horizontal="center"/>
    </xf>
    <xf numFmtId="0" fontId="0" fillId="0" borderId="5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14" fontId="0" fillId="0" borderId="70" xfId="0" applyNumberFormat="1" applyBorder="1" applyAlignment="1">
      <alignment horizontal="center" vertical="center"/>
    </xf>
    <xf numFmtId="14" fontId="0" fillId="0" borderId="28" xfId="0" applyNumberFormat="1" applyBorder="1" applyAlignment="1">
      <alignment horizontal="center" vertical="center"/>
    </xf>
    <xf numFmtId="0" fontId="32" fillId="8" borderId="13" xfId="0" applyFont="1" applyFill="1" applyBorder="1" applyAlignment="1">
      <alignment horizontal="center" vertical="center" wrapText="1"/>
    </xf>
    <xf numFmtId="0" fontId="9" fillId="10" borderId="45" xfId="0" applyFont="1" applyFill="1" applyBorder="1" applyAlignment="1">
      <alignment horizontal="center" vertical="center" wrapText="1"/>
    </xf>
    <xf numFmtId="0" fontId="9" fillId="10" borderId="75" xfId="0" applyFont="1" applyFill="1" applyBorder="1" applyAlignment="1">
      <alignment horizontal="center" vertical="center" wrapText="1"/>
    </xf>
    <xf numFmtId="0" fontId="9" fillId="10" borderId="21" xfId="0" applyFont="1" applyFill="1" applyBorder="1" applyAlignment="1">
      <alignment horizontal="center" vertical="center" wrapText="1"/>
    </xf>
    <xf numFmtId="164" fontId="29" fillId="26" borderId="26" xfId="0" applyNumberFormat="1" applyFont="1" applyFill="1" applyBorder="1" applyAlignment="1">
      <alignment horizontal="center" vertical="center" wrapText="1"/>
    </xf>
    <xf numFmtId="0" fontId="80" fillId="5" borderId="51" xfId="0" applyFont="1" applyFill="1" applyBorder="1" applyAlignment="1">
      <alignment horizontal="center" vertical="center" wrapText="1"/>
    </xf>
    <xf numFmtId="0" fontId="80" fillId="5" borderId="70" xfId="0" applyFont="1" applyFill="1" applyBorder="1" applyAlignment="1">
      <alignment horizontal="center" vertical="center" wrapText="1"/>
    </xf>
    <xf numFmtId="0" fontId="80" fillId="5" borderId="50" xfId="0" applyFont="1" applyFill="1" applyBorder="1" applyAlignment="1">
      <alignment horizontal="center" vertical="center" wrapText="1"/>
    </xf>
    <xf numFmtId="0" fontId="80" fillId="5" borderId="34" xfId="0" applyFont="1" applyFill="1" applyBorder="1" applyAlignment="1">
      <alignment horizontal="center" vertical="center" wrapText="1"/>
    </xf>
    <xf numFmtId="0" fontId="80" fillId="5" borderId="65" xfId="0" applyFont="1" applyFill="1" applyBorder="1" applyAlignment="1">
      <alignment horizontal="center" vertical="center" wrapText="1"/>
    </xf>
    <xf numFmtId="0" fontId="80" fillId="5" borderId="27" xfId="0" applyFont="1" applyFill="1" applyBorder="1" applyAlignment="1">
      <alignment horizontal="center" vertical="center" wrapText="1"/>
    </xf>
    <xf numFmtId="0" fontId="80" fillId="5" borderId="86" xfId="0" applyFont="1" applyFill="1" applyBorder="1" applyAlignment="1">
      <alignment horizontal="center" vertical="center" wrapText="1"/>
    </xf>
    <xf numFmtId="0" fontId="5" fillId="0" borderId="7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19" borderId="8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5" fillId="19" borderId="26" xfId="0" applyFont="1" applyFill="1" applyBorder="1" applyAlignment="1">
      <alignment horizontal="center"/>
    </xf>
    <xf numFmtId="0" fontId="5" fillId="19" borderId="11" xfId="0" applyFont="1" applyFill="1" applyBorder="1" applyAlignment="1">
      <alignment horizontal="center"/>
    </xf>
    <xf numFmtId="0" fontId="5" fillId="19" borderId="55" xfId="0" applyFont="1" applyFill="1" applyBorder="1" applyAlignment="1">
      <alignment horizontal="center"/>
    </xf>
    <xf numFmtId="0" fontId="5" fillId="19" borderId="43" xfId="0" applyFont="1" applyFill="1" applyBorder="1" applyAlignment="1">
      <alignment horizontal="center"/>
    </xf>
    <xf numFmtId="0" fontId="5" fillId="19" borderId="10" xfId="0" applyFont="1" applyFill="1" applyBorder="1" applyAlignment="1">
      <alignment horizontal="center"/>
    </xf>
    <xf numFmtId="0" fontId="5" fillId="19" borderId="56" xfId="0" applyFont="1" applyFill="1" applyBorder="1" applyAlignment="1">
      <alignment horizontal="center"/>
    </xf>
    <xf numFmtId="0" fontId="5" fillId="19" borderId="42" xfId="0" applyFont="1" applyFill="1" applyBorder="1" applyAlignment="1">
      <alignment horizontal="center"/>
    </xf>
    <xf numFmtId="0" fontId="5" fillId="19" borderId="8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5" fillId="19" borderId="26" xfId="0" applyFont="1" applyFill="1" applyBorder="1" applyAlignment="1">
      <alignment horizontal="center" vertical="center"/>
    </xf>
    <xf numFmtId="0" fontId="5" fillId="19" borderId="11" xfId="0" applyFont="1" applyFill="1" applyBorder="1" applyAlignment="1">
      <alignment horizontal="center" vertical="center"/>
    </xf>
    <xf numFmtId="0" fontId="5" fillId="19" borderId="55" xfId="0" applyFont="1" applyFill="1" applyBorder="1" applyAlignment="1">
      <alignment horizontal="center" vertical="center"/>
    </xf>
    <xf numFmtId="0" fontId="5" fillId="19" borderId="43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/>
    </xf>
    <xf numFmtId="0" fontId="5" fillId="19" borderId="56" xfId="0" applyFont="1" applyFill="1" applyBorder="1" applyAlignment="1">
      <alignment horizontal="center" vertical="center"/>
    </xf>
    <xf numFmtId="0" fontId="5" fillId="19" borderId="42" xfId="0" applyFont="1" applyFill="1" applyBorder="1" applyAlignment="1">
      <alignment horizontal="center" vertical="center"/>
    </xf>
    <xf numFmtId="0" fontId="32" fillId="19" borderId="13" xfId="0" applyFont="1" applyFill="1" applyBorder="1" applyAlignment="1">
      <alignment horizontal="center" vertical="center" wrapText="1"/>
    </xf>
    <xf numFmtId="0" fontId="12" fillId="19" borderId="13" xfId="0" applyFont="1" applyFill="1" applyBorder="1" applyAlignment="1">
      <alignment horizontal="center" vertical="center" wrapText="1"/>
    </xf>
    <xf numFmtId="0" fontId="12" fillId="19" borderId="17" xfId="0" applyFont="1" applyFill="1" applyBorder="1" applyAlignment="1">
      <alignment horizontal="center" vertical="center" wrapText="1"/>
    </xf>
    <xf numFmtId="0" fontId="5" fillId="19" borderId="2" xfId="0" applyFont="1" applyFill="1" applyBorder="1" applyAlignment="1">
      <alignment horizontal="center" vertical="center"/>
    </xf>
    <xf numFmtId="0" fontId="5" fillId="19" borderId="14" xfId="0" applyFont="1" applyFill="1" applyBorder="1" applyAlignment="1">
      <alignment horizontal="center" vertical="center"/>
    </xf>
    <xf numFmtId="0" fontId="5" fillId="19" borderId="3" xfId="0" applyFont="1" applyFill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5" fillId="19" borderId="58" xfId="0" applyFont="1" applyFill="1" applyBorder="1" applyAlignment="1">
      <alignment horizontal="center"/>
    </xf>
    <xf numFmtId="0" fontId="5" fillId="19" borderId="60" xfId="0" applyFont="1" applyFill="1" applyBorder="1" applyAlignment="1">
      <alignment horizontal="center"/>
    </xf>
    <xf numFmtId="0" fontId="5" fillId="19" borderId="63" xfId="0" applyFont="1" applyFill="1" applyBorder="1" applyAlignment="1">
      <alignment horizontal="center"/>
    </xf>
    <xf numFmtId="0" fontId="5" fillId="19" borderId="2" xfId="0" applyFont="1" applyFill="1" applyBorder="1" applyAlignment="1">
      <alignment horizontal="center"/>
    </xf>
    <xf numFmtId="0" fontId="5" fillId="19" borderId="14" xfId="0" applyFont="1" applyFill="1" applyBorder="1" applyAlignment="1">
      <alignment horizontal="center"/>
    </xf>
    <xf numFmtId="0" fontId="5" fillId="19" borderId="3" xfId="0" applyFont="1" applyFill="1" applyBorder="1" applyAlignment="1">
      <alignment horizontal="center"/>
    </xf>
    <xf numFmtId="0" fontId="5" fillId="19" borderId="4" xfId="0" applyFont="1" applyFill="1" applyBorder="1" applyAlignment="1">
      <alignment horizontal="center"/>
    </xf>
    <xf numFmtId="0" fontId="5" fillId="19" borderId="1" xfId="0" applyFont="1" applyFill="1" applyBorder="1" applyAlignment="1">
      <alignment horizontal="center" vertical="center"/>
    </xf>
    <xf numFmtId="0" fontId="5" fillId="19" borderId="39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horizontal="center"/>
    </xf>
    <xf numFmtId="0" fontId="5" fillId="19" borderId="39" xfId="0" applyFont="1" applyFill="1" applyBorder="1" applyAlignment="1">
      <alignment horizontal="center"/>
    </xf>
    <xf numFmtId="0" fontId="5" fillId="19" borderId="12" xfId="0" applyFont="1" applyFill="1" applyBorder="1" applyAlignment="1">
      <alignment horizontal="center"/>
    </xf>
    <xf numFmtId="0" fontId="5" fillId="19" borderId="15" xfId="0" applyFont="1" applyFill="1" applyBorder="1" applyAlignment="1">
      <alignment horizontal="center"/>
    </xf>
    <xf numFmtId="0" fontId="32" fillId="19" borderId="19" xfId="0" applyFont="1" applyFill="1" applyBorder="1" applyAlignment="1">
      <alignment horizontal="center" vertical="center" wrapText="1"/>
    </xf>
    <xf numFmtId="1" fontId="33" fillId="5" borderId="8" xfId="0" applyNumberFormat="1" applyFont="1" applyFill="1" applyBorder="1" applyAlignment="1">
      <alignment horizontal="center" vertical="center" wrapText="1"/>
    </xf>
    <xf numFmtId="1" fontId="33" fillId="5" borderId="26" xfId="0" applyNumberFormat="1" applyFont="1" applyFill="1" applyBorder="1" applyAlignment="1">
      <alignment horizontal="center" vertical="center" wrapText="1"/>
    </xf>
    <xf numFmtId="0" fontId="32" fillId="8" borderId="6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 vertical="center"/>
    </xf>
    <xf numFmtId="0" fontId="5" fillId="7" borderId="39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5" fillId="7" borderId="39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7" borderId="20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164" fontId="29" fillId="26" borderId="12" xfId="0" applyNumberFormat="1" applyFont="1" applyFill="1" applyBorder="1" applyAlignment="1">
      <alignment horizontal="center" vertical="center" wrapText="1"/>
    </xf>
    <xf numFmtId="0" fontId="16" fillId="0" borderId="18" xfId="0" applyFont="1" applyBorder="1" applyAlignment="1">
      <alignment horizontal="center"/>
    </xf>
    <xf numFmtId="164" fontId="36" fillId="9" borderId="38" xfId="0" applyNumberFormat="1" applyFont="1" applyFill="1" applyBorder="1" applyAlignment="1">
      <alignment horizontal="center" vertical="center" wrapText="1"/>
    </xf>
    <xf numFmtId="0" fontId="37" fillId="9" borderId="48" xfId="0" applyFont="1" applyFill="1" applyBorder="1" applyAlignment="1">
      <alignment horizontal="center"/>
    </xf>
    <xf numFmtId="0" fontId="32" fillId="8" borderId="28" xfId="0" applyFont="1" applyFill="1" applyBorder="1" applyAlignment="1">
      <alignment horizontal="center" vertical="center" wrapText="1"/>
    </xf>
    <xf numFmtId="0" fontId="37" fillId="19" borderId="35" xfId="0" applyFont="1" applyFill="1" applyBorder="1" applyAlignment="1">
      <alignment horizontal="center" vertical="center" wrapText="1"/>
    </xf>
    <xf numFmtId="0" fontId="37" fillId="19" borderId="41" xfId="0" applyFont="1" applyFill="1" applyBorder="1" applyAlignment="1">
      <alignment horizontal="center" vertical="center" wrapText="1"/>
    </xf>
    <xf numFmtId="0" fontId="37" fillId="19" borderId="67" xfId="0" applyFont="1" applyFill="1" applyBorder="1" applyAlignment="1">
      <alignment horizontal="center" vertical="center" wrapText="1"/>
    </xf>
    <xf numFmtId="0" fontId="19" fillId="9" borderId="28" xfId="1" applyNumberFormat="1" applyFont="1" applyFill="1" applyBorder="1" applyAlignment="1" applyProtection="1">
      <alignment horizontal="center" vertical="center" wrapText="1"/>
      <protection locked="0"/>
    </xf>
  </cellXfs>
  <cellStyles count="7">
    <cellStyle name="AutoFormat-Optionen" xfId="1"/>
    <cellStyle name="Normal" xfId="0" builtinId="0"/>
    <cellStyle name="Normal 2" xfId="2"/>
    <cellStyle name="Normal 2 2" xfId="3"/>
    <cellStyle name="Normal 3" xfId="4"/>
    <cellStyle name="Normal_BOM J92_FK67 du 041109 ind --- " xfId="5"/>
    <cellStyle name="Normal_Sheet1" xfId="6"/>
  </cellStyles>
  <dxfs count="9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20</xdr:col>
      <xdr:colOff>914400</xdr:colOff>
      <xdr:row>3</xdr:row>
      <xdr:rowOff>161925</xdr:rowOff>
    </xdr:to>
    <xdr:pic>
      <xdr:nvPicPr>
        <xdr:cNvPr id="39756" name="Image 2" descr="C:\Users\AELHIMEU\AppData\Local\Microsoft\Windows\Temporary Internet Files\Content.Outlook\KLXJ1GG5\visteon_interiors (2)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49875" y="0"/>
          <a:ext cx="25908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66675</xdr:rowOff>
    </xdr:from>
    <xdr:to>
      <xdr:col>1</xdr:col>
      <xdr:colOff>819150</xdr:colOff>
      <xdr:row>0</xdr:row>
      <xdr:rowOff>847725</xdr:rowOff>
    </xdr:to>
    <xdr:pic>
      <xdr:nvPicPr>
        <xdr:cNvPr id="43495" name="Image 1" descr="C:\Users\AELHIMEU\AppData\Local\Microsoft\Windows\Temporary Internet Files\Content.Outlook\KLXJ1GG5\visteon_interiors (2)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66675"/>
          <a:ext cx="140970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581025</xdr:colOff>
      <xdr:row>1</xdr:row>
      <xdr:rowOff>247650</xdr:rowOff>
    </xdr:from>
    <xdr:to>
      <xdr:col>2</xdr:col>
      <xdr:colOff>447675</xdr:colOff>
      <xdr:row>2</xdr:row>
      <xdr:rowOff>352425</xdr:rowOff>
    </xdr:to>
    <xdr:pic>
      <xdr:nvPicPr>
        <xdr:cNvPr id="40752" name="Image 2" descr="C:\Users\AELHIMEU\AppData\Local\Microsoft\Windows\Temporary Internet Files\Content.Outlook\KLXJ1GG5\visteon_interiors (2)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25" y="276225"/>
          <a:ext cx="3267075" cy="142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0</xdr:row>
      <xdr:rowOff>238125</xdr:rowOff>
    </xdr:from>
    <xdr:to>
      <xdr:col>3</xdr:col>
      <xdr:colOff>152400</xdr:colOff>
      <xdr:row>0</xdr:row>
      <xdr:rowOff>1238250</xdr:rowOff>
    </xdr:to>
    <xdr:pic>
      <xdr:nvPicPr>
        <xdr:cNvPr id="46349" name="Image 2" descr="C:\Users\AELHIMEU\AppData\Local\Microsoft\Windows\Temporary Internet Files\Content.Outlook\KLXJ1GG5\visteon_interiors (2)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1525" y="238125"/>
          <a:ext cx="25812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4</xdr:row>
      <xdr:rowOff>257175</xdr:rowOff>
    </xdr:from>
    <xdr:to>
      <xdr:col>1</xdr:col>
      <xdr:colOff>933450</xdr:colOff>
      <xdr:row>4</xdr:row>
      <xdr:rowOff>1257300</xdr:rowOff>
    </xdr:to>
    <xdr:pic>
      <xdr:nvPicPr>
        <xdr:cNvPr id="44516" name="Image 2" descr="C:\Users\AELHIMEU\AppData\Local\Microsoft\Windows\Temporary Internet Files\Content.Outlook\KLXJ1GG5\visteon_interiors (2)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257175"/>
          <a:ext cx="25812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1885950</xdr:colOff>
      <xdr:row>3</xdr:row>
      <xdr:rowOff>57150</xdr:rowOff>
    </xdr:from>
    <xdr:to>
      <xdr:col>2</xdr:col>
      <xdr:colOff>3209925</xdr:colOff>
      <xdr:row>5</xdr:row>
      <xdr:rowOff>809625</xdr:rowOff>
    </xdr:to>
    <xdr:pic>
      <xdr:nvPicPr>
        <xdr:cNvPr id="42569" name="Image 2" descr="C:\Users\AELHIMEU\AppData\Local\Microsoft\Windows\Temporary Internet Files\Content.Outlook\KLXJ1GG5\visteon_interiors (2)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2209800"/>
          <a:ext cx="4724400" cy="2085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1</xdr:col>
      <xdr:colOff>790575</xdr:colOff>
      <xdr:row>3</xdr:row>
      <xdr:rowOff>276225</xdr:rowOff>
    </xdr:to>
    <xdr:pic>
      <xdr:nvPicPr>
        <xdr:cNvPr id="45329" name="Picture 2" descr="vist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"/>
          <a:ext cx="233362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0</xdr:row>
      <xdr:rowOff>114300</xdr:rowOff>
    </xdr:from>
    <xdr:to>
      <xdr:col>2</xdr:col>
      <xdr:colOff>190500</xdr:colOff>
      <xdr:row>1</xdr:row>
      <xdr:rowOff>314325</xdr:rowOff>
    </xdr:to>
    <xdr:pic>
      <xdr:nvPicPr>
        <xdr:cNvPr id="41686" name="Image 2" descr="C:\Users\AELHIMEU\AppData\Local\Microsoft\Windows\Temporary Internet Files\Content.Outlook\KLXJ1GG5\visteon_interiors (2)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114300"/>
          <a:ext cx="13430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74"/>
  <sheetViews>
    <sheetView topLeftCell="A25" zoomScale="40" zoomScaleNormal="40" workbookViewId="0">
      <selection activeCell="B57" sqref="B57:B63"/>
    </sheetView>
  </sheetViews>
  <sheetFormatPr baseColWidth="10" defaultRowHeight="12.75"/>
  <cols>
    <col min="1" max="1" width="28.5703125" customWidth="1"/>
    <col min="2" max="2" width="22" bestFit="1" customWidth="1"/>
    <col min="3" max="3" width="39.7109375" customWidth="1"/>
    <col min="4" max="5" width="25.42578125" bestFit="1" customWidth="1"/>
    <col min="6" max="6" width="18.7109375" customWidth="1"/>
    <col min="7" max="7" width="74" bestFit="1" customWidth="1"/>
    <col min="8" max="9" width="18.42578125" customWidth="1"/>
    <col min="10" max="10" width="13" hidden="1" customWidth="1"/>
    <col min="11" max="11" width="13.7109375" hidden="1" customWidth="1"/>
    <col min="12" max="12" width="19.42578125" hidden="1" customWidth="1"/>
    <col min="13" max="13" width="0" hidden="1" customWidth="1"/>
    <col min="14" max="14" width="13.7109375" hidden="1" customWidth="1"/>
    <col min="15" max="15" width="19.42578125" hidden="1" customWidth="1"/>
    <col min="16" max="16" width="0" hidden="1" customWidth="1"/>
    <col min="17" max="17" width="13.7109375" hidden="1" customWidth="1"/>
    <col min="18" max="18" width="19.42578125" hidden="1" customWidth="1"/>
    <col min="20" max="20" width="13.7109375" bestFit="1" customWidth="1"/>
    <col min="21" max="21" width="19.42578125" bestFit="1" customWidth="1"/>
    <col min="22" max="22" width="13" bestFit="1" customWidth="1"/>
    <col min="23" max="23" width="13.7109375" bestFit="1" customWidth="1"/>
    <col min="24" max="24" width="19.42578125" bestFit="1" customWidth="1"/>
    <col min="26" max="26" width="13.7109375" bestFit="1" customWidth="1"/>
    <col min="27" max="27" width="19.42578125" bestFit="1" customWidth="1"/>
    <col min="28" max="28" width="13" bestFit="1" customWidth="1"/>
    <col min="29" max="29" width="13.7109375" customWidth="1"/>
    <col min="30" max="30" width="19.42578125" bestFit="1" customWidth="1"/>
  </cols>
  <sheetData>
    <row r="1" spans="1:30" s="696" customFormat="1" ht="21.75" customHeight="1">
      <c r="A1" s="969" t="s">
        <v>442</v>
      </c>
      <c r="B1" s="867">
        <v>530</v>
      </c>
      <c r="C1" s="1174" t="s">
        <v>640</v>
      </c>
      <c r="D1" s="1175"/>
      <c r="E1" s="1175"/>
      <c r="F1" s="1175"/>
      <c r="G1" s="1175"/>
      <c r="H1" s="1175"/>
      <c r="I1" s="1175"/>
      <c r="U1" s="1172"/>
      <c r="V1" s="1172"/>
      <c r="W1" s="1172"/>
      <c r="X1" s="1172"/>
      <c r="Y1" s="1172"/>
      <c r="Z1" s="1172"/>
      <c r="AA1" s="1172"/>
    </row>
    <row r="2" spans="1:30" s="696" customFormat="1" ht="21.75" customHeight="1">
      <c r="A2" s="969" t="s">
        <v>443</v>
      </c>
      <c r="B2" s="867">
        <v>360</v>
      </c>
      <c r="C2" s="1174"/>
      <c r="D2" s="1175"/>
      <c r="E2" s="1175"/>
      <c r="F2" s="1175"/>
      <c r="G2" s="1175"/>
      <c r="H2" s="1175"/>
      <c r="I2" s="1175"/>
      <c r="U2" s="1172"/>
      <c r="V2" s="1172"/>
      <c r="W2" s="1172"/>
      <c r="X2" s="1172"/>
      <c r="Y2" s="1172"/>
      <c r="Z2" s="1172"/>
      <c r="AA2" s="1172"/>
    </row>
    <row r="3" spans="1:30" s="696" customFormat="1" ht="20.25" customHeight="1">
      <c r="A3" s="969" t="s">
        <v>444</v>
      </c>
      <c r="B3" s="934">
        <f>B2*0.64</f>
        <v>230.4</v>
      </c>
      <c r="C3" s="1174"/>
      <c r="D3" s="1175"/>
      <c r="E3" s="1175"/>
      <c r="F3" s="1175"/>
      <c r="G3" s="1175"/>
      <c r="H3" s="1175"/>
      <c r="I3" s="1175"/>
      <c r="U3" s="1172"/>
      <c r="V3" s="1172"/>
      <c r="W3" s="1172"/>
      <c r="X3" s="1172"/>
      <c r="Y3" s="1172"/>
      <c r="Z3" s="1172"/>
      <c r="AA3" s="1172"/>
    </row>
    <row r="4" spans="1:30" s="696" customFormat="1" ht="22.5" customHeight="1" thickBot="1">
      <c r="A4" s="969" t="s">
        <v>445</v>
      </c>
      <c r="B4" s="934">
        <f>B2-B3</f>
        <v>129.6</v>
      </c>
      <c r="C4" s="1174"/>
      <c r="D4" s="1175"/>
      <c r="E4" s="1175"/>
      <c r="F4" s="1175"/>
      <c r="G4" s="1175"/>
      <c r="H4" s="1175"/>
      <c r="I4" s="1175"/>
      <c r="U4" s="1173"/>
      <c r="V4" s="1173"/>
      <c r="W4" s="1173"/>
      <c r="X4" s="1173"/>
      <c r="Y4" s="1173"/>
      <c r="Z4" s="1173"/>
      <c r="AA4" s="1173"/>
    </row>
    <row r="5" spans="1:30" ht="25.5" customHeight="1">
      <c r="A5" s="1169" t="s">
        <v>556</v>
      </c>
      <c r="B5" s="1238" t="s">
        <v>504</v>
      </c>
      <c r="C5" s="1168" t="s">
        <v>541</v>
      </c>
      <c r="D5" s="1168" t="s">
        <v>575</v>
      </c>
      <c r="E5" s="1168" t="s">
        <v>253</v>
      </c>
      <c r="F5" s="1224" t="s">
        <v>547</v>
      </c>
      <c r="G5" s="1224" t="s">
        <v>170</v>
      </c>
      <c r="H5" s="1168" t="s">
        <v>542</v>
      </c>
      <c r="I5" s="1222" t="s">
        <v>0</v>
      </c>
      <c r="J5" s="1176" t="s">
        <v>625</v>
      </c>
      <c r="K5" s="1177"/>
      <c r="L5" s="1178"/>
      <c r="M5" s="1176" t="s">
        <v>629</v>
      </c>
      <c r="N5" s="1177"/>
      <c r="O5" s="1178"/>
      <c r="P5" s="1176" t="s">
        <v>630</v>
      </c>
      <c r="Q5" s="1177"/>
      <c r="R5" s="1178"/>
      <c r="S5" s="1176" t="s">
        <v>631</v>
      </c>
      <c r="T5" s="1177"/>
      <c r="U5" s="1178"/>
      <c r="V5" s="1176" t="s">
        <v>633</v>
      </c>
      <c r="W5" s="1177"/>
      <c r="X5" s="1178"/>
      <c r="Y5" s="1176" t="s">
        <v>634</v>
      </c>
      <c r="Z5" s="1177"/>
      <c r="AA5" s="1178"/>
      <c r="AB5" s="1219" t="s">
        <v>642</v>
      </c>
      <c r="AC5" s="1220"/>
      <c r="AD5" s="1221"/>
    </row>
    <row r="6" spans="1:30" ht="43.5" customHeight="1" thickBot="1">
      <c r="A6" s="1169"/>
      <c r="B6" s="1238"/>
      <c r="C6" s="1169"/>
      <c r="D6" s="1169"/>
      <c r="E6" s="1169"/>
      <c r="F6" s="1225"/>
      <c r="G6" s="1225"/>
      <c r="H6" s="1229"/>
      <c r="I6" s="1223"/>
      <c r="J6" s="993" t="s">
        <v>2</v>
      </c>
      <c r="K6" s="994" t="s">
        <v>286</v>
      </c>
      <c r="L6" s="994" t="s">
        <v>560</v>
      </c>
      <c r="M6" s="993" t="s">
        <v>2</v>
      </c>
      <c r="N6" s="994" t="s">
        <v>286</v>
      </c>
      <c r="O6" s="994" t="s">
        <v>560</v>
      </c>
      <c r="P6" s="993" t="s">
        <v>2</v>
      </c>
      <c r="Q6" s="994" t="s">
        <v>286</v>
      </c>
      <c r="R6" s="994" t="s">
        <v>560</v>
      </c>
      <c r="S6" s="993" t="s">
        <v>2</v>
      </c>
      <c r="T6" s="994" t="s">
        <v>286</v>
      </c>
      <c r="U6" s="994" t="s">
        <v>560</v>
      </c>
      <c r="V6" s="993" t="s">
        <v>2</v>
      </c>
      <c r="W6" s="994" t="s">
        <v>286</v>
      </c>
      <c r="X6" s="994" t="s">
        <v>560</v>
      </c>
      <c r="Y6" s="993" t="s">
        <v>2</v>
      </c>
      <c r="Z6" s="994" t="s">
        <v>286</v>
      </c>
      <c r="AA6" s="994" t="s">
        <v>560</v>
      </c>
      <c r="AB6" s="1134" t="s">
        <v>2</v>
      </c>
      <c r="AC6" s="1135" t="s">
        <v>286</v>
      </c>
      <c r="AD6" s="1135" t="s">
        <v>560</v>
      </c>
    </row>
    <row r="7" spans="1:30" s="87" customFormat="1" ht="30.75" customHeight="1" thickBot="1">
      <c r="A7" s="1231" t="s">
        <v>559</v>
      </c>
      <c r="B7" s="910"/>
      <c r="C7" s="628" t="s">
        <v>285</v>
      </c>
      <c r="D7" s="1226" t="s">
        <v>576</v>
      </c>
      <c r="E7" s="900">
        <v>306</v>
      </c>
      <c r="F7" s="895" t="s">
        <v>252</v>
      </c>
      <c r="G7" s="930" t="s">
        <v>284</v>
      </c>
      <c r="H7" s="970"/>
      <c r="I7" s="962">
        <v>320</v>
      </c>
      <c r="J7" s="945">
        <v>0</v>
      </c>
      <c r="K7" s="959">
        <f>I7-J7</f>
        <v>320</v>
      </c>
      <c r="L7" s="947" t="s">
        <v>252</v>
      </c>
      <c r="M7" s="945">
        <v>0</v>
      </c>
      <c r="N7" s="959">
        <f t="shared" ref="N7:N33" si="0">K7-M7</f>
        <v>320</v>
      </c>
      <c r="O7" s="947" t="s">
        <v>252</v>
      </c>
      <c r="P7" s="945">
        <v>0</v>
      </c>
      <c r="Q7" s="959">
        <f t="shared" ref="Q7:Q33" si="1">N7-P7</f>
        <v>320</v>
      </c>
      <c r="R7" s="947" t="s">
        <v>252</v>
      </c>
      <c r="S7" s="945">
        <v>320</v>
      </c>
      <c r="T7" s="959">
        <f t="shared" ref="T7:T33" si="2">Q7-S7</f>
        <v>0</v>
      </c>
      <c r="U7" s="947" t="s">
        <v>252</v>
      </c>
      <c r="V7" s="945">
        <v>280</v>
      </c>
      <c r="W7" s="959">
        <f t="shared" ref="W7:W33" si="3">T7-V7</f>
        <v>-280</v>
      </c>
      <c r="X7" s="947" t="s">
        <v>252</v>
      </c>
      <c r="Y7" s="945">
        <v>280</v>
      </c>
      <c r="Z7" s="959">
        <f t="shared" ref="Z7:Z33" si="4">W7-Y7</f>
        <v>-560</v>
      </c>
      <c r="AA7" s="947" t="s">
        <v>252</v>
      </c>
      <c r="AB7" s="945">
        <v>280</v>
      </c>
      <c r="AC7" s="959">
        <f t="shared" ref="AC7:AC33" si="5">Z7-AB7</f>
        <v>-840</v>
      </c>
      <c r="AD7" s="947" t="s">
        <v>252</v>
      </c>
    </row>
    <row r="8" spans="1:30" s="87" customFormat="1" ht="38.25" thickBot="1">
      <c r="A8" s="1232"/>
      <c r="B8" s="908"/>
      <c r="C8" s="904" t="s">
        <v>283</v>
      </c>
      <c r="D8" s="1227"/>
      <c r="E8" s="1230">
        <v>15</v>
      </c>
      <c r="F8" s="88" t="s">
        <v>252</v>
      </c>
      <c r="G8" s="924" t="s">
        <v>282</v>
      </c>
      <c r="H8" s="971"/>
      <c r="I8" s="963">
        <v>1420</v>
      </c>
      <c r="J8" s="948">
        <v>0</v>
      </c>
      <c r="K8" s="959">
        <f t="shared" ref="K8:K71" si="6">I8-J8</f>
        <v>1420</v>
      </c>
      <c r="L8" s="950" t="s">
        <v>252</v>
      </c>
      <c r="M8" s="948">
        <v>0</v>
      </c>
      <c r="N8" s="960">
        <f t="shared" si="0"/>
        <v>1420</v>
      </c>
      <c r="O8" s="950" t="s">
        <v>252</v>
      </c>
      <c r="P8" s="948">
        <v>0</v>
      </c>
      <c r="Q8" s="960">
        <f t="shared" si="1"/>
        <v>1420</v>
      </c>
      <c r="R8" s="950" t="s">
        <v>252</v>
      </c>
      <c r="S8" s="948">
        <v>360</v>
      </c>
      <c r="T8" s="960">
        <f t="shared" si="2"/>
        <v>1060</v>
      </c>
      <c r="U8" s="950" t="s">
        <v>252</v>
      </c>
      <c r="V8" s="948">
        <v>360</v>
      </c>
      <c r="W8" s="960">
        <f t="shared" si="3"/>
        <v>700</v>
      </c>
      <c r="X8" s="950" t="s">
        <v>252</v>
      </c>
      <c r="Y8" s="948">
        <v>360</v>
      </c>
      <c r="Z8" s="960">
        <f t="shared" si="4"/>
        <v>340</v>
      </c>
      <c r="AA8" s="950" t="s">
        <v>252</v>
      </c>
      <c r="AB8" s="948">
        <v>360</v>
      </c>
      <c r="AC8" s="960">
        <f t="shared" si="5"/>
        <v>-20</v>
      </c>
      <c r="AD8" s="950" t="s">
        <v>252</v>
      </c>
    </row>
    <row r="9" spans="1:30" s="87" customFormat="1" ht="38.25" thickBot="1">
      <c r="A9" s="1232"/>
      <c r="B9" s="908"/>
      <c r="C9" s="904" t="s">
        <v>281</v>
      </c>
      <c r="D9" s="1227"/>
      <c r="E9" s="1230"/>
      <c r="F9" s="88" t="s">
        <v>252</v>
      </c>
      <c r="G9" s="988" t="s">
        <v>280</v>
      </c>
      <c r="H9" s="971"/>
      <c r="I9" s="963">
        <v>1924</v>
      </c>
      <c r="J9" s="948">
        <v>0</v>
      </c>
      <c r="K9" s="959">
        <f t="shared" si="6"/>
        <v>1924</v>
      </c>
      <c r="L9" s="950" t="s">
        <v>252</v>
      </c>
      <c r="M9" s="948">
        <v>0</v>
      </c>
      <c r="N9" s="960">
        <f t="shared" si="0"/>
        <v>1924</v>
      </c>
      <c r="O9" s="950" t="s">
        <v>252</v>
      </c>
      <c r="P9" s="948">
        <v>0</v>
      </c>
      <c r="Q9" s="960">
        <f t="shared" si="1"/>
        <v>1924</v>
      </c>
      <c r="R9" s="950" t="s">
        <v>252</v>
      </c>
      <c r="S9" s="948">
        <v>0</v>
      </c>
      <c r="T9" s="960">
        <f t="shared" si="2"/>
        <v>1924</v>
      </c>
      <c r="U9" s="950" t="s">
        <v>252</v>
      </c>
      <c r="V9" s="948">
        <v>0</v>
      </c>
      <c r="W9" s="960">
        <f t="shared" si="3"/>
        <v>1924</v>
      </c>
      <c r="X9" s="950" t="s">
        <v>252</v>
      </c>
      <c r="Y9" s="948">
        <v>0</v>
      </c>
      <c r="Z9" s="960">
        <f t="shared" si="4"/>
        <v>1924</v>
      </c>
      <c r="AA9" s="950" t="s">
        <v>252</v>
      </c>
      <c r="AB9" s="948">
        <v>0</v>
      </c>
      <c r="AC9" s="960">
        <f t="shared" si="5"/>
        <v>1924</v>
      </c>
      <c r="AD9" s="950" t="s">
        <v>252</v>
      </c>
    </row>
    <row r="10" spans="1:30" s="87" customFormat="1" ht="38.25" thickBot="1">
      <c r="A10" s="1232"/>
      <c r="B10" s="908"/>
      <c r="C10" s="904" t="s">
        <v>279</v>
      </c>
      <c r="D10" s="1227"/>
      <c r="E10" s="1230"/>
      <c r="F10" s="88" t="s">
        <v>252</v>
      </c>
      <c r="G10" s="924" t="s">
        <v>278</v>
      </c>
      <c r="H10" s="971"/>
      <c r="I10" s="963">
        <v>1440</v>
      </c>
      <c r="J10" s="948">
        <v>0</v>
      </c>
      <c r="K10" s="959">
        <f t="shared" si="6"/>
        <v>1440</v>
      </c>
      <c r="L10" s="950" t="s">
        <v>252</v>
      </c>
      <c r="M10" s="948">
        <v>0</v>
      </c>
      <c r="N10" s="960">
        <f t="shared" si="0"/>
        <v>1440</v>
      </c>
      <c r="O10" s="950" t="s">
        <v>252</v>
      </c>
      <c r="P10" s="948">
        <v>0</v>
      </c>
      <c r="Q10" s="960">
        <f t="shared" si="1"/>
        <v>1440</v>
      </c>
      <c r="R10" s="950" t="s">
        <v>252</v>
      </c>
      <c r="S10" s="948">
        <v>0</v>
      </c>
      <c r="T10" s="960">
        <f t="shared" si="2"/>
        <v>1440</v>
      </c>
      <c r="U10" s="950" t="s">
        <v>252</v>
      </c>
      <c r="V10" s="948">
        <v>0</v>
      </c>
      <c r="W10" s="960">
        <f t="shared" si="3"/>
        <v>1440</v>
      </c>
      <c r="X10" s="950" t="s">
        <v>252</v>
      </c>
      <c r="Y10" s="948">
        <v>0</v>
      </c>
      <c r="Z10" s="960">
        <f t="shared" si="4"/>
        <v>1440</v>
      </c>
      <c r="AA10" s="950" t="s">
        <v>252</v>
      </c>
      <c r="AB10" s="948">
        <v>0</v>
      </c>
      <c r="AC10" s="960">
        <f t="shared" si="5"/>
        <v>1440</v>
      </c>
      <c r="AD10" s="950" t="s">
        <v>252</v>
      </c>
    </row>
    <row r="11" spans="1:30" s="87" customFormat="1" ht="38.25" thickBot="1">
      <c r="A11" s="1232"/>
      <c r="B11" s="908"/>
      <c r="C11" s="904" t="s">
        <v>277</v>
      </c>
      <c r="D11" s="1227"/>
      <c r="E11" s="1230"/>
      <c r="F11" s="88" t="s">
        <v>252</v>
      </c>
      <c r="G11" s="924" t="s">
        <v>276</v>
      </c>
      <c r="H11" s="971"/>
      <c r="I11" s="963">
        <v>1140</v>
      </c>
      <c r="J11" s="948">
        <v>0</v>
      </c>
      <c r="K11" s="959">
        <f t="shared" si="6"/>
        <v>1140</v>
      </c>
      <c r="L11" s="950" t="s">
        <v>252</v>
      </c>
      <c r="M11" s="948">
        <v>0</v>
      </c>
      <c r="N11" s="960">
        <f t="shared" si="0"/>
        <v>1140</v>
      </c>
      <c r="O11" s="950" t="s">
        <v>252</v>
      </c>
      <c r="P11" s="948">
        <v>0</v>
      </c>
      <c r="Q11" s="960">
        <f t="shared" si="1"/>
        <v>1140</v>
      </c>
      <c r="R11" s="950" t="s">
        <v>252</v>
      </c>
      <c r="S11" s="948">
        <v>0</v>
      </c>
      <c r="T11" s="960">
        <f t="shared" si="2"/>
        <v>1140</v>
      </c>
      <c r="U11" s="950" t="s">
        <v>252</v>
      </c>
      <c r="V11" s="948">
        <v>0</v>
      </c>
      <c r="W11" s="960">
        <f t="shared" si="3"/>
        <v>1140</v>
      </c>
      <c r="X11" s="950" t="s">
        <v>252</v>
      </c>
      <c r="Y11" s="948">
        <v>0</v>
      </c>
      <c r="Z11" s="960">
        <f t="shared" si="4"/>
        <v>1140</v>
      </c>
      <c r="AA11" s="950" t="s">
        <v>252</v>
      </c>
      <c r="AB11" s="948">
        <v>0</v>
      </c>
      <c r="AC11" s="960">
        <f t="shared" si="5"/>
        <v>1140</v>
      </c>
      <c r="AD11" s="950" t="s">
        <v>252</v>
      </c>
    </row>
    <row r="12" spans="1:30" s="87" customFormat="1" ht="38.25" thickBot="1">
      <c r="A12" s="1232"/>
      <c r="B12" s="908"/>
      <c r="C12" s="904" t="s">
        <v>274</v>
      </c>
      <c r="D12" s="1227"/>
      <c r="E12" s="903">
        <v>62</v>
      </c>
      <c r="F12" s="88" t="s">
        <v>252</v>
      </c>
      <c r="G12" s="924" t="s">
        <v>446</v>
      </c>
      <c r="H12" s="971"/>
      <c r="I12" s="963">
        <v>1107</v>
      </c>
      <c r="J12" s="951">
        <v>0</v>
      </c>
      <c r="K12" s="959">
        <f t="shared" si="6"/>
        <v>1107</v>
      </c>
      <c r="L12" s="950" t="s">
        <v>252</v>
      </c>
      <c r="M12" s="951">
        <v>0</v>
      </c>
      <c r="N12" s="960">
        <f t="shared" si="0"/>
        <v>1107</v>
      </c>
      <c r="O12" s="950" t="s">
        <v>252</v>
      </c>
      <c r="P12" s="951">
        <v>0</v>
      </c>
      <c r="Q12" s="960">
        <f t="shared" si="1"/>
        <v>1107</v>
      </c>
      <c r="R12" s="950" t="s">
        <v>252</v>
      </c>
      <c r="S12" s="951">
        <v>216</v>
      </c>
      <c r="T12" s="960">
        <f t="shared" si="2"/>
        <v>891</v>
      </c>
      <c r="U12" s="950" t="s">
        <v>252</v>
      </c>
      <c r="V12" s="951">
        <v>216</v>
      </c>
      <c r="W12" s="960">
        <f t="shared" si="3"/>
        <v>675</v>
      </c>
      <c r="X12" s="950" t="s">
        <v>252</v>
      </c>
      <c r="Y12" s="951">
        <v>216</v>
      </c>
      <c r="Z12" s="960">
        <f t="shared" si="4"/>
        <v>459</v>
      </c>
      <c r="AA12" s="950" t="s">
        <v>252</v>
      </c>
      <c r="AB12" s="951">
        <v>216</v>
      </c>
      <c r="AC12" s="960">
        <f t="shared" si="5"/>
        <v>243</v>
      </c>
      <c r="AD12" s="950" t="s">
        <v>252</v>
      </c>
    </row>
    <row r="13" spans="1:30" s="87" customFormat="1" ht="38.25" thickBot="1">
      <c r="A13" s="1232"/>
      <c r="B13" s="908"/>
      <c r="C13" s="904" t="s">
        <v>273</v>
      </c>
      <c r="D13" s="1227"/>
      <c r="E13" s="903">
        <v>112</v>
      </c>
      <c r="F13" s="88" t="s">
        <v>252</v>
      </c>
      <c r="G13" s="924" t="s">
        <v>272</v>
      </c>
      <c r="H13" s="971"/>
      <c r="I13" s="963">
        <v>1560</v>
      </c>
      <c r="J13" s="951">
        <v>0</v>
      </c>
      <c r="K13" s="959">
        <f t="shared" si="6"/>
        <v>1560</v>
      </c>
      <c r="L13" s="950" t="s">
        <v>252</v>
      </c>
      <c r="M13" s="951">
        <v>0</v>
      </c>
      <c r="N13" s="960">
        <f t="shared" si="0"/>
        <v>1560</v>
      </c>
      <c r="O13" s="950" t="s">
        <v>252</v>
      </c>
      <c r="P13" s="951">
        <v>0</v>
      </c>
      <c r="Q13" s="960">
        <f t="shared" si="1"/>
        <v>1560</v>
      </c>
      <c r="R13" s="950" t="s">
        <v>252</v>
      </c>
      <c r="S13" s="951">
        <v>360</v>
      </c>
      <c r="T13" s="960">
        <f t="shared" si="2"/>
        <v>1200</v>
      </c>
      <c r="U13" s="950" t="s">
        <v>252</v>
      </c>
      <c r="V13" s="951">
        <v>360</v>
      </c>
      <c r="W13" s="960">
        <f t="shared" si="3"/>
        <v>840</v>
      </c>
      <c r="X13" s="950" t="s">
        <v>252</v>
      </c>
      <c r="Y13" s="951">
        <v>360</v>
      </c>
      <c r="Z13" s="960">
        <f t="shared" si="4"/>
        <v>480</v>
      </c>
      <c r="AA13" s="950" t="s">
        <v>252</v>
      </c>
      <c r="AB13" s="951">
        <v>360</v>
      </c>
      <c r="AC13" s="960">
        <f t="shared" si="5"/>
        <v>120</v>
      </c>
      <c r="AD13" s="950" t="s">
        <v>252</v>
      </c>
    </row>
    <row r="14" spans="1:30" s="87" customFormat="1" ht="38.25" thickBot="1">
      <c r="A14" s="1233"/>
      <c r="B14" s="912"/>
      <c r="C14" s="899" t="s">
        <v>271</v>
      </c>
      <c r="D14" s="1227"/>
      <c r="E14" s="901">
        <v>12</v>
      </c>
      <c r="F14" s="896" t="s">
        <v>252</v>
      </c>
      <c r="G14" s="989" t="s">
        <v>270</v>
      </c>
      <c r="H14" s="972"/>
      <c r="I14" s="964">
        <v>430</v>
      </c>
      <c r="J14" s="952">
        <v>0</v>
      </c>
      <c r="K14" s="959">
        <f t="shared" si="6"/>
        <v>430</v>
      </c>
      <c r="L14" s="954" t="s">
        <v>252</v>
      </c>
      <c r="M14" s="952">
        <v>0</v>
      </c>
      <c r="N14" s="961">
        <f t="shared" si="0"/>
        <v>430</v>
      </c>
      <c r="O14" s="954" t="s">
        <v>252</v>
      </c>
      <c r="P14" s="952">
        <v>0</v>
      </c>
      <c r="Q14" s="961">
        <f t="shared" si="1"/>
        <v>430</v>
      </c>
      <c r="R14" s="954" t="s">
        <v>252</v>
      </c>
      <c r="S14" s="952">
        <v>160</v>
      </c>
      <c r="T14" s="961">
        <f t="shared" si="2"/>
        <v>270</v>
      </c>
      <c r="U14" s="954" t="s">
        <v>252</v>
      </c>
      <c r="V14" s="952">
        <v>160</v>
      </c>
      <c r="W14" s="961">
        <f t="shared" si="3"/>
        <v>110</v>
      </c>
      <c r="X14" s="954" t="s">
        <v>252</v>
      </c>
      <c r="Y14" s="952">
        <v>160</v>
      </c>
      <c r="Z14" s="961">
        <f t="shared" si="4"/>
        <v>-50</v>
      </c>
      <c r="AA14" s="954" t="s">
        <v>252</v>
      </c>
      <c r="AB14" s="952">
        <v>160</v>
      </c>
      <c r="AC14" s="961">
        <f t="shared" si="5"/>
        <v>-210</v>
      </c>
      <c r="AD14" s="954" t="s">
        <v>252</v>
      </c>
    </row>
    <row r="15" spans="1:30" s="87" customFormat="1" ht="37.5" customHeight="1" thickBot="1">
      <c r="A15" s="1205" t="s">
        <v>363</v>
      </c>
      <c r="B15" s="935"/>
      <c r="C15" s="927" t="s">
        <v>263</v>
      </c>
      <c r="D15" s="1227"/>
      <c r="E15" s="928">
        <v>8</v>
      </c>
      <c r="F15" s="936">
        <v>66</v>
      </c>
      <c r="G15" s="930" t="s">
        <v>111</v>
      </c>
      <c r="H15" s="973" t="s">
        <v>317</v>
      </c>
      <c r="I15" s="965">
        <f>128-32+326+149</f>
        <v>571</v>
      </c>
      <c r="J15" s="955">
        <v>0</v>
      </c>
      <c r="K15" s="959">
        <f t="shared" si="6"/>
        <v>571</v>
      </c>
      <c r="L15" s="947">
        <f t="shared" ref="L15:L33" si="7">K15/$F15</f>
        <v>8.6515151515151523</v>
      </c>
      <c r="M15" s="955">
        <v>0</v>
      </c>
      <c r="N15" s="959">
        <f t="shared" si="0"/>
        <v>571</v>
      </c>
      <c r="O15" s="947">
        <f t="shared" ref="O15:O33" si="8">N15/$F15</f>
        <v>8.6515151515151523</v>
      </c>
      <c r="P15" s="955">
        <v>0</v>
      </c>
      <c r="Q15" s="959">
        <f t="shared" si="1"/>
        <v>571</v>
      </c>
      <c r="R15" s="947">
        <f t="shared" ref="R15:R33" si="9">Q15/$F15</f>
        <v>8.6515151515151523</v>
      </c>
      <c r="S15" s="955">
        <v>128</v>
      </c>
      <c r="T15" s="959">
        <f t="shared" si="2"/>
        <v>443</v>
      </c>
      <c r="U15" s="947">
        <f t="shared" ref="U15:U33" si="10">T15/$F15</f>
        <v>6.7121212121212119</v>
      </c>
      <c r="V15" s="955">
        <v>144</v>
      </c>
      <c r="W15" s="959">
        <f t="shared" si="3"/>
        <v>299</v>
      </c>
      <c r="X15" s="947">
        <f t="shared" ref="X15:X33" si="11">W15/$F15</f>
        <v>4.5303030303030303</v>
      </c>
      <c r="Y15" s="955">
        <v>160</v>
      </c>
      <c r="Z15" s="959">
        <f t="shared" si="4"/>
        <v>139</v>
      </c>
      <c r="AA15" s="947">
        <f t="shared" ref="AA15:AA33" si="12">Z15/$F15</f>
        <v>2.106060606060606</v>
      </c>
      <c r="AB15" s="955">
        <v>160</v>
      </c>
      <c r="AC15" s="959">
        <f t="shared" si="5"/>
        <v>-21</v>
      </c>
      <c r="AD15" s="947">
        <f t="shared" ref="AD15:AD33" si="13">AC15/$F15</f>
        <v>-0.31818181818181818</v>
      </c>
    </row>
    <row r="16" spans="1:30" s="87" customFormat="1" ht="30.75" customHeight="1" thickBot="1">
      <c r="A16" s="1206"/>
      <c r="B16" s="925"/>
      <c r="C16" s="922" t="s">
        <v>262</v>
      </c>
      <c r="D16" s="1228"/>
      <c r="E16" s="922">
        <v>6</v>
      </c>
      <c r="F16" s="926">
        <v>86</v>
      </c>
      <c r="G16" s="924" t="s">
        <v>261</v>
      </c>
      <c r="H16" s="974" t="s">
        <v>323</v>
      </c>
      <c r="I16" s="966">
        <v>216</v>
      </c>
      <c r="J16" s="948">
        <v>0</v>
      </c>
      <c r="K16" s="959">
        <f t="shared" si="6"/>
        <v>216</v>
      </c>
      <c r="L16" s="950">
        <f t="shared" si="7"/>
        <v>2.5116279069767442</v>
      </c>
      <c r="M16" s="948">
        <v>0</v>
      </c>
      <c r="N16" s="960">
        <f t="shared" si="0"/>
        <v>216</v>
      </c>
      <c r="O16" s="950">
        <f t="shared" si="8"/>
        <v>2.5116279069767442</v>
      </c>
      <c r="P16" s="948">
        <v>0</v>
      </c>
      <c r="Q16" s="960">
        <f t="shared" si="1"/>
        <v>216</v>
      </c>
      <c r="R16" s="950">
        <f t="shared" si="9"/>
        <v>2.5116279069767442</v>
      </c>
      <c r="S16" s="948">
        <v>0</v>
      </c>
      <c r="T16" s="960">
        <f t="shared" si="2"/>
        <v>216</v>
      </c>
      <c r="U16" s="950">
        <f t="shared" si="10"/>
        <v>2.5116279069767442</v>
      </c>
      <c r="V16" s="948">
        <v>216</v>
      </c>
      <c r="W16" s="960">
        <f t="shared" si="3"/>
        <v>0</v>
      </c>
      <c r="X16" s="950">
        <f t="shared" si="11"/>
        <v>0</v>
      </c>
      <c r="Y16" s="948">
        <v>216</v>
      </c>
      <c r="Z16" s="960">
        <f t="shared" si="4"/>
        <v>-216</v>
      </c>
      <c r="AA16" s="950">
        <f t="shared" si="12"/>
        <v>-2.5116279069767442</v>
      </c>
      <c r="AB16" s="948">
        <v>216</v>
      </c>
      <c r="AC16" s="960">
        <f t="shared" si="5"/>
        <v>-432</v>
      </c>
      <c r="AD16" s="950">
        <f t="shared" si="13"/>
        <v>-5.0232558139534884</v>
      </c>
    </row>
    <row r="17" spans="1:30" ht="38.25" thickBot="1">
      <c r="A17" s="1206"/>
      <c r="B17" s="1202" t="s">
        <v>513</v>
      </c>
      <c r="C17" s="904" t="s">
        <v>75</v>
      </c>
      <c r="D17" s="1179" t="s">
        <v>471</v>
      </c>
      <c r="E17" s="1170">
        <v>576</v>
      </c>
      <c r="F17" s="897">
        <v>75</v>
      </c>
      <c r="G17" s="644" t="s">
        <v>405</v>
      </c>
      <c r="H17" s="1162" t="s">
        <v>322</v>
      </c>
      <c r="I17" s="966">
        <v>510</v>
      </c>
      <c r="J17" s="948">
        <v>0</v>
      </c>
      <c r="K17" s="959">
        <f t="shared" si="6"/>
        <v>510</v>
      </c>
      <c r="L17" s="950">
        <f t="shared" si="7"/>
        <v>6.8</v>
      </c>
      <c r="M17" s="948">
        <v>0</v>
      </c>
      <c r="N17" s="960">
        <f t="shared" si="0"/>
        <v>510</v>
      </c>
      <c r="O17" s="950">
        <f t="shared" si="8"/>
        <v>6.8</v>
      </c>
      <c r="P17" s="948">
        <v>0</v>
      </c>
      <c r="Q17" s="960">
        <f t="shared" si="1"/>
        <v>510</v>
      </c>
      <c r="R17" s="950">
        <f t="shared" si="9"/>
        <v>6.8</v>
      </c>
      <c r="S17" s="948">
        <v>123</v>
      </c>
      <c r="T17" s="960">
        <f t="shared" si="2"/>
        <v>387</v>
      </c>
      <c r="U17" s="950">
        <f t="shared" si="10"/>
        <v>5.16</v>
      </c>
      <c r="V17" s="948">
        <v>123</v>
      </c>
      <c r="W17" s="960">
        <f t="shared" si="3"/>
        <v>264</v>
      </c>
      <c r="X17" s="950">
        <f t="shared" si="11"/>
        <v>3.52</v>
      </c>
      <c r="Y17" s="948">
        <v>123</v>
      </c>
      <c r="Z17" s="960">
        <f t="shared" si="4"/>
        <v>141</v>
      </c>
      <c r="AA17" s="950">
        <f t="shared" si="12"/>
        <v>1.88</v>
      </c>
      <c r="AB17" s="948">
        <v>123</v>
      </c>
      <c r="AC17" s="960">
        <f t="shared" si="5"/>
        <v>18</v>
      </c>
      <c r="AD17" s="950">
        <f t="shared" si="13"/>
        <v>0.24</v>
      </c>
    </row>
    <row r="18" spans="1:30" ht="38.25" thickBot="1">
      <c r="A18" s="1206"/>
      <c r="B18" s="1202"/>
      <c r="C18" s="904" t="s">
        <v>76</v>
      </c>
      <c r="D18" s="1180"/>
      <c r="E18" s="1170"/>
      <c r="F18" s="897">
        <v>75</v>
      </c>
      <c r="G18" s="644" t="s">
        <v>406</v>
      </c>
      <c r="H18" s="1162"/>
      <c r="I18" s="966">
        <v>510</v>
      </c>
      <c r="J18" s="948">
        <v>0</v>
      </c>
      <c r="K18" s="959">
        <f t="shared" si="6"/>
        <v>510</v>
      </c>
      <c r="L18" s="950">
        <f t="shared" si="7"/>
        <v>6.8</v>
      </c>
      <c r="M18" s="948">
        <v>0</v>
      </c>
      <c r="N18" s="960">
        <f t="shared" si="0"/>
        <v>510</v>
      </c>
      <c r="O18" s="950">
        <f t="shared" si="8"/>
        <v>6.8</v>
      </c>
      <c r="P18" s="948">
        <v>0</v>
      </c>
      <c r="Q18" s="960">
        <f t="shared" si="1"/>
        <v>510</v>
      </c>
      <c r="R18" s="950">
        <f t="shared" si="9"/>
        <v>6.8</v>
      </c>
      <c r="S18" s="948">
        <f>S17</f>
        <v>123</v>
      </c>
      <c r="T18" s="960">
        <f t="shared" si="2"/>
        <v>387</v>
      </c>
      <c r="U18" s="950">
        <f t="shared" si="10"/>
        <v>5.16</v>
      </c>
      <c r="V18" s="948">
        <f>V17</f>
        <v>123</v>
      </c>
      <c r="W18" s="960">
        <f t="shared" si="3"/>
        <v>264</v>
      </c>
      <c r="X18" s="950">
        <f t="shared" si="11"/>
        <v>3.52</v>
      </c>
      <c r="Y18" s="948">
        <f>Y17</f>
        <v>123</v>
      </c>
      <c r="Z18" s="960">
        <f t="shared" si="4"/>
        <v>141</v>
      </c>
      <c r="AA18" s="950">
        <f t="shared" si="12"/>
        <v>1.88</v>
      </c>
      <c r="AB18" s="948">
        <f>AB17</f>
        <v>123</v>
      </c>
      <c r="AC18" s="960">
        <f t="shared" si="5"/>
        <v>18</v>
      </c>
      <c r="AD18" s="950">
        <f t="shared" si="13"/>
        <v>0.24</v>
      </c>
    </row>
    <row r="19" spans="1:30" ht="36" customHeight="1" thickBot="1">
      <c r="A19" s="1206"/>
      <c r="B19" s="1202" t="s">
        <v>513</v>
      </c>
      <c r="C19" s="904" t="s">
        <v>70</v>
      </c>
      <c r="D19" s="1180"/>
      <c r="E19" s="1170">
        <v>800</v>
      </c>
      <c r="F19" s="897">
        <v>73</v>
      </c>
      <c r="G19" s="644" t="s">
        <v>402</v>
      </c>
      <c r="H19" s="1162" t="s">
        <v>319</v>
      </c>
      <c r="I19" s="966">
        <v>528</v>
      </c>
      <c r="J19" s="948">
        <v>0</v>
      </c>
      <c r="K19" s="959">
        <f t="shared" si="6"/>
        <v>528</v>
      </c>
      <c r="L19" s="950">
        <f t="shared" si="7"/>
        <v>7.2328767123287667</v>
      </c>
      <c r="M19" s="948">
        <v>0</v>
      </c>
      <c r="N19" s="960">
        <f t="shared" si="0"/>
        <v>528</v>
      </c>
      <c r="O19" s="950">
        <f t="shared" si="8"/>
        <v>7.2328767123287667</v>
      </c>
      <c r="P19" s="948">
        <v>0</v>
      </c>
      <c r="Q19" s="960">
        <f t="shared" si="1"/>
        <v>528</v>
      </c>
      <c r="R19" s="950">
        <f t="shared" si="9"/>
        <v>7.2328767123287667</v>
      </c>
      <c r="S19" s="948">
        <v>338</v>
      </c>
      <c r="T19" s="960">
        <f t="shared" si="2"/>
        <v>190</v>
      </c>
      <c r="U19" s="950">
        <f t="shared" si="10"/>
        <v>2.6027397260273974</v>
      </c>
      <c r="V19" s="948">
        <v>338</v>
      </c>
      <c r="W19" s="960">
        <f t="shared" si="3"/>
        <v>-148</v>
      </c>
      <c r="X19" s="950">
        <f t="shared" si="11"/>
        <v>-2.0273972602739727</v>
      </c>
      <c r="Y19" s="948">
        <v>338</v>
      </c>
      <c r="Z19" s="960">
        <f t="shared" si="4"/>
        <v>-486</v>
      </c>
      <c r="AA19" s="950">
        <f t="shared" si="12"/>
        <v>-6.6575342465753424</v>
      </c>
      <c r="AB19" s="948">
        <v>338</v>
      </c>
      <c r="AC19" s="960">
        <f t="shared" si="5"/>
        <v>-824</v>
      </c>
      <c r="AD19" s="950">
        <f t="shared" si="13"/>
        <v>-11.287671232876713</v>
      </c>
    </row>
    <row r="20" spans="1:30" ht="38.25" thickBot="1">
      <c r="A20" s="1206"/>
      <c r="B20" s="1202"/>
      <c r="C20" s="904" t="s">
        <v>71</v>
      </c>
      <c r="D20" s="1181"/>
      <c r="E20" s="1170"/>
      <c r="F20" s="897">
        <v>73</v>
      </c>
      <c r="G20" s="644" t="s">
        <v>403</v>
      </c>
      <c r="H20" s="1162"/>
      <c r="I20" s="966">
        <v>528</v>
      </c>
      <c r="J20" s="948">
        <v>0</v>
      </c>
      <c r="K20" s="959">
        <f t="shared" si="6"/>
        <v>528</v>
      </c>
      <c r="L20" s="950">
        <f t="shared" si="7"/>
        <v>7.2328767123287667</v>
      </c>
      <c r="M20" s="948">
        <v>0</v>
      </c>
      <c r="N20" s="960">
        <f t="shared" si="0"/>
        <v>528</v>
      </c>
      <c r="O20" s="950">
        <f t="shared" si="8"/>
        <v>7.2328767123287667</v>
      </c>
      <c r="P20" s="948">
        <v>0</v>
      </c>
      <c r="Q20" s="960">
        <f t="shared" si="1"/>
        <v>528</v>
      </c>
      <c r="R20" s="950">
        <f t="shared" si="9"/>
        <v>7.2328767123287667</v>
      </c>
      <c r="S20" s="948">
        <v>338</v>
      </c>
      <c r="T20" s="960">
        <f t="shared" si="2"/>
        <v>190</v>
      </c>
      <c r="U20" s="950">
        <f t="shared" si="10"/>
        <v>2.6027397260273974</v>
      </c>
      <c r="V20" s="948">
        <v>338</v>
      </c>
      <c r="W20" s="960">
        <f t="shared" si="3"/>
        <v>-148</v>
      </c>
      <c r="X20" s="950">
        <f t="shared" si="11"/>
        <v>-2.0273972602739727</v>
      </c>
      <c r="Y20" s="948">
        <v>338</v>
      </c>
      <c r="Z20" s="960">
        <f t="shared" si="4"/>
        <v>-486</v>
      </c>
      <c r="AA20" s="950">
        <f t="shared" si="12"/>
        <v>-6.6575342465753424</v>
      </c>
      <c r="AB20" s="948">
        <v>338</v>
      </c>
      <c r="AC20" s="960">
        <f t="shared" si="5"/>
        <v>-824</v>
      </c>
      <c r="AD20" s="950">
        <f t="shared" si="13"/>
        <v>-11.287671232876713</v>
      </c>
    </row>
    <row r="21" spans="1:30" ht="28.5" customHeight="1" thickBot="1">
      <c r="A21" s="1206"/>
      <c r="B21" s="1202" t="s">
        <v>506</v>
      </c>
      <c r="C21" s="904" t="s">
        <v>84</v>
      </c>
      <c r="D21" s="1179" t="s">
        <v>577</v>
      </c>
      <c r="E21" s="904">
        <v>935</v>
      </c>
      <c r="F21" s="913">
        <v>138</v>
      </c>
      <c r="G21" s="637" t="s">
        <v>400</v>
      </c>
      <c r="H21" s="1162" t="s">
        <v>328</v>
      </c>
      <c r="I21" s="966">
        <v>82</v>
      </c>
      <c r="J21" s="948">
        <v>0</v>
      </c>
      <c r="K21" s="959">
        <f t="shared" si="6"/>
        <v>82</v>
      </c>
      <c r="L21" s="950">
        <f t="shared" si="7"/>
        <v>0.59420289855072461</v>
      </c>
      <c r="M21" s="948">
        <v>0</v>
      </c>
      <c r="N21" s="960">
        <f t="shared" si="0"/>
        <v>82</v>
      </c>
      <c r="O21" s="950">
        <f t="shared" si="8"/>
        <v>0.59420289855072461</v>
      </c>
      <c r="P21" s="948">
        <v>0</v>
      </c>
      <c r="Q21" s="960">
        <f t="shared" si="1"/>
        <v>82</v>
      </c>
      <c r="R21" s="950">
        <f t="shared" si="9"/>
        <v>0.59420289855072461</v>
      </c>
      <c r="S21" s="948">
        <v>108</v>
      </c>
      <c r="T21" s="960">
        <f t="shared" si="2"/>
        <v>-26</v>
      </c>
      <c r="U21" s="950">
        <f t="shared" si="10"/>
        <v>-0.18840579710144928</v>
      </c>
      <c r="V21" s="948">
        <v>108</v>
      </c>
      <c r="W21" s="960">
        <f t="shared" si="3"/>
        <v>-134</v>
      </c>
      <c r="X21" s="950">
        <f t="shared" si="11"/>
        <v>-0.97101449275362317</v>
      </c>
      <c r="Y21" s="948">
        <v>108</v>
      </c>
      <c r="Z21" s="960">
        <f t="shared" si="4"/>
        <v>-242</v>
      </c>
      <c r="AA21" s="950">
        <f t="shared" si="12"/>
        <v>-1.7536231884057971</v>
      </c>
      <c r="AB21" s="948">
        <v>108</v>
      </c>
      <c r="AC21" s="960">
        <f t="shared" si="5"/>
        <v>-350</v>
      </c>
      <c r="AD21" s="950">
        <f t="shared" si="13"/>
        <v>-2.5362318840579712</v>
      </c>
    </row>
    <row r="22" spans="1:30" ht="38.25" thickBot="1">
      <c r="A22" s="1207"/>
      <c r="B22" s="1237"/>
      <c r="C22" s="899" t="s">
        <v>85</v>
      </c>
      <c r="D22" s="1194"/>
      <c r="E22" s="899">
        <v>935</v>
      </c>
      <c r="F22" s="920">
        <v>138</v>
      </c>
      <c r="G22" s="921" t="s">
        <v>401</v>
      </c>
      <c r="H22" s="1182"/>
      <c r="I22" s="967">
        <v>100</v>
      </c>
      <c r="J22" s="952">
        <v>0</v>
      </c>
      <c r="K22" s="959">
        <f t="shared" si="6"/>
        <v>100</v>
      </c>
      <c r="L22" s="954">
        <f t="shared" si="7"/>
        <v>0.72463768115942029</v>
      </c>
      <c r="M22" s="952">
        <v>0</v>
      </c>
      <c r="N22" s="961">
        <f t="shared" si="0"/>
        <v>100</v>
      </c>
      <c r="O22" s="954">
        <f t="shared" si="8"/>
        <v>0.72463768115942029</v>
      </c>
      <c r="P22" s="952">
        <v>0</v>
      </c>
      <c r="Q22" s="961">
        <f t="shared" si="1"/>
        <v>100</v>
      </c>
      <c r="R22" s="954">
        <f t="shared" si="9"/>
        <v>0.72463768115942029</v>
      </c>
      <c r="S22" s="952">
        <v>108</v>
      </c>
      <c r="T22" s="961">
        <f t="shared" si="2"/>
        <v>-8</v>
      </c>
      <c r="U22" s="954">
        <f t="shared" si="10"/>
        <v>-5.7971014492753624E-2</v>
      </c>
      <c r="V22" s="952">
        <v>108</v>
      </c>
      <c r="W22" s="961">
        <f t="shared" si="3"/>
        <v>-116</v>
      </c>
      <c r="X22" s="954">
        <f t="shared" si="11"/>
        <v>-0.84057971014492749</v>
      </c>
      <c r="Y22" s="952">
        <v>108</v>
      </c>
      <c r="Z22" s="961">
        <f t="shared" si="4"/>
        <v>-224</v>
      </c>
      <c r="AA22" s="954">
        <f t="shared" si="12"/>
        <v>-1.6231884057971016</v>
      </c>
      <c r="AB22" s="952">
        <v>108</v>
      </c>
      <c r="AC22" s="961">
        <f t="shared" si="5"/>
        <v>-332</v>
      </c>
      <c r="AD22" s="954">
        <f t="shared" si="13"/>
        <v>-2.4057971014492754</v>
      </c>
    </row>
    <row r="23" spans="1:30" s="87" customFormat="1" ht="37.5" customHeight="1" thickBot="1">
      <c r="A23" s="1205" t="s">
        <v>364</v>
      </c>
      <c r="B23" s="935" t="s">
        <v>568</v>
      </c>
      <c r="C23" s="927" t="s">
        <v>275</v>
      </c>
      <c r="D23" s="928" t="s">
        <v>576</v>
      </c>
      <c r="E23" s="928">
        <v>375</v>
      </c>
      <c r="F23" s="936">
        <v>120</v>
      </c>
      <c r="G23" s="930" t="s">
        <v>610</v>
      </c>
      <c r="H23" s="973" t="s">
        <v>558</v>
      </c>
      <c r="I23" s="965">
        <f>1353+297</f>
        <v>1650</v>
      </c>
      <c r="J23" s="957">
        <v>0</v>
      </c>
      <c r="K23" s="959">
        <f t="shared" si="6"/>
        <v>1650</v>
      </c>
      <c r="L23" s="947">
        <f t="shared" si="7"/>
        <v>13.75</v>
      </c>
      <c r="M23" s="957">
        <v>0</v>
      </c>
      <c r="N23" s="959">
        <f t="shared" si="0"/>
        <v>1650</v>
      </c>
      <c r="O23" s="947">
        <f t="shared" si="8"/>
        <v>13.75</v>
      </c>
      <c r="P23" s="957">
        <v>0</v>
      </c>
      <c r="Q23" s="959">
        <f t="shared" si="1"/>
        <v>1650</v>
      </c>
      <c r="R23" s="947">
        <f t="shared" si="9"/>
        <v>13.75</v>
      </c>
      <c r="S23" s="957">
        <f>88+33+154+22</f>
        <v>297</v>
      </c>
      <c r="T23" s="959">
        <f t="shared" si="2"/>
        <v>1353</v>
      </c>
      <c r="U23" s="947">
        <f t="shared" si="10"/>
        <v>11.275</v>
      </c>
      <c r="V23" s="957">
        <f>11+121+22+165+33</f>
        <v>352</v>
      </c>
      <c r="W23" s="959">
        <f t="shared" si="3"/>
        <v>1001</v>
      </c>
      <c r="X23" s="947">
        <f t="shared" si="11"/>
        <v>8.3416666666666668</v>
      </c>
      <c r="Y23" s="957">
        <f>11+132+22+44+33</f>
        <v>242</v>
      </c>
      <c r="Z23" s="959">
        <f t="shared" si="4"/>
        <v>759</v>
      </c>
      <c r="AA23" s="947">
        <f t="shared" si="12"/>
        <v>6.3250000000000002</v>
      </c>
      <c r="AB23" s="957">
        <f>11+132+22+44+33</f>
        <v>242</v>
      </c>
      <c r="AC23" s="959">
        <f t="shared" si="5"/>
        <v>517</v>
      </c>
      <c r="AD23" s="947">
        <f t="shared" si="13"/>
        <v>4.3083333333333336</v>
      </c>
    </row>
    <row r="24" spans="1:30" ht="38.25" thickBot="1">
      <c r="A24" s="1206"/>
      <c r="B24" s="937" t="s">
        <v>540</v>
      </c>
      <c r="C24" s="940" t="s">
        <v>56</v>
      </c>
      <c r="D24" s="990" t="s">
        <v>471</v>
      </c>
      <c r="E24" s="940">
        <v>1536</v>
      </c>
      <c r="F24" s="897">
        <v>80</v>
      </c>
      <c r="G24" s="644" t="s">
        <v>411</v>
      </c>
      <c r="H24" s="975" t="s">
        <v>310</v>
      </c>
      <c r="I24" s="966">
        <v>264</v>
      </c>
      <c r="J24" s="948">
        <v>0</v>
      </c>
      <c r="K24" s="959">
        <f t="shared" si="6"/>
        <v>264</v>
      </c>
      <c r="L24" s="950">
        <f t="shared" si="7"/>
        <v>3.3</v>
      </c>
      <c r="M24" s="948">
        <v>0</v>
      </c>
      <c r="N24" s="960">
        <f t="shared" si="0"/>
        <v>264</v>
      </c>
      <c r="O24" s="950">
        <f t="shared" si="8"/>
        <v>3.3</v>
      </c>
      <c r="P24" s="948">
        <v>0</v>
      </c>
      <c r="Q24" s="960">
        <f t="shared" si="1"/>
        <v>264</v>
      </c>
      <c r="R24" s="950">
        <f t="shared" si="9"/>
        <v>3.3</v>
      </c>
      <c r="S24" s="948">
        <v>90</v>
      </c>
      <c r="T24" s="960">
        <f t="shared" si="2"/>
        <v>174</v>
      </c>
      <c r="U24" s="950">
        <f t="shared" si="10"/>
        <v>2.1749999999999998</v>
      </c>
      <c r="V24" s="948">
        <v>90</v>
      </c>
      <c r="W24" s="960">
        <f t="shared" si="3"/>
        <v>84</v>
      </c>
      <c r="X24" s="950">
        <f t="shared" si="11"/>
        <v>1.05</v>
      </c>
      <c r="Y24" s="948">
        <v>90</v>
      </c>
      <c r="Z24" s="960">
        <f t="shared" si="4"/>
        <v>-6</v>
      </c>
      <c r="AA24" s="950">
        <f t="shared" si="12"/>
        <v>-7.4999999999999997E-2</v>
      </c>
      <c r="AB24" s="948">
        <v>90</v>
      </c>
      <c r="AC24" s="960">
        <f t="shared" si="5"/>
        <v>-96</v>
      </c>
      <c r="AD24" s="950">
        <f t="shared" si="13"/>
        <v>-1.2</v>
      </c>
    </row>
    <row r="25" spans="1:30" ht="38.25" thickBot="1">
      <c r="A25" s="1206"/>
      <c r="B25" s="937" t="s">
        <v>506</v>
      </c>
      <c r="C25" s="942" t="s">
        <v>61</v>
      </c>
      <c r="D25" s="1203" t="s">
        <v>577</v>
      </c>
      <c r="E25" s="942">
        <v>960</v>
      </c>
      <c r="F25" s="897">
        <v>136</v>
      </c>
      <c r="G25" s="644" t="s">
        <v>412</v>
      </c>
      <c r="H25" s="975" t="s">
        <v>312</v>
      </c>
      <c r="I25" s="966">
        <v>200</v>
      </c>
      <c r="J25" s="948">
        <v>0</v>
      </c>
      <c r="K25" s="959">
        <f t="shared" si="6"/>
        <v>200</v>
      </c>
      <c r="L25" s="950">
        <f t="shared" si="7"/>
        <v>1.4705882352941178</v>
      </c>
      <c r="M25" s="948">
        <v>0</v>
      </c>
      <c r="N25" s="960">
        <f t="shared" si="0"/>
        <v>200</v>
      </c>
      <c r="O25" s="950">
        <f t="shared" si="8"/>
        <v>1.4705882352941178</v>
      </c>
      <c r="P25" s="948">
        <v>0</v>
      </c>
      <c r="Q25" s="960">
        <f t="shared" si="1"/>
        <v>200</v>
      </c>
      <c r="R25" s="950">
        <f t="shared" si="9"/>
        <v>1.4705882352941178</v>
      </c>
      <c r="S25" s="948">
        <v>80</v>
      </c>
      <c r="T25" s="960">
        <f t="shared" si="2"/>
        <v>120</v>
      </c>
      <c r="U25" s="950">
        <f t="shared" si="10"/>
        <v>0.88235294117647056</v>
      </c>
      <c r="V25" s="948">
        <v>80</v>
      </c>
      <c r="W25" s="960">
        <f t="shared" si="3"/>
        <v>40</v>
      </c>
      <c r="X25" s="950">
        <f t="shared" si="11"/>
        <v>0.29411764705882354</v>
      </c>
      <c r="Y25" s="948">
        <v>80</v>
      </c>
      <c r="Z25" s="960">
        <f t="shared" si="4"/>
        <v>-40</v>
      </c>
      <c r="AA25" s="950">
        <f t="shared" si="12"/>
        <v>-0.29411764705882354</v>
      </c>
      <c r="AB25" s="948">
        <v>80</v>
      </c>
      <c r="AC25" s="960">
        <f t="shared" si="5"/>
        <v>-120</v>
      </c>
      <c r="AD25" s="950">
        <f t="shared" si="13"/>
        <v>-0.88235294117647056</v>
      </c>
    </row>
    <row r="26" spans="1:30" ht="38.25" thickBot="1">
      <c r="A26" s="1206"/>
      <c r="B26" s="1202" t="s">
        <v>507</v>
      </c>
      <c r="C26" s="942" t="s">
        <v>51</v>
      </c>
      <c r="D26" s="1200"/>
      <c r="E26" s="942">
        <v>750</v>
      </c>
      <c r="F26" s="897">
        <v>76</v>
      </c>
      <c r="G26" s="644" t="s">
        <v>407</v>
      </c>
      <c r="H26" s="1162" t="s">
        <v>308</v>
      </c>
      <c r="I26" s="966">
        <v>1704</v>
      </c>
      <c r="J26" s="948">
        <v>0</v>
      </c>
      <c r="K26" s="959">
        <f t="shared" si="6"/>
        <v>1704</v>
      </c>
      <c r="L26" s="950">
        <f t="shared" si="7"/>
        <v>22.421052631578949</v>
      </c>
      <c r="M26" s="948">
        <v>0</v>
      </c>
      <c r="N26" s="960">
        <f t="shared" si="0"/>
        <v>1704</v>
      </c>
      <c r="O26" s="950">
        <f t="shared" si="8"/>
        <v>22.421052631578949</v>
      </c>
      <c r="P26" s="948">
        <v>0</v>
      </c>
      <c r="Q26" s="960">
        <f t="shared" si="1"/>
        <v>1704</v>
      </c>
      <c r="R26" s="950">
        <f t="shared" si="9"/>
        <v>22.421052631578949</v>
      </c>
      <c r="S26" s="948">
        <v>300</v>
      </c>
      <c r="T26" s="960">
        <f t="shared" si="2"/>
        <v>1404</v>
      </c>
      <c r="U26" s="950">
        <f t="shared" si="10"/>
        <v>18.473684210526315</v>
      </c>
      <c r="V26" s="948">
        <v>300</v>
      </c>
      <c r="W26" s="960">
        <f t="shared" si="3"/>
        <v>1104</v>
      </c>
      <c r="X26" s="950">
        <f t="shared" si="11"/>
        <v>14.526315789473685</v>
      </c>
      <c r="Y26" s="948">
        <v>300</v>
      </c>
      <c r="Z26" s="960">
        <f t="shared" si="4"/>
        <v>804</v>
      </c>
      <c r="AA26" s="950">
        <f t="shared" si="12"/>
        <v>10.578947368421053</v>
      </c>
      <c r="AB26" s="948">
        <v>300</v>
      </c>
      <c r="AC26" s="960">
        <f t="shared" si="5"/>
        <v>504</v>
      </c>
      <c r="AD26" s="950">
        <f t="shared" si="13"/>
        <v>6.6315789473684212</v>
      </c>
    </row>
    <row r="27" spans="1:30" ht="38.25" thickBot="1">
      <c r="A27" s="1206"/>
      <c r="B27" s="1239"/>
      <c r="C27" s="942" t="s">
        <v>52</v>
      </c>
      <c r="D27" s="1204"/>
      <c r="E27" s="942">
        <v>750</v>
      </c>
      <c r="F27" s="897">
        <v>76</v>
      </c>
      <c r="G27" s="644" t="s">
        <v>408</v>
      </c>
      <c r="H27" s="1196"/>
      <c r="I27" s="966">
        <v>920</v>
      </c>
      <c r="J27" s="948">
        <v>0</v>
      </c>
      <c r="K27" s="959">
        <f t="shared" si="6"/>
        <v>920</v>
      </c>
      <c r="L27" s="950">
        <f t="shared" si="7"/>
        <v>12.105263157894736</v>
      </c>
      <c r="M27" s="948">
        <v>0</v>
      </c>
      <c r="N27" s="960">
        <f t="shared" si="0"/>
        <v>920</v>
      </c>
      <c r="O27" s="950">
        <f t="shared" si="8"/>
        <v>12.105263157894736</v>
      </c>
      <c r="P27" s="948">
        <v>0</v>
      </c>
      <c r="Q27" s="960">
        <f t="shared" si="1"/>
        <v>920</v>
      </c>
      <c r="R27" s="950">
        <f t="shared" si="9"/>
        <v>12.105263157894736</v>
      </c>
      <c r="S27" s="948">
        <v>300</v>
      </c>
      <c r="T27" s="960">
        <f t="shared" si="2"/>
        <v>620</v>
      </c>
      <c r="U27" s="950">
        <f t="shared" si="10"/>
        <v>8.1578947368421044</v>
      </c>
      <c r="V27" s="948">
        <v>300</v>
      </c>
      <c r="W27" s="960">
        <f t="shared" si="3"/>
        <v>320</v>
      </c>
      <c r="X27" s="950">
        <f t="shared" si="11"/>
        <v>4.2105263157894735</v>
      </c>
      <c r="Y27" s="948">
        <v>300</v>
      </c>
      <c r="Z27" s="960">
        <f t="shared" si="4"/>
        <v>20</v>
      </c>
      <c r="AA27" s="950">
        <f t="shared" si="12"/>
        <v>0.26315789473684209</v>
      </c>
      <c r="AB27" s="948">
        <v>300</v>
      </c>
      <c r="AC27" s="960">
        <f t="shared" si="5"/>
        <v>-280</v>
      </c>
      <c r="AD27" s="950">
        <f t="shared" si="13"/>
        <v>-3.6842105263157894</v>
      </c>
    </row>
    <row r="28" spans="1:30" ht="38.25" thickBot="1">
      <c r="A28" s="1206"/>
      <c r="B28" s="1202" t="s">
        <v>540</v>
      </c>
      <c r="C28" s="940" t="s">
        <v>53</v>
      </c>
      <c r="D28" s="1170" t="s">
        <v>471</v>
      </c>
      <c r="E28" s="1170">
        <v>1504</v>
      </c>
      <c r="F28" s="897">
        <v>92</v>
      </c>
      <c r="G28" s="644" t="s">
        <v>10</v>
      </c>
      <c r="H28" s="1162" t="s">
        <v>309</v>
      </c>
      <c r="I28" s="966">
        <v>905</v>
      </c>
      <c r="J28" s="948">
        <v>0</v>
      </c>
      <c r="K28" s="959">
        <f t="shared" si="6"/>
        <v>905</v>
      </c>
      <c r="L28" s="950">
        <f t="shared" si="7"/>
        <v>9.8369565217391308</v>
      </c>
      <c r="M28" s="948">
        <v>0</v>
      </c>
      <c r="N28" s="960">
        <f t="shared" si="0"/>
        <v>905</v>
      </c>
      <c r="O28" s="950">
        <f t="shared" si="8"/>
        <v>9.8369565217391308</v>
      </c>
      <c r="P28" s="948">
        <v>0</v>
      </c>
      <c r="Q28" s="960">
        <f t="shared" si="1"/>
        <v>905</v>
      </c>
      <c r="R28" s="950">
        <f t="shared" si="9"/>
        <v>9.8369565217391308</v>
      </c>
      <c r="S28" s="948">
        <v>360</v>
      </c>
      <c r="T28" s="960">
        <f t="shared" si="2"/>
        <v>545</v>
      </c>
      <c r="U28" s="950">
        <f t="shared" si="10"/>
        <v>5.9239130434782608</v>
      </c>
      <c r="V28" s="948">
        <v>360</v>
      </c>
      <c r="W28" s="960">
        <f t="shared" si="3"/>
        <v>185</v>
      </c>
      <c r="X28" s="950">
        <f t="shared" si="11"/>
        <v>2.0108695652173911</v>
      </c>
      <c r="Y28" s="948">
        <v>360</v>
      </c>
      <c r="Z28" s="960">
        <f t="shared" si="4"/>
        <v>-175</v>
      </c>
      <c r="AA28" s="950">
        <f t="shared" si="12"/>
        <v>-1.9021739130434783</v>
      </c>
      <c r="AB28" s="948">
        <v>360</v>
      </c>
      <c r="AC28" s="960">
        <f t="shared" si="5"/>
        <v>-535</v>
      </c>
      <c r="AD28" s="950">
        <f t="shared" si="13"/>
        <v>-5.8152173913043477</v>
      </c>
    </row>
    <row r="29" spans="1:30" ht="38.25" thickBot="1">
      <c r="A29" s="1206"/>
      <c r="B29" s="1202"/>
      <c r="C29" s="940" t="s">
        <v>54</v>
      </c>
      <c r="D29" s="1170"/>
      <c r="E29" s="1170"/>
      <c r="F29" s="897">
        <v>92</v>
      </c>
      <c r="G29" s="644" t="s">
        <v>11</v>
      </c>
      <c r="H29" s="1162"/>
      <c r="I29" s="966">
        <v>905</v>
      </c>
      <c r="J29" s="948">
        <v>0</v>
      </c>
      <c r="K29" s="959">
        <f t="shared" si="6"/>
        <v>905</v>
      </c>
      <c r="L29" s="950">
        <f t="shared" si="7"/>
        <v>9.8369565217391308</v>
      </c>
      <c r="M29" s="948">
        <v>0</v>
      </c>
      <c r="N29" s="960">
        <f t="shared" si="0"/>
        <v>905</v>
      </c>
      <c r="O29" s="950">
        <f t="shared" si="8"/>
        <v>9.8369565217391308</v>
      </c>
      <c r="P29" s="948">
        <v>0</v>
      </c>
      <c r="Q29" s="960">
        <f t="shared" si="1"/>
        <v>905</v>
      </c>
      <c r="R29" s="950">
        <f t="shared" si="9"/>
        <v>9.8369565217391308</v>
      </c>
      <c r="S29" s="948">
        <v>360</v>
      </c>
      <c r="T29" s="960">
        <f t="shared" si="2"/>
        <v>545</v>
      </c>
      <c r="U29" s="950">
        <f t="shared" si="10"/>
        <v>5.9239130434782608</v>
      </c>
      <c r="V29" s="948">
        <v>360</v>
      </c>
      <c r="W29" s="960">
        <f t="shared" si="3"/>
        <v>185</v>
      </c>
      <c r="X29" s="950">
        <f t="shared" si="11"/>
        <v>2.0108695652173911</v>
      </c>
      <c r="Y29" s="948">
        <v>360</v>
      </c>
      <c r="Z29" s="960">
        <f t="shared" si="4"/>
        <v>-175</v>
      </c>
      <c r="AA29" s="950">
        <f t="shared" si="12"/>
        <v>-1.9021739130434783</v>
      </c>
      <c r="AB29" s="948">
        <v>360</v>
      </c>
      <c r="AC29" s="960">
        <f t="shared" si="5"/>
        <v>-535</v>
      </c>
      <c r="AD29" s="950">
        <f t="shared" si="13"/>
        <v>-5.8152173913043477</v>
      </c>
    </row>
    <row r="30" spans="1:30" ht="38.25" thickBot="1">
      <c r="A30" s="1207"/>
      <c r="B30" s="1210"/>
      <c r="C30" s="941" t="s">
        <v>55</v>
      </c>
      <c r="D30" s="1171"/>
      <c r="E30" s="1171"/>
      <c r="F30" s="914">
        <v>92</v>
      </c>
      <c r="G30" s="648" t="s">
        <v>438</v>
      </c>
      <c r="H30" s="1163"/>
      <c r="I30" s="967">
        <f>1015</f>
        <v>1015</v>
      </c>
      <c r="J30" s="952">
        <v>0</v>
      </c>
      <c r="K30" s="959">
        <f t="shared" si="6"/>
        <v>1015</v>
      </c>
      <c r="L30" s="954">
        <f t="shared" si="7"/>
        <v>11.032608695652174</v>
      </c>
      <c r="M30" s="952">
        <v>0</v>
      </c>
      <c r="N30" s="961">
        <f t="shared" si="0"/>
        <v>1015</v>
      </c>
      <c r="O30" s="954">
        <f t="shared" si="8"/>
        <v>11.032608695652174</v>
      </c>
      <c r="P30" s="952">
        <v>0</v>
      </c>
      <c r="Q30" s="961">
        <f t="shared" si="1"/>
        <v>1015</v>
      </c>
      <c r="R30" s="954">
        <f t="shared" si="9"/>
        <v>11.032608695652174</v>
      </c>
      <c r="S30" s="952">
        <v>360</v>
      </c>
      <c r="T30" s="961">
        <f t="shared" si="2"/>
        <v>655</v>
      </c>
      <c r="U30" s="954">
        <f t="shared" si="10"/>
        <v>7.1195652173913047</v>
      </c>
      <c r="V30" s="952">
        <v>360</v>
      </c>
      <c r="W30" s="961">
        <f t="shared" si="3"/>
        <v>295</v>
      </c>
      <c r="X30" s="954">
        <f t="shared" si="11"/>
        <v>3.2065217391304346</v>
      </c>
      <c r="Y30" s="952">
        <v>360</v>
      </c>
      <c r="Z30" s="961">
        <f t="shared" si="4"/>
        <v>-65</v>
      </c>
      <c r="AA30" s="954">
        <f t="shared" si="12"/>
        <v>-0.70652173913043481</v>
      </c>
      <c r="AB30" s="952">
        <v>360</v>
      </c>
      <c r="AC30" s="961">
        <f t="shared" si="5"/>
        <v>-425</v>
      </c>
      <c r="AD30" s="954">
        <f t="shared" si="13"/>
        <v>-4.6195652173913047</v>
      </c>
    </row>
    <row r="31" spans="1:30" ht="38.25" thickBot="1">
      <c r="A31" s="1234" t="s">
        <v>106</v>
      </c>
      <c r="B31" s="944"/>
      <c r="C31" s="916" t="s">
        <v>93</v>
      </c>
      <c r="D31" s="1199" t="s">
        <v>577</v>
      </c>
      <c r="E31" s="916">
        <v>702</v>
      </c>
      <c r="F31" s="915">
        <v>59</v>
      </c>
      <c r="G31" s="911" t="s">
        <v>414</v>
      </c>
      <c r="H31" s="1198" t="s">
        <v>334</v>
      </c>
      <c r="I31" s="965">
        <f>393-110</f>
        <v>283</v>
      </c>
      <c r="J31" s="946">
        <v>0</v>
      </c>
      <c r="K31" s="959">
        <f t="shared" si="6"/>
        <v>283</v>
      </c>
      <c r="L31" s="947">
        <f t="shared" si="7"/>
        <v>4.7966101694915251</v>
      </c>
      <c r="M31" s="946">
        <v>0</v>
      </c>
      <c r="N31" s="959">
        <f t="shared" si="0"/>
        <v>283</v>
      </c>
      <c r="O31" s="947">
        <f t="shared" si="8"/>
        <v>4.7966101694915251</v>
      </c>
      <c r="P31" s="946">
        <v>0</v>
      </c>
      <c r="Q31" s="959">
        <f t="shared" si="1"/>
        <v>283</v>
      </c>
      <c r="R31" s="947">
        <f t="shared" si="9"/>
        <v>4.7966101694915251</v>
      </c>
      <c r="S31" s="946">
        <v>290</v>
      </c>
      <c r="T31" s="959">
        <f t="shared" si="2"/>
        <v>-7</v>
      </c>
      <c r="U31" s="947">
        <f t="shared" si="10"/>
        <v>-0.11864406779661017</v>
      </c>
      <c r="V31" s="946">
        <v>290</v>
      </c>
      <c r="W31" s="959">
        <f t="shared" si="3"/>
        <v>-297</v>
      </c>
      <c r="X31" s="947">
        <f t="shared" si="11"/>
        <v>-5.0338983050847457</v>
      </c>
      <c r="Y31" s="946">
        <v>290</v>
      </c>
      <c r="Z31" s="959">
        <f t="shared" si="4"/>
        <v>-587</v>
      </c>
      <c r="AA31" s="947">
        <f t="shared" si="12"/>
        <v>-9.9491525423728806</v>
      </c>
      <c r="AB31" s="946">
        <v>290</v>
      </c>
      <c r="AC31" s="959">
        <f t="shared" si="5"/>
        <v>-877</v>
      </c>
      <c r="AD31" s="947">
        <f t="shared" si="13"/>
        <v>-14.864406779661017</v>
      </c>
    </row>
    <row r="32" spans="1:30" ht="30" customHeight="1" thickBot="1">
      <c r="A32" s="1235"/>
      <c r="B32" s="1202" t="s">
        <v>505</v>
      </c>
      <c r="C32" s="942" t="s">
        <v>92</v>
      </c>
      <c r="D32" s="1200"/>
      <c r="E32" s="942">
        <v>234</v>
      </c>
      <c r="F32" s="897">
        <v>59</v>
      </c>
      <c r="G32" s="644" t="s">
        <v>416</v>
      </c>
      <c r="H32" s="1195"/>
      <c r="I32" s="966">
        <f>195+110</f>
        <v>305</v>
      </c>
      <c r="J32" s="949">
        <v>0</v>
      </c>
      <c r="K32" s="959">
        <f t="shared" si="6"/>
        <v>305</v>
      </c>
      <c r="L32" s="950">
        <f t="shared" si="7"/>
        <v>5.1694915254237293</v>
      </c>
      <c r="M32" s="949">
        <v>0</v>
      </c>
      <c r="N32" s="960">
        <f t="shared" si="0"/>
        <v>305</v>
      </c>
      <c r="O32" s="950">
        <f t="shared" si="8"/>
        <v>5.1694915254237293</v>
      </c>
      <c r="P32" s="949">
        <v>0</v>
      </c>
      <c r="Q32" s="960">
        <f t="shared" si="1"/>
        <v>305</v>
      </c>
      <c r="R32" s="950">
        <f t="shared" si="9"/>
        <v>5.1694915254237293</v>
      </c>
      <c r="S32" s="949">
        <v>10</v>
      </c>
      <c r="T32" s="960">
        <f t="shared" si="2"/>
        <v>295</v>
      </c>
      <c r="U32" s="950">
        <f t="shared" si="10"/>
        <v>5</v>
      </c>
      <c r="V32" s="949">
        <v>10</v>
      </c>
      <c r="W32" s="960">
        <f t="shared" si="3"/>
        <v>285</v>
      </c>
      <c r="X32" s="950">
        <f t="shared" si="11"/>
        <v>4.8305084745762707</v>
      </c>
      <c r="Y32" s="949">
        <v>10</v>
      </c>
      <c r="Z32" s="960">
        <f t="shared" si="4"/>
        <v>275</v>
      </c>
      <c r="AA32" s="950">
        <f t="shared" si="12"/>
        <v>4.6610169491525424</v>
      </c>
      <c r="AB32" s="949">
        <v>10</v>
      </c>
      <c r="AC32" s="960">
        <f t="shared" si="5"/>
        <v>265</v>
      </c>
      <c r="AD32" s="950">
        <f t="shared" si="13"/>
        <v>4.4915254237288131</v>
      </c>
    </row>
    <row r="33" spans="1:30" ht="38.25" thickBot="1">
      <c r="A33" s="1235"/>
      <c r="B33" s="1202"/>
      <c r="C33" s="942" t="s">
        <v>94</v>
      </c>
      <c r="D33" s="1200"/>
      <c r="E33" s="942">
        <f>234+702</f>
        <v>936</v>
      </c>
      <c r="F33" s="897">
        <v>59</v>
      </c>
      <c r="G33" s="644" t="s">
        <v>415</v>
      </c>
      <c r="H33" s="1167"/>
      <c r="I33" s="966">
        <v>10</v>
      </c>
      <c r="J33" s="949">
        <v>0</v>
      </c>
      <c r="K33" s="959">
        <f t="shared" si="6"/>
        <v>10</v>
      </c>
      <c r="L33" s="950">
        <f t="shared" si="7"/>
        <v>0.16949152542372881</v>
      </c>
      <c r="M33" s="949">
        <v>0</v>
      </c>
      <c r="N33" s="960">
        <f t="shared" si="0"/>
        <v>10</v>
      </c>
      <c r="O33" s="950">
        <f t="shared" si="8"/>
        <v>0.16949152542372881</v>
      </c>
      <c r="P33" s="949">
        <v>0</v>
      </c>
      <c r="Q33" s="960">
        <f t="shared" si="1"/>
        <v>10</v>
      </c>
      <c r="R33" s="950">
        <f t="shared" si="9"/>
        <v>0.16949152542372881</v>
      </c>
      <c r="S33" s="949">
        <v>300</v>
      </c>
      <c r="T33" s="960">
        <f t="shared" si="2"/>
        <v>-290</v>
      </c>
      <c r="U33" s="950">
        <f t="shared" si="10"/>
        <v>-4.9152542372881358</v>
      </c>
      <c r="V33" s="949">
        <v>300</v>
      </c>
      <c r="W33" s="960">
        <f t="shared" si="3"/>
        <v>-590</v>
      </c>
      <c r="X33" s="950">
        <f t="shared" si="11"/>
        <v>-10</v>
      </c>
      <c r="Y33" s="949">
        <v>300</v>
      </c>
      <c r="Z33" s="960">
        <f t="shared" si="4"/>
        <v>-890</v>
      </c>
      <c r="AA33" s="950">
        <f t="shared" si="12"/>
        <v>-15.084745762711865</v>
      </c>
      <c r="AB33" s="949">
        <v>300</v>
      </c>
      <c r="AC33" s="960">
        <f t="shared" si="5"/>
        <v>-1190</v>
      </c>
      <c r="AD33" s="950">
        <f t="shared" si="13"/>
        <v>-20.16949152542373</v>
      </c>
    </row>
    <row r="34" spans="1:30" ht="38.25" thickBot="1">
      <c r="A34" s="1235"/>
      <c r="B34" s="937"/>
      <c r="C34" s="942" t="s">
        <v>96</v>
      </c>
      <c r="D34" s="1200"/>
      <c r="E34" s="942">
        <v>702</v>
      </c>
      <c r="F34" s="897">
        <v>54</v>
      </c>
      <c r="G34" s="644" t="s">
        <v>417</v>
      </c>
      <c r="H34" s="1166" t="s">
        <v>335</v>
      </c>
      <c r="I34" s="966">
        <v>0</v>
      </c>
      <c r="J34" s="949">
        <v>0</v>
      </c>
      <c r="K34" s="959">
        <f t="shared" si="6"/>
        <v>0</v>
      </c>
      <c r="L34" s="950">
        <f>K34/$F34</f>
        <v>0</v>
      </c>
      <c r="M34" s="949">
        <v>0</v>
      </c>
      <c r="N34" s="960">
        <f>K34-M34</f>
        <v>0</v>
      </c>
      <c r="O34" s="950">
        <f>N34/$F34</f>
        <v>0</v>
      </c>
      <c r="P34" s="949">
        <v>0</v>
      </c>
      <c r="Q34" s="960">
        <f>N34-P34</f>
        <v>0</v>
      </c>
      <c r="R34" s="950">
        <f>Q34/$F34</f>
        <v>0</v>
      </c>
      <c r="S34" s="949">
        <v>290</v>
      </c>
      <c r="T34" s="960">
        <f>Q34-S34</f>
        <v>-290</v>
      </c>
      <c r="U34" s="950">
        <f>T34/$F34</f>
        <v>-5.3703703703703702</v>
      </c>
      <c r="V34" s="949">
        <v>290</v>
      </c>
      <c r="W34" s="960">
        <f>T34-V34</f>
        <v>-580</v>
      </c>
      <c r="X34" s="950">
        <f>W34/$F34</f>
        <v>-10.74074074074074</v>
      </c>
      <c r="Y34" s="949">
        <v>290</v>
      </c>
      <c r="Z34" s="960">
        <f>W34-Y34</f>
        <v>-870</v>
      </c>
      <c r="AA34" s="950">
        <f>Z34/$F34</f>
        <v>-16.111111111111111</v>
      </c>
      <c r="AB34" s="949">
        <v>290</v>
      </c>
      <c r="AC34" s="960">
        <f>Z34-AB34</f>
        <v>-1160</v>
      </c>
      <c r="AD34" s="950">
        <f>AC34/$F34</f>
        <v>-21.481481481481481</v>
      </c>
    </row>
    <row r="35" spans="1:30" ht="38.25" thickBot="1">
      <c r="A35" s="1235"/>
      <c r="B35" s="1202" t="s">
        <v>505</v>
      </c>
      <c r="C35" s="942" t="s">
        <v>95</v>
      </c>
      <c r="D35" s="1200"/>
      <c r="E35" s="942">
        <v>234</v>
      </c>
      <c r="F35" s="897">
        <v>54</v>
      </c>
      <c r="G35" s="644" t="s">
        <v>419</v>
      </c>
      <c r="H35" s="1195"/>
      <c r="I35" s="966">
        <v>42</v>
      </c>
      <c r="J35" s="949">
        <v>0</v>
      </c>
      <c r="K35" s="959">
        <f t="shared" si="6"/>
        <v>42</v>
      </c>
      <c r="L35" s="950">
        <f t="shared" ref="L35:L73" si="14">K35/$F35</f>
        <v>0.77777777777777779</v>
      </c>
      <c r="M35" s="949">
        <v>0</v>
      </c>
      <c r="N35" s="960">
        <f t="shared" ref="N35:N73" si="15">K35-M35</f>
        <v>42</v>
      </c>
      <c r="O35" s="950">
        <f t="shared" ref="O35:O73" si="16">N35/$F35</f>
        <v>0.77777777777777779</v>
      </c>
      <c r="P35" s="949">
        <v>0</v>
      </c>
      <c r="Q35" s="960">
        <f t="shared" ref="Q35:Q73" si="17">N35-P35</f>
        <v>42</v>
      </c>
      <c r="R35" s="950">
        <f t="shared" ref="R35:R73" si="18">Q35/$F35</f>
        <v>0.77777777777777779</v>
      </c>
      <c r="S35" s="949">
        <v>10</v>
      </c>
      <c r="T35" s="960">
        <f t="shared" ref="T35:T73" si="19">Q35-S35</f>
        <v>32</v>
      </c>
      <c r="U35" s="950">
        <f t="shared" ref="U35:U73" si="20">T35/$F35</f>
        <v>0.59259259259259256</v>
      </c>
      <c r="V35" s="949">
        <v>10</v>
      </c>
      <c r="W35" s="960">
        <f t="shared" ref="W35:W73" si="21">T35-V35</f>
        <v>22</v>
      </c>
      <c r="X35" s="950">
        <f t="shared" ref="X35:X73" si="22">W35/$F35</f>
        <v>0.40740740740740738</v>
      </c>
      <c r="Y35" s="949">
        <v>10</v>
      </c>
      <c r="Z35" s="960">
        <f t="shared" ref="Z35:Z73" si="23">W35-Y35</f>
        <v>12</v>
      </c>
      <c r="AA35" s="950">
        <f t="shared" ref="AA35:AA73" si="24">Z35/$F35</f>
        <v>0.22222222222222221</v>
      </c>
      <c r="AB35" s="949">
        <v>10</v>
      </c>
      <c r="AC35" s="960">
        <f t="shared" ref="AC35:AC73" si="25">Z35-AB35</f>
        <v>2</v>
      </c>
      <c r="AD35" s="950">
        <f t="shared" ref="AD35:AD73" si="26">AC35/$F35</f>
        <v>3.7037037037037035E-2</v>
      </c>
    </row>
    <row r="36" spans="1:30" ht="38.25" thickBot="1">
      <c r="A36" s="1235"/>
      <c r="B36" s="1202"/>
      <c r="C36" s="942" t="s">
        <v>97</v>
      </c>
      <c r="D36" s="1200"/>
      <c r="E36" s="942">
        <v>936</v>
      </c>
      <c r="F36" s="897">
        <v>54</v>
      </c>
      <c r="G36" s="644" t="s">
        <v>418</v>
      </c>
      <c r="H36" s="1167"/>
      <c r="I36" s="966">
        <f>I34+I35</f>
        <v>42</v>
      </c>
      <c r="J36" s="949">
        <v>0</v>
      </c>
      <c r="K36" s="959">
        <f t="shared" si="6"/>
        <v>42</v>
      </c>
      <c r="L36" s="950">
        <f t="shared" si="14"/>
        <v>0.77777777777777779</v>
      </c>
      <c r="M36" s="949">
        <v>0</v>
      </c>
      <c r="N36" s="960">
        <f t="shared" si="15"/>
        <v>42</v>
      </c>
      <c r="O36" s="950">
        <f t="shared" si="16"/>
        <v>0.77777777777777779</v>
      </c>
      <c r="P36" s="949">
        <v>0</v>
      </c>
      <c r="Q36" s="960">
        <f t="shared" si="17"/>
        <v>42</v>
      </c>
      <c r="R36" s="950">
        <f t="shared" si="18"/>
        <v>0.77777777777777779</v>
      </c>
      <c r="S36" s="949">
        <v>300</v>
      </c>
      <c r="T36" s="960">
        <f t="shared" si="19"/>
        <v>-258</v>
      </c>
      <c r="U36" s="950">
        <f t="shared" si="20"/>
        <v>-4.7777777777777777</v>
      </c>
      <c r="V36" s="949">
        <v>300</v>
      </c>
      <c r="W36" s="960">
        <f t="shared" si="21"/>
        <v>-558</v>
      </c>
      <c r="X36" s="950">
        <f t="shared" si="22"/>
        <v>-10.333333333333334</v>
      </c>
      <c r="Y36" s="949">
        <v>300</v>
      </c>
      <c r="Z36" s="960">
        <f t="shared" si="23"/>
        <v>-858</v>
      </c>
      <c r="AA36" s="950">
        <f t="shared" si="24"/>
        <v>-15.888888888888889</v>
      </c>
      <c r="AB36" s="949">
        <v>300</v>
      </c>
      <c r="AC36" s="960">
        <f t="shared" si="25"/>
        <v>-1158</v>
      </c>
      <c r="AD36" s="950">
        <f t="shared" si="26"/>
        <v>-21.444444444444443</v>
      </c>
    </row>
    <row r="37" spans="1:30" ht="38.25" thickBot="1">
      <c r="A37" s="1235"/>
      <c r="B37" s="1202" t="s">
        <v>505</v>
      </c>
      <c r="C37" s="942" t="s">
        <v>98</v>
      </c>
      <c r="D37" s="1200"/>
      <c r="E37" s="942">
        <v>234</v>
      </c>
      <c r="F37" s="897">
        <v>59</v>
      </c>
      <c r="G37" s="644" t="s">
        <v>428</v>
      </c>
      <c r="H37" s="1162" t="s">
        <v>336</v>
      </c>
      <c r="I37" s="966">
        <f>167-40</f>
        <v>127</v>
      </c>
      <c r="J37" s="949">
        <v>0</v>
      </c>
      <c r="K37" s="959">
        <f t="shared" si="6"/>
        <v>127</v>
      </c>
      <c r="L37" s="950">
        <f t="shared" si="14"/>
        <v>2.152542372881356</v>
      </c>
      <c r="M37" s="949">
        <v>0</v>
      </c>
      <c r="N37" s="960">
        <f t="shared" si="15"/>
        <v>127</v>
      </c>
      <c r="O37" s="950">
        <f t="shared" si="16"/>
        <v>2.152542372881356</v>
      </c>
      <c r="P37" s="949">
        <v>0</v>
      </c>
      <c r="Q37" s="960">
        <f t="shared" si="17"/>
        <v>127</v>
      </c>
      <c r="R37" s="950">
        <f t="shared" si="18"/>
        <v>2.152542372881356</v>
      </c>
      <c r="S37" s="949">
        <v>108</v>
      </c>
      <c r="T37" s="960">
        <f t="shared" si="19"/>
        <v>19</v>
      </c>
      <c r="U37" s="950">
        <f t="shared" si="20"/>
        <v>0.32203389830508472</v>
      </c>
      <c r="V37" s="949">
        <v>108</v>
      </c>
      <c r="W37" s="960">
        <f t="shared" si="21"/>
        <v>-89</v>
      </c>
      <c r="X37" s="950">
        <f t="shared" si="22"/>
        <v>-1.5084745762711864</v>
      </c>
      <c r="Y37" s="949">
        <v>108</v>
      </c>
      <c r="Z37" s="960">
        <f t="shared" si="23"/>
        <v>-197</v>
      </c>
      <c r="AA37" s="950">
        <f t="shared" si="24"/>
        <v>-3.3389830508474576</v>
      </c>
      <c r="AB37" s="949">
        <v>108</v>
      </c>
      <c r="AC37" s="960">
        <f t="shared" si="25"/>
        <v>-305</v>
      </c>
      <c r="AD37" s="950">
        <f t="shared" si="26"/>
        <v>-5.1694915254237293</v>
      </c>
    </row>
    <row r="38" spans="1:30" ht="38.25" thickBot="1">
      <c r="A38" s="1235"/>
      <c r="B38" s="1202"/>
      <c r="C38" s="942" t="s">
        <v>99</v>
      </c>
      <c r="D38" s="1200"/>
      <c r="E38" s="942">
        <v>18</v>
      </c>
      <c r="F38" s="897">
        <v>59</v>
      </c>
      <c r="G38" s="644" t="s">
        <v>429</v>
      </c>
      <c r="H38" s="1162"/>
      <c r="I38" s="966">
        <v>81</v>
      </c>
      <c r="J38" s="949">
        <v>0</v>
      </c>
      <c r="K38" s="959">
        <f t="shared" si="6"/>
        <v>81</v>
      </c>
      <c r="L38" s="950">
        <f t="shared" si="14"/>
        <v>1.3728813559322033</v>
      </c>
      <c r="M38" s="949">
        <v>0</v>
      </c>
      <c r="N38" s="960">
        <f t="shared" si="15"/>
        <v>81</v>
      </c>
      <c r="O38" s="950">
        <f t="shared" si="16"/>
        <v>1.3728813559322033</v>
      </c>
      <c r="P38" s="949">
        <v>0</v>
      </c>
      <c r="Q38" s="960">
        <f t="shared" si="17"/>
        <v>81</v>
      </c>
      <c r="R38" s="950">
        <f t="shared" si="18"/>
        <v>1.3728813559322033</v>
      </c>
      <c r="S38" s="949">
        <v>0</v>
      </c>
      <c r="T38" s="960">
        <f t="shared" si="19"/>
        <v>81</v>
      </c>
      <c r="U38" s="950">
        <f t="shared" si="20"/>
        <v>1.3728813559322033</v>
      </c>
      <c r="V38" s="949">
        <v>0</v>
      </c>
      <c r="W38" s="960">
        <f t="shared" si="21"/>
        <v>81</v>
      </c>
      <c r="X38" s="950">
        <f t="shared" si="22"/>
        <v>1.3728813559322033</v>
      </c>
      <c r="Y38" s="949">
        <v>0</v>
      </c>
      <c r="Z38" s="960">
        <f t="shared" si="23"/>
        <v>81</v>
      </c>
      <c r="AA38" s="950">
        <f t="shared" si="24"/>
        <v>1.3728813559322033</v>
      </c>
      <c r="AB38" s="949">
        <v>0</v>
      </c>
      <c r="AC38" s="960">
        <f t="shared" si="25"/>
        <v>81</v>
      </c>
      <c r="AD38" s="950">
        <f t="shared" si="26"/>
        <v>1.3728813559322033</v>
      </c>
    </row>
    <row r="39" spans="1:30" ht="38.25" thickBot="1">
      <c r="A39" s="1235"/>
      <c r="B39" s="1202" t="s">
        <v>505</v>
      </c>
      <c r="C39" s="942" t="s">
        <v>100</v>
      </c>
      <c r="D39" s="1200"/>
      <c r="E39" s="942">
        <v>234</v>
      </c>
      <c r="F39" s="897">
        <v>59</v>
      </c>
      <c r="G39" s="644" t="s">
        <v>430</v>
      </c>
      <c r="H39" s="1162" t="s">
        <v>337</v>
      </c>
      <c r="I39" s="966">
        <v>70</v>
      </c>
      <c r="J39" s="949">
        <v>0</v>
      </c>
      <c r="K39" s="959">
        <f t="shared" si="6"/>
        <v>70</v>
      </c>
      <c r="L39" s="950">
        <f t="shared" si="14"/>
        <v>1.1864406779661016</v>
      </c>
      <c r="M39" s="949">
        <v>0</v>
      </c>
      <c r="N39" s="960">
        <f t="shared" si="15"/>
        <v>70</v>
      </c>
      <c r="O39" s="950">
        <f t="shared" si="16"/>
        <v>1.1864406779661016</v>
      </c>
      <c r="P39" s="949">
        <v>0</v>
      </c>
      <c r="Q39" s="960">
        <f t="shared" si="17"/>
        <v>70</v>
      </c>
      <c r="R39" s="950">
        <f t="shared" si="18"/>
        <v>1.1864406779661016</v>
      </c>
      <c r="S39" s="949">
        <v>108</v>
      </c>
      <c r="T39" s="960">
        <f t="shared" si="19"/>
        <v>-38</v>
      </c>
      <c r="U39" s="950">
        <f t="shared" si="20"/>
        <v>-0.64406779661016944</v>
      </c>
      <c r="V39" s="949">
        <v>108</v>
      </c>
      <c r="W39" s="960">
        <f t="shared" si="21"/>
        <v>-146</v>
      </c>
      <c r="X39" s="950">
        <f t="shared" si="22"/>
        <v>-2.4745762711864407</v>
      </c>
      <c r="Y39" s="949">
        <v>108</v>
      </c>
      <c r="Z39" s="960">
        <f t="shared" si="23"/>
        <v>-254</v>
      </c>
      <c r="AA39" s="950">
        <f t="shared" si="24"/>
        <v>-4.3050847457627119</v>
      </c>
      <c r="AB39" s="949">
        <v>108</v>
      </c>
      <c r="AC39" s="960">
        <f t="shared" si="25"/>
        <v>-362</v>
      </c>
      <c r="AD39" s="950">
        <f t="shared" si="26"/>
        <v>-6.1355932203389827</v>
      </c>
    </row>
    <row r="40" spans="1:30" ht="38.25" thickBot="1">
      <c r="A40" s="1236"/>
      <c r="B40" s="1210"/>
      <c r="C40" s="943" t="s">
        <v>101</v>
      </c>
      <c r="D40" s="1201"/>
      <c r="E40" s="943">
        <v>18</v>
      </c>
      <c r="F40" s="914">
        <v>59</v>
      </c>
      <c r="G40" s="648" t="s">
        <v>431</v>
      </c>
      <c r="H40" s="1163"/>
      <c r="I40" s="967">
        <v>2</v>
      </c>
      <c r="J40" s="953">
        <v>0</v>
      </c>
      <c r="K40" s="959">
        <f t="shared" si="6"/>
        <v>2</v>
      </c>
      <c r="L40" s="954">
        <f t="shared" si="14"/>
        <v>3.3898305084745763E-2</v>
      </c>
      <c r="M40" s="953">
        <v>0</v>
      </c>
      <c r="N40" s="961">
        <f t="shared" si="15"/>
        <v>2</v>
      </c>
      <c r="O40" s="954">
        <f t="shared" si="16"/>
        <v>3.3898305084745763E-2</v>
      </c>
      <c r="P40" s="953">
        <v>0</v>
      </c>
      <c r="Q40" s="961">
        <f t="shared" si="17"/>
        <v>2</v>
      </c>
      <c r="R40" s="954">
        <f t="shared" si="18"/>
        <v>3.3898305084745763E-2</v>
      </c>
      <c r="S40" s="953">
        <v>0</v>
      </c>
      <c r="T40" s="961">
        <f t="shared" si="19"/>
        <v>2</v>
      </c>
      <c r="U40" s="954">
        <f t="shared" si="20"/>
        <v>3.3898305084745763E-2</v>
      </c>
      <c r="V40" s="953">
        <v>0</v>
      </c>
      <c r="W40" s="961">
        <f t="shared" si="21"/>
        <v>2</v>
      </c>
      <c r="X40" s="954">
        <f t="shared" si="22"/>
        <v>3.3898305084745763E-2</v>
      </c>
      <c r="Y40" s="953">
        <v>0</v>
      </c>
      <c r="Z40" s="961">
        <f t="shared" si="23"/>
        <v>2</v>
      </c>
      <c r="AA40" s="954">
        <f t="shared" si="24"/>
        <v>3.3898305084745763E-2</v>
      </c>
      <c r="AB40" s="953">
        <v>0</v>
      </c>
      <c r="AC40" s="961">
        <f t="shared" si="25"/>
        <v>2</v>
      </c>
      <c r="AD40" s="954">
        <f t="shared" si="26"/>
        <v>3.3898305084745763E-2</v>
      </c>
    </row>
    <row r="41" spans="1:30" ht="38.25" thickBot="1">
      <c r="A41" s="1213" t="s">
        <v>380</v>
      </c>
      <c r="B41" s="978" t="s">
        <v>515</v>
      </c>
      <c r="C41" s="979" t="s">
        <v>69</v>
      </c>
      <c r="D41" s="1183" t="s">
        <v>471</v>
      </c>
      <c r="E41" s="979">
        <v>1344</v>
      </c>
      <c r="F41" s="980">
        <v>72</v>
      </c>
      <c r="G41" s="981" t="s">
        <v>420</v>
      </c>
      <c r="H41" s="982" t="s">
        <v>318</v>
      </c>
      <c r="I41" s="983">
        <v>790</v>
      </c>
      <c r="J41" s="956">
        <v>0</v>
      </c>
      <c r="K41" s="959">
        <f t="shared" si="6"/>
        <v>790</v>
      </c>
      <c r="L41" s="985">
        <f t="shared" si="14"/>
        <v>10.972222222222221</v>
      </c>
      <c r="M41" s="956">
        <v>0</v>
      </c>
      <c r="N41" s="984">
        <f t="shared" si="15"/>
        <v>790</v>
      </c>
      <c r="O41" s="985">
        <f t="shared" si="16"/>
        <v>10.972222222222221</v>
      </c>
      <c r="P41" s="956">
        <v>0</v>
      </c>
      <c r="Q41" s="984">
        <f t="shared" si="17"/>
        <v>790</v>
      </c>
      <c r="R41" s="985">
        <f t="shared" si="18"/>
        <v>10.972222222222221</v>
      </c>
      <c r="S41" s="956">
        <v>360</v>
      </c>
      <c r="T41" s="984">
        <f t="shared" si="19"/>
        <v>430</v>
      </c>
      <c r="U41" s="985">
        <f t="shared" si="20"/>
        <v>5.9722222222222223</v>
      </c>
      <c r="V41" s="956">
        <v>360</v>
      </c>
      <c r="W41" s="984">
        <f t="shared" si="21"/>
        <v>70</v>
      </c>
      <c r="X41" s="985">
        <f t="shared" si="22"/>
        <v>0.97222222222222221</v>
      </c>
      <c r="Y41" s="956">
        <v>360</v>
      </c>
      <c r="Z41" s="984">
        <f t="shared" si="23"/>
        <v>-290</v>
      </c>
      <c r="AA41" s="985">
        <f t="shared" si="24"/>
        <v>-4.0277777777777777</v>
      </c>
      <c r="AB41" s="956">
        <v>360</v>
      </c>
      <c r="AC41" s="984">
        <f t="shared" si="25"/>
        <v>-650</v>
      </c>
      <c r="AD41" s="985">
        <f t="shared" si="26"/>
        <v>-9.0277777777777786</v>
      </c>
    </row>
    <row r="42" spans="1:30" ht="38.25" thickBot="1">
      <c r="A42" s="1214"/>
      <c r="B42" s="937" t="s">
        <v>513</v>
      </c>
      <c r="C42" s="907" t="s">
        <v>72</v>
      </c>
      <c r="D42" s="1184"/>
      <c r="E42" s="907">
        <v>520</v>
      </c>
      <c r="F42" s="897">
        <v>75</v>
      </c>
      <c r="G42" s="644" t="s">
        <v>537</v>
      </c>
      <c r="H42" s="1166" t="s">
        <v>320</v>
      </c>
      <c r="I42" s="966">
        <v>128</v>
      </c>
      <c r="J42" s="948">
        <v>0</v>
      </c>
      <c r="K42" s="959">
        <f t="shared" si="6"/>
        <v>128</v>
      </c>
      <c r="L42" s="950">
        <f t="shared" si="14"/>
        <v>1.7066666666666668</v>
      </c>
      <c r="M42" s="948">
        <v>0</v>
      </c>
      <c r="N42" s="960">
        <f t="shared" si="15"/>
        <v>128</v>
      </c>
      <c r="O42" s="950">
        <f t="shared" si="16"/>
        <v>1.7066666666666668</v>
      </c>
      <c r="P42" s="948">
        <v>0</v>
      </c>
      <c r="Q42" s="960">
        <f t="shared" si="17"/>
        <v>128</v>
      </c>
      <c r="R42" s="950">
        <f t="shared" si="18"/>
        <v>1.7066666666666668</v>
      </c>
      <c r="S42" s="948">
        <v>230</v>
      </c>
      <c r="T42" s="960">
        <f t="shared" si="19"/>
        <v>-102</v>
      </c>
      <c r="U42" s="950">
        <f t="shared" si="20"/>
        <v>-1.36</v>
      </c>
      <c r="V42" s="948">
        <v>230</v>
      </c>
      <c r="W42" s="960">
        <f t="shared" si="21"/>
        <v>-332</v>
      </c>
      <c r="X42" s="950">
        <f t="shared" si="22"/>
        <v>-4.4266666666666667</v>
      </c>
      <c r="Y42" s="948">
        <v>230</v>
      </c>
      <c r="Z42" s="960">
        <f t="shared" si="23"/>
        <v>-562</v>
      </c>
      <c r="AA42" s="950">
        <f t="shared" si="24"/>
        <v>-7.4933333333333332</v>
      </c>
      <c r="AB42" s="948">
        <v>230</v>
      </c>
      <c r="AC42" s="960">
        <f t="shared" si="25"/>
        <v>-792</v>
      </c>
      <c r="AD42" s="950">
        <f t="shared" si="26"/>
        <v>-10.56</v>
      </c>
    </row>
    <row r="43" spans="1:30" ht="38.25" thickBot="1">
      <c r="A43" s="1214"/>
      <c r="B43" s="937"/>
      <c r="C43" s="907" t="s">
        <v>73</v>
      </c>
      <c r="D43" s="1184"/>
      <c r="E43" s="907">
        <v>520</v>
      </c>
      <c r="F43" s="897">
        <v>75</v>
      </c>
      <c r="G43" s="644" t="s">
        <v>538</v>
      </c>
      <c r="H43" s="1167"/>
      <c r="I43" s="966">
        <v>300</v>
      </c>
      <c r="J43" s="948">
        <v>0</v>
      </c>
      <c r="K43" s="959">
        <f t="shared" si="6"/>
        <v>300</v>
      </c>
      <c r="L43" s="950">
        <f t="shared" si="14"/>
        <v>4</v>
      </c>
      <c r="M43" s="948">
        <v>0</v>
      </c>
      <c r="N43" s="960">
        <f t="shared" si="15"/>
        <v>300</v>
      </c>
      <c r="O43" s="950">
        <f t="shared" si="16"/>
        <v>4</v>
      </c>
      <c r="P43" s="948">
        <v>0</v>
      </c>
      <c r="Q43" s="960">
        <f t="shared" si="17"/>
        <v>300</v>
      </c>
      <c r="R43" s="950">
        <f t="shared" si="18"/>
        <v>4</v>
      </c>
      <c r="S43" s="948">
        <v>230</v>
      </c>
      <c r="T43" s="960">
        <f t="shared" si="19"/>
        <v>70</v>
      </c>
      <c r="U43" s="950">
        <f t="shared" si="20"/>
        <v>0.93333333333333335</v>
      </c>
      <c r="V43" s="948">
        <v>230</v>
      </c>
      <c r="W43" s="960">
        <f t="shared" si="21"/>
        <v>-160</v>
      </c>
      <c r="X43" s="950">
        <f t="shared" si="22"/>
        <v>-2.1333333333333333</v>
      </c>
      <c r="Y43" s="948">
        <v>230</v>
      </c>
      <c r="Z43" s="960">
        <f t="shared" si="23"/>
        <v>-390</v>
      </c>
      <c r="AA43" s="950">
        <f t="shared" si="24"/>
        <v>-5.2</v>
      </c>
      <c r="AB43" s="948">
        <v>230</v>
      </c>
      <c r="AC43" s="960">
        <f t="shared" si="25"/>
        <v>-620</v>
      </c>
      <c r="AD43" s="950">
        <f t="shared" si="26"/>
        <v>-8.2666666666666675</v>
      </c>
    </row>
    <row r="44" spans="1:30" ht="38.25" thickBot="1">
      <c r="A44" s="1214"/>
      <c r="B44" s="937" t="s">
        <v>513</v>
      </c>
      <c r="C44" s="904" t="s">
        <v>74</v>
      </c>
      <c r="D44" s="1185"/>
      <c r="E44" s="904">
        <v>438</v>
      </c>
      <c r="F44" s="897">
        <v>70</v>
      </c>
      <c r="G44" s="644" t="s">
        <v>423</v>
      </c>
      <c r="H44" s="975" t="s">
        <v>321</v>
      </c>
      <c r="I44" s="966">
        <v>264</v>
      </c>
      <c r="J44" s="948">
        <v>0</v>
      </c>
      <c r="K44" s="959">
        <f t="shared" si="6"/>
        <v>264</v>
      </c>
      <c r="L44" s="950">
        <f t="shared" si="14"/>
        <v>3.7714285714285714</v>
      </c>
      <c r="M44" s="948">
        <v>0</v>
      </c>
      <c r="N44" s="960">
        <f t="shared" si="15"/>
        <v>264</v>
      </c>
      <c r="O44" s="950">
        <f t="shared" si="16"/>
        <v>3.7714285714285714</v>
      </c>
      <c r="P44" s="948">
        <v>0</v>
      </c>
      <c r="Q44" s="960">
        <f t="shared" si="17"/>
        <v>264</v>
      </c>
      <c r="R44" s="950">
        <f t="shared" si="18"/>
        <v>3.7714285714285714</v>
      </c>
      <c r="S44" s="948">
        <v>22</v>
      </c>
      <c r="T44" s="960">
        <f t="shared" si="19"/>
        <v>242</v>
      </c>
      <c r="U44" s="950">
        <f t="shared" si="20"/>
        <v>3.4571428571428573</v>
      </c>
      <c r="V44" s="948">
        <v>22</v>
      </c>
      <c r="W44" s="960">
        <f t="shared" si="21"/>
        <v>220</v>
      </c>
      <c r="X44" s="950">
        <f t="shared" si="22"/>
        <v>3.1428571428571428</v>
      </c>
      <c r="Y44" s="948">
        <v>22</v>
      </c>
      <c r="Z44" s="960">
        <f t="shared" si="23"/>
        <v>198</v>
      </c>
      <c r="AA44" s="950">
        <f t="shared" si="24"/>
        <v>2.8285714285714287</v>
      </c>
      <c r="AB44" s="948">
        <v>22</v>
      </c>
      <c r="AC44" s="960">
        <f t="shared" si="25"/>
        <v>176</v>
      </c>
      <c r="AD44" s="950">
        <f t="shared" si="26"/>
        <v>2.5142857142857142</v>
      </c>
    </row>
    <row r="45" spans="1:30" ht="34.5" customHeight="1" thickBot="1">
      <c r="A45" s="1214"/>
      <c r="B45" s="937" t="s">
        <v>516</v>
      </c>
      <c r="C45" s="907" t="s">
        <v>386</v>
      </c>
      <c r="D45" s="1203" t="s">
        <v>472</v>
      </c>
      <c r="E45" s="907">
        <v>1800</v>
      </c>
      <c r="F45" s="897">
        <v>100</v>
      </c>
      <c r="G45" s="644" t="s">
        <v>293</v>
      </c>
      <c r="H45" s="975" t="s">
        <v>398</v>
      </c>
      <c r="I45" s="966">
        <v>1050</v>
      </c>
      <c r="J45" s="948">
        <v>0</v>
      </c>
      <c r="K45" s="959">
        <f t="shared" si="6"/>
        <v>1050</v>
      </c>
      <c r="L45" s="950">
        <f t="shared" si="14"/>
        <v>10.5</v>
      </c>
      <c r="M45" s="948">
        <v>0</v>
      </c>
      <c r="N45" s="960">
        <f t="shared" si="15"/>
        <v>1050</v>
      </c>
      <c r="O45" s="950">
        <f t="shared" si="16"/>
        <v>10.5</v>
      </c>
      <c r="P45" s="948">
        <v>0</v>
      </c>
      <c r="Q45" s="960">
        <f t="shared" si="17"/>
        <v>1050</v>
      </c>
      <c r="R45" s="950">
        <f t="shared" si="18"/>
        <v>10.5</v>
      </c>
      <c r="S45" s="948">
        <v>530</v>
      </c>
      <c r="T45" s="960">
        <f t="shared" si="19"/>
        <v>520</v>
      </c>
      <c r="U45" s="950">
        <f t="shared" si="20"/>
        <v>5.2</v>
      </c>
      <c r="V45" s="948">
        <v>530</v>
      </c>
      <c r="W45" s="960">
        <f t="shared" si="21"/>
        <v>-10</v>
      </c>
      <c r="X45" s="950">
        <f t="shared" si="22"/>
        <v>-0.1</v>
      </c>
      <c r="Y45" s="948">
        <v>530</v>
      </c>
      <c r="Z45" s="960">
        <f t="shared" si="23"/>
        <v>-540</v>
      </c>
      <c r="AA45" s="950">
        <f t="shared" si="24"/>
        <v>-5.4</v>
      </c>
      <c r="AB45" s="948">
        <v>530</v>
      </c>
      <c r="AC45" s="960">
        <f t="shared" si="25"/>
        <v>-1070</v>
      </c>
      <c r="AD45" s="950">
        <f t="shared" si="26"/>
        <v>-10.7</v>
      </c>
    </row>
    <row r="46" spans="1:30" ht="30" customHeight="1" thickBot="1">
      <c r="A46" s="1214"/>
      <c r="B46" s="937" t="s">
        <v>516</v>
      </c>
      <c r="C46" s="907" t="s">
        <v>389</v>
      </c>
      <c r="D46" s="1200"/>
      <c r="E46" s="1188">
        <v>1170</v>
      </c>
      <c r="F46" s="897">
        <v>60</v>
      </c>
      <c r="G46" s="644" t="s">
        <v>548</v>
      </c>
      <c r="H46" s="1162" t="s">
        <v>397</v>
      </c>
      <c r="I46" s="966">
        <v>390</v>
      </c>
      <c r="J46" s="948">
        <v>0</v>
      </c>
      <c r="K46" s="959">
        <f t="shared" si="6"/>
        <v>390</v>
      </c>
      <c r="L46" s="950">
        <f t="shared" si="14"/>
        <v>6.5</v>
      </c>
      <c r="M46" s="948">
        <v>0</v>
      </c>
      <c r="N46" s="960">
        <f t="shared" si="15"/>
        <v>390</v>
      </c>
      <c r="O46" s="950">
        <f t="shared" si="16"/>
        <v>6.5</v>
      </c>
      <c r="P46" s="948">
        <v>0</v>
      </c>
      <c r="Q46" s="960">
        <f t="shared" si="17"/>
        <v>390</v>
      </c>
      <c r="R46" s="950">
        <f t="shared" si="18"/>
        <v>6.5</v>
      </c>
      <c r="S46" s="948">
        <v>0</v>
      </c>
      <c r="T46" s="960">
        <f t="shared" si="19"/>
        <v>390</v>
      </c>
      <c r="U46" s="950">
        <f t="shared" si="20"/>
        <v>6.5</v>
      </c>
      <c r="V46" s="948">
        <v>0</v>
      </c>
      <c r="W46" s="960">
        <f t="shared" si="21"/>
        <v>390</v>
      </c>
      <c r="X46" s="950">
        <f t="shared" si="22"/>
        <v>6.5</v>
      </c>
      <c r="Y46" s="948">
        <v>0</v>
      </c>
      <c r="Z46" s="960">
        <f t="shared" si="23"/>
        <v>390</v>
      </c>
      <c r="AA46" s="950">
        <f t="shared" si="24"/>
        <v>6.5</v>
      </c>
      <c r="AB46" s="948">
        <v>0</v>
      </c>
      <c r="AC46" s="960">
        <f t="shared" si="25"/>
        <v>390</v>
      </c>
      <c r="AD46" s="950">
        <f t="shared" si="26"/>
        <v>6.5</v>
      </c>
    </row>
    <row r="47" spans="1:30" ht="38.25" thickBot="1">
      <c r="A47" s="1214"/>
      <c r="B47" s="937" t="s">
        <v>517</v>
      </c>
      <c r="C47" s="904" t="s">
        <v>388</v>
      </c>
      <c r="D47" s="1200"/>
      <c r="E47" s="1188"/>
      <c r="F47" s="913">
        <v>60</v>
      </c>
      <c r="G47" s="637" t="s">
        <v>549</v>
      </c>
      <c r="H47" s="1162"/>
      <c r="I47" s="966">
        <v>0</v>
      </c>
      <c r="J47" s="948">
        <v>0</v>
      </c>
      <c r="K47" s="959">
        <f t="shared" si="6"/>
        <v>0</v>
      </c>
      <c r="L47" s="950">
        <f t="shared" si="14"/>
        <v>0</v>
      </c>
      <c r="M47" s="948">
        <v>0</v>
      </c>
      <c r="N47" s="960">
        <f t="shared" si="15"/>
        <v>0</v>
      </c>
      <c r="O47" s="950">
        <f t="shared" si="16"/>
        <v>0</v>
      </c>
      <c r="P47" s="948">
        <v>0</v>
      </c>
      <c r="Q47" s="960">
        <f t="shared" si="17"/>
        <v>0</v>
      </c>
      <c r="R47" s="950">
        <f t="shared" si="18"/>
        <v>0</v>
      </c>
      <c r="S47" s="948">
        <v>530</v>
      </c>
      <c r="T47" s="960">
        <f t="shared" si="19"/>
        <v>-530</v>
      </c>
      <c r="U47" s="950">
        <f t="shared" si="20"/>
        <v>-8.8333333333333339</v>
      </c>
      <c r="V47" s="948">
        <v>530</v>
      </c>
      <c r="W47" s="960">
        <f t="shared" si="21"/>
        <v>-1060</v>
      </c>
      <c r="X47" s="950">
        <f t="shared" si="22"/>
        <v>-17.666666666666668</v>
      </c>
      <c r="Y47" s="948">
        <v>530</v>
      </c>
      <c r="Z47" s="960">
        <f t="shared" si="23"/>
        <v>-1590</v>
      </c>
      <c r="AA47" s="950">
        <f t="shared" si="24"/>
        <v>-26.5</v>
      </c>
      <c r="AB47" s="948">
        <v>530</v>
      </c>
      <c r="AC47" s="960">
        <f t="shared" si="25"/>
        <v>-2120</v>
      </c>
      <c r="AD47" s="950">
        <f t="shared" si="26"/>
        <v>-35.333333333333336</v>
      </c>
    </row>
    <row r="48" spans="1:30" ht="38.25" thickBot="1">
      <c r="A48" s="1215"/>
      <c r="B48" s="938" t="s">
        <v>518</v>
      </c>
      <c r="C48" s="899" t="s">
        <v>390</v>
      </c>
      <c r="D48" s="1201"/>
      <c r="E48" s="1189"/>
      <c r="F48" s="920">
        <v>60</v>
      </c>
      <c r="G48" s="921" t="s">
        <v>550</v>
      </c>
      <c r="H48" s="1163"/>
      <c r="I48" s="967">
        <v>54</v>
      </c>
      <c r="J48" s="952">
        <v>0</v>
      </c>
      <c r="K48" s="959">
        <f t="shared" si="6"/>
        <v>54</v>
      </c>
      <c r="L48" s="954">
        <f t="shared" si="14"/>
        <v>0.9</v>
      </c>
      <c r="M48" s="952">
        <v>0</v>
      </c>
      <c r="N48" s="961">
        <f t="shared" si="15"/>
        <v>54</v>
      </c>
      <c r="O48" s="954">
        <f t="shared" si="16"/>
        <v>0.9</v>
      </c>
      <c r="P48" s="952">
        <v>0</v>
      </c>
      <c r="Q48" s="961">
        <f t="shared" si="17"/>
        <v>54</v>
      </c>
      <c r="R48" s="954">
        <f t="shared" si="18"/>
        <v>0.9</v>
      </c>
      <c r="S48" s="952">
        <v>0</v>
      </c>
      <c r="T48" s="961">
        <f t="shared" si="19"/>
        <v>54</v>
      </c>
      <c r="U48" s="954">
        <f t="shared" si="20"/>
        <v>0.9</v>
      </c>
      <c r="V48" s="952">
        <v>0</v>
      </c>
      <c r="W48" s="961">
        <f t="shared" si="21"/>
        <v>54</v>
      </c>
      <c r="X48" s="954">
        <f t="shared" si="22"/>
        <v>0.9</v>
      </c>
      <c r="Y48" s="952">
        <v>0</v>
      </c>
      <c r="Z48" s="961">
        <f t="shared" si="23"/>
        <v>54</v>
      </c>
      <c r="AA48" s="954">
        <f t="shared" si="24"/>
        <v>0.9</v>
      </c>
      <c r="AB48" s="952">
        <v>0</v>
      </c>
      <c r="AC48" s="961">
        <f t="shared" si="25"/>
        <v>54</v>
      </c>
      <c r="AD48" s="954">
        <f t="shared" si="26"/>
        <v>0.9</v>
      </c>
    </row>
    <row r="49" spans="1:30" ht="30" customHeight="1" thickBot="1">
      <c r="A49" s="1205" t="s">
        <v>290</v>
      </c>
      <c r="B49" s="944" t="s">
        <v>513</v>
      </c>
      <c r="C49" s="628" t="s">
        <v>87</v>
      </c>
      <c r="D49" s="1193" t="s">
        <v>471</v>
      </c>
      <c r="E49" s="628">
        <v>672</v>
      </c>
      <c r="F49" s="915">
        <v>54</v>
      </c>
      <c r="G49" s="911" t="s">
        <v>440</v>
      </c>
      <c r="H49" s="976" t="s">
        <v>331</v>
      </c>
      <c r="I49" s="965">
        <v>120</v>
      </c>
      <c r="J49" s="955">
        <v>0</v>
      </c>
      <c r="K49" s="959">
        <f t="shared" si="6"/>
        <v>120</v>
      </c>
      <c r="L49" s="947">
        <f t="shared" si="14"/>
        <v>2.2222222222222223</v>
      </c>
      <c r="M49" s="955">
        <v>0</v>
      </c>
      <c r="N49" s="959">
        <f t="shared" si="15"/>
        <v>120</v>
      </c>
      <c r="O49" s="947">
        <f t="shared" si="16"/>
        <v>2.2222222222222223</v>
      </c>
      <c r="P49" s="955">
        <v>0</v>
      </c>
      <c r="Q49" s="959">
        <f t="shared" si="17"/>
        <v>120</v>
      </c>
      <c r="R49" s="947">
        <f t="shared" si="18"/>
        <v>2.2222222222222223</v>
      </c>
      <c r="S49" s="955">
        <v>360</v>
      </c>
      <c r="T49" s="959">
        <f t="shared" si="19"/>
        <v>-240</v>
      </c>
      <c r="U49" s="947">
        <f t="shared" si="20"/>
        <v>-4.4444444444444446</v>
      </c>
      <c r="V49" s="955">
        <v>360</v>
      </c>
      <c r="W49" s="959">
        <f t="shared" si="21"/>
        <v>-600</v>
      </c>
      <c r="X49" s="947">
        <f t="shared" si="22"/>
        <v>-11.111111111111111</v>
      </c>
      <c r="Y49" s="955">
        <v>360</v>
      </c>
      <c r="Z49" s="959">
        <f t="shared" si="23"/>
        <v>-960</v>
      </c>
      <c r="AA49" s="947">
        <f t="shared" si="24"/>
        <v>-17.777777777777779</v>
      </c>
      <c r="AB49" s="955">
        <v>360</v>
      </c>
      <c r="AC49" s="959">
        <f t="shared" si="25"/>
        <v>-1320</v>
      </c>
      <c r="AD49" s="947">
        <f t="shared" si="26"/>
        <v>-24.444444444444443</v>
      </c>
    </row>
    <row r="50" spans="1:30" ht="38.25" thickBot="1">
      <c r="A50" s="1206"/>
      <c r="B50" s="937" t="s">
        <v>513</v>
      </c>
      <c r="C50" s="904" t="s">
        <v>89</v>
      </c>
      <c r="D50" s="1180"/>
      <c r="E50" s="904">
        <v>1000</v>
      </c>
      <c r="F50" s="897">
        <v>60</v>
      </c>
      <c r="G50" s="644" t="s">
        <v>539</v>
      </c>
      <c r="H50" s="975" t="s">
        <v>333</v>
      </c>
      <c r="I50" s="966">
        <v>220</v>
      </c>
      <c r="J50" s="948">
        <v>0</v>
      </c>
      <c r="K50" s="959">
        <f t="shared" si="6"/>
        <v>220</v>
      </c>
      <c r="L50" s="950">
        <f t="shared" si="14"/>
        <v>3.6666666666666665</v>
      </c>
      <c r="M50" s="948">
        <v>0</v>
      </c>
      <c r="N50" s="960">
        <f t="shared" si="15"/>
        <v>220</v>
      </c>
      <c r="O50" s="950">
        <f t="shared" si="16"/>
        <v>3.6666666666666665</v>
      </c>
      <c r="P50" s="948">
        <v>0</v>
      </c>
      <c r="Q50" s="960">
        <f t="shared" si="17"/>
        <v>220</v>
      </c>
      <c r="R50" s="950">
        <f t="shared" si="18"/>
        <v>3.6666666666666665</v>
      </c>
      <c r="S50" s="948">
        <v>230</v>
      </c>
      <c r="T50" s="960">
        <f t="shared" si="19"/>
        <v>-10</v>
      </c>
      <c r="U50" s="950">
        <f t="shared" si="20"/>
        <v>-0.16666666666666666</v>
      </c>
      <c r="V50" s="948">
        <v>230</v>
      </c>
      <c r="W50" s="960">
        <f t="shared" si="21"/>
        <v>-240</v>
      </c>
      <c r="X50" s="950">
        <f t="shared" si="22"/>
        <v>-4</v>
      </c>
      <c r="Y50" s="948">
        <v>230</v>
      </c>
      <c r="Z50" s="960">
        <f t="shared" si="23"/>
        <v>-470</v>
      </c>
      <c r="AA50" s="950">
        <f t="shared" si="24"/>
        <v>-7.833333333333333</v>
      </c>
      <c r="AB50" s="948">
        <v>230</v>
      </c>
      <c r="AC50" s="960">
        <f t="shared" si="25"/>
        <v>-700</v>
      </c>
      <c r="AD50" s="950">
        <f t="shared" si="26"/>
        <v>-11.666666666666666</v>
      </c>
    </row>
    <row r="51" spans="1:30" ht="38.25" thickBot="1">
      <c r="A51" s="1206"/>
      <c r="B51" s="937" t="s">
        <v>513</v>
      </c>
      <c r="C51" s="904" t="s">
        <v>88</v>
      </c>
      <c r="D51" s="1181"/>
      <c r="E51" s="904"/>
      <c r="F51" s="898">
        <v>59</v>
      </c>
      <c r="G51" s="909" t="s">
        <v>413</v>
      </c>
      <c r="H51" s="975" t="s">
        <v>332</v>
      </c>
      <c r="I51" s="966">
        <v>326</v>
      </c>
      <c r="J51" s="948">
        <v>0</v>
      </c>
      <c r="K51" s="959">
        <f t="shared" si="6"/>
        <v>326</v>
      </c>
      <c r="L51" s="950">
        <f t="shared" si="14"/>
        <v>5.5254237288135597</v>
      </c>
      <c r="M51" s="948">
        <v>0</v>
      </c>
      <c r="N51" s="960">
        <f t="shared" si="15"/>
        <v>326</v>
      </c>
      <c r="O51" s="950">
        <f t="shared" si="16"/>
        <v>5.5254237288135597</v>
      </c>
      <c r="P51" s="948">
        <v>0</v>
      </c>
      <c r="Q51" s="960">
        <f t="shared" si="17"/>
        <v>326</v>
      </c>
      <c r="R51" s="950">
        <f t="shared" si="18"/>
        <v>5.5254237288135597</v>
      </c>
      <c r="S51" s="948">
        <v>130</v>
      </c>
      <c r="T51" s="960">
        <f t="shared" si="19"/>
        <v>196</v>
      </c>
      <c r="U51" s="950">
        <f t="shared" si="20"/>
        <v>3.3220338983050848</v>
      </c>
      <c r="V51" s="948">
        <v>130</v>
      </c>
      <c r="W51" s="960">
        <f t="shared" si="21"/>
        <v>66</v>
      </c>
      <c r="X51" s="950">
        <f t="shared" si="22"/>
        <v>1.1186440677966101</v>
      </c>
      <c r="Y51" s="948">
        <v>130</v>
      </c>
      <c r="Z51" s="960">
        <f t="shared" si="23"/>
        <v>-64</v>
      </c>
      <c r="AA51" s="950">
        <f t="shared" si="24"/>
        <v>-1.0847457627118644</v>
      </c>
      <c r="AB51" s="948">
        <v>130</v>
      </c>
      <c r="AC51" s="960">
        <f t="shared" si="25"/>
        <v>-194</v>
      </c>
      <c r="AD51" s="950">
        <f t="shared" si="26"/>
        <v>-3.2881355932203391</v>
      </c>
    </row>
    <row r="52" spans="1:30" ht="30" customHeight="1" thickBot="1">
      <c r="A52" s="1206"/>
      <c r="B52" s="937" t="s">
        <v>516</v>
      </c>
      <c r="C52" s="906" t="s">
        <v>383</v>
      </c>
      <c r="D52" s="1216" t="s">
        <v>472</v>
      </c>
      <c r="E52" s="1186">
        <v>672</v>
      </c>
      <c r="F52" s="898">
        <v>50</v>
      </c>
      <c r="G52" s="909" t="s">
        <v>551</v>
      </c>
      <c r="H52" s="1162" t="s">
        <v>399</v>
      </c>
      <c r="I52" s="966">
        <v>220</v>
      </c>
      <c r="J52" s="948">
        <v>0</v>
      </c>
      <c r="K52" s="959">
        <f t="shared" si="6"/>
        <v>220</v>
      </c>
      <c r="L52" s="950">
        <f t="shared" si="14"/>
        <v>4.4000000000000004</v>
      </c>
      <c r="M52" s="948">
        <v>0</v>
      </c>
      <c r="N52" s="960">
        <f t="shared" si="15"/>
        <v>220</v>
      </c>
      <c r="O52" s="950">
        <f t="shared" si="16"/>
        <v>4.4000000000000004</v>
      </c>
      <c r="P52" s="948">
        <v>0</v>
      </c>
      <c r="Q52" s="960">
        <f t="shared" si="17"/>
        <v>220</v>
      </c>
      <c r="R52" s="950">
        <f t="shared" si="18"/>
        <v>4.4000000000000004</v>
      </c>
      <c r="S52" s="948">
        <v>0</v>
      </c>
      <c r="T52" s="960">
        <f t="shared" si="19"/>
        <v>220</v>
      </c>
      <c r="U52" s="950">
        <f t="shared" si="20"/>
        <v>4.4000000000000004</v>
      </c>
      <c r="V52" s="948">
        <v>0</v>
      </c>
      <c r="W52" s="960">
        <f t="shared" si="21"/>
        <v>220</v>
      </c>
      <c r="X52" s="950">
        <f t="shared" si="22"/>
        <v>4.4000000000000004</v>
      </c>
      <c r="Y52" s="948">
        <v>0</v>
      </c>
      <c r="Z52" s="960">
        <f t="shared" si="23"/>
        <v>220</v>
      </c>
      <c r="AA52" s="950">
        <f t="shared" si="24"/>
        <v>4.4000000000000004</v>
      </c>
      <c r="AB52" s="948">
        <v>0</v>
      </c>
      <c r="AC52" s="960">
        <f t="shared" si="25"/>
        <v>220</v>
      </c>
      <c r="AD52" s="950">
        <f t="shared" si="26"/>
        <v>4.4000000000000004</v>
      </c>
    </row>
    <row r="53" spans="1:30" ht="38.25" thickBot="1">
      <c r="A53" s="1206"/>
      <c r="B53" s="937" t="s">
        <v>517</v>
      </c>
      <c r="C53" s="906" t="s">
        <v>382</v>
      </c>
      <c r="D53" s="1217"/>
      <c r="E53" s="1186"/>
      <c r="F53" s="898">
        <v>50</v>
      </c>
      <c r="G53" s="909" t="s">
        <v>553</v>
      </c>
      <c r="H53" s="1162"/>
      <c r="I53" s="966">
        <v>42</v>
      </c>
      <c r="J53" s="948">
        <v>0</v>
      </c>
      <c r="K53" s="959">
        <f t="shared" si="6"/>
        <v>42</v>
      </c>
      <c r="L53" s="950">
        <f t="shared" si="14"/>
        <v>0.84</v>
      </c>
      <c r="M53" s="948">
        <v>0</v>
      </c>
      <c r="N53" s="960">
        <f t="shared" si="15"/>
        <v>42</v>
      </c>
      <c r="O53" s="950">
        <f t="shared" si="16"/>
        <v>0.84</v>
      </c>
      <c r="P53" s="948">
        <v>0</v>
      </c>
      <c r="Q53" s="960">
        <f t="shared" si="17"/>
        <v>42</v>
      </c>
      <c r="R53" s="950">
        <f t="shared" si="18"/>
        <v>0.84</v>
      </c>
      <c r="S53" s="948">
        <v>530</v>
      </c>
      <c r="T53" s="960">
        <f t="shared" si="19"/>
        <v>-488</v>
      </c>
      <c r="U53" s="950">
        <f t="shared" si="20"/>
        <v>-9.76</v>
      </c>
      <c r="V53" s="948">
        <v>530</v>
      </c>
      <c r="W53" s="960">
        <f t="shared" si="21"/>
        <v>-1018</v>
      </c>
      <c r="X53" s="950">
        <f t="shared" si="22"/>
        <v>-20.36</v>
      </c>
      <c r="Y53" s="948">
        <v>530</v>
      </c>
      <c r="Z53" s="960">
        <f t="shared" si="23"/>
        <v>-1548</v>
      </c>
      <c r="AA53" s="950">
        <f t="shared" si="24"/>
        <v>-30.96</v>
      </c>
      <c r="AB53" s="948">
        <v>530</v>
      </c>
      <c r="AC53" s="960">
        <f t="shared" si="25"/>
        <v>-2078</v>
      </c>
      <c r="AD53" s="950">
        <f t="shared" si="26"/>
        <v>-41.56</v>
      </c>
    </row>
    <row r="54" spans="1:30" ht="30" customHeight="1" thickBot="1">
      <c r="A54" s="1208"/>
      <c r="B54" s="938" t="s">
        <v>518</v>
      </c>
      <c r="C54" s="902" t="s">
        <v>384</v>
      </c>
      <c r="D54" s="1217"/>
      <c r="E54" s="1187"/>
      <c r="F54" s="918">
        <v>50</v>
      </c>
      <c r="G54" s="919" t="s">
        <v>552</v>
      </c>
      <c r="H54" s="1163"/>
      <c r="I54" s="967">
        <v>21</v>
      </c>
      <c r="J54" s="952">
        <v>0</v>
      </c>
      <c r="K54" s="959">
        <f t="shared" si="6"/>
        <v>21</v>
      </c>
      <c r="L54" s="954">
        <f t="shared" si="14"/>
        <v>0.42</v>
      </c>
      <c r="M54" s="952">
        <v>0</v>
      </c>
      <c r="N54" s="961">
        <f t="shared" si="15"/>
        <v>21</v>
      </c>
      <c r="O54" s="954">
        <f t="shared" si="16"/>
        <v>0.42</v>
      </c>
      <c r="P54" s="952">
        <v>0</v>
      </c>
      <c r="Q54" s="961">
        <f t="shared" si="17"/>
        <v>21</v>
      </c>
      <c r="R54" s="954">
        <f t="shared" si="18"/>
        <v>0.42</v>
      </c>
      <c r="S54" s="952">
        <v>0</v>
      </c>
      <c r="T54" s="961">
        <f t="shared" si="19"/>
        <v>21</v>
      </c>
      <c r="U54" s="954">
        <f t="shared" si="20"/>
        <v>0.42</v>
      </c>
      <c r="V54" s="952">
        <v>0</v>
      </c>
      <c r="W54" s="961">
        <f t="shared" si="21"/>
        <v>21</v>
      </c>
      <c r="X54" s="954">
        <f t="shared" si="22"/>
        <v>0.42</v>
      </c>
      <c r="Y54" s="952">
        <v>0</v>
      </c>
      <c r="Z54" s="961">
        <f t="shared" si="23"/>
        <v>21</v>
      </c>
      <c r="AA54" s="954">
        <f t="shared" si="24"/>
        <v>0.42</v>
      </c>
      <c r="AB54" s="952">
        <v>0</v>
      </c>
      <c r="AC54" s="961">
        <f t="shared" si="25"/>
        <v>21</v>
      </c>
      <c r="AD54" s="954">
        <f t="shared" si="26"/>
        <v>0.42</v>
      </c>
    </row>
    <row r="55" spans="1:30" ht="38.25" thickBot="1">
      <c r="A55" s="1011" t="s">
        <v>394</v>
      </c>
      <c r="B55" s="1012" t="s">
        <v>517</v>
      </c>
      <c r="C55" s="996" t="s">
        <v>385</v>
      </c>
      <c r="D55" s="1217"/>
      <c r="E55" s="996">
        <v>858</v>
      </c>
      <c r="F55" s="997">
        <v>53</v>
      </c>
      <c r="G55" s="998" t="s">
        <v>291</v>
      </c>
      <c r="H55" s="995" t="s">
        <v>395</v>
      </c>
      <c r="I55" s="999">
        <v>11</v>
      </c>
      <c r="J55" s="1000">
        <v>0</v>
      </c>
      <c r="K55" s="959">
        <f t="shared" si="6"/>
        <v>11</v>
      </c>
      <c r="L55" s="1002">
        <f t="shared" si="14"/>
        <v>0.20754716981132076</v>
      </c>
      <c r="M55" s="1000">
        <v>0</v>
      </c>
      <c r="N55" s="1001">
        <f t="shared" si="15"/>
        <v>11</v>
      </c>
      <c r="O55" s="1002">
        <f t="shared" si="16"/>
        <v>0.20754716981132076</v>
      </c>
      <c r="P55" s="1000">
        <v>0</v>
      </c>
      <c r="Q55" s="1001">
        <f t="shared" si="17"/>
        <v>11</v>
      </c>
      <c r="R55" s="1002">
        <f t="shared" si="18"/>
        <v>0.20754716981132076</v>
      </c>
      <c r="S55" s="1000">
        <v>530</v>
      </c>
      <c r="T55" s="1001">
        <f t="shared" si="19"/>
        <v>-519</v>
      </c>
      <c r="U55" s="1002">
        <f t="shared" si="20"/>
        <v>-9.7924528301886795</v>
      </c>
      <c r="V55" s="1000">
        <v>530</v>
      </c>
      <c r="W55" s="1001">
        <f t="shared" si="21"/>
        <v>-1049</v>
      </c>
      <c r="X55" s="1002">
        <f t="shared" si="22"/>
        <v>-19.79245283018868</v>
      </c>
      <c r="Y55" s="1000">
        <v>530</v>
      </c>
      <c r="Z55" s="1001">
        <f t="shared" si="23"/>
        <v>-1579</v>
      </c>
      <c r="AA55" s="1002">
        <f t="shared" si="24"/>
        <v>-29.79245283018868</v>
      </c>
      <c r="AB55" s="1000">
        <v>530</v>
      </c>
      <c r="AC55" s="1001">
        <f t="shared" si="25"/>
        <v>-2109</v>
      </c>
      <c r="AD55" s="1002">
        <f t="shared" si="26"/>
        <v>-39.79245283018868</v>
      </c>
    </row>
    <row r="56" spans="1:30" ht="38.25" thickBot="1">
      <c r="A56" s="1015" t="s">
        <v>586</v>
      </c>
      <c r="B56" s="1016" t="s">
        <v>516</v>
      </c>
      <c r="C56" s="1017" t="s">
        <v>387</v>
      </c>
      <c r="D56" s="1218"/>
      <c r="E56" s="1003">
        <v>880</v>
      </c>
      <c r="F56" s="1004">
        <v>59</v>
      </c>
      <c r="G56" s="1005" t="s">
        <v>292</v>
      </c>
      <c r="H56" s="1006" t="s">
        <v>396</v>
      </c>
      <c r="I56" s="1007">
        <v>670</v>
      </c>
      <c r="J56" s="1008">
        <v>0</v>
      </c>
      <c r="K56" s="959">
        <f t="shared" si="6"/>
        <v>670</v>
      </c>
      <c r="L56" s="1010">
        <f t="shared" si="14"/>
        <v>11.35593220338983</v>
      </c>
      <c r="M56" s="1008">
        <v>0</v>
      </c>
      <c r="N56" s="1009">
        <f t="shared" si="15"/>
        <v>670</v>
      </c>
      <c r="O56" s="1010">
        <f t="shared" si="16"/>
        <v>11.35593220338983</v>
      </c>
      <c r="P56" s="1008">
        <v>0</v>
      </c>
      <c r="Q56" s="1009">
        <f t="shared" si="17"/>
        <v>670</v>
      </c>
      <c r="R56" s="1010">
        <f t="shared" si="18"/>
        <v>11.35593220338983</v>
      </c>
      <c r="S56" s="1008">
        <v>530</v>
      </c>
      <c r="T56" s="1009">
        <f t="shared" si="19"/>
        <v>140</v>
      </c>
      <c r="U56" s="1010">
        <f t="shared" si="20"/>
        <v>2.3728813559322033</v>
      </c>
      <c r="V56" s="1008">
        <v>530</v>
      </c>
      <c r="W56" s="1009">
        <f t="shared" si="21"/>
        <v>-390</v>
      </c>
      <c r="X56" s="1010">
        <f t="shared" si="22"/>
        <v>-6.6101694915254239</v>
      </c>
      <c r="Y56" s="1008">
        <v>530</v>
      </c>
      <c r="Z56" s="1009">
        <f t="shared" si="23"/>
        <v>-920</v>
      </c>
      <c r="AA56" s="1010">
        <f t="shared" si="24"/>
        <v>-15.59322033898305</v>
      </c>
      <c r="AB56" s="1008">
        <v>530</v>
      </c>
      <c r="AC56" s="1009">
        <f t="shared" si="25"/>
        <v>-1450</v>
      </c>
      <c r="AD56" s="1010">
        <f t="shared" si="26"/>
        <v>-24.576271186440678</v>
      </c>
    </row>
    <row r="57" spans="1:30" s="87" customFormat="1" ht="38.25" thickBot="1">
      <c r="A57" s="1209" t="s">
        <v>105</v>
      </c>
      <c r="B57" s="1013" t="s">
        <v>512</v>
      </c>
      <c r="C57" s="1014" t="s">
        <v>260</v>
      </c>
      <c r="D57" s="1190" t="s">
        <v>576</v>
      </c>
      <c r="E57" s="928">
        <v>12</v>
      </c>
      <c r="F57" s="929">
        <v>62</v>
      </c>
      <c r="G57" s="930" t="s">
        <v>259</v>
      </c>
      <c r="H57" s="973" t="s">
        <v>324</v>
      </c>
      <c r="I57" s="965">
        <f>20*24-24-24</f>
        <v>432</v>
      </c>
      <c r="J57" s="955">
        <v>0</v>
      </c>
      <c r="K57" s="959">
        <f t="shared" si="6"/>
        <v>432</v>
      </c>
      <c r="L57" s="947">
        <f t="shared" si="14"/>
        <v>6.967741935483871</v>
      </c>
      <c r="M57" s="955">
        <v>0</v>
      </c>
      <c r="N57" s="959">
        <f t="shared" si="15"/>
        <v>432</v>
      </c>
      <c r="O57" s="947">
        <f t="shared" si="16"/>
        <v>6.967741935483871</v>
      </c>
      <c r="P57" s="955">
        <v>0</v>
      </c>
      <c r="Q57" s="959">
        <f t="shared" si="17"/>
        <v>432</v>
      </c>
      <c r="R57" s="947">
        <f t="shared" si="18"/>
        <v>6.967741935483871</v>
      </c>
      <c r="S57" s="955">
        <v>192</v>
      </c>
      <c r="T57" s="959">
        <f t="shared" si="19"/>
        <v>240</v>
      </c>
      <c r="U57" s="947">
        <f t="shared" si="20"/>
        <v>3.870967741935484</v>
      </c>
      <c r="V57" s="955">
        <v>192</v>
      </c>
      <c r="W57" s="959">
        <f t="shared" si="21"/>
        <v>48</v>
      </c>
      <c r="X57" s="947">
        <f t="shared" si="22"/>
        <v>0.77419354838709675</v>
      </c>
      <c r="Y57" s="955">
        <v>216</v>
      </c>
      <c r="Z57" s="959">
        <f t="shared" si="23"/>
        <v>-168</v>
      </c>
      <c r="AA57" s="947">
        <f t="shared" si="24"/>
        <v>-2.7096774193548385</v>
      </c>
      <c r="AB57" s="955">
        <v>216</v>
      </c>
      <c r="AC57" s="959">
        <f t="shared" si="25"/>
        <v>-384</v>
      </c>
      <c r="AD57" s="947">
        <f t="shared" si="26"/>
        <v>-6.193548387096774</v>
      </c>
    </row>
    <row r="58" spans="1:30" s="87" customFormat="1" ht="38.25" thickBot="1">
      <c r="A58" s="1206"/>
      <c r="B58" s="939" t="s">
        <v>505</v>
      </c>
      <c r="C58" s="922" t="s">
        <v>258</v>
      </c>
      <c r="D58" s="1191"/>
      <c r="E58" s="1197">
        <v>11</v>
      </c>
      <c r="F58" s="931">
        <v>63</v>
      </c>
      <c r="G58" s="924" t="s">
        <v>257</v>
      </c>
      <c r="H58" s="974" t="s">
        <v>330</v>
      </c>
      <c r="I58" s="966">
        <v>487</v>
      </c>
      <c r="J58" s="948">
        <v>0</v>
      </c>
      <c r="K58" s="959">
        <f t="shared" si="6"/>
        <v>487</v>
      </c>
      <c r="L58" s="950">
        <f t="shared" si="14"/>
        <v>7.7301587301587302</v>
      </c>
      <c r="M58" s="948">
        <v>0</v>
      </c>
      <c r="N58" s="960">
        <f t="shared" si="15"/>
        <v>487</v>
      </c>
      <c r="O58" s="950">
        <f t="shared" si="16"/>
        <v>7.7301587301587302</v>
      </c>
      <c r="P58" s="948">
        <v>0</v>
      </c>
      <c r="Q58" s="960">
        <f t="shared" si="17"/>
        <v>487</v>
      </c>
      <c r="R58" s="950">
        <f t="shared" si="18"/>
        <v>7.7301587301587302</v>
      </c>
      <c r="S58" s="948">
        <v>175</v>
      </c>
      <c r="T58" s="960">
        <f t="shared" si="19"/>
        <v>312</v>
      </c>
      <c r="U58" s="950">
        <f t="shared" si="20"/>
        <v>4.9523809523809526</v>
      </c>
      <c r="V58" s="948">
        <v>125</v>
      </c>
      <c r="W58" s="960">
        <f t="shared" si="21"/>
        <v>187</v>
      </c>
      <c r="X58" s="950">
        <f t="shared" si="22"/>
        <v>2.9682539682539684</v>
      </c>
      <c r="Y58" s="948">
        <v>175</v>
      </c>
      <c r="Z58" s="960">
        <f t="shared" si="23"/>
        <v>12</v>
      </c>
      <c r="AA58" s="950">
        <f t="shared" si="24"/>
        <v>0.19047619047619047</v>
      </c>
      <c r="AB58" s="948">
        <v>175</v>
      </c>
      <c r="AC58" s="960">
        <f t="shared" si="25"/>
        <v>-163</v>
      </c>
      <c r="AD58" s="950">
        <f t="shared" si="26"/>
        <v>-2.5873015873015874</v>
      </c>
    </row>
    <row r="59" spans="1:30" s="87" customFormat="1" ht="38.25" thickBot="1">
      <c r="A59" s="1206"/>
      <c r="B59" s="939" t="s">
        <v>505</v>
      </c>
      <c r="C59" s="922" t="s">
        <v>256</v>
      </c>
      <c r="D59" s="1192"/>
      <c r="E59" s="1197"/>
      <c r="F59" s="931">
        <v>63</v>
      </c>
      <c r="G59" s="924" t="s">
        <v>255</v>
      </c>
      <c r="H59" s="974" t="s">
        <v>329</v>
      </c>
      <c r="I59" s="966">
        <v>43</v>
      </c>
      <c r="J59" s="948">
        <v>0</v>
      </c>
      <c r="K59" s="959">
        <f t="shared" si="6"/>
        <v>43</v>
      </c>
      <c r="L59" s="950">
        <f t="shared" si="14"/>
        <v>0.68253968253968256</v>
      </c>
      <c r="M59" s="948">
        <v>0</v>
      </c>
      <c r="N59" s="960">
        <f t="shared" si="15"/>
        <v>43</v>
      </c>
      <c r="O59" s="950">
        <f t="shared" si="16"/>
        <v>0.68253968253968256</v>
      </c>
      <c r="P59" s="948">
        <v>0</v>
      </c>
      <c r="Q59" s="960">
        <f t="shared" si="17"/>
        <v>43</v>
      </c>
      <c r="R59" s="950">
        <f t="shared" si="18"/>
        <v>0.68253968253968256</v>
      </c>
      <c r="S59" s="948">
        <v>175</v>
      </c>
      <c r="T59" s="960">
        <f t="shared" si="19"/>
        <v>-132</v>
      </c>
      <c r="U59" s="950">
        <f t="shared" si="20"/>
        <v>-2.0952380952380953</v>
      </c>
      <c r="V59" s="948">
        <v>125</v>
      </c>
      <c r="W59" s="960">
        <f t="shared" si="21"/>
        <v>-257</v>
      </c>
      <c r="X59" s="950">
        <f t="shared" si="22"/>
        <v>-4.0793650793650791</v>
      </c>
      <c r="Y59" s="948">
        <v>175</v>
      </c>
      <c r="Z59" s="960">
        <f t="shared" si="23"/>
        <v>-432</v>
      </c>
      <c r="AA59" s="950">
        <f t="shared" si="24"/>
        <v>-6.8571428571428568</v>
      </c>
      <c r="AB59" s="948">
        <v>175</v>
      </c>
      <c r="AC59" s="960">
        <f t="shared" si="25"/>
        <v>-607</v>
      </c>
      <c r="AD59" s="950">
        <f t="shared" si="26"/>
        <v>-9.6349206349206344</v>
      </c>
    </row>
    <row r="60" spans="1:30" ht="38.25" thickBot="1">
      <c r="A60" s="1206"/>
      <c r="B60" s="1202" t="s">
        <v>507</v>
      </c>
      <c r="C60" s="904" t="s">
        <v>80</v>
      </c>
      <c r="D60" s="1179" t="s">
        <v>577</v>
      </c>
      <c r="E60" s="904">
        <v>816</v>
      </c>
      <c r="F60" s="897">
        <v>69</v>
      </c>
      <c r="G60" s="644" t="s">
        <v>425</v>
      </c>
      <c r="H60" s="1162" t="s">
        <v>326</v>
      </c>
      <c r="I60" s="966">
        <v>640</v>
      </c>
      <c r="J60" s="948">
        <v>0</v>
      </c>
      <c r="K60" s="959">
        <f t="shared" si="6"/>
        <v>640</v>
      </c>
      <c r="L60" s="950">
        <f t="shared" si="14"/>
        <v>9.27536231884058</v>
      </c>
      <c r="M60" s="948">
        <v>0</v>
      </c>
      <c r="N60" s="960">
        <f t="shared" si="15"/>
        <v>640</v>
      </c>
      <c r="O60" s="950">
        <f t="shared" si="16"/>
        <v>9.27536231884058</v>
      </c>
      <c r="P60" s="948">
        <v>0</v>
      </c>
      <c r="Q60" s="960">
        <f t="shared" si="17"/>
        <v>640</v>
      </c>
      <c r="R60" s="950">
        <f t="shared" si="18"/>
        <v>9.27536231884058</v>
      </c>
      <c r="S60" s="948">
        <v>70</v>
      </c>
      <c r="T60" s="960">
        <f t="shared" si="19"/>
        <v>570</v>
      </c>
      <c r="U60" s="950">
        <f t="shared" si="20"/>
        <v>8.2608695652173907</v>
      </c>
      <c r="V60" s="948">
        <v>70</v>
      </c>
      <c r="W60" s="960">
        <f t="shared" si="21"/>
        <v>500</v>
      </c>
      <c r="X60" s="950">
        <f t="shared" si="22"/>
        <v>7.2463768115942031</v>
      </c>
      <c r="Y60" s="948">
        <v>70</v>
      </c>
      <c r="Z60" s="960">
        <f t="shared" si="23"/>
        <v>430</v>
      </c>
      <c r="AA60" s="950">
        <f t="shared" si="24"/>
        <v>6.2318840579710146</v>
      </c>
      <c r="AB60" s="948">
        <v>70</v>
      </c>
      <c r="AC60" s="960">
        <f t="shared" si="25"/>
        <v>360</v>
      </c>
      <c r="AD60" s="950">
        <f t="shared" si="26"/>
        <v>5.2173913043478262</v>
      </c>
    </row>
    <row r="61" spans="1:30" ht="38.25" thickBot="1">
      <c r="A61" s="1206"/>
      <c r="B61" s="1202"/>
      <c r="C61" s="904" t="s">
        <v>81</v>
      </c>
      <c r="D61" s="1180"/>
      <c r="E61" s="904">
        <v>816</v>
      </c>
      <c r="F61" s="897">
        <v>69</v>
      </c>
      <c r="G61" s="644" t="s">
        <v>508</v>
      </c>
      <c r="H61" s="1162"/>
      <c r="I61" s="966">
        <v>248</v>
      </c>
      <c r="J61" s="948">
        <v>0</v>
      </c>
      <c r="K61" s="959">
        <f t="shared" si="6"/>
        <v>248</v>
      </c>
      <c r="L61" s="950">
        <f t="shared" si="14"/>
        <v>3.5942028985507246</v>
      </c>
      <c r="M61" s="948">
        <v>0</v>
      </c>
      <c r="N61" s="960">
        <f t="shared" si="15"/>
        <v>248</v>
      </c>
      <c r="O61" s="950">
        <f t="shared" si="16"/>
        <v>3.5942028985507246</v>
      </c>
      <c r="P61" s="948">
        <v>0</v>
      </c>
      <c r="Q61" s="960">
        <f t="shared" si="17"/>
        <v>248</v>
      </c>
      <c r="R61" s="950">
        <f t="shared" si="18"/>
        <v>3.5942028985507246</v>
      </c>
      <c r="S61" s="948">
        <v>70</v>
      </c>
      <c r="T61" s="960">
        <f t="shared" si="19"/>
        <v>178</v>
      </c>
      <c r="U61" s="950">
        <f t="shared" si="20"/>
        <v>2.5797101449275361</v>
      </c>
      <c r="V61" s="948">
        <v>70</v>
      </c>
      <c r="W61" s="960">
        <f t="shared" si="21"/>
        <v>108</v>
      </c>
      <c r="X61" s="950">
        <f t="shared" si="22"/>
        <v>1.5652173913043479</v>
      </c>
      <c r="Y61" s="948">
        <v>70</v>
      </c>
      <c r="Z61" s="960">
        <f t="shared" si="23"/>
        <v>38</v>
      </c>
      <c r="AA61" s="950">
        <f t="shared" si="24"/>
        <v>0.55072463768115942</v>
      </c>
      <c r="AB61" s="948">
        <v>70</v>
      </c>
      <c r="AC61" s="960">
        <f t="shared" si="25"/>
        <v>-32</v>
      </c>
      <c r="AD61" s="950">
        <f t="shared" si="26"/>
        <v>-0.46376811594202899</v>
      </c>
    </row>
    <row r="62" spans="1:30" ht="38.25" thickBot="1">
      <c r="A62" s="1206"/>
      <c r="B62" s="1202" t="s">
        <v>507</v>
      </c>
      <c r="C62" s="907" t="s">
        <v>82</v>
      </c>
      <c r="D62" s="1180"/>
      <c r="E62" s="907">
        <v>496</v>
      </c>
      <c r="F62" s="897">
        <v>70</v>
      </c>
      <c r="G62" s="644" t="s">
        <v>509</v>
      </c>
      <c r="H62" s="1162" t="s">
        <v>327</v>
      </c>
      <c r="I62" s="966">
        <v>480</v>
      </c>
      <c r="J62" s="948">
        <v>0</v>
      </c>
      <c r="K62" s="959">
        <f t="shared" si="6"/>
        <v>480</v>
      </c>
      <c r="L62" s="950">
        <f t="shared" si="14"/>
        <v>6.8571428571428568</v>
      </c>
      <c r="M62" s="948">
        <v>0</v>
      </c>
      <c r="N62" s="960">
        <f t="shared" si="15"/>
        <v>480</v>
      </c>
      <c r="O62" s="950">
        <f t="shared" si="16"/>
        <v>6.8571428571428568</v>
      </c>
      <c r="P62" s="948">
        <v>0</v>
      </c>
      <c r="Q62" s="960">
        <f t="shared" si="17"/>
        <v>480</v>
      </c>
      <c r="R62" s="950">
        <f t="shared" si="18"/>
        <v>6.8571428571428568</v>
      </c>
      <c r="S62" s="948">
        <v>110</v>
      </c>
      <c r="T62" s="960">
        <f t="shared" si="19"/>
        <v>370</v>
      </c>
      <c r="U62" s="950">
        <f t="shared" si="20"/>
        <v>5.2857142857142856</v>
      </c>
      <c r="V62" s="948">
        <v>110</v>
      </c>
      <c r="W62" s="960">
        <f t="shared" si="21"/>
        <v>260</v>
      </c>
      <c r="X62" s="950">
        <f t="shared" si="22"/>
        <v>3.7142857142857144</v>
      </c>
      <c r="Y62" s="948">
        <v>110</v>
      </c>
      <c r="Z62" s="960">
        <f t="shared" si="23"/>
        <v>150</v>
      </c>
      <c r="AA62" s="950">
        <f t="shared" si="24"/>
        <v>2.1428571428571428</v>
      </c>
      <c r="AB62" s="948">
        <v>110</v>
      </c>
      <c r="AC62" s="960">
        <f t="shared" si="25"/>
        <v>40</v>
      </c>
      <c r="AD62" s="950">
        <f t="shared" si="26"/>
        <v>0.5714285714285714</v>
      </c>
    </row>
    <row r="63" spans="1:30" ht="38.25" thickBot="1">
      <c r="A63" s="1206"/>
      <c r="B63" s="1202"/>
      <c r="C63" s="904" t="s">
        <v>83</v>
      </c>
      <c r="D63" s="1180"/>
      <c r="E63" s="904">
        <v>496</v>
      </c>
      <c r="F63" s="913">
        <v>70</v>
      </c>
      <c r="G63" s="637" t="s">
        <v>510</v>
      </c>
      <c r="H63" s="1162"/>
      <c r="I63" s="966">
        <v>264</v>
      </c>
      <c r="J63" s="948">
        <v>0</v>
      </c>
      <c r="K63" s="959">
        <f t="shared" si="6"/>
        <v>264</v>
      </c>
      <c r="L63" s="950">
        <f t="shared" si="14"/>
        <v>3.7714285714285714</v>
      </c>
      <c r="M63" s="948">
        <v>0</v>
      </c>
      <c r="N63" s="960">
        <f t="shared" si="15"/>
        <v>264</v>
      </c>
      <c r="O63" s="950">
        <f t="shared" si="16"/>
        <v>3.7714285714285714</v>
      </c>
      <c r="P63" s="948">
        <v>0</v>
      </c>
      <c r="Q63" s="960">
        <f t="shared" si="17"/>
        <v>264</v>
      </c>
      <c r="R63" s="950">
        <f t="shared" si="18"/>
        <v>3.7714285714285714</v>
      </c>
      <c r="S63" s="948">
        <v>110</v>
      </c>
      <c r="T63" s="960">
        <f t="shared" si="19"/>
        <v>154</v>
      </c>
      <c r="U63" s="950">
        <f t="shared" si="20"/>
        <v>2.2000000000000002</v>
      </c>
      <c r="V63" s="948">
        <v>110</v>
      </c>
      <c r="W63" s="960">
        <f t="shared" si="21"/>
        <v>44</v>
      </c>
      <c r="X63" s="950">
        <f t="shared" si="22"/>
        <v>0.62857142857142856</v>
      </c>
      <c r="Y63" s="948">
        <v>110</v>
      </c>
      <c r="Z63" s="960">
        <f t="shared" si="23"/>
        <v>-66</v>
      </c>
      <c r="AA63" s="950">
        <f t="shared" si="24"/>
        <v>-0.94285714285714284</v>
      </c>
      <c r="AB63" s="948">
        <v>110</v>
      </c>
      <c r="AC63" s="960">
        <f t="shared" si="25"/>
        <v>-176</v>
      </c>
      <c r="AD63" s="950">
        <f t="shared" si="26"/>
        <v>-2.5142857142857142</v>
      </c>
    </row>
    <row r="64" spans="1:30" ht="38.25" thickBot="1">
      <c r="A64" s="1207"/>
      <c r="B64" s="938" t="s">
        <v>505</v>
      </c>
      <c r="C64" s="899" t="s">
        <v>79</v>
      </c>
      <c r="D64" s="1194"/>
      <c r="E64" s="899">
        <v>880</v>
      </c>
      <c r="F64" s="920">
        <v>72</v>
      </c>
      <c r="G64" s="921" t="s">
        <v>27</v>
      </c>
      <c r="H64" s="977" t="s">
        <v>325</v>
      </c>
      <c r="I64" s="967">
        <v>181</v>
      </c>
      <c r="J64" s="952">
        <v>0</v>
      </c>
      <c r="K64" s="959">
        <f t="shared" si="6"/>
        <v>181</v>
      </c>
      <c r="L64" s="954">
        <f t="shared" si="14"/>
        <v>2.5138888888888888</v>
      </c>
      <c r="M64" s="952">
        <v>0</v>
      </c>
      <c r="N64" s="961">
        <f t="shared" si="15"/>
        <v>181</v>
      </c>
      <c r="O64" s="954">
        <f t="shared" si="16"/>
        <v>2.5138888888888888</v>
      </c>
      <c r="P64" s="952">
        <v>0</v>
      </c>
      <c r="Q64" s="961">
        <f t="shared" si="17"/>
        <v>181</v>
      </c>
      <c r="R64" s="954">
        <f t="shared" si="18"/>
        <v>2.5138888888888888</v>
      </c>
      <c r="S64" s="952">
        <v>230</v>
      </c>
      <c r="T64" s="961">
        <f t="shared" si="19"/>
        <v>-49</v>
      </c>
      <c r="U64" s="954">
        <f t="shared" si="20"/>
        <v>-0.68055555555555558</v>
      </c>
      <c r="V64" s="952">
        <v>230</v>
      </c>
      <c r="W64" s="961">
        <f t="shared" si="21"/>
        <v>-279</v>
      </c>
      <c r="X64" s="954">
        <f t="shared" si="22"/>
        <v>-3.875</v>
      </c>
      <c r="Y64" s="952">
        <v>230</v>
      </c>
      <c r="Z64" s="961">
        <f t="shared" si="23"/>
        <v>-509</v>
      </c>
      <c r="AA64" s="954">
        <f t="shared" si="24"/>
        <v>-7.0694444444444446</v>
      </c>
      <c r="AB64" s="952">
        <v>230</v>
      </c>
      <c r="AC64" s="961">
        <f t="shared" si="25"/>
        <v>-739</v>
      </c>
      <c r="AD64" s="954">
        <f t="shared" si="26"/>
        <v>-10.263888888888889</v>
      </c>
    </row>
    <row r="65" spans="1:30" s="87" customFormat="1" ht="36.75" customHeight="1" thickBot="1">
      <c r="A65" s="1205" t="s">
        <v>104</v>
      </c>
      <c r="B65" s="1211" t="s">
        <v>513</v>
      </c>
      <c r="C65" s="927" t="s">
        <v>269</v>
      </c>
      <c r="D65" s="1190" t="s">
        <v>576</v>
      </c>
      <c r="E65" s="928">
        <v>267</v>
      </c>
      <c r="F65" s="929">
        <v>75</v>
      </c>
      <c r="G65" s="930" t="s">
        <v>268</v>
      </c>
      <c r="H65" s="1164" t="s">
        <v>557</v>
      </c>
      <c r="I65" s="965">
        <v>1193</v>
      </c>
      <c r="J65" s="955">
        <v>0</v>
      </c>
      <c r="K65" s="959">
        <f t="shared" si="6"/>
        <v>1193</v>
      </c>
      <c r="L65" s="947">
        <f t="shared" si="14"/>
        <v>15.906666666666666</v>
      </c>
      <c r="M65" s="955">
        <v>0</v>
      </c>
      <c r="N65" s="959">
        <f t="shared" si="15"/>
        <v>1193</v>
      </c>
      <c r="O65" s="947">
        <f t="shared" si="16"/>
        <v>15.906666666666666</v>
      </c>
      <c r="P65" s="955">
        <v>0</v>
      </c>
      <c r="Q65" s="959">
        <f t="shared" si="17"/>
        <v>1193</v>
      </c>
      <c r="R65" s="947">
        <f t="shared" si="18"/>
        <v>15.906666666666666</v>
      </c>
      <c r="S65" s="955">
        <v>300</v>
      </c>
      <c r="T65" s="959">
        <f t="shared" si="19"/>
        <v>893</v>
      </c>
      <c r="U65" s="947">
        <f t="shared" si="20"/>
        <v>11.906666666666666</v>
      </c>
      <c r="V65" s="955">
        <v>300</v>
      </c>
      <c r="W65" s="959">
        <f t="shared" si="21"/>
        <v>593</v>
      </c>
      <c r="X65" s="947">
        <f t="shared" si="22"/>
        <v>7.9066666666666663</v>
      </c>
      <c r="Y65" s="955">
        <v>300</v>
      </c>
      <c r="Z65" s="959">
        <f t="shared" si="23"/>
        <v>293</v>
      </c>
      <c r="AA65" s="947">
        <f t="shared" si="24"/>
        <v>3.9066666666666667</v>
      </c>
      <c r="AB65" s="955">
        <v>300</v>
      </c>
      <c r="AC65" s="959">
        <f t="shared" si="25"/>
        <v>-7</v>
      </c>
      <c r="AD65" s="947">
        <f t="shared" si="26"/>
        <v>-9.3333333333333338E-2</v>
      </c>
    </row>
    <row r="66" spans="1:30" s="87" customFormat="1" ht="38.25" thickBot="1">
      <c r="A66" s="1206"/>
      <c r="B66" s="1212"/>
      <c r="C66" s="922" t="s">
        <v>267</v>
      </c>
      <c r="D66" s="1191"/>
      <c r="E66" s="923">
        <v>360</v>
      </c>
      <c r="F66" s="932">
        <v>225</v>
      </c>
      <c r="G66" s="924" t="s">
        <v>266</v>
      </c>
      <c r="H66" s="1165"/>
      <c r="I66" s="966">
        <f>300+450</f>
        <v>750</v>
      </c>
      <c r="J66" s="958">
        <v>0</v>
      </c>
      <c r="K66" s="959">
        <f t="shared" si="6"/>
        <v>750</v>
      </c>
      <c r="L66" s="950">
        <f t="shared" si="14"/>
        <v>3.3333333333333335</v>
      </c>
      <c r="M66" s="958">
        <v>0</v>
      </c>
      <c r="N66" s="960">
        <f t="shared" si="15"/>
        <v>750</v>
      </c>
      <c r="O66" s="950">
        <f t="shared" si="16"/>
        <v>3.3333333333333335</v>
      </c>
      <c r="P66" s="958">
        <v>0</v>
      </c>
      <c r="Q66" s="960">
        <f t="shared" si="17"/>
        <v>750</v>
      </c>
      <c r="R66" s="950">
        <f t="shared" si="18"/>
        <v>3.3333333333333335</v>
      </c>
      <c r="S66" s="958">
        <v>300</v>
      </c>
      <c r="T66" s="960">
        <f t="shared" si="19"/>
        <v>450</v>
      </c>
      <c r="U66" s="950">
        <f t="shared" si="20"/>
        <v>2</v>
      </c>
      <c r="V66" s="958">
        <v>300</v>
      </c>
      <c r="W66" s="960">
        <f t="shared" si="21"/>
        <v>150</v>
      </c>
      <c r="X66" s="950">
        <f t="shared" si="22"/>
        <v>0.66666666666666663</v>
      </c>
      <c r="Y66" s="958">
        <v>275</v>
      </c>
      <c r="Z66" s="960">
        <f t="shared" si="23"/>
        <v>-125</v>
      </c>
      <c r="AA66" s="950">
        <f t="shared" si="24"/>
        <v>-0.55555555555555558</v>
      </c>
      <c r="AB66" s="958">
        <v>275</v>
      </c>
      <c r="AC66" s="960">
        <f t="shared" si="25"/>
        <v>-400</v>
      </c>
      <c r="AD66" s="950">
        <f t="shared" si="26"/>
        <v>-1.7777777777777777</v>
      </c>
    </row>
    <row r="67" spans="1:30" s="87" customFormat="1" ht="38.25" thickBot="1">
      <c r="A67" s="1206"/>
      <c r="B67" s="939" t="s">
        <v>505</v>
      </c>
      <c r="C67" s="922" t="s">
        <v>265</v>
      </c>
      <c r="D67" s="1192"/>
      <c r="E67" s="923">
        <v>123</v>
      </c>
      <c r="F67" s="933">
        <v>78</v>
      </c>
      <c r="G67" s="924" t="s">
        <v>264</v>
      </c>
      <c r="H67" s="974" t="s">
        <v>314</v>
      </c>
      <c r="I67" s="966">
        <f>294+315+21</f>
        <v>630</v>
      </c>
      <c r="J67" s="951">
        <v>0</v>
      </c>
      <c r="K67" s="959">
        <f t="shared" si="6"/>
        <v>630</v>
      </c>
      <c r="L67" s="950">
        <f t="shared" si="14"/>
        <v>8.0769230769230766</v>
      </c>
      <c r="M67" s="951">
        <v>0</v>
      </c>
      <c r="N67" s="960">
        <f t="shared" si="15"/>
        <v>630</v>
      </c>
      <c r="O67" s="950">
        <f t="shared" si="16"/>
        <v>8.0769230769230766</v>
      </c>
      <c r="P67" s="951">
        <v>0</v>
      </c>
      <c r="Q67" s="960">
        <f t="shared" si="17"/>
        <v>630</v>
      </c>
      <c r="R67" s="950">
        <f t="shared" si="18"/>
        <v>8.0769230769230766</v>
      </c>
      <c r="S67" s="951">
        <v>294</v>
      </c>
      <c r="T67" s="960">
        <f t="shared" si="19"/>
        <v>336</v>
      </c>
      <c r="U67" s="950">
        <f t="shared" si="20"/>
        <v>4.3076923076923075</v>
      </c>
      <c r="V67" s="951">
        <v>294</v>
      </c>
      <c r="W67" s="960">
        <f t="shared" si="21"/>
        <v>42</v>
      </c>
      <c r="X67" s="950">
        <f t="shared" si="22"/>
        <v>0.53846153846153844</v>
      </c>
      <c r="Y67" s="951">
        <v>294</v>
      </c>
      <c r="Z67" s="960">
        <f t="shared" si="23"/>
        <v>-252</v>
      </c>
      <c r="AA67" s="950">
        <f t="shared" si="24"/>
        <v>-3.2307692307692308</v>
      </c>
      <c r="AB67" s="951">
        <v>294</v>
      </c>
      <c r="AC67" s="960">
        <f t="shared" si="25"/>
        <v>-546</v>
      </c>
      <c r="AD67" s="950">
        <f t="shared" si="26"/>
        <v>-7</v>
      </c>
    </row>
    <row r="68" spans="1:30" ht="34.5" customHeight="1" thickBot="1">
      <c r="A68" s="1206"/>
      <c r="B68" s="1202" t="s">
        <v>515</v>
      </c>
      <c r="C68" s="904" t="s">
        <v>66</v>
      </c>
      <c r="D68" s="1179" t="s">
        <v>471</v>
      </c>
      <c r="E68" s="904">
        <v>1680</v>
      </c>
      <c r="F68" s="897">
        <v>60</v>
      </c>
      <c r="G68" s="644" t="s">
        <v>435</v>
      </c>
      <c r="H68" s="975" t="s">
        <v>315</v>
      </c>
      <c r="I68" s="966">
        <f>1320+615+612-185-125+552+155-74-185-77-566-50-156-181-185-185-46-176-175-185+404-154-162+172-170-185+574+528+480+536-140-495+370+572+574-324+544+569+575-185-154+479+576+570-371+443+97-294+515-9+576-714+362+170-245+431-174-165+338+345-356+580+612+581-307+538-17+512+209+314-310-305-94-139-341-264-361-8-122-175</f>
        <v>8109</v>
      </c>
      <c r="J68" s="948">
        <v>0</v>
      </c>
      <c r="K68" s="959">
        <f t="shared" si="6"/>
        <v>8109</v>
      </c>
      <c r="L68" s="950">
        <f t="shared" si="14"/>
        <v>135.15</v>
      </c>
      <c r="M68" s="948">
        <v>0</v>
      </c>
      <c r="N68" s="960">
        <f t="shared" si="15"/>
        <v>8109</v>
      </c>
      <c r="O68" s="950">
        <f t="shared" si="16"/>
        <v>135.15</v>
      </c>
      <c r="P68" s="948">
        <v>0</v>
      </c>
      <c r="Q68" s="960">
        <f t="shared" si="17"/>
        <v>8109</v>
      </c>
      <c r="R68" s="950">
        <f t="shared" si="18"/>
        <v>135.15</v>
      </c>
      <c r="S68" s="948">
        <v>360</v>
      </c>
      <c r="T68" s="960">
        <f t="shared" si="19"/>
        <v>7749</v>
      </c>
      <c r="U68" s="950">
        <f t="shared" si="20"/>
        <v>129.15</v>
      </c>
      <c r="V68" s="948">
        <v>360</v>
      </c>
      <c r="W68" s="960">
        <f t="shared" si="21"/>
        <v>7389</v>
      </c>
      <c r="X68" s="950">
        <f t="shared" si="22"/>
        <v>123.15</v>
      </c>
      <c r="Y68" s="948">
        <v>360</v>
      </c>
      <c r="Z68" s="960">
        <f t="shared" si="23"/>
        <v>7029</v>
      </c>
      <c r="AA68" s="950">
        <f t="shared" si="24"/>
        <v>117.15</v>
      </c>
      <c r="AB68" s="948">
        <v>360</v>
      </c>
      <c r="AC68" s="960">
        <f t="shared" si="25"/>
        <v>6669</v>
      </c>
      <c r="AD68" s="950">
        <f t="shared" si="26"/>
        <v>111.15</v>
      </c>
    </row>
    <row r="69" spans="1:30" ht="38.25" thickBot="1">
      <c r="A69" s="1206"/>
      <c r="B69" s="1202"/>
      <c r="C69" s="905" t="s">
        <v>58</v>
      </c>
      <c r="D69" s="1180"/>
      <c r="E69" s="905" t="s">
        <v>554</v>
      </c>
      <c r="F69" s="897">
        <v>144</v>
      </c>
      <c r="G69" s="644" t="s">
        <v>436</v>
      </c>
      <c r="H69" s="1162" t="s">
        <v>311</v>
      </c>
      <c r="I69" s="966">
        <v>1044</v>
      </c>
      <c r="J69" s="948">
        <v>0</v>
      </c>
      <c r="K69" s="959">
        <f t="shared" si="6"/>
        <v>1044</v>
      </c>
      <c r="L69" s="950">
        <f t="shared" si="14"/>
        <v>7.25</v>
      </c>
      <c r="M69" s="948">
        <v>0</v>
      </c>
      <c r="N69" s="960">
        <f t="shared" si="15"/>
        <v>1044</v>
      </c>
      <c r="O69" s="950">
        <f t="shared" si="16"/>
        <v>7.25</v>
      </c>
      <c r="P69" s="948">
        <v>0</v>
      </c>
      <c r="Q69" s="960">
        <f t="shared" si="17"/>
        <v>1044</v>
      </c>
      <c r="R69" s="950">
        <f t="shared" si="18"/>
        <v>7.25</v>
      </c>
      <c r="S69" s="948">
        <v>360</v>
      </c>
      <c r="T69" s="960">
        <f t="shared" si="19"/>
        <v>684</v>
      </c>
      <c r="U69" s="950">
        <f t="shared" si="20"/>
        <v>4.75</v>
      </c>
      <c r="V69" s="948">
        <v>360</v>
      </c>
      <c r="W69" s="960">
        <f t="shared" si="21"/>
        <v>324</v>
      </c>
      <c r="X69" s="950">
        <f t="shared" si="22"/>
        <v>2.25</v>
      </c>
      <c r="Y69" s="948">
        <v>360</v>
      </c>
      <c r="Z69" s="960">
        <f t="shared" si="23"/>
        <v>-36</v>
      </c>
      <c r="AA69" s="950">
        <f t="shared" si="24"/>
        <v>-0.25</v>
      </c>
      <c r="AB69" s="948">
        <v>360</v>
      </c>
      <c r="AC69" s="960">
        <f t="shared" si="25"/>
        <v>-396</v>
      </c>
      <c r="AD69" s="950">
        <f t="shared" si="26"/>
        <v>-2.75</v>
      </c>
    </row>
    <row r="70" spans="1:30" ht="38.25" thickBot="1">
      <c r="A70" s="1206"/>
      <c r="B70" s="1202"/>
      <c r="C70" s="905" t="s">
        <v>59</v>
      </c>
      <c r="D70" s="1180"/>
      <c r="E70" s="905" t="s">
        <v>554</v>
      </c>
      <c r="F70" s="897">
        <v>144</v>
      </c>
      <c r="G70" s="644" t="s">
        <v>437</v>
      </c>
      <c r="H70" s="1162"/>
      <c r="I70" s="966">
        <v>790</v>
      </c>
      <c r="J70" s="948">
        <v>0</v>
      </c>
      <c r="K70" s="959">
        <f t="shared" si="6"/>
        <v>790</v>
      </c>
      <c r="L70" s="950">
        <f t="shared" si="14"/>
        <v>5.4861111111111107</v>
      </c>
      <c r="M70" s="948">
        <v>0</v>
      </c>
      <c r="N70" s="960">
        <f t="shared" si="15"/>
        <v>790</v>
      </c>
      <c r="O70" s="950">
        <f t="shared" si="16"/>
        <v>5.4861111111111107</v>
      </c>
      <c r="P70" s="948">
        <v>0</v>
      </c>
      <c r="Q70" s="960">
        <f t="shared" si="17"/>
        <v>790</v>
      </c>
      <c r="R70" s="950">
        <f t="shared" si="18"/>
        <v>5.4861111111111107</v>
      </c>
      <c r="S70" s="948">
        <v>360</v>
      </c>
      <c r="T70" s="960">
        <f t="shared" si="19"/>
        <v>430</v>
      </c>
      <c r="U70" s="950">
        <f t="shared" si="20"/>
        <v>2.9861111111111112</v>
      </c>
      <c r="V70" s="948">
        <v>360</v>
      </c>
      <c r="W70" s="960">
        <f t="shared" si="21"/>
        <v>70</v>
      </c>
      <c r="X70" s="950">
        <f t="shared" si="22"/>
        <v>0.4861111111111111</v>
      </c>
      <c r="Y70" s="948">
        <v>360</v>
      </c>
      <c r="Z70" s="960">
        <f t="shared" si="23"/>
        <v>-290</v>
      </c>
      <c r="AA70" s="950">
        <f t="shared" si="24"/>
        <v>-2.0138888888888888</v>
      </c>
      <c r="AB70" s="948">
        <v>360</v>
      </c>
      <c r="AC70" s="960">
        <f t="shared" si="25"/>
        <v>-650</v>
      </c>
      <c r="AD70" s="950">
        <f t="shared" si="26"/>
        <v>-4.5138888888888893</v>
      </c>
    </row>
    <row r="71" spans="1:30" ht="32.25" customHeight="1" thickBot="1">
      <c r="A71" s="1206"/>
      <c r="B71" s="1202"/>
      <c r="C71" s="905" t="s">
        <v>64</v>
      </c>
      <c r="D71" s="1181"/>
      <c r="E71" s="905" t="s">
        <v>555</v>
      </c>
      <c r="F71" s="897">
        <v>144</v>
      </c>
      <c r="G71" s="644" t="s">
        <v>114</v>
      </c>
      <c r="H71" s="1162"/>
      <c r="I71" s="966">
        <v>2500</v>
      </c>
      <c r="J71" s="948">
        <v>0</v>
      </c>
      <c r="K71" s="959">
        <f t="shared" si="6"/>
        <v>2500</v>
      </c>
      <c r="L71" s="950">
        <f t="shared" si="14"/>
        <v>17.361111111111111</v>
      </c>
      <c r="M71" s="948">
        <v>0</v>
      </c>
      <c r="N71" s="960">
        <f t="shared" si="15"/>
        <v>2500</v>
      </c>
      <c r="O71" s="950">
        <f t="shared" si="16"/>
        <v>17.361111111111111</v>
      </c>
      <c r="P71" s="948">
        <v>0</v>
      </c>
      <c r="Q71" s="960">
        <f t="shared" si="17"/>
        <v>2500</v>
      </c>
      <c r="R71" s="950">
        <f t="shared" si="18"/>
        <v>17.361111111111111</v>
      </c>
      <c r="S71" s="948">
        <v>300</v>
      </c>
      <c r="T71" s="960">
        <f t="shared" si="19"/>
        <v>2200</v>
      </c>
      <c r="U71" s="950">
        <f t="shared" si="20"/>
        <v>15.277777777777779</v>
      </c>
      <c r="V71" s="948">
        <v>300</v>
      </c>
      <c r="W71" s="960">
        <f t="shared" si="21"/>
        <v>1900</v>
      </c>
      <c r="X71" s="950">
        <f t="shared" si="22"/>
        <v>13.194444444444445</v>
      </c>
      <c r="Y71" s="948">
        <v>300</v>
      </c>
      <c r="Z71" s="960">
        <f t="shared" si="23"/>
        <v>1600</v>
      </c>
      <c r="AA71" s="950">
        <f t="shared" si="24"/>
        <v>11.111111111111111</v>
      </c>
      <c r="AB71" s="948">
        <v>300</v>
      </c>
      <c r="AC71" s="960">
        <f t="shared" si="25"/>
        <v>1300</v>
      </c>
      <c r="AD71" s="950">
        <f t="shared" si="26"/>
        <v>9.0277777777777786</v>
      </c>
    </row>
    <row r="72" spans="1:30" ht="38.25" thickBot="1">
      <c r="A72" s="1206"/>
      <c r="B72" s="1202" t="s">
        <v>505</v>
      </c>
      <c r="C72" s="904" t="s">
        <v>67</v>
      </c>
      <c r="D72" s="1179" t="s">
        <v>577</v>
      </c>
      <c r="E72" s="904">
        <v>1600</v>
      </c>
      <c r="F72" s="897">
        <v>147</v>
      </c>
      <c r="G72" s="644" t="s">
        <v>409</v>
      </c>
      <c r="H72" s="1162" t="s">
        <v>316</v>
      </c>
      <c r="I72" s="966">
        <v>200</v>
      </c>
      <c r="J72" s="948">
        <v>0</v>
      </c>
      <c r="K72" s="959">
        <f>I72-J72</f>
        <v>200</v>
      </c>
      <c r="L72" s="950">
        <f t="shared" si="14"/>
        <v>1.3605442176870748</v>
      </c>
      <c r="M72" s="948">
        <v>0</v>
      </c>
      <c r="N72" s="960">
        <f t="shared" si="15"/>
        <v>200</v>
      </c>
      <c r="O72" s="950">
        <f t="shared" si="16"/>
        <v>1.3605442176870748</v>
      </c>
      <c r="P72" s="948">
        <v>0</v>
      </c>
      <c r="Q72" s="960">
        <f t="shared" si="17"/>
        <v>200</v>
      </c>
      <c r="R72" s="950">
        <f t="shared" si="18"/>
        <v>1.3605442176870748</v>
      </c>
      <c r="S72" s="948">
        <v>300</v>
      </c>
      <c r="T72" s="960">
        <f t="shared" si="19"/>
        <v>-100</v>
      </c>
      <c r="U72" s="950">
        <f t="shared" si="20"/>
        <v>-0.68027210884353739</v>
      </c>
      <c r="V72" s="948">
        <v>300</v>
      </c>
      <c r="W72" s="960">
        <f t="shared" si="21"/>
        <v>-400</v>
      </c>
      <c r="X72" s="950">
        <f t="shared" si="22"/>
        <v>-2.7210884353741496</v>
      </c>
      <c r="Y72" s="948">
        <v>300</v>
      </c>
      <c r="Z72" s="960">
        <f t="shared" si="23"/>
        <v>-700</v>
      </c>
      <c r="AA72" s="950">
        <f t="shared" si="24"/>
        <v>-4.7619047619047619</v>
      </c>
      <c r="AB72" s="948">
        <v>300</v>
      </c>
      <c r="AC72" s="960">
        <f t="shared" si="25"/>
        <v>-1000</v>
      </c>
      <c r="AD72" s="950">
        <f t="shared" si="26"/>
        <v>-6.8027210884353737</v>
      </c>
    </row>
    <row r="73" spans="1:30" ht="38.25" thickBot="1">
      <c r="A73" s="1207"/>
      <c r="B73" s="1210"/>
      <c r="C73" s="917" t="s">
        <v>68</v>
      </c>
      <c r="D73" s="1194"/>
      <c r="E73" s="917">
        <v>1600</v>
      </c>
      <c r="F73" s="914">
        <v>147</v>
      </c>
      <c r="G73" s="648" t="s">
        <v>410</v>
      </c>
      <c r="H73" s="1163"/>
      <c r="I73" s="967">
        <v>470</v>
      </c>
      <c r="J73" s="952">
        <v>0</v>
      </c>
      <c r="K73" s="959">
        <f>I73-J73</f>
        <v>470</v>
      </c>
      <c r="L73" s="954">
        <f t="shared" si="14"/>
        <v>3.1972789115646258</v>
      </c>
      <c r="M73" s="952">
        <v>0</v>
      </c>
      <c r="N73" s="961">
        <f t="shared" si="15"/>
        <v>470</v>
      </c>
      <c r="O73" s="954">
        <f t="shared" si="16"/>
        <v>3.1972789115646258</v>
      </c>
      <c r="P73" s="952">
        <v>0</v>
      </c>
      <c r="Q73" s="961">
        <f t="shared" si="17"/>
        <v>470</v>
      </c>
      <c r="R73" s="954">
        <f t="shared" si="18"/>
        <v>3.1972789115646258</v>
      </c>
      <c r="S73" s="952">
        <v>300</v>
      </c>
      <c r="T73" s="961">
        <f t="shared" si="19"/>
        <v>170</v>
      </c>
      <c r="U73" s="954">
        <f t="shared" si="20"/>
        <v>1.1564625850340136</v>
      </c>
      <c r="V73" s="952">
        <v>300</v>
      </c>
      <c r="W73" s="961">
        <f t="shared" si="21"/>
        <v>-130</v>
      </c>
      <c r="X73" s="954">
        <f t="shared" si="22"/>
        <v>-0.88435374149659862</v>
      </c>
      <c r="Y73" s="952">
        <v>300</v>
      </c>
      <c r="Z73" s="961">
        <f t="shared" si="23"/>
        <v>-430</v>
      </c>
      <c r="AA73" s="954">
        <f t="shared" si="24"/>
        <v>-2.925170068027211</v>
      </c>
      <c r="AB73" s="952">
        <v>300</v>
      </c>
      <c r="AC73" s="961">
        <f t="shared" si="25"/>
        <v>-730</v>
      </c>
      <c r="AD73" s="954">
        <f t="shared" si="26"/>
        <v>-4.9659863945578229</v>
      </c>
    </row>
    <row r="74" spans="1:30" ht="13.5" customHeight="1">
      <c r="I74" s="968"/>
      <c r="P74" s="991"/>
    </row>
  </sheetData>
  <autoFilter ref="G1:G74"/>
  <mergeCells count="79">
    <mergeCell ref="A5:A6"/>
    <mergeCell ref="A7:A14"/>
    <mergeCell ref="B39:B40"/>
    <mergeCell ref="A15:A22"/>
    <mergeCell ref="A23:A30"/>
    <mergeCell ref="B37:B38"/>
    <mergeCell ref="A31:A40"/>
    <mergeCell ref="B19:B20"/>
    <mergeCell ref="B21:B22"/>
    <mergeCell ref="B17:B18"/>
    <mergeCell ref="B28:B30"/>
    <mergeCell ref="B5:B6"/>
    <mergeCell ref="B26:B27"/>
    <mergeCell ref="AB5:AD5"/>
    <mergeCell ref="V5:X5"/>
    <mergeCell ref="S5:U5"/>
    <mergeCell ref="J5:L5"/>
    <mergeCell ref="D17:D20"/>
    <mergeCell ref="I5:I6"/>
    <mergeCell ref="F5:F6"/>
    <mergeCell ref="D7:D16"/>
    <mergeCell ref="D5:D6"/>
    <mergeCell ref="E17:E18"/>
    <mergeCell ref="H5:H6"/>
    <mergeCell ref="G5:G6"/>
    <mergeCell ref="P5:R5"/>
    <mergeCell ref="H17:H18"/>
    <mergeCell ref="M5:O5"/>
    <mergeCell ref="E8:E11"/>
    <mergeCell ref="A41:A48"/>
    <mergeCell ref="B62:B63"/>
    <mergeCell ref="D60:D64"/>
    <mergeCell ref="D52:D56"/>
    <mergeCell ref="B60:B61"/>
    <mergeCell ref="B68:B71"/>
    <mergeCell ref="A65:A73"/>
    <mergeCell ref="A49:A54"/>
    <mergeCell ref="A57:A64"/>
    <mergeCell ref="D65:D67"/>
    <mergeCell ref="B72:B73"/>
    <mergeCell ref="B65:B66"/>
    <mergeCell ref="D72:D73"/>
    <mergeCell ref="D31:D40"/>
    <mergeCell ref="B32:B33"/>
    <mergeCell ref="D45:D48"/>
    <mergeCell ref="D25:D27"/>
    <mergeCell ref="B35:B36"/>
    <mergeCell ref="H72:H73"/>
    <mergeCell ref="D68:D71"/>
    <mergeCell ref="H21:H22"/>
    <mergeCell ref="D41:D44"/>
    <mergeCell ref="E52:E54"/>
    <mergeCell ref="E46:E48"/>
    <mergeCell ref="D57:D59"/>
    <mergeCell ref="H60:H61"/>
    <mergeCell ref="D49:D51"/>
    <mergeCell ref="D21:D22"/>
    <mergeCell ref="H34:H36"/>
    <mergeCell ref="H26:H27"/>
    <mergeCell ref="E58:E59"/>
    <mergeCell ref="H37:H38"/>
    <mergeCell ref="H31:H33"/>
    <mergeCell ref="H69:H71"/>
    <mergeCell ref="E5:E6"/>
    <mergeCell ref="E19:E20"/>
    <mergeCell ref="E28:E30"/>
    <mergeCell ref="U1:AA4"/>
    <mergeCell ref="C1:I4"/>
    <mergeCell ref="H28:H30"/>
    <mergeCell ref="H19:H20"/>
    <mergeCell ref="Y5:AA5"/>
    <mergeCell ref="D28:D30"/>
    <mergeCell ref="C5:C6"/>
    <mergeCell ref="H46:H48"/>
    <mergeCell ref="H52:H54"/>
    <mergeCell ref="H39:H40"/>
    <mergeCell ref="H62:H63"/>
    <mergeCell ref="H65:H66"/>
    <mergeCell ref="H42:H43"/>
  </mergeCells>
  <conditionalFormatting sqref="I5">
    <cfRule type="cellIs" dxfId="94" priority="377" stopIfTrue="1" operator="lessThan">
      <formula>0</formula>
    </cfRule>
  </conditionalFormatting>
  <conditionalFormatting sqref="K7:L7 L32:L33 L35:L73 N7:O30 N32:O33 N35:O73 L8:L30 K8:K73 Q7:R30 Q32:R33 Q35:R73 T7:U30 T32:U33 T35:U73 W7:X30 W32:X33 W35:X73 Z7:AA30 Z32:AA33 Z35:AA73 AC7:AD30 AC32:AD33 AC35:AD73">
    <cfRule type="cellIs" dxfId="93" priority="10" stopIfTrue="1" operator="lessThan">
      <formula>0</formula>
    </cfRule>
    <cfRule type="cellIs" dxfId="92" priority="11" stopIfTrue="1" operator="between">
      <formula>0</formula>
      <formula>200</formula>
    </cfRule>
    <cfRule type="cellIs" dxfId="91" priority="12" stopIfTrue="1" operator="greaterThan">
      <formula>200</formula>
    </cfRule>
  </conditionalFormatting>
  <conditionalFormatting sqref="L31 N31:O31 Q31:R31 T31:U31 W31:X31 Z31:AA31 AC31:AD31">
    <cfRule type="cellIs" dxfId="90" priority="7" stopIfTrue="1" operator="lessThan">
      <formula>0</formula>
    </cfRule>
    <cfRule type="cellIs" dxfId="89" priority="8" stopIfTrue="1" operator="between">
      <formula>0</formula>
      <formula>200</formula>
    </cfRule>
    <cfRule type="cellIs" dxfId="88" priority="9" stopIfTrue="1" operator="greaterThan">
      <formula>200</formula>
    </cfRule>
  </conditionalFormatting>
  <conditionalFormatting sqref="L34 N34:O34 Q34:R34 T34:U34 W34:X34 Z34:AA34 AC34:AD34">
    <cfRule type="cellIs" dxfId="87" priority="4" stopIfTrue="1" operator="lessThan">
      <formula>0</formula>
    </cfRule>
    <cfRule type="cellIs" dxfId="86" priority="5" stopIfTrue="1" operator="between">
      <formula>0</formula>
      <formula>200</formula>
    </cfRule>
    <cfRule type="cellIs" dxfId="85" priority="6" stopIfTrue="1" operator="greaterThan">
      <formula>200</formula>
    </cfRule>
  </conditionalFormatting>
  <conditionalFormatting sqref="I7:I30 I32:I33 I35:I73">
    <cfRule type="cellIs" dxfId="84" priority="3" stopIfTrue="1" operator="lessThan">
      <formula>0</formula>
    </cfRule>
  </conditionalFormatting>
  <conditionalFormatting sqref="I31">
    <cfRule type="cellIs" dxfId="83" priority="2" stopIfTrue="1" operator="lessThan">
      <formula>0</formula>
    </cfRule>
  </conditionalFormatting>
  <conditionalFormatting sqref="I34">
    <cfRule type="cellIs" dxfId="82" priority="1" stopIfTrue="1" operator="lessThan">
      <formula>0</formula>
    </cfRule>
  </conditionalFormatting>
  <printOptions horizontalCentered="1" verticalCentered="1"/>
  <pageMargins left="0" right="0" top="0" bottom="0" header="0" footer="0"/>
  <pageSetup paperSize="9" scale="22" orientation="landscape" r:id="rId1"/>
  <headerFooter>
    <oddHeader>&amp;C&amp;T&amp;R&amp;D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W259"/>
  <sheetViews>
    <sheetView showGridLines="0" zoomScale="55" zoomScaleNormal="55" zoomScaleSheetLayoutView="75" workbookViewId="0">
      <selection activeCell="E83" sqref="E83"/>
    </sheetView>
  </sheetViews>
  <sheetFormatPr baseColWidth="10" defaultColWidth="12.28515625" defaultRowHeight="27"/>
  <cols>
    <col min="1" max="1" width="23.140625" style="16" customWidth="1"/>
    <col min="2" max="2" width="15.140625" style="16" customWidth="1"/>
    <col min="3" max="3" width="30.7109375" style="16" customWidth="1"/>
    <col min="4" max="4" width="57.5703125" style="16" customWidth="1"/>
    <col min="5" max="5" width="13.5703125" style="17" customWidth="1"/>
    <col min="6" max="6" width="13.7109375" style="17" customWidth="1"/>
    <col min="7" max="7" width="12.28515625" style="16" hidden="1" customWidth="1"/>
    <col min="8" max="8" width="12" style="16" customWidth="1"/>
    <col min="9" max="9" width="13.140625" style="212" hidden="1" customWidth="1"/>
    <col min="10" max="10" width="13.28515625" style="16" customWidth="1"/>
    <col min="11" max="11" width="14.42578125" style="16" customWidth="1"/>
    <col min="12" max="12" width="13.140625" style="16" customWidth="1"/>
    <col min="13" max="14" width="17.28515625" style="16" hidden="1" customWidth="1"/>
    <col min="15" max="15" width="20.5703125" style="207" hidden="1" customWidth="1"/>
    <col min="16" max="17" width="12.28515625" style="14" hidden="1" customWidth="1"/>
    <col min="18" max="30" width="12.28515625" style="15" hidden="1" customWidth="1"/>
    <col min="31" max="31" width="14.42578125" style="15" hidden="1" customWidth="1"/>
    <col min="32" max="33" width="12.28515625" style="15" hidden="1" customWidth="1"/>
    <col min="34" max="34" width="14.140625" style="15" hidden="1" customWidth="1"/>
    <col min="35" max="36" width="12.28515625" style="15" hidden="1" customWidth="1"/>
    <col min="37" max="37" width="15.5703125" style="15" hidden="1" customWidth="1"/>
    <col min="38" max="42" width="12.28515625" style="15" hidden="1" customWidth="1"/>
    <col min="43" max="43" width="13.7109375" style="15" hidden="1" customWidth="1"/>
    <col min="44" max="46" width="12.28515625" style="15" hidden="1" customWidth="1"/>
    <col min="47" max="55" width="11.7109375" style="15" hidden="1" customWidth="1"/>
    <col min="56" max="60" width="11.7109375" style="14" hidden="1" customWidth="1"/>
    <col min="61" max="66" width="0" style="14" hidden="1" customWidth="1"/>
    <col min="67" max="67" width="23.42578125" style="14" hidden="1" customWidth="1"/>
    <col min="68" max="68" width="38.7109375" style="14" hidden="1" customWidth="1"/>
    <col min="69" max="71" width="0" style="14" hidden="1" customWidth="1"/>
    <col min="72" max="72" width="18.42578125" style="14" customWidth="1"/>
    <col min="73" max="73" width="16.28515625" style="14" customWidth="1"/>
    <col min="74" max="16384" width="12.28515625" style="14"/>
  </cols>
  <sheetData>
    <row r="1" spans="1:127" ht="31.5" customHeight="1">
      <c r="A1" s="1339"/>
      <c r="B1" s="1340"/>
      <c r="C1" s="1539" t="s">
        <v>463</v>
      </c>
      <c r="D1" s="1540"/>
      <c r="E1" s="1540"/>
      <c r="F1" s="1540"/>
      <c r="G1" s="1540"/>
      <c r="H1" s="1540"/>
      <c r="I1" s="1540"/>
      <c r="J1" s="1540"/>
      <c r="K1" s="1540"/>
      <c r="L1" s="1540"/>
      <c r="M1" s="1540"/>
      <c r="N1" s="1540"/>
      <c r="O1" s="1540"/>
      <c r="P1" s="1540"/>
      <c r="Q1" s="1540"/>
      <c r="R1" s="1540"/>
      <c r="S1" s="1540"/>
      <c r="T1" s="1540"/>
      <c r="U1" s="1540"/>
      <c r="V1" s="1540"/>
      <c r="W1" s="1540"/>
      <c r="X1" s="1540"/>
      <c r="Y1" s="1540"/>
      <c r="Z1" s="1540"/>
      <c r="AA1" s="1540"/>
      <c r="AB1" s="1540"/>
      <c r="AC1" s="1540"/>
      <c r="AD1" s="1540"/>
      <c r="AE1" s="1540"/>
      <c r="AF1" s="1540"/>
      <c r="AG1" s="1540"/>
      <c r="AH1" s="1540"/>
      <c r="AI1" s="1540"/>
      <c r="AJ1" s="1540"/>
      <c r="AK1" s="1540"/>
      <c r="AL1" s="1540"/>
      <c r="AM1" s="1540"/>
      <c r="AN1" s="1540"/>
      <c r="AO1" s="1540"/>
      <c r="AP1" s="1540"/>
      <c r="AQ1" s="1540"/>
      <c r="AR1" s="1540"/>
      <c r="AS1" s="1540"/>
      <c r="AT1" s="1540"/>
      <c r="AU1" s="1540"/>
      <c r="AV1" s="1540"/>
      <c r="AW1" s="1540"/>
      <c r="AX1" s="1540"/>
      <c r="AY1" s="1540"/>
      <c r="AZ1" s="1540"/>
      <c r="BA1" s="1540"/>
      <c r="BB1" s="1540"/>
      <c r="BC1" s="1540"/>
      <c r="BD1" s="1540"/>
      <c r="BE1" s="1540"/>
      <c r="BF1" s="1540"/>
      <c r="BG1" s="1540"/>
      <c r="BH1" s="1540"/>
      <c r="BI1" s="1540"/>
      <c r="BJ1" s="1540"/>
      <c r="BK1" s="1540"/>
      <c r="BL1" s="1540"/>
      <c r="BM1" s="1540"/>
      <c r="BN1" s="1540"/>
      <c r="BO1" s="1540"/>
      <c r="BP1" s="1540"/>
      <c r="BQ1" s="1540"/>
      <c r="BR1" s="1540"/>
      <c r="BS1" s="1540"/>
      <c r="BT1" s="1540"/>
      <c r="BU1" s="1540"/>
    </row>
    <row r="2" spans="1:127" ht="31.5" customHeight="1">
      <c r="A2" s="1341"/>
      <c r="B2" s="1342"/>
      <c r="C2" s="1539"/>
      <c r="D2" s="1540"/>
      <c r="E2" s="1540"/>
      <c r="F2" s="1540"/>
      <c r="G2" s="1540"/>
      <c r="H2" s="1540"/>
      <c r="I2" s="1540"/>
      <c r="J2" s="1540"/>
      <c r="K2" s="1540"/>
      <c r="L2" s="1540"/>
      <c r="M2" s="1540"/>
      <c r="N2" s="1540"/>
      <c r="O2" s="1540"/>
      <c r="P2" s="1540"/>
      <c r="Q2" s="1540"/>
      <c r="R2" s="1540"/>
      <c r="S2" s="1540"/>
      <c r="T2" s="1540"/>
      <c r="U2" s="1540"/>
      <c r="V2" s="1540"/>
      <c r="W2" s="1540"/>
      <c r="X2" s="1540"/>
      <c r="Y2" s="1540"/>
      <c r="Z2" s="1540"/>
      <c r="AA2" s="1540"/>
      <c r="AB2" s="1540"/>
      <c r="AC2" s="1540"/>
      <c r="AD2" s="1540"/>
      <c r="AE2" s="1540"/>
      <c r="AF2" s="1540"/>
      <c r="AG2" s="1540"/>
      <c r="AH2" s="1540"/>
      <c r="AI2" s="1540"/>
      <c r="AJ2" s="1540"/>
      <c r="AK2" s="1540"/>
      <c r="AL2" s="1540"/>
      <c r="AM2" s="1540"/>
      <c r="AN2" s="1540"/>
      <c r="AO2" s="1540"/>
      <c r="AP2" s="1540"/>
      <c r="AQ2" s="1540"/>
      <c r="AR2" s="1540"/>
      <c r="AS2" s="1540"/>
      <c r="AT2" s="1540"/>
      <c r="AU2" s="1540"/>
      <c r="AV2" s="1540"/>
      <c r="AW2" s="1540"/>
      <c r="AX2" s="1540"/>
      <c r="AY2" s="1540"/>
      <c r="AZ2" s="1540"/>
      <c r="BA2" s="1540"/>
      <c r="BB2" s="1540"/>
      <c r="BC2" s="1540"/>
      <c r="BD2" s="1540"/>
      <c r="BE2" s="1540"/>
      <c r="BF2" s="1540"/>
      <c r="BG2" s="1540"/>
      <c r="BH2" s="1540"/>
      <c r="BI2" s="1540"/>
      <c r="BJ2" s="1540"/>
      <c r="BK2" s="1540"/>
      <c r="BL2" s="1540"/>
      <c r="BM2" s="1540"/>
      <c r="BN2" s="1540"/>
      <c r="BO2" s="1540"/>
      <c r="BP2" s="1540"/>
      <c r="BQ2" s="1540"/>
      <c r="BR2" s="1540"/>
      <c r="BS2" s="1540"/>
      <c r="BT2" s="1540"/>
      <c r="BU2" s="1540"/>
    </row>
    <row r="3" spans="1:127" ht="24" customHeight="1">
      <c r="A3" s="1341"/>
      <c r="B3" s="1342"/>
      <c r="C3" s="1539"/>
      <c r="D3" s="1540"/>
      <c r="E3" s="1540"/>
      <c r="F3" s="1540"/>
      <c r="G3" s="1540"/>
      <c r="H3" s="1540"/>
      <c r="I3" s="1540"/>
      <c r="J3" s="1540"/>
      <c r="K3" s="1540"/>
      <c r="L3" s="1540"/>
      <c r="M3" s="1540"/>
      <c r="N3" s="1540"/>
      <c r="O3" s="1540"/>
      <c r="P3" s="1540"/>
      <c r="Q3" s="1540"/>
      <c r="R3" s="1540"/>
      <c r="S3" s="1540"/>
      <c r="T3" s="1540"/>
      <c r="U3" s="1540"/>
      <c r="V3" s="1540"/>
      <c r="W3" s="1540"/>
      <c r="X3" s="1540"/>
      <c r="Y3" s="1540"/>
      <c r="Z3" s="1540"/>
      <c r="AA3" s="1540"/>
      <c r="AB3" s="1540"/>
      <c r="AC3" s="1540"/>
      <c r="AD3" s="1540"/>
      <c r="AE3" s="1540"/>
      <c r="AF3" s="1540"/>
      <c r="AG3" s="1540"/>
      <c r="AH3" s="1540"/>
      <c r="AI3" s="1540"/>
      <c r="AJ3" s="1540"/>
      <c r="AK3" s="1540"/>
      <c r="AL3" s="1540"/>
      <c r="AM3" s="1540"/>
      <c r="AN3" s="1540"/>
      <c r="AO3" s="1540"/>
      <c r="AP3" s="1540"/>
      <c r="AQ3" s="1540"/>
      <c r="AR3" s="1540"/>
      <c r="AS3" s="1540"/>
      <c r="AT3" s="1540"/>
      <c r="AU3" s="1540"/>
      <c r="AV3" s="1540"/>
      <c r="AW3" s="1540"/>
      <c r="AX3" s="1540"/>
      <c r="AY3" s="1540"/>
      <c r="AZ3" s="1540"/>
      <c r="BA3" s="1540"/>
      <c r="BB3" s="1540"/>
      <c r="BC3" s="1540"/>
      <c r="BD3" s="1540"/>
      <c r="BE3" s="1540"/>
      <c r="BF3" s="1540"/>
      <c r="BG3" s="1540"/>
      <c r="BH3" s="1540"/>
      <c r="BI3" s="1540"/>
      <c r="BJ3" s="1540"/>
      <c r="BK3" s="1540"/>
      <c r="BL3" s="1540"/>
      <c r="BM3" s="1540"/>
      <c r="BN3" s="1540"/>
      <c r="BO3" s="1540"/>
      <c r="BP3" s="1540"/>
      <c r="BQ3" s="1540"/>
      <c r="BR3" s="1540"/>
      <c r="BS3" s="1540"/>
      <c r="BT3" s="1540"/>
      <c r="BU3" s="1540"/>
    </row>
    <row r="4" spans="1:127" ht="28.5" customHeight="1" thickBot="1">
      <c r="A4" s="1343"/>
      <c r="B4" s="1344"/>
      <c r="C4" s="1539"/>
      <c r="D4" s="1540"/>
      <c r="E4" s="1540"/>
      <c r="F4" s="1540"/>
      <c r="G4" s="1540"/>
      <c r="H4" s="1540"/>
      <c r="I4" s="1540"/>
      <c r="J4" s="1540"/>
      <c r="K4" s="1540"/>
      <c r="L4" s="1540"/>
      <c r="M4" s="1540"/>
      <c r="N4" s="1540"/>
      <c r="O4" s="1540"/>
      <c r="P4" s="1540"/>
      <c r="Q4" s="1540"/>
      <c r="R4" s="1540"/>
      <c r="S4" s="1540"/>
      <c r="T4" s="1540"/>
      <c r="U4" s="1540"/>
      <c r="V4" s="1540"/>
      <c r="W4" s="1540"/>
      <c r="X4" s="1540"/>
      <c r="Y4" s="1540"/>
      <c r="Z4" s="1540"/>
      <c r="AA4" s="1540"/>
      <c r="AB4" s="1540"/>
      <c r="AC4" s="1540"/>
      <c r="AD4" s="1540"/>
      <c r="AE4" s="1540"/>
      <c r="AF4" s="1540"/>
      <c r="AG4" s="1540"/>
      <c r="AH4" s="1540"/>
      <c r="AI4" s="1540"/>
      <c r="AJ4" s="1540"/>
      <c r="AK4" s="1540"/>
      <c r="AL4" s="1540"/>
      <c r="AM4" s="1540"/>
      <c r="AN4" s="1540"/>
      <c r="AO4" s="1540"/>
      <c r="AP4" s="1540"/>
      <c r="AQ4" s="1540"/>
      <c r="AR4" s="1540"/>
      <c r="AS4" s="1540"/>
      <c r="AT4" s="1540"/>
      <c r="AU4" s="1540"/>
      <c r="AV4" s="1540"/>
      <c r="AW4" s="1540"/>
      <c r="AX4" s="1540"/>
      <c r="AY4" s="1540"/>
      <c r="AZ4" s="1540"/>
      <c r="BA4" s="1540"/>
      <c r="BB4" s="1540"/>
      <c r="BC4" s="1540"/>
      <c r="BD4" s="1540"/>
      <c r="BE4" s="1540"/>
      <c r="BF4" s="1540"/>
      <c r="BG4" s="1540"/>
      <c r="BH4" s="1540"/>
      <c r="BI4" s="1540"/>
      <c r="BJ4" s="1540"/>
      <c r="BK4" s="1540"/>
      <c r="BL4" s="1540"/>
      <c r="BM4" s="1540"/>
      <c r="BN4" s="1540"/>
      <c r="BO4" s="1540"/>
      <c r="BP4" s="1540"/>
      <c r="BQ4" s="1540"/>
      <c r="BR4" s="1540"/>
      <c r="BS4" s="1540"/>
      <c r="BT4" s="1540"/>
      <c r="BU4" s="1540"/>
    </row>
    <row r="5" spans="1:127" s="19" customFormat="1" ht="23.25" customHeight="1">
      <c r="A5" s="1354" t="s">
        <v>108</v>
      </c>
      <c r="B5" s="1356" t="s">
        <v>307</v>
      </c>
      <c r="C5" s="1358" t="s">
        <v>439</v>
      </c>
      <c r="D5" s="1358" t="s">
        <v>107</v>
      </c>
      <c r="E5" s="1360" t="s">
        <v>166</v>
      </c>
      <c r="F5" s="1362" t="s">
        <v>167</v>
      </c>
      <c r="G5" s="1360" t="s">
        <v>1</v>
      </c>
      <c r="H5" s="1364" t="s">
        <v>2</v>
      </c>
      <c r="I5" s="1366" t="s">
        <v>0</v>
      </c>
      <c r="J5" s="1368" t="s">
        <v>253</v>
      </c>
      <c r="K5" s="1370" t="s">
        <v>497</v>
      </c>
      <c r="L5" s="1372" t="s">
        <v>164</v>
      </c>
      <c r="M5" s="1374" t="s">
        <v>254</v>
      </c>
      <c r="N5" s="1376" t="s">
        <v>447</v>
      </c>
      <c r="O5" s="1378">
        <v>41578</v>
      </c>
      <c r="P5" s="1380" t="s">
        <v>156</v>
      </c>
      <c r="Q5" s="1381"/>
      <c r="R5" s="1381"/>
      <c r="S5" s="1382"/>
      <c r="T5" s="1384" t="s">
        <v>157</v>
      </c>
      <c r="U5" s="1385"/>
      <c r="V5" s="1380"/>
      <c r="W5" s="1381" t="s">
        <v>158</v>
      </c>
      <c r="X5" s="1381"/>
      <c r="Y5" s="1384"/>
      <c r="Z5" s="1386" t="s">
        <v>171</v>
      </c>
      <c r="AA5" s="1387"/>
      <c r="AB5" s="1388"/>
      <c r="AC5" s="1386" t="s">
        <v>115</v>
      </c>
      <c r="AD5" s="1387"/>
      <c r="AE5" s="1388"/>
      <c r="AF5" s="1386" t="s">
        <v>172</v>
      </c>
      <c r="AG5" s="1387"/>
      <c r="AH5" s="1388"/>
      <c r="AI5" s="1386" t="s">
        <v>173</v>
      </c>
      <c r="AJ5" s="1387"/>
      <c r="AK5" s="1388"/>
      <c r="AL5" s="1386" t="s">
        <v>181</v>
      </c>
      <c r="AM5" s="1387"/>
      <c r="AN5" s="1388"/>
      <c r="AO5" s="1389" t="s">
        <v>183</v>
      </c>
      <c r="AP5" s="1390"/>
      <c r="AQ5" s="1391"/>
      <c r="AR5" s="1389" t="s">
        <v>184</v>
      </c>
      <c r="AS5" s="1390"/>
      <c r="AT5" s="1391"/>
      <c r="AU5" s="1389" t="s">
        <v>185</v>
      </c>
      <c r="AV5" s="1390"/>
      <c r="AW5" s="1391"/>
      <c r="AX5" s="1389" t="s">
        <v>186</v>
      </c>
      <c r="AY5" s="1390"/>
      <c r="AZ5" s="1391"/>
      <c r="BA5" s="1389" t="s">
        <v>187</v>
      </c>
      <c r="BB5" s="1390"/>
      <c r="BC5" s="1391"/>
      <c r="BD5" s="1389" t="s">
        <v>188</v>
      </c>
      <c r="BE5" s="1390"/>
      <c r="BF5" s="1391"/>
      <c r="BG5" s="1389" t="s">
        <v>182</v>
      </c>
      <c r="BH5" s="1390"/>
      <c r="BI5" s="1391"/>
      <c r="BT5" s="1544" t="s">
        <v>461</v>
      </c>
      <c r="BU5" s="1544" t="s">
        <v>462</v>
      </c>
    </row>
    <row r="6" spans="1:127" s="26" customFormat="1" ht="19.5" customHeight="1" thickBot="1">
      <c r="A6" s="1355"/>
      <c r="B6" s="1357"/>
      <c r="C6" s="1359"/>
      <c r="D6" s="1359"/>
      <c r="E6" s="1361"/>
      <c r="F6" s="1363"/>
      <c r="G6" s="1361"/>
      <c r="H6" s="1365"/>
      <c r="I6" s="1367"/>
      <c r="J6" s="1369"/>
      <c r="K6" s="1371"/>
      <c r="L6" s="1373"/>
      <c r="M6" s="1375"/>
      <c r="N6" s="1377"/>
      <c r="O6" s="1379"/>
      <c r="P6" s="20" t="s">
        <v>159</v>
      </c>
      <c r="Q6" s="21" t="s">
        <v>161</v>
      </c>
      <c r="R6" s="22" t="s">
        <v>159</v>
      </c>
      <c r="S6" s="1383"/>
      <c r="T6" s="22" t="s">
        <v>163</v>
      </c>
      <c r="U6" s="22" t="s">
        <v>160</v>
      </c>
      <c r="V6" s="22" t="s">
        <v>159</v>
      </c>
      <c r="W6" s="22" t="s">
        <v>163</v>
      </c>
      <c r="X6" s="22" t="s">
        <v>160</v>
      </c>
      <c r="Y6" s="23" t="s">
        <v>159</v>
      </c>
      <c r="Z6" s="24" t="s">
        <v>163</v>
      </c>
      <c r="AA6" s="22" t="s">
        <v>160</v>
      </c>
      <c r="AB6" s="25" t="s">
        <v>159</v>
      </c>
      <c r="AC6" s="24" t="s">
        <v>163</v>
      </c>
      <c r="AD6" s="22" t="s">
        <v>160</v>
      </c>
      <c r="AE6" s="25" t="s">
        <v>159</v>
      </c>
      <c r="AF6" s="24" t="s">
        <v>163</v>
      </c>
      <c r="AG6" s="22" t="s">
        <v>160</v>
      </c>
      <c r="AH6" s="25" t="s">
        <v>159</v>
      </c>
      <c r="AI6" s="24" t="s">
        <v>163</v>
      </c>
      <c r="AJ6" s="22" t="s">
        <v>160</v>
      </c>
      <c r="AK6" s="25" t="s">
        <v>159</v>
      </c>
      <c r="AL6" s="24" t="s">
        <v>159</v>
      </c>
      <c r="AM6" s="22" t="s">
        <v>163</v>
      </c>
      <c r="AN6" s="25" t="s">
        <v>160</v>
      </c>
      <c r="AO6" s="24" t="s">
        <v>159</v>
      </c>
      <c r="AP6" s="22" t="s">
        <v>163</v>
      </c>
      <c r="AQ6" s="25" t="s">
        <v>160</v>
      </c>
      <c r="AR6" s="24" t="s">
        <v>159</v>
      </c>
      <c r="AS6" s="22" t="s">
        <v>163</v>
      </c>
      <c r="AT6" s="25" t="s">
        <v>160</v>
      </c>
      <c r="AU6" s="24" t="s">
        <v>159</v>
      </c>
      <c r="AV6" s="22" t="s">
        <v>163</v>
      </c>
      <c r="AW6" s="25" t="s">
        <v>160</v>
      </c>
      <c r="AX6" s="24" t="s">
        <v>159</v>
      </c>
      <c r="AY6" s="22" t="s">
        <v>163</v>
      </c>
      <c r="AZ6" s="25" t="s">
        <v>160</v>
      </c>
      <c r="BA6" s="24" t="s">
        <v>159</v>
      </c>
      <c r="BB6" s="22" t="s">
        <v>163</v>
      </c>
      <c r="BC6" s="25" t="s">
        <v>160</v>
      </c>
      <c r="BD6" s="24" t="s">
        <v>159</v>
      </c>
      <c r="BE6" s="22" t="s">
        <v>163</v>
      </c>
      <c r="BF6" s="25" t="s">
        <v>160</v>
      </c>
      <c r="BG6" s="22" t="s">
        <v>163</v>
      </c>
      <c r="BH6" s="22" t="s">
        <v>160</v>
      </c>
      <c r="BI6" s="22" t="s">
        <v>159</v>
      </c>
      <c r="BT6" s="1545"/>
      <c r="BU6" s="1545"/>
    </row>
    <row r="7" spans="1:127" s="34" customFormat="1" ht="27.75" hidden="1" customHeight="1" thickBot="1">
      <c r="A7" s="1541" t="s">
        <v>102</v>
      </c>
      <c r="B7" s="195"/>
      <c r="C7" s="467"/>
      <c r="D7" s="468" t="s">
        <v>110</v>
      </c>
      <c r="E7" s="469">
        <v>50</v>
      </c>
      <c r="F7" s="469">
        <f>3600/E7*4</f>
        <v>288</v>
      </c>
      <c r="G7" s="470"/>
      <c r="H7" s="471">
        <v>400</v>
      </c>
      <c r="I7" s="472">
        <v>4200</v>
      </c>
      <c r="J7" s="473">
        <v>5000</v>
      </c>
      <c r="K7" s="469">
        <f t="shared" ref="K7:K13" si="0">I7-H7</f>
        <v>3800</v>
      </c>
      <c r="L7" s="474">
        <f t="shared" ref="L7:L13" si="1">((K7*E7)/3600)*-1</f>
        <v>-52.777777777777779</v>
      </c>
      <c r="M7" s="474">
        <f t="shared" ref="M7:M24" si="2">I7/H7</f>
        <v>10.5</v>
      </c>
      <c r="N7" s="484"/>
      <c r="O7" s="475">
        <f>+$O$5+M7</f>
        <v>41588.5</v>
      </c>
      <c r="P7" s="100">
        <f>+$O$5+O7</f>
        <v>83166.5</v>
      </c>
      <c r="Q7" s="28" t="e">
        <f>+$O$5+#REF!</f>
        <v>#REF!</v>
      </c>
      <c r="R7" s="28">
        <f>+$O$5+P7</f>
        <v>124744.5</v>
      </c>
      <c r="S7" s="27"/>
      <c r="T7" s="573">
        <v>3</v>
      </c>
      <c r="U7" s="573">
        <v>4</v>
      </c>
      <c r="V7" s="573"/>
      <c r="W7" s="573"/>
      <c r="X7" s="573"/>
      <c r="Y7" s="29"/>
      <c r="Z7" s="1"/>
      <c r="AA7" s="2"/>
      <c r="AB7" s="3"/>
      <c r="AC7" s="569"/>
      <c r="AD7" s="570"/>
      <c r="AE7" s="571"/>
      <c r="AF7" s="569"/>
      <c r="AG7" s="570"/>
      <c r="AH7" s="571">
        <v>23</v>
      </c>
      <c r="AI7" s="5"/>
      <c r="AJ7" s="11"/>
      <c r="AK7" s="12"/>
      <c r="AL7" s="13"/>
      <c r="AM7" s="11"/>
      <c r="AN7" s="12"/>
      <c r="AO7" s="30"/>
      <c r="AP7" s="31"/>
      <c r="AQ7" s="32"/>
      <c r="AR7" s="30"/>
      <c r="AS7" s="31"/>
      <c r="AT7" s="32"/>
      <c r="AU7" s="30"/>
      <c r="AV7" s="31"/>
      <c r="AW7" s="32"/>
      <c r="AX7" s="30"/>
      <c r="AY7" s="31"/>
      <c r="AZ7" s="32"/>
      <c r="BA7" s="30"/>
      <c r="BB7" s="31"/>
      <c r="BC7" s="32"/>
      <c r="BD7" s="30"/>
      <c r="BE7" s="31"/>
      <c r="BF7" s="32"/>
      <c r="BG7" s="30"/>
      <c r="BH7" s="31"/>
      <c r="BI7" s="32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655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</row>
    <row r="8" spans="1:127" ht="27.75" hidden="1" customHeight="1" thickBot="1">
      <c r="A8" s="1542"/>
      <c r="B8" s="196"/>
      <c r="C8" s="197" t="s">
        <v>45</v>
      </c>
      <c r="D8" s="198" t="s">
        <v>3</v>
      </c>
      <c r="E8" s="99">
        <v>60</v>
      </c>
      <c r="F8" s="105">
        <f>3600/E8*2</f>
        <v>120</v>
      </c>
      <c r="G8" s="105">
        <v>1</v>
      </c>
      <c r="H8" s="106">
        <v>440</v>
      </c>
      <c r="I8" s="214">
        <v>3883</v>
      </c>
      <c r="J8" s="107" t="s">
        <v>252</v>
      </c>
      <c r="K8" s="105">
        <f t="shared" si="0"/>
        <v>3443</v>
      </c>
      <c r="L8" s="108">
        <f t="shared" si="1"/>
        <v>-57.383333333333333</v>
      </c>
      <c r="M8" s="108">
        <f t="shared" si="2"/>
        <v>8.8249999999999993</v>
      </c>
      <c r="N8" s="485"/>
      <c r="O8" s="209">
        <f>+$O$5+M8</f>
        <v>41586.824999999997</v>
      </c>
      <c r="P8" s="35"/>
      <c r="Q8" s="36"/>
      <c r="R8" s="37">
        <v>1</v>
      </c>
      <c r="S8" s="38"/>
      <c r="T8" s="546"/>
      <c r="U8" s="39"/>
      <c r="V8" s="39"/>
      <c r="W8" s="39"/>
      <c r="X8" s="39"/>
      <c r="Y8" s="37">
        <v>1</v>
      </c>
      <c r="Z8" s="527"/>
      <c r="AA8" s="529"/>
      <c r="AB8" s="544"/>
      <c r="AC8" s="504"/>
      <c r="AD8" s="505"/>
      <c r="AE8" s="544"/>
      <c r="AF8" s="504"/>
      <c r="AG8" s="505"/>
      <c r="AH8" s="544"/>
      <c r="AI8" s="531"/>
      <c r="AJ8" s="533"/>
      <c r="AK8" s="535"/>
      <c r="AL8" s="531"/>
      <c r="AM8" s="533"/>
      <c r="AN8" s="535"/>
      <c r="AO8" s="537"/>
      <c r="AP8" s="539"/>
      <c r="AQ8" s="541"/>
      <c r="AR8" s="537"/>
      <c r="AS8" s="539"/>
      <c r="AT8" s="541"/>
      <c r="AU8" s="537"/>
      <c r="AV8" s="539"/>
      <c r="AW8" s="541"/>
      <c r="AX8" s="537"/>
      <c r="AY8" s="539"/>
      <c r="AZ8" s="541"/>
      <c r="BA8" s="537"/>
      <c r="BB8" s="539"/>
      <c r="BC8" s="541"/>
      <c r="BD8" s="537"/>
      <c r="BE8" s="539"/>
      <c r="BF8" s="541"/>
      <c r="BG8" s="537"/>
      <c r="BH8" s="539"/>
      <c r="BI8" s="541"/>
      <c r="BP8" s="286">
        <v>11375</v>
      </c>
      <c r="BT8" s="656"/>
    </row>
    <row r="9" spans="1:127" ht="27.75" hidden="1" customHeight="1" thickBot="1">
      <c r="A9" s="1542"/>
      <c r="B9" s="199"/>
      <c r="C9" s="200" t="s">
        <v>46</v>
      </c>
      <c r="D9" s="201" t="s">
        <v>4</v>
      </c>
      <c r="E9" s="103">
        <v>60</v>
      </c>
      <c r="F9" s="93">
        <f>3600/E9</f>
        <v>60</v>
      </c>
      <c r="G9" s="93">
        <v>1</v>
      </c>
      <c r="H9" s="94">
        <v>360</v>
      </c>
      <c r="I9" s="215">
        <v>3983</v>
      </c>
      <c r="J9" s="104" t="s">
        <v>252</v>
      </c>
      <c r="K9" s="93">
        <f t="shared" si="0"/>
        <v>3623</v>
      </c>
      <c r="L9" s="95">
        <f t="shared" si="1"/>
        <v>-60.383333333333333</v>
      </c>
      <c r="M9" s="95">
        <f t="shared" si="2"/>
        <v>11.063888888888888</v>
      </c>
      <c r="N9" s="486"/>
      <c r="O9" s="210">
        <v>41485</v>
      </c>
      <c r="P9" s="35"/>
      <c r="Q9" s="36"/>
      <c r="R9" s="40"/>
      <c r="S9" s="41"/>
      <c r="T9" s="1412"/>
      <c r="U9" s="1412">
        <v>1</v>
      </c>
      <c r="V9" s="39">
        <v>1</v>
      </c>
      <c r="W9" s="39">
        <v>1</v>
      </c>
      <c r="X9" s="39">
        <v>1</v>
      </c>
      <c r="Y9" s="1414"/>
      <c r="Z9" s="1392"/>
      <c r="AA9" s="1394"/>
      <c r="AB9" s="1396"/>
      <c r="AC9" s="1392"/>
      <c r="AD9" s="1394"/>
      <c r="AE9" s="1396"/>
      <c r="AF9" s="1392"/>
      <c r="AG9" s="1394"/>
      <c r="AH9" s="1396"/>
      <c r="AI9" s="1398"/>
      <c r="AJ9" s="1400"/>
      <c r="AK9" s="1402">
        <v>2</v>
      </c>
      <c r="AL9" s="1398"/>
      <c r="AM9" s="1400"/>
      <c r="AN9" s="1404"/>
      <c r="AO9" s="1406"/>
      <c r="AP9" s="1408"/>
      <c r="AQ9" s="1410"/>
      <c r="AR9" s="1406"/>
      <c r="AS9" s="1408"/>
      <c r="AT9" s="1410"/>
      <c r="AU9" s="1406"/>
      <c r="AV9" s="1408"/>
      <c r="AW9" s="1410"/>
      <c r="AX9" s="1406"/>
      <c r="AY9" s="1408"/>
      <c r="AZ9" s="1410"/>
      <c r="BA9" s="1406"/>
      <c r="BB9" s="1408"/>
      <c r="BC9" s="1410"/>
      <c r="BD9" s="1406"/>
      <c r="BE9" s="1408"/>
      <c r="BF9" s="1410"/>
      <c r="BG9" s="1406"/>
      <c r="BH9" s="1408"/>
      <c r="BI9" s="1410"/>
      <c r="BT9" s="656"/>
    </row>
    <row r="10" spans="1:127" ht="27.75" hidden="1" customHeight="1" thickBot="1">
      <c r="A10" s="1542"/>
      <c r="B10" s="199"/>
      <c r="C10" s="200" t="s">
        <v>47</v>
      </c>
      <c r="D10" s="202" t="s">
        <v>5</v>
      </c>
      <c r="E10" s="102">
        <v>60</v>
      </c>
      <c r="F10" s="73">
        <f>3600/E10</f>
        <v>60</v>
      </c>
      <c r="G10" s="73">
        <v>1</v>
      </c>
      <c r="H10" s="74">
        <v>360</v>
      </c>
      <c r="I10" s="216">
        <v>4463</v>
      </c>
      <c r="J10" s="101" t="s">
        <v>252</v>
      </c>
      <c r="K10" s="73">
        <f t="shared" si="0"/>
        <v>4103</v>
      </c>
      <c r="L10" s="75">
        <f t="shared" si="1"/>
        <v>-68.38333333333334</v>
      </c>
      <c r="M10" s="75">
        <f t="shared" si="2"/>
        <v>12.397222222222222</v>
      </c>
      <c r="N10" s="487"/>
      <c r="O10" s="211">
        <v>41485</v>
      </c>
      <c r="P10" s="35"/>
      <c r="Q10" s="36"/>
      <c r="R10" s="40"/>
      <c r="S10" s="42"/>
      <c r="T10" s="1436"/>
      <c r="U10" s="1436">
        <v>1</v>
      </c>
      <c r="V10" s="39">
        <v>1</v>
      </c>
      <c r="W10" s="39">
        <v>1</v>
      </c>
      <c r="X10" s="39">
        <v>1</v>
      </c>
      <c r="Y10" s="1437"/>
      <c r="Z10" s="1393"/>
      <c r="AA10" s="1395"/>
      <c r="AB10" s="1397"/>
      <c r="AC10" s="1393"/>
      <c r="AD10" s="1395"/>
      <c r="AE10" s="1397"/>
      <c r="AF10" s="1393"/>
      <c r="AG10" s="1395"/>
      <c r="AH10" s="1397"/>
      <c r="AI10" s="1399"/>
      <c r="AJ10" s="1401"/>
      <c r="AK10" s="1403"/>
      <c r="AL10" s="1399"/>
      <c r="AM10" s="1401"/>
      <c r="AN10" s="1405"/>
      <c r="AO10" s="1407"/>
      <c r="AP10" s="1409"/>
      <c r="AQ10" s="1411"/>
      <c r="AR10" s="1407"/>
      <c r="AS10" s="1409"/>
      <c r="AT10" s="1411"/>
      <c r="AU10" s="1407"/>
      <c r="AV10" s="1409"/>
      <c r="AW10" s="1411"/>
      <c r="AX10" s="1407"/>
      <c r="AY10" s="1409"/>
      <c r="AZ10" s="1411"/>
      <c r="BA10" s="1407"/>
      <c r="BB10" s="1409"/>
      <c r="BC10" s="1411"/>
      <c r="BD10" s="1407"/>
      <c r="BE10" s="1409"/>
      <c r="BF10" s="1411"/>
      <c r="BG10" s="1407"/>
      <c r="BH10" s="1409"/>
      <c r="BI10" s="1411"/>
      <c r="BT10" s="656"/>
    </row>
    <row r="11" spans="1:127" ht="27.75" hidden="1" customHeight="1" thickBot="1">
      <c r="A11" s="1542"/>
      <c r="B11" s="199"/>
      <c r="C11" s="200" t="s">
        <v>48</v>
      </c>
      <c r="D11" s="202" t="s">
        <v>6</v>
      </c>
      <c r="E11" s="102">
        <v>60</v>
      </c>
      <c r="F11" s="73">
        <f>3600/E11</f>
        <v>60</v>
      </c>
      <c r="G11" s="73">
        <v>1</v>
      </c>
      <c r="H11" s="74">
        <v>0</v>
      </c>
      <c r="I11" s="216">
        <v>3980</v>
      </c>
      <c r="J11" s="101" t="s">
        <v>252</v>
      </c>
      <c r="K11" s="73">
        <f t="shared" si="0"/>
        <v>3980</v>
      </c>
      <c r="L11" s="75">
        <f t="shared" si="1"/>
        <v>-66.333333333333329</v>
      </c>
      <c r="M11" s="75" t="e">
        <f t="shared" si="2"/>
        <v>#DIV/0!</v>
      </c>
      <c r="N11" s="487"/>
      <c r="O11" s="211">
        <v>41488</v>
      </c>
      <c r="P11" s="35"/>
      <c r="Q11" s="36"/>
      <c r="R11" s="40"/>
      <c r="S11" s="39"/>
      <c r="T11" s="1412"/>
      <c r="U11" s="1412"/>
      <c r="V11" s="1412"/>
      <c r="W11" s="1412"/>
      <c r="X11" s="1412"/>
      <c r="Y11" s="1414"/>
      <c r="Z11" s="1392"/>
      <c r="AA11" s="1394">
        <v>19</v>
      </c>
      <c r="AB11" s="1402"/>
      <c r="AC11" s="1419"/>
      <c r="AD11" s="1421"/>
      <c r="AE11" s="1402"/>
      <c r="AF11" s="1419"/>
      <c r="AG11" s="1421"/>
      <c r="AH11" s="1402"/>
      <c r="AI11" s="1398"/>
      <c r="AJ11" s="1400"/>
      <c r="AK11" s="1404"/>
      <c r="AL11" s="1398"/>
      <c r="AM11" s="1400"/>
      <c r="AN11" s="1404"/>
      <c r="AO11" s="1406"/>
      <c r="AP11" s="1408"/>
      <c r="AQ11" s="1410"/>
      <c r="AR11" s="1406"/>
      <c r="AS11" s="1408"/>
      <c r="AT11" s="1410"/>
      <c r="AU11" s="1406"/>
      <c r="AV11" s="1408"/>
      <c r="AW11" s="1410"/>
      <c r="AX11" s="1398"/>
      <c r="AY11" s="1408"/>
      <c r="AZ11" s="1410"/>
      <c r="BA11" s="1406"/>
      <c r="BB11" s="1408"/>
      <c r="BC11" s="1410"/>
      <c r="BD11" s="1406"/>
      <c r="BE11" s="1408"/>
      <c r="BF11" s="1410"/>
      <c r="BG11" s="1406"/>
      <c r="BH11" s="1408"/>
      <c r="BI11" s="1410"/>
      <c r="BT11" s="656"/>
    </row>
    <row r="12" spans="1:127" ht="27.75" hidden="1" customHeight="1" thickBot="1">
      <c r="A12" s="1543"/>
      <c r="B12" s="199"/>
      <c r="C12" s="200" t="s">
        <v>49</v>
      </c>
      <c r="D12" s="202" t="s">
        <v>7</v>
      </c>
      <c r="E12" s="102">
        <v>60</v>
      </c>
      <c r="F12" s="73">
        <f>3600/E12</f>
        <v>60</v>
      </c>
      <c r="G12" s="73">
        <v>1</v>
      </c>
      <c r="H12" s="74">
        <v>360</v>
      </c>
      <c r="I12" s="216">
        <v>3920</v>
      </c>
      <c r="J12" s="101" t="s">
        <v>252</v>
      </c>
      <c r="K12" s="73">
        <f t="shared" si="0"/>
        <v>3560</v>
      </c>
      <c r="L12" s="75">
        <f t="shared" si="1"/>
        <v>-59.333333333333336</v>
      </c>
      <c r="M12" s="75">
        <f t="shared" si="2"/>
        <v>10.888888888888889</v>
      </c>
      <c r="N12" s="487"/>
      <c r="O12" s="211">
        <v>41488</v>
      </c>
      <c r="P12" s="43"/>
      <c r="Q12" s="44"/>
      <c r="R12" s="45"/>
      <c r="S12" s="46"/>
      <c r="T12" s="1413"/>
      <c r="U12" s="1413"/>
      <c r="V12" s="1413"/>
      <c r="W12" s="1413"/>
      <c r="X12" s="1413"/>
      <c r="Y12" s="1415"/>
      <c r="Z12" s="1416"/>
      <c r="AA12" s="1417"/>
      <c r="AB12" s="1418"/>
      <c r="AC12" s="1420"/>
      <c r="AD12" s="1422"/>
      <c r="AE12" s="1418"/>
      <c r="AF12" s="1420"/>
      <c r="AG12" s="1422"/>
      <c r="AH12" s="1418"/>
      <c r="AI12" s="1423"/>
      <c r="AJ12" s="1424"/>
      <c r="AK12" s="1425"/>
      <c r="AL12" s="1423"/>
      <c r="AM12" s="1424"/>
      <c r="AN12" s="1425"/>
      <c r="AO12" s="1426"/>
      <c r="AP12" s="1427"/>
      <c r="AQ12" s="1428"/>
      <c r="AR12" s="1426"/>
      <c r="AS12" s="1427"/>
      <c r="AT12" s="1428"/>
      <c r="AU12" s="1426"/>
      <c r="AV12" s="1427"/>
      <c r="AW12" s="1428"/>
      <c r="AX12" s="1423"/>
      <c r="AY12" s="1427"/>
      <c r="AZ12" s="1428"/>
      <c r="BA12" s="1426"/>
      <c r="BB12" s="1427"/>
      <c r="BC12" s="1428"/>
      <c r="BD12" s="1426"/>
      <c r="BE12" s="1427"/>
      <c r="BF12" s="1428"/>
      <c r="BG12" s="1426"/>
      <c r="BH12" s="1427"/>
      <c r="BI12" s="1428"/>
      <c r="BT12" s="656"/>
    </row>
    <row r="13" spans="1:127" ht="27.75" hidden="1" customHeight="1" thickBot="1">
      <c r="A13" s="203" t="s">
        <v>103</v>
      </c>
      <c r="B13" s="204"/>
      <c r="C13" s="205" t="s">
        <v>50</v>
      </c>
      <c r="D13" s="206" t="s">
        <v>112</v>
      </c>
      <c r="E13" s="77">
        <v>63</v>
      </c>
      <c r="F13" s="194">
        <f>3600/E13*2</f>
        <v>114.28571428571429</v>
      </c>
      <c r="G13" s="194">
        <v>1</v>
      </c>
      <c r="H13" s="76">
        <f>165+110+110</f>
        <v>385</v>
      </c>
      <c r="I13" s="213"/>
      <c r="J13" s="109" t="s">
        <v>252</v>
      </c>
      <c r="K13" s="194">
        <f t="shared" si="0"/>
        <v>-385</v>
      </c>
      <c r="L13" s="78">
        <f t="shared" si="1"/>
        <v>6.7374999999999998</v>
      </c>
      <c r="M13" s="78">
        <f t="shared" si="2"/>
        <v>0</v>
      </c>
      <c r="N13" s="488"/>
      <c r="O13" s="208">
        <f t="shared" ref="O13:O29" si="3">+$O$5+M13</f>
        <v>41578</v>
      </c>
      <c r="P13" s="47"/>
      <c r="Q13" s="48"/>
      <c r="R13" s="49"/>
      <c r="S13" s="50"/>
      <c r="T13" s="50"/>
      <c r="U13" s="50"/>
      <c r="V13" s="50"/>
      <c r="W13" s="50"/>
      <c r="X13" s="50"/>
      <c r="Y13" s="49"/>
      <c r="Z13" s="569"/>
      <c r="AA13" s="570"/>
      <c r="AB13" s="571"/>
      <c r="AC13" s="569"/>
      <c r="AD13" s="6">
        <v>14</v>
      </c>
      <c r="AE13" s="7"/>
      <c r="AF13" s="5"/>
      <c r="AG13" s="6"/>
      <c r="AH13" s="571"/>
      <c r="AI13" s="569"/>
      <c r="AJ13" s="570"/>
      <c r="AK13" s="571"/>
      <c r="AL13" s="569"/>
      <c r="AM13" s="570"/>
      <c r="AN13" s="571"/>
      <c r="AO13" s="572"/>
      <c r="AP13" s="573"/>
      <c r="AQ13" s="574"/>
      <c r="AR13" s="572"/>
      <c r="AS13" s="573"/>
      <c r="AT13" s="574"/>
      <c r="AU13" s="572"/>
      <c r="AV13" s="573"/>
      <c r="AW13" s="574"/>
      <c r="AX13" s="572"/>
      <c r="AY13" s="573"/>
      <c r="AZ13" s="574"/>
      <c r="BA13" s="572"/>
      <c r="BB13" s="573"/>
      <c r="BC13" s="574"/>
      <c r="BD13" s="572"/>
      <c r="BE13" s="573"/>
      <c r="BF13" s="574"/>
      <c r="BG13" s="572"/>
      <c r="BH13" s="573"/>
      <c r="BI13" s="574"/>
      <c r="BT13" s="656"/>
    </row>
    <row r="14" spans="1:127" ht="30.75" thickBot="1">
      <c r="A14" s="1429" t="s">
        <v>363</v>
      </c>
      <c r="B14" s="1432" t="s">
        <v>328</v>
      </c>
      <c r="C14" s="373" t="s">
        <v>84</v>
      </c>
      <c r="D14" s="417" t="s">
        <v>400</v>
      </c>
      <c r="E14" s="374">
        <v>52</v>
      </c>
      <c r="F14" s="374">
        <f>(3600/E14)*2</f>
        <v>138.46153846153845</v>
      </c>
      <c r="G14" s="375">
        <v>1</v>
      </c>
      <c r="H14" s="382">
        <f>BY19</f>
        <v>100</v>
      </c>
      <c r="I14" s="662">
        <v>0</v>
      </c>
      <c r="J14" s="377">
        <v>935</v>
      </c>
      <c r="K14" s="375">
        <v>2</v>
      </c>
      <c r="L14" s="378">
        <f>((H14*E14)/3600)/K14</f>
        <v>0.72222222222222221</v>
      </c>
      <c r="M14" s="378">
        <f t="shared" si="2"/>
        <v>0</v>
      </c>
      <c r="N14" s="489">
        <f>M14*2</f>
        <v>0</v>
      </c>
      <c r="O14" s="379">
        <f t="shared" si="3"/>
        <v>41578</v>
      </c>
      <c r="P14" s="35"/>
      <c r="Q14" s="36"/>
      <c r="R14" s="40"/>
      <c r="S14" s="41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6"/>
      <c r="BE14" s="16"/>
      <c r="BF14" s="16"/>
      <c r="BG14" s="16"/>
      <c r="BH14" s="16"/>
      <c r="BI14" s="16"/>
      <c r="BT14" s="1534">
        <v>2</v>
      </c>
      <c r="BU14" s="1546">
        <f>L14+L16+L18+L19+L21+BT14</f>
        <v>11.396888888888888</v>
      </c>
    </row>
    <row r="15" spans="1:127" ht="40.5" customHeight="1" thickBot="1">
      <c r="A15" s="1430"/>
      <c r="B15" s="1433"/>
      <c r="C15" s="380" t="s">
        <v>85</v>
      </c>
      <c r="D15" s="418" t="s">
        <v>401</v>
      </c>
      <c r="E15" s="381">
        <v>52</v>
      </c>
      <c r="F15" s="374">
        <f>(3600/E15)*2</f>
        <v>138.46153846153845</v>
      </c>
      <c r="G15" s="382">
        <v>1</v>
      </c>
      <c r="H15" s="382">
        <f>BY19</f>
        <v>100</v>
      </c>
      <c r="I15" s="480">
        <v>0</v>
      </c>
      <c r="J15" s="565">
        <v>935</v>
      </c>
      <c r="K15" s="382">
        <v>2</v>
      </c>
      <c r="L15" s="378">
        <f>((H15*E15)/3600)/K15</f>
        <v>0.72222222222222221</v>
      </c>
      <c r="M15" s="385">
        <f t="shared" si="2"/>
        <v>0</v>
      </c>
      <c r="N15" s="489">
        <f>M15*2</f>
        <v>0</v>
      </c>
      <c r="O15" s="386">
        <f t="shared" si="3"/>
        <v>41578</v>
      </c>
      <c r="P15" s="35"/>
      <c r="Q15" s="36"/>
      <c r="R15" s="40"/>
      <c r="S15" s="42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6"/>
      <c r="BE15" s="16"/>
      <c r="BF15" s="16"/>
      <c r="BG15" s="16"/>
      <c r="BH15" s="16"/>
      <c r="BI15" s="16"/>
      <c r="BT15" s="1535"/>
      <c r="BU15" s="1547"/>
    </row>
    <row r="16" spans="1:127" ht="39.75" customHeight="1" thickBot="1">
      <c r="A16" s="1430"/>
      <c r="B16" s="1434" t="s">
        <v>319</v>
      </c>
      <c r="C16" s="380" t="s">
        <v>70</v>
      </c>
      <c r="D16" s="419" t="s">
        <v>402</v>
      </c>
      <c r="E16" s="381">
        <v>46.4</v>
      </c>
      <c r="F16" s="382">
        <f t="shared" ref="F16:F34" si="4">3600/E16</f>
        <v>77.58620689655173</v>
      </c>
      <c r="G16" s="382">
        <v>1</v>
      </c>
      <c r="H16" s="382">
        <f>0.8*BY17</f>
        <v>240</v>
      </c>
      <c r="I16" s="480">
        <v>0</v>
      </c>
      <c r="J16" s="565">
        <v>1200</v>
      </c>
      <c r="K16" s="382">
        <v>1</v>
      </c>
      <c r="L16" s="378">
        <f>((H16*E16)/3600)/K16</f>
        <v>3.0933333333333333</v>
      </c>
      <c r="M16" s="385">
        <f t="shared" si="2"/>
        <v>0</v>
      </c>
      <c r="N16" s="490">
        <f>M16*1.5</f>
        <v>0</v>
      </c>
      <c r="O16" s="386">
        <f t="shared" si="3"/>
        <v>41578</v>
      </c>
      <c r="P16" s="35"/>
      <c r="Q16" s="36"/>
      <c r="R16" s="40"/>
      <c r="S16" s="41"/>
      <c r="T16" s="1412"/>
      <c r="U16" s="1412"/>
      <c r="V16" s="1412"/>
      <c r="W16" s="60">
        <v>1</v>
      </c>
      <c r="X16" s="60">
        <v>1</v>
      </c>
      <c r="Y16" s="1414">
        <v>1</v>
      </c>
      <c r="Z16" s="1419"/>
      <c r="AA16" s="1394"/>
      <c r="AB16" s="1396"/>
      <c r="AC16" s="1392"/>
      <c r="AD16" s="1394"/>
      <c r="AE16" s="1396"/>
      <c r="AF16" s="1392"/>
      <c r="AG16" s="1394"/>
      <c r="AH16" s="1396"/>
      <c r="AI16" s="1398"/>
      <c r="AJ16" s="1400"/>
      <c r="AK16" s="1404"/>
      <c r="AL16" s="1398"/>
      <c r="AM16" s="1400"/>
      <c r="AN16" s="1404"/>
      <c r="AO16" s="1406"/>
      <c r="AP16" s="1408"/>
      <c r="AQ16" s="1410"/>
      <c r="AR16" s="1406"/>
      <c r="AS16" s="1408"/>
      <c r="AT16" s="1410"/>
      <c r="AU16" s="1406"/>
      <c r="AV16" s="1408"/>
      <c r="AW16" s="1410"/>
      <c r="AX16" s="1406"/>
      <c r="AY16" s="1408"/>
      <c r="AZ16" s="1410"/>
      <c r="BA16" s="1406"/>
      <c r="BB16" s="1408"/>
      <c r="BC16" s="1410"/>
      <c r="BD16" s="1406"/>
      <c r="BE16" s="1408"/>
      <c r="BF16" s="1410"/>
      <c r="BG16" s="1406"/>
      <c r="BH16" s="1408"/>
      <c r="BI16" s="1410"/>
      <c r="BP16" s="283">
        <v>285</v>
      </c>
      <c r="BT16" s="1535"/>
      <c r="BU16" s="1547"/>
      <c r="BV16" s="1345" t="s">
        <v>442</v>
      </c>
      <c r="BW16" s="1346"/>
      <c r="BX16" s="1347"/>
      <c r="BY16" s="477">
        <v>450</v>
      </c>
    </row>
    <row r="17" spans="1:77" ht="43.5" customHeight="1" thickBot="1">
      <c r="A17" s="1430"/>
      <c r="B17" s="1435"/>
      <c r="C17" s="380" t="s">
        <v>71</v>
      </c>
      <c r="D17" s="419" t="s">
        <v>403</v>
      </c>
      <c r="E17" s="381">
        <v>46.4</v>
      </c>
      <c r="F17" s="382">
        <f t="shared" si="4"/>
        <v>77.58620689655173</v>
      </c>
      <c r="G17" s="382">
        <v>1</v>
      </c>
      <c r="H17" s="382">
        <f>H16</f>
        <v>240</v>
      </c>
      <c r="I17" s="480">
        <v>0</v>
      </c>
      <c r="J17" s="565">
        <v>1200</v>
      </c>
      <c r="K17" s="382">
        <v>1</v>
      </c>
      <c r="L17" s="378">
        <f>((H17*E17)/3600)/K17</f>
        <v>3.0933333333333333</v>
      </c>
      <c r="M17" s="385">
        <f t="shared" si="2"/>
        <v>0</v>
      </c>
      <c r="N17" s="490">
        <f>M17*1.5</f>
        <v>0</v>
      </c>
      <c r="O17" s="386">
        <f t="shared" si="3"/>
        <v>41578</v>
      </c>
      <c r="P17" s="35"/>
      <c r="Q17" s="36"/>
      <c r="R17" s="40"/>
      <c r="S17" s="42"/>
      <c r="T17" s="1436"/>
      <c r="U17" s="1436"/>
      <c r="V17" s="1436"/>
      <c r="W17" s="65">
        <v>1</v>
      </c>
      <c r="X17" s="65">
        <v>1</v>
      </c>
      <c r="Y17" s="1437">
        <v>1</v>
      </c>
      <c r="Z17" s="1438"/>
      <c r="AA17" s="1395"/>
      <c r="AB17" s="1397"/>
      <c r="AC17" s="1393"/>
      <c r="AD17" s="1395"/>
      <c r="AE17" s="1397"/>
      <c r="AF17" s="1393"/>
      <c r="AG17" s="1395"/>
      <c r="AH17" s="1397"/>
      <c r="AI17" s="1399"/>
      <c r="AJ17" s="1401"/>
      <c r="AK17" s="1405"/>
      <c r="AL17" s="1399"/>
      <c r="AM17" s="1401"/>
      <c r="AN17" s="1405"/>
      <c r="AO17" s="1407"/>
      <c r="AP17" s="1409"/>
      <c r="AQ17" s="1411"/>
      <c r="AR17" s="1407"/>
      <c r="AS17" s="1409"/>
      <c r="AT17" s="1411"/>
      <c r="AU17" s="1407"/>
      <c r="AV17" s="1409"/>
      <c r="AW17" s="1411"/>
      <c r="AX17" s="1407"/>
      <c r="AY17" s="1409"/>
      <c r="AZ17" s="1411"/>
      <c r="BA17" s="1407"/>
      <c r="BB17" s="1409"/>
      <c r="BC17" s="1411"/>
      <c r="BD17" s="1407"/>
      <c r="BE17" s="1409"/>
      <c r="BF17" s="1411"/>
      <c r="BG17" s="1407"/>
      <c r="BH17" s="1409"/>
      <c r="BI17" s="1411"/>
      <c r="BP17" s="283">
        <v>285</v>
      </c>
      <c r="BT17" s="1535"/>
      <c r="BU17" s="1547"/>
      <c r="BV17" s="1348" t="s">
        <v>443</v>
      </c>
      <c r="BW17" s="1349"/>
      <c r="BX17" s="1350"/>
      <c r="BY17" s="478">
        <v>300</v>
      </c>
    </row>
    <row r="18" spans="1:77" ht="37.5" customHeight="1" thickBot="1">
      <c r="A18" s="1430"/>
      <c r="B18" s="563" t="s">
        <v>323</v>
      </c>
      <c r="C18" s="380" t="s">
        <v>77</v>
      </c>
      <c r="D18" s="418" t="s">
        <v>404</v>
      </c>
      <c r="E18" s="382">
        <v>47</v>
      </c>
      <c r="F18" s="382">
        <f t="shared" si="4"/>
        <v>76.59574468085107</v>
      </c>
      <c r="G18" s="382">
        <v>1</v>
      </c>
      <c r="H18" s="382">
        <v>144</v>
      </c>
      <c r="I18" s="480">
        <v>0</v>
      </c>
      <c r="J18" s="565" t="s">
        <v>252</v>
      </c>
      <c r="K18" s="382">
        <v>1</v>
      </c>
      <c r="L18" s="378">
        <f t="shared" ref="L18:L78" si="5">((H18*E18)/3600)</f>
        <v>1.88</v>
      </c>
      <c r="M18" s="385">
        <f t="shared" si="2"/>
        <v>0</v>
      </c>
      <c r="N18" s="490">
        <f>M18</f>
        <v>0</v>
      </c>
      <c r="O18" s="386">
        <f t="shared" si="3"/>
        <v>41578</v>
      </c>
      <c r="P18" s="35"/>
      <c r="Q18" s="36"/>
      <c r="R18" s="37">
        <v>1</v>
      </c>
      <c r="S18" s="37"/>
      <c r="T18" s="64">
        <v>1</v>
      </c>
      <c r="U18" s="39"/>
      <c r="V18" s="39"/>
      <c r="W18" s="39"/>
      <c r="X18" s="39"/>
      <c r="Y18" s="40"/>
      <c r="Z18" s="504"/>
      <c r="AA18" s="505"/>
      <c r="AB18" s="544"/>
      <c r="AC18" s="504"/>
      <c r="AD18" s="505"/>
      <c r="AE18" s="544"/>
      <c r="AF18" s="504"/>
      <c r="AG18" s="505"/>
      <c r="AH18" s="544"/>
      <c r="AI18" s="504"/>
      <c r="AJ18" s="505"/>
      <c r="AK18" s="544"/>
      <c r="AL18" s="504"/>
      <c r="AM18" s="505"/>
      <c r="AN18" s="544"/>
      <c r="AO18" s="545"/>
      <c r="AP18" s="546"/>
      <c r="AQ18" s="547"/>
      <c r="AR18" s="545"/>
      <c r="AS18" s="546"/>
      <c r="AT18" s="547"/>
      <c r="AU18" s="545"/>
      <c r="AV18" s="546"/>
      <c r="AW18" s="547"/>
      <c r="AX18" s="545"/>
      <c r="AY18" s="546"/>
      <c r="AZ18" s="547"/>
      <c r="BA18" s="545"/>
      <c r="BB18" s="546"/>
      <c r="BC18" s="547"/>
      <c r="BD18" s="545"/>
      <c r="BE18" s="546"/>
      <c r="BF18" s="547"/>
      <c r="BG18" s="545"/>
      <c r="BH18" s="546"/>
      <c r="BI18" s="547"/>
      <c r="BT18" s="1535"/>
      <c r="BU18" s="1547"/>
      <c r="BV18" s="1348" t="s">
        <v>444</v>
      </c>
      <c r="BW18" s="1349"/>
      <c r="BX18" s="1350"/>
      <c r="BY18" s="478">
        <v>200</v>
      </c>
    </row>
    <row r="19" spans="1:77" ht="37.5" customHeight="1" thickBot="1">
      <c r="A19" s="1430"/>
      <c r="B19" s="1439" t="s">
        <v>322</v>
      </c>
      <c r="C19" s="380" t="s">
        <v>75</v>
      </c>
      <c r="D19" s="419" t="s">
        <v>405</v>
      </c>
      <c r="E19" s="381">
        <v>49.3</v>
      </c>
      <c r="F19" s="382">
        <f t="shared" si="4"/>
        <v>73.022312373225162</v>
      </c>
      <c r="G19" s="382">
        <v>1</v>
      </c>
      <c r="H19" s="382">
        <f>0.8*BY19</f>
        <v>80</v>
      </c>
      <c r="I19" s="480">
        <v>0</v>
      </c>
      <c r="J19" s="565">
        <v>544</v>
      </c>
      <c r="K19" s="382">
        <v>1</v>
      </c>
      <c r="L19" s="378">
        <f t="shared" si="5"/>
        <v>1.0955555555555556</v>
      </c>
      <c r="M19" s="385">
        <f t="shared" si="2"/>
        <v>0</v>
      </c>
      <c r="N19" s="490">
        <f>M19*1.5</f>
        <v>0</v>
      </c>
      <c r="O19" s="386">
        <f t="shared" si="3"/>
        <v>41578</v>
      </c>
      <c r="P19" s="35"/>
      <c r="Q19" s="36"/>
      <c r="R19" s="40"/>
      <c r="S19" s="41"/>
      <c r="T19" s="1412"/>
      <c r="U19" s="1412"/>
      <c r="V19" s="1412"/>
      <c r="W19" s="1412"/>
      <c r="X19" s="1412"/>
      <c r="Y19" s="1414"/>
      <c r="Z19" s="1392"/>
      <c r="AA19" s="1394"/>
      <c r="AB19" s="1396"/>
      <c r="AC19" s="1392"/>
      <c r="AD19" s="1394"/>
      <c r="AE19" s="1396"/>
      <c r="AF19" s="1392"/>
      <c r="AG19" s="1394"/>
      <c r="AH19" s="1396"/>
      <c r="AI19" s="1398"/>
      <c r="AJ19" s="1400">
        <v>20</v>
      </c>
      <c r="AK19" s="1402"/>
      <c r="AL19" s="1398"/>
      <c r="AM19" s="1400"/>
      <c r="AN19" s="1404"/>
      <c r="AO19" s="1406"/>
      <c r="AP19" s="1408"/>
      <c r="AQ19" s="1410"/>
      <c r="AR19" s="1406"/>
      <c r="AS19" s="1408"/>
      <c r="AT19" s="1410"/>
      <c r="AU19" s="1406"/>
      <c r="AV19" s="1408"/>
      <c r="AW19" s="1410"/>
      <c r="AX19" s="1406"/>
      <c r="AY19" s="1408"/>
      <c r="AZ19" s="1410"/>
      <c r="BA19" s="1406"/>
      <c r="BB19" s="1408"/>
      <c r="BC19" s="1410"/>
      <c r="BD19" s="1406"/>
      <c r="BE19" s="1408"/>
      <c r="BF19" s="1410"/>
      <c r="BG19" s="1406"/>
      <c r="BH19" s="1408"/>
      <c r="BI19" s="1410"/>
      <c r="BP19" s="284">
        <v>179</v>
      </c>
      <c r="BT19" s="1535"/>
      <c r="BU19" s="1547"/>
      <c r="BV19" s="1351" t="s">
        <v>445</v>
      </c>
      <c r="BW19" s="1352"/>
      <c r="BX19" s="1353"/>
      <c r="BY19" s="479">
        <v>100</v>
      </c>
    </row>
    <row r="20" spans="1:77" ht="36.75" customHeight="1" thickBot="1">
      <c r="A20" s="1430"/>
      <c r="B20" s="1439"/>
      <c r="C20" s="380" t="s">
        <v>76</v>
      </c>
      <c r="D20" s="419" t="s">
        <v>406</v>
      </c>
      <c r="E20" s="381">
        <v>49.3</v>
      </c>
      <c r="F20" s="382">
        <f t="shared" si="4"/>
        <v>73.022312373225162</v>
      </c>
      <c r="G20" s="382">
        <v>1</v>
      </c>
      <c r="H20" s="382">
        <f>H19</f>
        <v>80</v>
      </c>
      <c r="I20" s="480">
        <v>0</v>
      </c>
      <c r="J20" s="565">
        <v>544</v>
      </c>
      <c r="K20" s="382">
        <v>1</v>
      </c>
      <c r="L20" s="378">
        <f t="shared" si="5"/>
        <v>1.0955555555555556</v>
      </c>
      <c r="M20" s="385">
        <f t="shared" si="2"/>
        <v>0</v>
      </c>
      <c r="N20" s="490">
        <f>M20*1.5</f>
        <v>0</v>
      </c>
      <c r="O20" s="386">
        <f t="shared" si="3"/>
        <v>41578</v>
      </c>
      <c r="P20" s="35"/>
      <c r="Q20" s="36"/>
      <c r="R20" s="40"/>
      <c r="S20" s="42"/>
      <c r="T20" s="1436"/>
      <c r="U20" s="1436"/>
      <c r="V20" s="1436"/>
      <c r="W20" s="1436"/>
      <c r="X20" s="1436"/>
      <c r="Y20" s="1437"/>
      <c r="Z20" s="1393"/>
      <c r="AA20" s="1395"/>
      <c r="AB20" s="1397"/>
      <c r="AC20" s="1393"/>
      <c r="AD20" s="1395"/>
      <c r="AE20" s="1397"/>
      <c r="AF20" s="1393"/>
      <c r="AG20" s="1395"/>
      <c r="AH20" s="1397"/>
      <c r="AI20" s="1399"/>
      <c r="AJ20" s="1401"/>
      <c r="AK20" s="1403"/>
      <c r="AL20" s="1399"/>
      <c r="AM20" s="1401"/>
      <c r="AN20" s="1405"/>
      <c r="AO20" s="1407"/>
      <c r="AP20" s="1409"/>
      <c r="AQ20" s="1411"/>
      <c r="AR20" s="1407"/>
      <c r="AS20" s="1409"/>
      <c r="AT20" s="1411"/>
      <c r="AU20" s="1407"/>
      <c r="AV20" s="1409"/>
      <c r="AW20" s="1411"/>
      <c r="AX20" s="1407"/>
      <c r="AY20" s="1409"/>
      <c r="AZ20" s="1411"/>
      <c r="BA20" s="1407"/>
      <c r="BB20" s="1409"/>
      <c r="BC20" s="1411"/>
      <c r="BD20" s="1407"/>
      <c r="BE20" s="1409"/>
      <c r="BF20" s="1411"/>
      <c r="BG20" s="1407"/>
      <c r="BH20" s="1409"/>
      <c r="BI20" s="1411"/>
      <c r="BT20" s="1535"/>
      <c r="BU20" s="1547"/>
    </row>
    <row r="21" spans="1:77" ht="56.25" thickBot="1">
      <c r="A21" s="1431"/>
      <c r="B21" s="564" t="s">
        <v>317</v>
      </c>
      <c r="C21" s="390" t="s">
        <v>86</v>
      </c>
      <c r="D21" s="420" t="s">
        <v>111</v>
      </c>
      <c r="E21" s="391">
        <v>53.3</v>
      </c>
      <c r="F21" s="391">
        <f t="shared" si="4"/>
        <v>67.542213883677306</v>
      </c>
      <c r="G21" s="391">
        <v>1</v>
      </c>
      <c r="H21" s="382">
        <f>96+80</f>
        <v>176</v>
      </c>
      <c r="I21" s="481">
        <v>0</v>
      </c>
      <c r="J21" s="566" t="s">
        <v>252</v>
      </c>
      <c r="K21" s="391">
        <v>1</v>
      </c>
      <c r="L21" s="378">
        <f t="shared" si="5"/>
        <v>2.6057777777777775</v>
      </c>
      <c r="M21" s="394">
        <f t="shared" si="2"/>
        <v>0</v>
      </c>
      <c r="N21" s="491">
        <f>M21</f>
        <v>0</v>
      </c>
      <c r="O21" s="395">
        <f t="shared" si="3"/>
        <v>41578</v>
      </c>
      <c r="P21" s="47"/>
      <c r="Q21" s="48"/>
      <c r="R21" s="49"/>
      <c r="S21" s="49"/>
      <c r="T21" s="50"/>
      <c r="U21" s="50"/>
      <c r="V21" s="50"/>
      <c r="W21" s="50"/>
      <c r="X21" s="50"/>
      <c r="Y21" s="49"/>
      <c r="Z21" s="569"/>
      <c r="AA21" s="570"/>
      <c r="AB21" s="571"/>
      <c r="AC21" s="569"/>
      <c r="AD21" s="570"/>
      <c r="AE21" s="571"/>
      <c r="AF21" s="569"/>
      <c r="AG21" s="570"/>
      <c r="AH21" s="571"/>
      <c r="AI21" s="13"/>
      <c r="AJ21" s="11"/>
      <c r="AK21" s="12"/>
      <c r="AL21" s="13"/>
      <c r="AM21" s="11"/>
      <c r="AN21" s="12"/>
      <c r="AO21" s="30"/>
      <c r="AP21" s="31"/>
      <c r="AQ21" s="32"/>
      <c r="AR21" s="30"/>
      <c r="AS21" s="31"/>
      <c r="AT21" s="32"/>
      <c r="AU21" s="30"/>
      <c r="AV21" s="31"/>
      <c r="AW21" s="32"/>
      <c r="AX21" s="30"/>
      <c r="AY21" s="31"/>
      <c r="AZ21" s="32"/>
      <c r="BA21" s="30"/>
      <c r="BB21" s="31"/>
      <c r="BC21" s="32"/>
      <c r="BD21" s="30"/>
      <c r="BE21" s="31"/>
      <c r="BF21" s="32"/>
      <c r="BG21" s="30"/>
      <c r="BH21" s="31"/>
      <c r="BI21" s="32"/>
      <c r="BT21" s="1536"/>
      <c r="BU21" s="1548"/>
    </row>
    <row r="22" spans="1:77" ht="30.75" customHeight="1" thickBot="1">
      <c r="A22" s="1451" t="s">
        <v>364</v>
      </c>
      <c r="B22" s="1454" t="s">
        <v>308</v>
      </c>
      <c r="C22" s="310" t="s">
        <v>51</v>
      </c>
      <c r="D22" s="421" t="s">
        <v>407</v>
      </c>
      <c r="E22" s="287">
        <v>46.6</v>
      </c>
      <c r="F22" s="288">
        <f t="shared" si="4"/>
        <v>77.253218884120173</v>
      </c>
      <c r="G22" s="288">
        <v>1</v>
      </c>
      <c r="H22" s="295">
        <f>BY17*0.8</f>
        <v>240</v>
      </c>
      <c r="I22" s="662">
        <v>0</v>
      </c>
      <c r="J22" s="290">
        <v>625</v>
      </c>
      <c r="K22" s="288">
        <v>1</v>
      </c>
      <c r="L22" s="378">
        <f t="shared" si="5"/>
        <v>3.1066666666666665</v>
      </c>
      <c r="M22" s="291">
        <f t="shared" si="2"/>
        <v>0</v>
      </c>
      <c r="N22" s="492">
        <f>M22*2</f>
        <v>0</v>
      </c>
      <c r="O22" s="292">
        <f t="shared" si="3"/>
        <v>41578</v>
      </c>
      <c r="P22" s="35"/>
      <c r="Q22" s="36"/>
      <c r="R22" s="40"/>
      <c r="S22" s="39"/>
      <c r="T22" s="1456"/>
      <c r="U22" s="1456"/>
      <c r="V22" s="1456"/>
      <c r="W22" s="1456"/>
      <c r="X22" s="1456"/>
      <c r="Y22" s="1457"/>
      <c r="Z22" s="1440"/>
      <c r="AA22" s="1441">
        <v>18</v>
      </c>
      <c r="AB22" s="1458"/>
      <c r="AC22" s="1459"/>
      <c r="AD22" s="1441"/>
      <c r="AE22" s="1442"/>
      <c r="AF22" s="1440"/>
      <c r="AG22" s="1441"/>
      <c r="AH22" s="1442"/>
      <c r="AI22" s="1440"/>
      <c r="AJ22" s="1441"/>
      <c r="AK22" s="1460">
        <v>22</v>
      </c>
      <c r="AL22" s="1440"/>
      <c r="AM22" s="1441"/>
      <c r="AN22" s="1442"/>
      <c r="AO22" s="1443"/>
      <c r="AP22" s="1444"/>
      <c r="AQ22" s="1464"/>
      <c r="AR22" s="1447"/>
      <c r="AS22" s="1449"/>
      <c r="AT22" s="1445"/>
      <c r="AU22" s="1447"/>
      <c r="AV22" s="1449"/>
      <c r="AW22" s="1445"/>
      <c r="AX22" s="1447"/>
      <c r="AY22" s="1449"/>
      <c r="AZ22" s="1445"/>
      <c r="BA22" s="1447"/>
      <c r="BB22" s="1449"/>
      <c r="BC22" s="1445"/>
      <c r="BD22" s="1447"/>
      <c r="BE22" s="1449"/>
      <c r="BF22" s="1445"/>
      <c r="BG22" s="1447"/>
      <c r="BH22" s="1449"/>
      <c r="BI22" s="1445"/>
      <c r="BP22" s="285">
        <v>1372</v>
      </c>
      <c r="BT22" s="1534">
        <v>2</v>
      </c>
      <c r="BU22" s="1546">
        <f>L22+L24+L27+L29+L36+BT22</f>
        <v>15.473888888888887</v>
      </c>
    </row>
    <row r="23" spans="1:77" ht="34.5" customHeight="1" thickBot="1">
      <c r="A23" s="1452"/>
      <c r="B23" s="1455"/>
      <c r="C23" s="311" t="s">
        <v>52</v>
      </c>
      <c r="D23" s="422" t="s">
        <v>408</v>
      </c>
      <c r="E23" s="294">
        <v>46.6</v>
      </c>
      <c r="F23" s="295">
        <f t="shared" si="4"/>
        <v>77.253218884120173</v>
      </c>
      <c r="G23" s="295">
        <v>1</v>
      </c>
      <c r="H23" s="295">
        <f>BY17*0.8</f>
        <v>240</v>
      </c>
      <c r="I23" s="480">
        <v>0</v>
      </c>
      <c r="J23" s="297">
        <v>625</v>
      </c>
      <c r="K23" s="295">
        <v>1</v>
      </c>
      <c r="L23" s="378">
        <f t="shared" si="5"/>
        <v>3.1066666666666665</v>
      </c>
      <c r="M23" s="298">
        <f t="shared" si="2"/>
        <v>0</v>
      </c>
      <c r="N23" s="493">
        <f>M23*2</f>
        <v>0</v>
      </c>
      <c r="O23" s="299">
        <f t="shared" si="3"/>
        <v>41578</v>
      </c>
      <c r="P23" s="35"/>
      <c r="Q23" s="36"/>
      <c r="R23" s="40"/>
      <c r="S23" s="39"/>
      <c r="T23" s="1456"/>
      <c r="U23" s="1456"/>
      <c r="V23" s="1456"/>
      <c r="W23" s="1456"/>
      <c r="X23" s="1456"/>
      <c r="Y23" s="1457"/>
      <c r="Z23" s="1440"/>
      <c r="AA23" s="1441"/>
      <c r="AB23" s="1458"/>
      <c r="AC23" s="1459"/>
      <c r="AD23" s="1441"/>
      <c r="AE23" s="1442"/>
      <c r="AF23" s="1440"/>
      <c r="AG23" s="1441"/>
      <c r="AH23" s="1442"/>
      <c r="AI23" s="1440"/>
      <c r="AJ23" s="1441"/>
      <c r="AK23" s="1460"/>
      <c r="AL23" s="1440"/>
      <c r="AM23" s="1441"/>
      <c r="AN23" s="1442"/>
      <c r="AO23" s="1443"/>
      <c r="AP23" s="1444"/>
      <c r="AQ23" s="1464"/>
      <c r="AR23" s="1448"/>
      <c r="AS23" s="1450"/>
      <c r="AT23" s="1446"/>
      <c r="AU23" s="1448"/>
      <c r="AV23" s="1450"/>
      <c r="AW23" s="1446"/>
      <c r="AX23" s="1448"/>
      <c r="AY23" s="1450"/>
      <c r="AZ23" s="1446"/>
      <c r="BA23" s="1448"/>
      <c r="BB23" s="1450"/>
      <c r="BC23" s="1446"/>
      <c r="BD23" s="1448"/>
      <c r="BE23" s="1450"/>
      <c r="BF23" s="1446"/>
      <c r="BG23" s="1448"/>
      <c r="BH23" s="1450"/>
      <c r="BI23" s="1446"/>
      <c r="BP23" s="283">
        <v>981</v>
      </c>
      <c r="BT23" s="1535"/>
      <c r="BU23" s="1547"/>
    </row>
    <row r="24" spans="1:77" ht="34.5" customHeight="1" thickBot="1">
      <c r="A24" s="1452"/>
      <c r="B24" s="1469" t="s">
        <v>309</v>
      </c>
      <c r="C24" s="293" t="s">
        <v>53</v>
      </c>
      <c r="D24" s="422" t="s">
        <v>10</v>
      </c>
      <c r="E24" s="294">
        <v>42</v>
      </c>
      <c r="F24" s="295">
        <f t="shared" si="4"/>
        <v>85.714285714285708</v>
      </c>
      <c r="G24" s="295">
        <v>1</v>
      </c>
      <c r="H24" s="295">
        <f>BY17</f>
        <v>300</v>
      </c>
      <c r="I24" s="480">
        <v>0</v>
      </c>
      <c r="J24" s="297">
        <v>1504</v>
      </c>
      <c r="K24" s="295">
        <v>1</v>
      </c>
      <c r="L24" s="378">
        <f t="shared" si="5"/>
        <v>3.5</v>
      </c>
      <c r="M24" s="298">
        <f t="shared" si="2"/>
        <v>0</v>
      </c>
      <c r="N24" s="493">
        <f>M24*1.5</f>
        <v>0</v>
      </c>
      <c r="O24" s="299">
        <f t="shared" si="3"/>
        <v>41578</v>
      </c>
      <c r="P24" s="35"/>
      <c r="Q24" s="36"/>
      <c r="R24" s="40"/>
      <c r="S24" s="39"/>
      <c r="T24" s="39"/>
      <c r="U24" s="39"/>
      <c r="V24" s="39"/>
      <c r="W24" s="39"/>
      <c r="X24" s="39"/>
      <c r="Y24" s="40"/>
      <c r="Z24" s="1392"/>
      <c r="AA24" s="1394"/>
      <c r="AB24" s="1396"/>
      <c r="AC24" s="1392"/>
      <c r="AD24" s="1394"/>
      <c r="AE24" s="1396"/>
      <c r="AF24" s="1392"/>
      <c r="AG24" s="1394"/>
      <c r="AH24" s="1396"/>
      <c r="AI24" s="1392"/>
      <c r="AJ24" s="1394"/>
      <c r="AK24" s="1396"/>
      <c r="AL24" s="1392"/>
      <c r="AM24" s="1394"/>
      <c r="AN24" s="1396"/>
      <c r="AO24" s="1447"/>
      <c r="AP24" s="1394"/>
      <c r="AQ24" s="1445"/>
      <c r="AR24" s="1447"/>
      <c r="AS24" s="1449"/>
      <c r="AT24" s="1445"/>
      <c r="AU24" s="1447"/>
      <c r="AV24" s="1449"/>
      <c r="AW24" s="1445"/>
      <c r="AX24" s="1447"/>
      <c r="AY24" s="1449"/>
      <c r="AZ24" s="1445"/>
      <c r="BA24" s="1447"/>
      <c r="BB24" s="1449"/>
      <c r="BC24" s="1445"/>
      <c r="BD24" s="1447"/>
      <c r="BE24" s="1449"/>
      <c r="BF24" s="1445"/>
      <c r="BG24" s="1447"/>
      <c r="BH24" s="1449"/>
      <c r="BI24" s="1445"/>
      <c r="BP24" s="283">
        <v>1075</v>
      </c>
      <c r="BT24" s="1535"/>
      <c r="BU24" s="1547"/>
    </row>
    <row r="25" spans="1:77" ht="39.75" customHeight="1" thickBot="1">
      <c r="A25" s="1452"/>
      <c r="B25" s="1455"/>
      <c r="C25" s="293" t="s">
        <v>54</v>
      </c>
      <c r="D25" s="422" t="s">
        <v>11</v>
      </c>
      <c r="E25" s="294">
        <v>42</v>
      </c>
      <c r="F25" s="295">
        <f t="shared" si="4"/>
        <v>85.714285714285708</v>
      </c>
      <c r="G25" s="295">
        <v>1</v>
      </c>
      <c r="H25" s="295">
        <f>BY17</f>
        <v>300</v>
      </c>
      <c r="I25" s="480">
        <v>0</v>
      </c>
      <c r="J25" s="297">
        <v>1504</v>
      </c>
      <c r="K25" s="295">
        <v>1</v>
      </c>
      <c r="L25" s="378">
        <f t="shared" si="5"/>
        <v>3.5</v>
      </c>
      <c r="M25" s="298">
        <f>I25/H24</f>
        <v>0</v>
      </c>
      <c r="N25" s="493">
        <f>M25*1.5</f>
        <v>0</v>
      </c>
      <c r="O25" s="299">
        <f t="shared" si="3"/>
        <v>41578</v>
      </c>
      <c r="P25" s="35"/>
      <c r="Q25" s="36"/>
      <c r="R25" s="40"/>
      <c r="S25" s="39"/>
      <c r="T25" s="39"/>
      <c r="U25" s="39"/>
      <c r="V25" s="39"/>
      <c r="W25" s="39"/>
      <c r="X25" s="39"/>
      <c r="Y25" s="40"/>
      <c r="Z25" s="1470"/>
      <c r="AA25" s="1471"/>
      <c r="AB25" s="1472"/>
      <c r="AC25" s="1470"/>
      <c r="AD25" s="1471"/>
      <c r="AE25" s="1472"/>
      <c r="AF25" s="1470"/>
      <c r="AG25" s="1471"/>
      <c r="AH25" s="1472"/>
      <c r="AI25" s="1470"/>
      <c r="AJ25" s="1471"/>
      <c r="AK25" s="1472"/>
      <c r="AL25" s="1470"/>
      <c r="AM25" s="1471"/>
      <c r="AN25" s="1472"/>
      <c r="AO25" s="1461"/>
      <c r="AP25" s="1471"/>
      <c r="AQ25" s="1463"/>
      <c r="AR25" s="1461"/>
      <c r="AS25" s="1462"/>
      <c r="AT25" s="1463"/>
      <c r="AU25" s="1461"/>
      <c r="AV25" s="1462"/>
      <c r="AW25" s="1463"/>
      <c r="AX25" s="1461"/>
      <c r="AY25" s="1462"/>
      <c r="AZ25" s="1463"/>
      <c r="BA25" s="1461"/>
      <c r="BB25" s="1462"/>
      <c r="BC25" s="1463"/>
      <c r="BD25" s="1461"/>
      <c r="BE25" s="1462"/>
      <c r="BF25" s="1463"/>
      <c r="BG25" s="1461"/>
      <c r="BH25" s="1462"/>
      <c r="BI25" s="1463"/>
      <c r="BP25" s="284">
        <v>859</v>
      </c>
      <c r="BT25" s="1535"/>
      <c r="BU25" s="1547"/>
    </row>
    <row r="26" spans="1:77" ht="35.25" customHeight="1" thickBot="1">
      <c r="A26" s="1452"/>
      <c r="B26" s="1455"/>
      <c r="C26" s="293" t="s">
        <v>55</v>
      </c>
      <c r="D26" s="422" t="s">
        <v>438</v>
      </c>
      <c r="E26" s="294">
        <v>42</v>
      </c>
      <c r="F26" s="295">
        <f t="shared" si="4"/>
        <v>85.714285714285708</v>
      </c>
      <c r="G26" s="295">
        <v>1</v>
      </c>
      <c r="H26" s="295">
        <f>BY17</f>
        <v>300</v>
      </c>
      <c r="I26" s="480">
        <v>0</v>
      </c>
      <c r="J26" s="297">
        <v>1504</v>
      </c>
      <c r="K26" s="295">
        <v>1</v>
      </c>
      <c r="L26" s="378">
        <f t="shared" si="5"/>
        <v>3.5</v>
      </c>
      <c r="M26" s="298">
        <f>I26/H24</f>
        <v>0</v>
      </c>
      <c r="N26" s="493">
        <f>M26*1.5</f>
        <v>0</v>
      </c>
      <c r="O26" s="299">
        <f t="shared" si="3"/>
        <v>41578</v>
      </c>
      <c r="P26" s="35"/>
      <c r="Q26" s="36"/>
      <c r="R26" s="40"/>
      <c r="S26" s="39"/>
      <c r="T26" s="39"/>
      <c r="U26" s="39"/>
      <c r="V26" s="39"/>
      <c r="W26" s="39"/>
      <c r="X26" s="39"/>
      <c r="Y26" s="40"/>
      <c r="Z26" s="1393"/>
      <c r="AA26" s="1395"/>
      <c r="AB26" s="1397"/>
      <c r="AC26" s="1393"/>
      <c r="AD26" s="1395"/>
      <c r="AE26" s="1397"/>
      <c r="AF26" s="1393"/>
      <c r="AG26" s="1395"/>
      <c r="AH26" s="1397"/>
      <c r="AI26" s="1393"/>
      <c r="AJ26" s="1395"/>
      <c r="AK26" s="1397"/>
      <c r="AL26" s="1393"/>
      <c r="AM26" s="1395"/>
      <c r="AN26" s="1397"/>
      <c r="AO26" s="1448"/>
      <c r="AP26" s="1395"/>
      <c r="AQ26" s="1446"/>
      <c r="AR26" s="1448"/>
      <c r="AS26" s="1450"/>
      <c r="AT26" s="1446"/>
      <c r="AU26" s="1448"/>
      <c r="AV26" s="1450"/>
      <c r="AW26" s="1446"/>
      <c r="AX26" s="1448"/>
      <c r="AY26" s="1450"/>
      <c r="AZ26" s="1446"/>
      <c r="BA26" s="1448"/>
      <c r="BB26" s="1450"/>
      <c r="BC26" s="1446"/>
      <c r="BD26" s="1448"/>
      <c r="BE26" s="1450"/>
      <c r="BF26" s="1446"/>
      <c r="BG26" s="1448"/>
      <c r="BH26" s="1450"/>
      <c r="BI26" s="1446"/>
      <c r="BP26" s="283">
        <v>1371</v>
      </c>
      <c r="BT26" s="1535"/>
      <c r="BU26" s="1547"/>
    </row>
    <row r="27" spans="1:77" ht="39.75" customHeight="1" thickBot="1">
      <c r="A27" s="1452"/>
      <c r="B27" s="1469" t="s">
        <v>316</v>
      </c>
      <c r="C27" s="293" t="s">
        <v>67</v>
      </c>
      <c r="D27" s="422" t="s">
        <v>409</v>
      </c>
      <c r="E27" s="294">
        <v>57</v>
      </c>
      <c r="F27" s="295">
        <f>3600/E27*2</f>
        <v>126.31578947368421</v>
      </c>
      <c r="G27" s="295">
        <v>1</v>
      </c>
      <c r="H27" s="295">
        <f>BY17</f>
        <v>300</v>
      </c>
      <c r="I27" s="480">
        <v>0</v>
      </c>
      <c r="J27" s="297">
        <f>65*25</f>
        <v>1625</v>
      </c>
      <c r="K27" s="295">
        <v>1</v>
      </c>
      <c r="L27" s="378">
        <f t="shared" si="5"/>
        <v>4.75</v>
      </c>
      <c r="M27" s="298">
        <f>I27/H27</f>
        <v>0</v>
      </c>
      <c r="N27" s="493">
        <f>M27*2</f>
        <v>0</v>
      </c>
      <c r="O27" s="299">
        <f t="shared" si="3"/>
        <v>41578</v>
      </c>
      <c r="P27" s="35"/>
      <c r="Q27" s="36"/>
      <c r="R27" s="37">
        <v>1</v>
      </c>
      <c r="S27" s="61"/>
      <c r="T27" s="1412">
        <v>1</v>
      </c>
      <c r="U27" s="1412"/>
      <c r="V27" s="1412"/>
      <c r="W27" s="1412"/>
      <c r="X27" s="1412"/>
      <c r="Y27" s="1473">
        <v>1</v>
      </c>
      <c r="Z27" s="1419"/>
      <c r="AA27" s="1421"/>
      <c r="AB27" s="1396"/>
      <c r="AC27" s="1392"/>
      <c r="AD27" s="1394"/>
      <c r="AE27" s="1396"/>
      <c r="AF27" s="1392"/>
      <c r="AG27" s="1394"/>
      <c r="AH27" s="1475">
        <v>0</v>
      </c>
      <c r="AI27" s="1392"/>
      <c r="AJ27" s="1421">
        <v>16</v>
      </c>
      <c r="AK27" s="1402"/>
      <c r="AL27" s="1392"/>
      <c r="AM27" s="1394"/>
      <c r="AN27" s="1396"/>
      <c r="AO27" s="1447"/>
      <c r="AP27" s="1449"/>
      <c r="AQ27" s="1445"/>
      <c r="AR27" s="1447"/>
      <c r="AS27" s="1449"/>
      <c r="AT27" s="1445"/>
      <c r="AU27" s="1447"/>
      <c r="AV27" s="1449"/>
      <c r="AW27" s="1445"/>
      <c r="AX27" s="1447"/>
      <c r="AY27" s="1449"/>
      <c r="AZ27" s="1445"/>
      <c r="BA27" s="1447"/>
      <c r="BB27" s="1449"/>
      <c r="BC27" s="1445"/>
      <c r="BD27" s="1447"/>
      <c r="BE27" s="1449"/>
      <c r="BF27" s="1445"/>
      <c r="BG27" s="1447"/>
      <c r="BH27" s="1449"/>
      <c r="BI27" s="1445"/>
      <c r="BP27" s="283">
        <v>7889</v>
      </c>
      <c r="BT27" s="1535"/>
      <c r="BU27" s="1547"/>
    </row>
    <row r="28" spans="1:77" ht="37.5" customHeight="1" thickBot="1">
      <c r="A28" s="1452"/>
      <c r="B28" s="1469"/>
      <c r="C28" s="311" t="s">
        <v>68</v>
      </c>
      <c r="D28" s="422" t="s">
        <v>410</v>
      </c>
      <c r="E28" s="295">
        <v>57</v>
      </c>
      <c r="F28" s="295">
        <f>3600/E28*2</f>
        <v>126.31578947368421</v>
      </c>
      <c r="G28" s="295">
        <v>1</v>
      </c>
      <c r="H28" s="295">
        <f>BY17</f>
        <v>300</v>
      </c>
      <c r="I28" s="480">
        <v>0</v>
      </c>
      <c r="J28" s="297">
        <f>65*25</f>
        <v>1625</v>
      </c>
      <c r="K28" s="295">
        <v>1</v>
      </c>
      <c r="L28" s="378">
        <f t="shared" si="5"/>
        <v>4.75</v>
      </c>
      <c r="M28" s="298">
        <f>I28/H28</f>
        <v>0</v>
      </c>
      <c r="N28" s="493">
        <f>M28*2</f>
        <v>0</v>
      </c>
      <c r="O28" s="299">
        <f t="shared" si="3"/>
        <v>41578</v>
      </c>
      <c r="P28" s="43"/>
      <c r="Q28" s="44"/>
      <c r="R28" s="62">
        <v>1</v>
      </c>
      <c r="S28" s="63"/>
      <c r="T28" s="1413">
        <v>1</v>
      </c>
      <c r="U28" s="1413"/>
      <c r="V28" s="1413"/>
      <c r="W28" s="1413"/>
      <c r="X28" s="1413"/>
      <c r="Y28" s="1474">
        <v>1</v>
      </c>
      <c r="Z28" s="1420"/>
      <c r="AA28" s="1422"/>
      <c r="AB28" s="1465"/>
      <c r="AC28" s="1416"/>
      <c r="AD28" s="1417"/>
      <c r="AE28" s="1465"/>
      <c r="AF28" s="1416"/>
      <c r="AG28" s="1417"/>
      <c r="AH28" s="1465"/>
      <c r="AI28" s="1416"/>
      <c r="AJ28" s="1422"/>
      <c r="AK28" s="1418"/>
      <c r="AL28" s="1416"/>
      <c r="AM28" s="1417"/>
      <c r="AN28" s="1465"/>
      <c r="AO28" s="1466"/>
      <c r="AP28" s="1467"/>
      <c r="AQ28" s="1468"/>
      <c r="AR28" s="1466"/>
      <c r="AS28" s="1467"/>
      <c r="AT28" s="1468"/>
      <c r="AU28" s="1466"/>
      <c r="AV28" s="1467"/>
      <c r="AW28" s="1468"/>
      <c r="AX28" s="1466"/>
      <c r="AY28" s="1467"/>
      <c r="AZ28" s="1468"/>
      <c r="BA28" s="1466"/>
      <c r="BB28" s="1467"/>
      <c r="BC28" s="1468"/>
      <c r="BD28" s="1466"/>
      <c r="BE28" s="1467"/>
      <c r="BF28" s="1468"/>
      <c r="BG28" s="1466"/>
      <c r="BH28" s="1467"/>
      <c r="BI28" s="1468"/>
      <c r="BP28" s="284">
        <v>6480</v>
      </c>
      <c r="BT28" s="1535"/>
      <c r="BU28" s="1547"/>
    </row>
    <row r="29" spans="1:77" ht="36.75" customHeight="1" thickBot="1">
      <c r="A29" s="1452"/>
      <c r="B29" s="301" t="s">
        <v>310</v>
      </c>
      <c r="C29" s="293" t="s">
        <v>56</v>
      </c>
      <c r="D29" s="422" t="s">
        <v>411</v>
      </c>
      <c r="E29" s="295">
        <v>48.9</v>
      </c>
      <c r="F29" s="295">
        <f t="shared" si="4"/>
        <v>73.619631901840492</v>
      </c>
      <c r="G29" s="295">
        <v>1</v>
      </c>
      <c r="H29" s="295">
        <f>0.4*BY18</f>
        <v>80</v>
      </c>
      <c r="I29" s="480">
        <v>0</v>
      </c>
      <c r="J29" s="297">
        <v>1419</v>
      </c>
      <c r="K29" s="295">
        <v>1</v>
      </c>
      <c r="L29" s="378">
        <f t="shared" si="5"/>
        <v>1.0866666666666667</v>
      </c>
      <c r="M29" s="298">
        <f>I29/H29</f>
        <v>0</v>
      </c>
      <c r="N29" s="493">
        <f>M29*1.5</f>
        <v>0</v>
      </c>
      <c r="O29" s="299">
        <f t="shared" si="3"/>
        <v>41578</v>
      </c>
      <c r="P29" s="35"/>
      <c r="Q29" s="36"/>
      <c r="R29" s="40"/>
      <c r="S29" s="39"/>
      <c r="T29" s="39"/>
      <c r="U29" s="39"/>
      <c r="V29" s="39"/>
      <c r="W29" s="39"/>
      <c r="X29" s="39"/>
      <c r="Y29" s="40"/>
      <c r="Z29" s="504"/>
      <c r="AA29" s="505"/>
      <c r="AB29" s="544"/>
      <c r="AC29" s="504"/>
      <c r="AD29" s="505"/>
      <c r="AE29" s="544"/>
      <c r="AF29" s="504"/>
      <c r="AG29" s="505"/>
      <c r="AH29" s="544"/>
      <c r="AI29" s="504"/>
      <c r="AJ29" s="505"/>
      <c r="AK29" s="544"/>
      <c r="AL29" s="504"/>
      <c r="AM29" s="505" t="s">
        <v>189</v>
      </c>
      <c r="AN29" s="544"/>
      <c r="AO29" s="545"/>
      <c r="AP29" s="546"/>
      <c r="AQ29" s="547"/>
      <c r="AR29" s="545"/>
      <c r="AS29" s="546"/>
      <c r="AT29" s="547"/>
      <c r="AU29" s="545"/>
      <c r="AV29" s="546"/>
      <c r="AW29" s="547"/>
      <c r="AX29" s="545"/>
      <c r="AY29" s="546"/>
      <c r="AZ29" s="547"/>
      <c r="BA29" s="545"/>
      <c r="BB29" s="546"/>
      <c r="BC29" s="547"/>
      <c r="BD29" s="545"/>
      <c r="BE29" s="546"/>
      <c r="BF29" s="547"/>
      <c r="BG29" s="545"/>
      <c r="BH29" s="546"/>
      <c r="BI29" s="547"/>
      <c r="BT29" s="1535"/>
      <c r="BU29" s="1547"/>
    </row>
    <row r="30" spans="1:77" ht="30" hidden="1" customHeight="1">
      <c r="A30" s="1452"/>
      <c r="B30" s="301"/>
      <c r="C30" s="293" t="s">
        <v>57</v>
      </c>
      <c r="D30" s="422" t="s">
        <v>14</v>
      </c>
      <c r="E30" s="312"/>
      <c r="F30" s="300"/>
      <c r="G30" s="300"/>
      <c r="H30" s="300"/>
      <c r="I30" s="663"/>
      <c r="J30" s="314"/>
      <c r="K30" s="300"/>
      <c r="L30" s="378">
        <f t="shared" si="5"/>
        <v>0</v>
      </c>
      <c r="M30" s="300"/>
      <c r="N30" s="494"/>
      <c r="O30" s="315"/>
      <c r="P30" s="35"/>
      <c r="Q30" s="36"/>
      <c r="R30" s="40"/>
      <c r="S30" s="39"/>
      <c r="T30" s="39"/>
      <c r="U30" s="39"/>
      <c r="V30" s="39"/>
      <c r="W30" s="39"/>
      <c r="X30" s="39"/>
      <c r="Y30" s="40"/>
      <c r="Z30" s="504"/>
      <c r="AA30" s="505"/>
      <c r="AB30" s="544"/>
      <c r="AC30" s="504"/>
      <c r="AD30" s="505"/>
      <c r="AE30" s="544"/>
      <c r="AF30" s="504"/>
      <c r="AG30" s="505"/>
      <c r="AH30" s="525">
        <v>22</v>
      </c>
      <c r="AI30" s="527"/>
      <c r="AJ30" s="529"/>
      <c r="AK30" s="8"/>
      <c r="AL30" s="504"/>
      <c r="AM30" s="505"/>
      <c r="AN30" s="544"/>
      <c r="AO30" s="545"/>
      <c r="AP30" s="546"/>
      <c r="AQ30" s="547"/>
      <c r="AR30" s="545"/>
      <c r="AS30" s="546"/>
      <c r="AT30" s="547"/>
      <c r="AU30" s="545"/>
      <c r="AV30" s="546"/>
      <c r="AW30" s="547"/>
      <c r="AX30" s="545"/>
      <c r="AY30" s="546"/>
      <c r="AZ30" s="547"/>
      <c r="BA30" s="545"/>
      <c r="BB30" s="546"/>
      <c r="BC30" s="547"/>
      <c r="BD30" s="545"/>
      <c r="BE30" s="546"/>
      <c r="BF30" s="547"/>
      <c r="BG30" s="545"/>
      <c r="BH30" s="546"/>
      <c r="BI30" s="547"/>
      <c r="BT30" s="1535"/>
      <c r="BU30" s="1547"/>
    </row>
    <row r="31" spans="1:77" ht="30" hidden="1" customHeight="1">
      <c r="A31" s="1452"/>
      <c r="B31" s="301"/>
      <c r="C31" s="311" t="s">
        <v>61</v>
      </c>
      <c r="D31" s="422" t="s">
        <v>18</v>
      </c>
      <c r="E31" s="312"/>
      <c r="F31" s="300"/>
      <c r="G31" s="300"/>
      <c r="H31" s="300"/>
      <c r="I31" s="663"/>
      <c r="J31" s="314"/>
      <c r="K31" s="300"/>
      <c r="L31" s="378">
        <f t="shared" si="5"/>
        <v>0</v>
      </c>
      <c r="M31" s="300"/>
      <c r="N31" s="494"/>
      <c r="O31" s="315"/>
      <c r="P31" s="35"/>
      <c r="Q31" s="36"/>
      <c r="R31" s="40"/>
      <c r="S31" s="39"/>
      <c r="T31" s="39"/>
      <c r="U31" s="39"/>
      <c r="V31" s="39"/>
      <c r="W31" s="39"/>
      <c r="X31" s="39"/>
      <c r="Y31" s="40"/>
      <c r="Z31" s="504"/>
      <c r="AA31" s="505"/>
      <c r="AB31" s="544"/>
      <c r="AC31" s="504"/>
      <c r="AD31" s="505"/>
      <c r="AE31" s="544"/>
      <c r="AF31" s="504"/>
      <c r="AG31" s="505"/>
      <c r="AH31" s="544"/>
      <c r="AI31" s="504"/>
      <c r="AJ31" s="505"/>
      <c r="AK31" s="544"/>
      <c r="AL31" s="504"/>
      <c r="AM31" s="505"/>
      <c r="AN31" s="544"/>
      <c r="AO31" s="545"/>
      <c r="AP31" s="546"/>
      <c r="AQ31" s="547"/>
      <c r="AR31" s="545"/>
      <c r="AS31" s="546"/>
      <c r="AT31" s="547"/>
      <c r="AU31" s="545"/>
      <c r="AV31" s="546"/>
      <c r="AW31" s="547"/>
      <c r="AX31" s="545"/>
      <c r="AY31" s="546"/>
      <c r="AZ31" s="547"/>
      <c r="BA31" s="545"/>
      <c r="BB31" s="546"/>
      <c r="BC31" s="547"/>
      <c r="BD31" s="545"/>
      <c r="BE31" s="546"/>
      <c r="BF31" s="547"/>
      <c r="BG31" s="545"/>
      <c r="BH31" s="546"/>
      <c r="BI31" s="547"/>
      <c r="BT31" s="1535"/>
      <c r="BU31" s="1547"/>
    </row>
    <row r="32" spans="1:77" ht="30" hidden="1" customHeight="1">
      <c r="A32" s="1452"/>
      <c r="B32" s="301"/>
      <c r="C32" s="311" t="s">
        <v>62</v>
      </c>
      <c r="D32" s="422" t="s">
        <v>19</v>
      </c>
      <c r="E32" s="312"/>
      <c r="F32" s="300"/>
      <c r="G32" s="300"/>
      <c r="H32" s="300"/>
      <c r="I32" s="663"/>
      <c r="J32" s="314"/>
      <c r="K32" s="300"/>
      <c r="L32" s="378">
        <f t="shared" si="5"/>
        <v>0</v>
      </c>
      <c r="M32" s="300"/>
      <c r="N32" s="494"/>
      <c r="O32" s="315"/>
      <c r="P32" s="35"/>
      <c r="Q32" s="36"/>
      <c r="R32" s="40"/>
      <c r="S32" s="39"/>
      <c r="T32" s="39"/>
      <c r="U32" s="39"/>
      <c r="V32" s="39"/>
      <c r="W32" s="39"/>
      <c r="X32" s="39"/>
      <c r="Y32" s="40"/>
      <c r="Z32" s="527"/>
      <c r="AA32" s="529"/>
      <c r="AB32" s="544"/>
      <c r="AC32" s="504"/>
      <c r="AD32" s="505"/>
      <c r="AE32" s="544"/>
      <c r="AF32" s="504"/>
      <c r="AG32" s="505"/>
      <c r="AH32" s="544"/>
      <c r="AI32" s="504"/>
      <c r="AJ32" s="505"/>
      <c r="AK32" s="544"/>
      <c r="AL32" s="504"/>
      <c r="AM32" s="505"/>
      <c r="AN32" s="544"/>
      <c r="AO32" s="545"/>
      <c r="AP32" s="546"/>
      <c r="AQ32" s="547"/>
      <c r="AR32" s="545"/>
      <c r="AS32" s="546"/>
      <c r="AT32" s="547"/>
      <c r="AU32" s="545"/>
      <c r="AV32" s="546"/>
      <c r="AW32" s="547"/>
      <c r="AX32" s="545"/>
      <c r="AY32" s="546"/>
      <c r="AZ32" s="547"/>
      <c r="BA32" s="545"/>
      <c r="BB32" s="546"/>
      <c r="BC32" s="547"/>
      <c r="BD32" s="545"/>
      <c r="BE32" s="546"/>
      <c r="BF32" s="547"/>
      <c r="BG32" s="545"/>
      <c r="BH32" s="546"/>
      <c r="BI32" s="547"/>
      <c r="BT32" s="1535"/>
      <c r="BU32" s="1547"/>
    </row>
    <row r="33" spans="1:73" ht="30.75" hidden="1" customHeight="1" thickBot="1">
      <c r="A33" s="1452"/>
      <c r="B33" s="301"/>
      <c r="C33" s="293" t="s">
        <v>60</v>
      </c>
      <c r="D33" s="422" t="s">
        <v>17</v>
      </c>
      <c r="E33" s="312"/>
      <c r="F33" s="300"/>
      <c r="G33" s="300"/>
      <c r="H33" s="300"/>
      <c r="I33" s="663"/>
      <c r="J33" s="314"/>
      <c r="K33" s="300"/>
      <c r="L33" s="378">
        <f t="shared" si="5"/>
        <v>0</v>
      </c>
      <c r="M33" s="300"/>
      <c r="N33" s="494"/>
      <c r="O33" s="315"/>
      <c r="P33" s="43"/>
      <c r="Q33" s="44"/>
      <c r="R33" s="45"/>
      <c r="S33" s="46"/>
      <c r="T33" s="46"/>
      <c r="U33" s="46"/>
      <c r="V33" s="46"/>
      <c r="W33" s="46"/>
      <c r="X33" s="46"/>
      <c r="Y33" s="45"/>
      <c r="Z33" s="524"/>
      <c r="AA33" s="10"/>
      <c r="AB33" s="9"/>
      <c r="AC33" s="524"/>
      <c r="AD33" s="10"/>
      <c r="AE33" s="9"/>
      <c r="AF33" s="524"/>
      <c r="AG33" s="10"/>
      <c r="AH33" s="9"/>
      <c r="AI33" s="524"/>
      <c r="AJ33" s="10"/>
      <c r="AK33" s="9"/>
      <c r="AL33" s="524"/>
      <c r="AM33" s="10"/>
      <c r="AN33" s="9"/>
      <c r="AO33" s="51"/>
      <c r="AP33" s="52"/>
      <c r="AQ33" s="53"/>
      <c r="AR33" s="51"/>
      <c r="AS33" s="52"/>
      <c r="AT33" s="53"/>
      <c r="AU33" s="51"/>
      <c r="AV33" s="52"/>
      <c r="AW33" s="53"/>
      <c r="AX33" s="51"/>
      <c r="AY33" s="52"/>
      <c r="AZ33" s="53"/>
      <c r="BA33" s="51"/>
      <c r="BB33" s="52"/>
      <c r="BC33" s="53"/>
      <c r="BD33" s="51"/>
      <c r="BE33" s="52"/>
      <c r="BF33" s="53"/>
      <c r="BG33" s="51"/>
      <c r="BH33" s="52"/>
      <c r="BI33" s="53"/>
      <c r="BT33" s="1535"/>
      <c r="BU33" s="1547"/>
    </row>
    <row r="34" spans="1:73" ht="30" hidden="1" customHeight="1">
      <c r="A34" s="1452"/>
      <c r="B34" s="301"/>
      <c r="C34" s="293" t="s">
        <v>57</v>
      </c>
      <c r="D34" s="422" t="s">
        <v>14</v>
      </c>
      <c r="E34" s="295">
        <v>53</v>
      </c>
      <c r="F34" s="295">
        <f t="shared" si="4"/>
        <v>67.924528301886795</v>
      </c>
      <c r="G34" s="295">
        <v>1</v>
      </c>
      <c r="H34" s="295">
        <f>162*2</f>
        <v>324</v>
      </c>
      <c r="I34" s="480">
        <f>324+3622</f>
        <v>3946</v>
      </c>
      <c r="J34" s="297" t="s">
        <v>252</v>
      </c>
      <c r="K34" s="295">
        <f>I34-H34</f>
        <v>3622</v>
      </c>
      <c r="L34" s="378">
        <f t="shared" si="5"/>
        <v>4.7699999999999996</v>
      </c>
      <c r="M34" s="298">
        <f>I34/H34</f>
        <v>12.179012345679013</v>
      </c>
      <c r="N34" s="493"/>
      <c r="O34" s="299">
        <f>+$O$5+M34</f>
        <v>41590.179012345681</v>
      </c>
      <c r="P34" s="47"/>
      <c r="Q34" s="48"/>
      <c r="R34" s="49"/>
      <c r="S34" s="50"/>
      <c r="T34" s="50"/>
      <c r="U34" s="50"/>
      <c r="V34" s="50"/>
      <c r="W34" s="50"/>
      <c r="X34" s="50"/>
      <c r="Y34" s="49"/>
      <c r="Z34" s="569"/>
      <c r="AA34" s="570"/>
      <c r="AB34" s="571"/>
      <c r="AC34" s="569"/>
      <c r="AD34" s="570"/>
      <c r="AE34" s="571"/>
      <c r="AF34" s="569"/>
      <c r="AG34" s="570"/>
      <c r="AH34" s="571"/>
      <c r="AI34" s="13"/>
      <c r="AJ34" s="11"/>
      <c r="AK34" s="12"/>
      <c r="AL34" s="13"/>
      <c r="AM34" s="11"/>
      <c r="AN34" s="12"/>
      <c r="AO34" s="30"/>
      <c r="AP34" s="31"/>
      <c r="AQ34" s="32"/>
      <c r="AR34" s="30"/>
      <c r="AS34" s="31"/>
      <c r="AT34" s="32"/>
      <c r="AU34" s="30"/>
      <c r="AV34" s="31"/>
      <c r="AW34" s="32"/>
      <c r="AX34" s="30"/>
      <c r="AY34" s="31"/>
      <c r="AZ34" s="32"/>
      <c r="BA34" s="30"/>
      <c r="BB34" s="31"/>
      <c r="BC34" s="32"/>
      <c r="BD34" s="30"/>
      <c r="BE34" s="31"/>
      <c r="BF34" s="32"/>
      <c r="BG34" s="30"/>
      <c r="BH34" s="31"/>
      <c r="BI34" s="32"/>
      <c r="BP34" s="14">
        <v>973</v>
      </c>
      <c r="BT34" s="1535"/>
      <c r="BU34" s="1547"/>
    </row>
    <row r="35" spans="1:73" ht="30" hidden="1" customHeight="1">
      <c r="A35" s="1452"/>
      <c r="B35" s="301"/>
      <c r="C35" s="293" t="s">
        <v>60</v>
      </c>
      <c r="D35" s="422" t="s">
        <v>17</v>
      </c>
      <c r="E35" s="295">
        <v>48</v>
      </c>
      <c r="F35" s="295">
        <f>3600/E35</f>
        <v>75</v>
      </c>
      <c r="G35" s="295">
        <v>1</v>
      </c>
      <c r="H35" s="295">
        <f>192+216</f>
        <v>408</v>
      </c>
      <c r="I35" s="480">
        <f>1367+70+21+50+75+400+430+415+580+586+720+691+784+696</f>
        <v>6885</v>
      </c>
      <c r="J35" s="297" t="s">
        <v>252</v>
      </c>
      <c r="K35" s="295">
        <f>I35-H35</f>
        <v>6477</v>
      </c>
      <c r="L35" s="378">
        <f t="shared" si="5"/>
        <v>5.44</v>
      </c>
      <c r="M35" s="298">
        <f>I35/H35</f>
        <v>16.875</v>
      </c>
      <c r="N35" s="493"/>
      <c r="O35" s="299">
        <f>+$O$5+M35</f>
        <v>41594.875</v>
      </c>
      <c r="P35" s="35"/>
      <c r="Q35" s="36"/>
      <c r="R35" s="40"/>
      <c r="S35" s="39"/>
      <c r="T35" s="39"/>
      <c r="U35" s="39"/>
      <c r="V35" s="39"/>
      <c r="W35" s="39"/>
      <c r="X35" s="39"/>
      <c r="Y35" s="40"/>
      <c r="Z35" s="504"/>
      <c r="AA35" s="505"/>
      <c r="AB35" s="544"/>
      <c r="AC35" s="504"/>
      <c r="AD35" s="505"/>
      <c r="AE35" s="544"/>
      <c r="AF35" s="504"/>
      <c r="AG35" s="505"/>
      <c r="AH35" s="544"/>
      <c r="AI35" s="531"/>
      <c r="AJ35" s="533"/>
      <c r="AK35" s="535"/>
      <c r="AL35" s="531"/>
      <c r="AM35" s="533"/>
      <c r="AN35" s="535"/>
      <c r="AO35" s="537"/>
      <c r="AP35" s="539"/>
      <c r="AQ35" s="541"/>
      <c r="AR35" s="537"/>
      <c r="AS35" s="539"/>
      <c r="AT35" s="541"/>
      <c r="AU35" s="537"/>
      <c r="AV35" s="539"/>
      <c r="AW35" s="541"/>
      <c r="AX35" s="537"/>
      <c r="AY35" s="539"/>
      <c r="AZ35" s="541"/>
      <c r="BA35" s="537"/>
      <c r="BB35" s="539"/>
      <c r="BC35" s="541"/>
      <c r="BD35" s="537"/>
      <c r="BE35" s="539"/>
      <c r="BF35" s="541"/>
      <c r="BG35" s="537"/>
      <c r="BH35" s="539"/>
      <c r="BI35" s="541"/>
      <c r="BJ35" s="33"/>
      <c r="BP35" s="283">
        <v>4787</v>
      </c>
      <c r="BT35" s="1535"/>
      <c r="BU35" s="1547"/>
    </row>
    <row r="36" spans="1:73" ht="33.75" customHeight="1" thickBot="1">
      <c r="A36" s="1453"/>
      <c r="B36" s="302" t="s">
        <v>312</v>
      </c>
      <c r="C36" s="303" t="s">
        <v>61</v>
      </c>
      <c r="D36" s="423" t="s">
        <v>412</v>
      </c>
      <c r="E36" s="305">
        <v>53</v>
      </c>
      <c r="F36" s="305">
        <f>3600/E36*2</f>
        <v>135.84905660377359</v>
      </c>
      <c r="G36" s="305">
        <v>1</v>
      </c>
      <c r="H36" s="295">
        <v>70</v>
      </c>
      <c r="I36" s="481">
        <v>0</v>
      </c>
      <c r="J36" s="307">
        <v>700</v>
      </c>
      <c r="K36" s="305">
        <v>1</v>
      </c>
      <c r="L36" s="378">
        <f t="shared" si="5"/>
        <v>1.0305555555555554</v>
      </c>
      <c r="M36" s="308">
        <f>I36/H36</f>
        <v>0</v>
      </c>
      <c r="N36" s="495">
        <f>M36*2</f>
        <v>0</v>
      </c>
      <c r="O36" s="309">
        <f>+$O$5+M36</f>
        <v>41578</v>
      </c>
      <c r="P36" s="35"/>
      <c r="Q36" s="54"/>
      <c r="R36" s="55"/>
      <c r="S36" s="39"/>
      <c r="T36" s="39"/>
      <c r="U36" s="39"/>
      <c r="V36" s="39"/>
      <c r="W36" s="39"/>
      <c r="X36" s="39"/>
      <c r="Y36" s="40"/>
      <c r="Z36" s="504"/>
      <c r="AA36" s="505"/>
      <c r="AB36" s="544"/>
      <c r="AC36" s="504"/>
      <c r="AD36" s="505"/>
      <c r="AE36" s="544">
        <v>2</v>
      </c>
      <c r="AF36" s="527">
        <v>10</v>
      </c>
      <c r="AG36" s="529"/>
      <c r="AH36" s="525"/>
      <c r="AI36" s="531"/>
      <c r="AJ36" s="533"/>
      <c r="AK36" s="535"/>
      <c r="AL36" s="531"/>
      <c r="AM36" s="533"/>
      <c r="AN36" s="535"/>
      <c r="AO36" s="537"/>
      <c r="AP36" s="539"/>
      <c r="AQ36" s="541"/>
      <c r="AR36" s="537"/>
      <c r="AS36" s="539"/>
      <c r="AT36" s="541"/>
      <c r="AU36" s="537"/>
      <c r="AV36" s="539"/>
      <c r="AW36" s="541"/>
      <c r="AX36" s="537"/>
      <c r="AY36" s="539"/>
      <c r="AZ36" s="541"/>
      <c r="BA36" s="537"/>
      <c r="BB36" s="539"/>
      <c r="BC36" s="541"/>
      <c r="BD36" s="537"/>
      <c r="BE36" s="539"/>
      <c r="BF36" s="541"/>
      <c r="BG36" s="537"/>
      <c r="BH36" s="539"/>
      <c r="BI36" s="541"/>
      <c r="BJ36" s="33"/>
      <c r="BP36" s="283">
        <v>2426</v>
      </c>
      <c r="BT36" s="1536"/>
      <c r="BU36" s="1548"/>
    </row>
    <row r="37" spans="1:73" ht="30.75" hidden="1" customHeight="1" thickBot="1">
      <c r="A37" s="439"/>
      <c r="B37" s="316"/>
      <c r="C37" s="317" t="s">
        <v>62</v>
      </c>
      <c r="D37" s="424" t="s">
        <v>19</v>
      </c>
      <c r="E37" s="319">
        <v>60</v>
      </c>
      <c r="F37" s="319">
        <f>3600/E37</f>
        <v>60</v>
      </c>
      <c r="G37" s="319">
        <v>1</v>
      </c>
      <c r="H37" s="295">
        <v>200</v>
      </c>
      <c r="I37" s="664">
        <v>7540</v>
      </c>
      <c r="J37" s="321" t="s">
        <v>252</v>
      </c>
      <c r="K37" s="319">
        <f>I37-H37</f>
        <v>7340</v>
      </c>
      <c r="L37" s="378">
        <f t="shared" si="5"/>
        <v>3.3333333333333335</v>
      </c>
      <c r="M37" s="322">
        <f>I37/H37</f>
        <v>37.700000000000003</v>
      </c>
      <c r="N37" s="496"/>
      <c r="O37" s="323">
        <f>+$O$5+M37</f>
        <v>41615.699999999997</v>
      </c>
      <c r="P37" s="43"/>
      <c r="Q37" s="44"/>
      <c r="R37" s="56"/>
      <c r="S37" s="39"/>
      <c r="T37" s="39"/>
      <c r="U37" s="39"/>
      <c r="V37" s="39"/>
      <c r="W37" s="39"/>
      <c r="X37" s="39"/>
      <c r="Y37" s="40"/>
      <c r="Z37" s="504"/>
      <c r="AA37" s="505"/>
      <c r="AB37" s="544"/>
      <c r="AC37" s="504"/>
      <c r="AD37" s="505"/>
      <c r="AE37" s="544"/>
      <c r="AF37" s="504"/>
      <c r="AG37" s="505"/>
      <c r="AH37" s="544"/>
      <c r="AI37" s="531"/>
      <c r="AJ37" s="533"/>
      <c r="AK37" s="535"/>
      <c r="AL37" s="531"/>
      <c r="AM37" s="533"/>
      <c r="AN37" s="535"/>
      <c r="AO37" s="537"/>
      <c r="AP37" s="539"/>
      <c r="AQ37" s="541"/>
      <c r="AR37" s="537"/>
      <c r="AS37" s="539"/>
      <c r="AT37" s="541"/>
      <c r="AU37" s="537"/>
      <c r="AV37" s="539"/>
      <c r="AW37" s="541"/>
      <c r="AX37" s="537"/>
      <c r="AY37" s="539"/>
      <c r="AZ37" s="541"/>
      <c r="BA37" s="537"/>
      <c r="BB37" s="539"/>
      <c r="BC37" s="541"/>
      <c r="BD37" s="537"/>
      <c r="BE37" s="539"/>
      <c r="BF37" s="541"/>
      <c r="BG37" s="537"/>
      <c r="BH37" s="539"/>
      <c r="BI37" s="541"/>
      <c r="BJ37" s="33"/>
      <c r="BT37" s="864"/>
      <c r="BU37" s="864"/>
    </row>
    <row r="38" spans="1:73" ht="30.75" hidden="1" customHeight="1" thickBot="1">
      <c r="A38" s="440"/>
      <c r="B38" s="301"/>
      <c r="C38" s="311" t="s">
        <v>51</v>
      </c>
      <c r="D38" s="422" t="s">
        <v>8</v>
      </c>
      <c r="E38" s="312"/>
      <c r="F38" s="300"/>
      <c r="G38" s="300"/>
      <c r="H38" s="300"/>
      <c r="I38" s="663"/>
      <c r="J38" s="314"/>
      <c r="K38" s="300"/>
      <c r="L38" s="378">
        <f t="shared" si="5"/>
        <v>0</v>
      </c>
      <c r="M38" s="300"/>
      <c r="N38" s="494"/>
      <c r="O38" s="315"/>
      <c r="P38" s="57"/>
      <c r="Q38" s="58"/>
      <c r="R38" s="59"/>
      <c r="S38" s="39"/>
      <c r="T38" s="1412"/>
      <c r="U38" s="1412"/>
      <c r="V38" s="1412"/>
      <c r="W38" s="1412"/>
      <c r="X38" s="1412"/>
      <c r="Y38" s="1414"/>
      <c r="Z38" s="1392"/>
      <c r="AA38" s="1394"/>
      <c r="AB38" s="1396"/>
      <c r="AC38" s="1392"/>
      <c r="AD38" s="1394"/>
      <c r="AE38" s="1396"/>
      <c r="AF38" s="1392"/>
      <c r="AG38" s="1394"/>
      <c r="AH38" s="1396"/>
      <c r="AI38" s="1398"/>
      <c r="AJ38" s="1400"/>
      <c r="AK38" s="1404">
        <v>4</v>
      </c>
      <c r="AL38" s="1398"/>
      <c r="AM38" s="1400"/>
      <c r="AN38" s="1404"/>
      <c r="AO38" s="1406"/>
      <c r="AP38" s="1408"/>
      <c r="AQ38" s="1410"/>
      <c r="AR38" s="1406"/>
      <c r="AS38" s="1408"/>
      <c r="AT38" s="1410"/>
      <c r="AU38" s="1406"/>
      <c r="AV38" s="1408"/>
      <c r="AW38" s="1410"/>
      <c r="AX38" s="1406"/>
      <c r="AY38" s="1408"/>
      <c r="AZ38" s="1410"/>
      <c r="BA38" s="1406"/>
      <c r="BB38" s="1408"/>
      <c r="BC38" s="1410"/>
      <c r="BD38" s="1406"/>
      <c r="BE38" s="1408"/>
      <c r="BF38" s="1410"/>
      <c r="BG38" s="1406"/>
      <c r="BH38" s="1408"/>
      <c r="BI38" s="1410"/>
      <c r="BJ38" s="33"/>
      <c r="BT38" s="864"/>
      <c r="BU38" s="864"/>
    </row>
    <row r="39" spans="1:73" ht="30.75" hidden="1" customHeight="1" thickBot="1">
      <c r="A39" s="440"/>
      <c r="B39" s="301"/>
      <c r="C39" s="311" t="s">
        <v>52</v>
      </c>
      <c r="D39" s="422" t="s">
        <v>9</v>
      </c>
      <c r="E39" s="312"/>
      <c r="F39" s="300"/>
      <c r="G39" s="300"/>
      <c r="H39" s="300"/>
      <c r="I39" s="663"/>
      <c r="J39" s="314"/>
      <c r="K39" s="300"/>
      <c r="L39" s="378">
        <f t="shared" si="5"/>
        <v>0</v>
      </c>
      <c r="M39" s="300"/>
      <c r="N39" s="494"/>
      <c r="O39" s="315"/>
      <c r="P39" s="57"/>
      <c r="Q39" s="58"/>
      <c r="R39" s="59"/>
      <c r="S39" s="39"/>
      <c r="T39" s="1436"/>
      <c r="U39" s="1436"/>
      <c r="V39" s="1436"/>
      <c r="W39" s="1436"/>
      <c r="X39" s="1436"/>
      <c r="Y39" s="1437"/>
      <c r="Z39" s="1393"/>
      <c r="AA39" s="1395"/>
      <c r="AB39" s="1397"/>
      <c r="AC39" s="1393"/>
      <c r="AD39" s="1395"/>
      <c r="AE39" s="1397"/>
      <c r="AF39" s="1393"/>
      <c r="AG39" s="1395"/>
      <c r="AH39" s="1397"/>
      <c r="AI39" s="1399"/>
      <c r="AJ39" s="1401"/>
      <c r="AK39" s="1405"/>
      <c r="AL39" s="1399"/>
      <c r="AM39" s="1401"/>
      <c r="AN39" s="1405"/>
      <c r="AO39" s="1407"/>
      <c r="AP39" s="1409"/>
      <c r="AQ39" s="1411"/>
      <c r="AR39" s="1407"/>
      <c r="AS39" s="1409"/>
      <c r="AT39" s="1411"/>
      <c r="AU39" s="1407"/>
      <c r="AV39" s="1409"/>
      <c r="AW39" s="1411"/>
      <c r="AX39" s="1407"/>
      <c r="AY39" s="1409"/>
      <c r="AZ39" s="1411"/>
      <c r="BA39" s="1407"/>
      <c r="BB39" s="1409"/>
      <c r="BC39" s="1411"/>
      <c r="BD39" s="1407"/>
      <c r="BE39" s="1409"/>
      <c r="BF39" s="1411"/>
      <c r="BG39" s="1407"/>
      <c r="BH39" s="1409"/>
      <c r="BI39" s="1411"/>
      <c r="BJ39" s="33"/>
      <c r="BT39" s="864"/>
      <c r="BU39" s="864"/>
    </row>
    <row r="40" spans="1:73" ht="30.75" hidden="1" customHeight="1" thickBot="1">
      <c r="A40" s="440"/>
      <c r="B40" s="301"/>
      <c r="C40" s="293" t="s">
        <v>53</v>
      </c>
      <c r="D40" s="422" t="s">
        <v>10</v>
      </c>
      <c r="E40" s="312"/>
      <c r="F40" s="300"/>
      <c r="G40" s="300"/>
      <c r="H40" s="300"/>
      <c r="I40" s="663"/>
      <c r="J40" s="314"/>
      <c r="K40" s="300"/>
      <c r="L40" s="378">
        <f t="shared" si="5"/>
        <v>0</v>
      </c>
      <c r="M40" s="300"/>
      <c r="N40" s="494"/>
      <c r="O40" s="315"/>
      <c r="P40" s="57"/>
      <c r="Q40" s="58"/>
      <c r="R40" s="59"/>
      <c r="S40" s="39"/>
      <c r="T40" s="39"/>
      <c r="U40" s="39"/>
      <c r="V40" s="39"/>
      <c r="W40" s="39"/>
      <c r="X40" s="39"/>
      <c r="Y40" s="40"/>
      <c r="Z40" s="1392"/>
      <c r="AA40" s="1421">
        <v>15</v>
      </c>
      <c r="AB40" s="1402"/>
      <c r="AC40" s="1419"/>
      <c r="AD40" s="1394"/>
      <c r="AE40" s="1396"/>
      <c r="AF40" s="1392"/>
      <c r="AG40" s="1394"/>
      <c r="AH40" s="1396">
        <v>3</v>
      </c>
      <c r="AI40" s="1419"/>
      <c r="AJ40" s="1421"/>
      <c r="AK40" s="1402"/>
      <c r="AL40" s="1398"/>
      <c r="AM40" s="1400"/>
      <c r="AN40" s="1404"/>
      <c r="AO40" s="1406"/>
      <c r="AP40" s="1408"/>
      <c r="AQ40" s="1410"/>
      <c r="AR40" s="518"/>
      <c r="AS40" s="520"/>
      <c r="AT40" s="522"/>
      <c r="AU40" s="518"/>
      <c r="AV40" s="520"/>
      <c r="AW40" s="522"/>
      <c r="AX40" s="518"/>
      <c r="AY40" s="520"/>
      <c r="AZ40" s="522"/>
      <c r="BA40" s="518"/>
      <c r="BB40" s="520"/>
      <c r="BC40" s="522"/>
      <c r="BD40" s="518"/>
      <c r="BE40" s="520"/>
      <c r="BF40" s="522"/>
      <c r="BG40" s="518"/>
      <c r="BH40" s="520"/>
      <c r="BI40" s="522"/>
      <c r="BJ40" s="33"/>
      <c r="BT40" s="864"/>
      <c r="BU40" s="864"/>
    </row>
    <row r="41" spans="1:73" ht="30.75" hidden="1" customHeight="1" thickBot="1">
      <c r="A41" s="440"/>
      <c r="B41" s="301"/>
      <c r="C41" s="293" t="s">
        <v>54</v>
      </c>
      <c r="D41" s="422" t="s">
        <v>11</v>
      </c>
      <c r="E41" s="312"/>
      <c r="F41" s="300"/>
      <c r="G41" s="300"/>
      <c r="H41" s="300"/>
      <c r="I41" s="663"/>
      <c r="J41" s="314"/>
      <c r="K41" s="300"/>
      <c r="L41" s="378">
        <f t="shared" si="5"/>
        <v>0</v>
      </c>
      <c r="M41" s="300"/>
      <c r="N41" s="494"/>
      <c r="O41" s="315"/>
      <c r="P41" s="57"/>
      <c r="Q41" s="58"/>
      <c r="R41" s="59"/>
      <c r="S41" s="39"/>
      <c r="T41" s="39"/>
      <c r="U41" s="39"/>
      <c r="V41" s="39"/>
      <c r="W41" s="39"/>
      <c r="X41" s="39"/>
      <c r="Y41" s="40"/>
      <c r="Z41" s="1470"/>
      <c r="AA41" s="1476"/>
      <c r="AB41" s="1478"/>
      <c r="AC41" s="1479"/>
      <c r="AD41" s="1471"/>
      <c r="AE41" s="1472"/>
      <c r="AF41" s="1470"/>
      <c r="AG41" s="1471"/>
      <c r="AH41" s="1472"/>
      <c r="AI41" s="1479"/>
      <c r="AJ41" s="1476"/>
      <c r="AK41" s="1478"/>
      <c r="AL41" s="1524"/>
      <c r="AM41" s="1525"/>
      <c r="AN41" s="1480"/>
      <c r="AO41" s="1481"/>
      <c r="AP41" s="1482"/>
      <c r="AQ41" s="1483"/>
      <c r="AR41" s="560"/>
      <c r="AS41" s="561"/>
      <c r="AT41" s="562"/>
      <c r="AU41" s="560"/>
      <c r="AV41" s="561"/>
      <c r="AW41" s="562"/>
      <c r="AX41" s="560"/>
      <c r="AY41" s="561"/>
      <c r="AZ41" s="562"/>
      <c r="BA41" s="560"/>
      <c r="BB41" s="561"/>
      <c r="BC41" s="562"/>
      <c r="BD41" s="560"/>
      <c r="BE41" s="561"/>
      <c r="BF41" s="562"/>
      <c r="BG41" s="560"/>
      <c r="BH41" s="561"/>
      <c r="BI41" s="562"/>
      <c r="BT41" s="864"/>
      <c r="BU41" s="864"/>
    </row>
    <row r="42" spans="1:73" ht="30.75" hidden="1" customHeight="1" thickBot="1">
      <c r="A42" s="440"/>
      <c r="B42" s="301"/>
      <c r="C42" s="293" t="s">
        <v>55</v>
      </c>
      <c r="D42" s="422" t="s">
        <v>12</v>
      </c>
      <c r="E42" s="312"/>
      <c r="F42" s="300"/>
      <c r="G42" s="300"/>
      <c r="H42" s="300"/>
      <c r="I42" s="663"/>
      <c r="J42" s="314"/>
      <c r="K42" s="300"/>
      <c r="L42" s="378">
        <f t="shared" si="5"/>
        <v>0</v>
      </c>
      <c r="M42" s="300"/>
      <c r="N42" s="494"/>
      <c r="O42" s="315"/>
      <c r="P42" s="57"/>
      <c r="Q42" s="58"/>
      <c r="R42" s="59"/>
      <c r="S42" s="60"/>
      <c r="T42" s="60"/>
      <c r="U42" s="60"/>
      <c r="V42" s="60"/>
      <c r="W42" s="60"/>
      <c r="X42" s="60"/>
      <c r="Y42" s="41"/>
      <c r="Z42" s="1393"/>
      <c r="AA42" s="1477"/>
      <c r="AB42" s="1403"/>
      <c r="AC42" s="1438"/>
      <c r="AD42" s="1395"/>
      <c r="AE42" s="1397"/>
      <c r="AF42" s="1393"/>
      <c r="AG42" s="1395"/>
      <c r="AH42" s="1397"/>
      <c r="AI42" s="1438"/>
      <c r="AJ42" s="1477"/>
      <c r="AK42" s="1403"/>
      <c r="AL42" s="1399"/>
      <c r="AM42" s="1401"/>
      <c r="AN42" s="1405"/>
      <c r="AO42" s="1407"/>
      <c r="AP42" s="1409"/>
      <c r="AQ42" s="1411"/>
      <c r="AR42" s="560"/>
      <c r="AS42" s="561"/>
      <c r="AT42" s="562"/>
      <c r="AU42" s="560"/>
      <c r="AV42" s="561"/>
      <c r="AW42" s="562"/>
      <c r="AX42" s="560"/>
      <c r="AY42" s="561"/>
      <c r="AZ42" s="562"/>
      <c r="BA42" s="560"/>
      <c r="BB42" s="561"/>
      <c r="BC42" s="562"/>
      <c r="BD42" s="560"/>
      <c r="BE42" s="561"/>
      <c r="BF42" s="562"/>
      <c r="BG42" s="560"/>
      <c r="BH42" s="561"/>
      <c r="BI42" s="562"/>
      <c r="BT42" s="864"/>
      <c r="BU42" s="864"/>
    </row>
    <row r="43" spans="1:73" ht="30.75" hidden="1" customHeight="1" thickBot="1">
      <c r="A43" s="440"/>
      <c r="B43" s="301"/>
      <c r="C43" s="293" t="s">
        <v>65</v>
      </c>
      <c r="D43" s="422" t="s">
        <v>109</v>
      </c>
      <c r="E43" s="312"/>
      <c r="F43" s="300"/>
      <c r="G43" s="300"/>
      <c r="H43" s="300"/>
      <c r="I43" s="663"/>
      <c r="J43" s="314"/>
      <c r="K43" s="300"/>
      <c r="L43" s="378">
        <f t="shared" si="5"/>
        <v>0</v>
      </c>
      <c r="M43" s="300"/>
      <c r="N43" s="494"/>
      <c r="O43" s="315"/>
      <c r="P43" s="35"/>
      <c r="Q43" s="36"/>
      <c r="R43" s="39"/>
      <c r="S43" s="39"/>
      <c r="T43" s="39"/>
      <c r="U43" s="39"/>
      <c r="V43" s="39"/>
      <c r="W43" s="39"/>
      <c r="X43" s="39"/>
      <c r="Y43" s="40"/>
      <c r="Z43" s="504"/>
      <c r="AA43" s="505"/>
      <c r="AB43" s="544"/>
      <c r="AC43" s="504"/>
      <c r="AD43" s="505"/>
      <c r="AE43" s="544"/>
      <c r="AF43" s="504"/>
      <c r="AG43" s="505"/>
      <c r="AH43" s="544"/>
      <c r="AI43" s="531"/>
      <c r="AJ43" s="533"/>
      <c r="AK43" s="535"/>
      <c r="AL43" s="531"/>
      <c r="AM43" s="533"/>
      <c r="AN43" s="535"/>
      <c r="AO43" s="537"/>
      <c r="AP43" s="539"/>
      <c r="AQ43" s="541"/>
      <c r="AR43" s="537"/>
      <c r="AS43" s="539"/>
      <c r="AT43" s="541"/>
      <c r="AU43" s="537"/>
      <c r="AV43" s="539"/>
      <c r="AW43" s="541"/>
      <c r="AX43" s="537"/>
      <c r="AY43" s="539"/>
      <c r="AZ43" s="541"/>
      <c r="BA43" s="537"/>
      <c r="BB43" s="539"/>
      <c r="BC43" s="541"/>
      <c r="BD43" s="537"/>
      <c r="BE43" s="539"/>
      <c r="BF43" s="541"/>
      <c r="BG43" s="537"/>
      <c r="BH43" s="539"/>
      <c r="BI43" s="541"/>
      <c r="BT43" s="864"/>
      <c r="BU43" s="864"/>
    </row>
    <row r="44" spans="1:73" ht="56.25" hidden="1" customHeight="1" thickBot="1">
      <c r="A44" s="441"/>
      <c r="B44" s="324"/>
      <c r="C44" s="325" t="s">
        <v>56</v>
      </c>
      <c r="D44" s="425" t="s">
        <v>13</v>
      </c>
      <c r="E44" s="327"/>
      <c r="F44" s="326"/>
      <c r="G44" s="326"/>
      <c r="H44" s="300"/>
      <c r="I44" s="665"/>
      <c r="J44" s="329"/>
      <c r="K44" s="326"/>
      <c r="L44" s="378">
        <f t="shared" si="5"/>
        <v>0</v>
      </c>
      <c r="M44" s="326"/>
      <c r="N44" s="497"/>
      <c r="O44" s="331"/>
      <c r="P44" s="43"/>
      <c r="Q44" s="44"/>
      <c r="R44" s="46"/>
      <c r="S44" s="46"/>
      <c r="T44" s="46"/>
      <c r="U44" s="46"/>
      <c r="V44" s="46"/>
      <c r="W44" s="46"/>
      <c r="X44" s="46"/>
      <c r="Y44" s="45"/>
      <c r="Z44" s="524"/>
      <c r="AA44" s="10"/>
      <c r="AB44" s="9"/>
      <c r="AC44" s="524">
        <v>10</v>
      </c>
      <c r="AD44" s="530"/>
      <c r="AE44" s="526"/>
      <c r="AF44" s="524"/>
      <c r="AG44" s="10"/>
      <c r="AH44" s="9"/>
      <c r="AI44" s="532"/>
      <c r="AJ44" s="534"/>
      <c r="AK44" s="536"/>
      <c r="AL44" s="532"/>
      <c r="AM44" s="534"/>
      <c r="AN44" s="536"/>
      <c r="AO44" s="538"/>
      <c r="AP44" s="540"/>
      <c r="AQ44" s="542"/>
      <c r="AR44" s="538"/>
      <c r="AS44" s="540"/>
      <c r="AT44" s="542"/>
      <c r="AU44" s="538"/>
      <c r="AV44" s="540"/>
      <c r="AW44" s="542"/>
      <c r="AX44" s="538"/>
      <c r="AY44" s="540"/>
      <c r="AZ44" s="542"/>
      <c r="BA44" s="538"/>
      <c r="BB44" s="540"/>
      <c r="BC44" s="542"/>
      <c r="BD44" s="538"/>
      <c r="BE44" s="540"/>
      <c r="BF44" s="542"/>
      <c r="BG44" s="538"/>
      <c r="BH44" s="540"/>
      <c r="BI44" s="542"/>
      <c r="BT44" s="864"/>
      <c r="BU44" s="864"/>
    </row>
    <row r="45" spans="1:73" ht="34.5" customHeight="1" thickBot="1">
      <c r="A45" s="1521" t="s">
        <v>106</v>
      </c>
      <c r="B45" s="543" t="s">
        <v>332</v>
      </c>
      <c r="C45" s="373" t="s">
        <v>88</v>
      </c>
      <c r="D45" s="426" t="s">
        <v>413</v>
      </c>
      <c r="E45" s="374">
        <v>58.9</v>
      </c>
      <c r="F45" s="375">
        <f>3600/E45</f>
        <v>61.120543293718171</v>
      </c>
      <c r="G45" s="375"/>
      <c r="H45" s="382">
        <f>BY19</f>
        <v>100</v>
      </c>
      <c r="I45" s="662">
        <v>0</v>
      </c>
      <c r="J45" s="408">
        <v>300</v>
      </c>
      <c r="K45" s="375">
        <v>1</v>
      </c>
      <c r="L45" s="378">
        <f t="shared" si="5"/>
        <v>1.6361111111111111</v>
      </c>
      <c r="M45" s="378">
        <f t="shared" ref="M45:M98" si="6">I45/H45</f>
        <v>0</v>
      </c>
      <c r="N45" s="489">
        <f>M45*1.5</f>
        <v>0</v>
      </c>
      <c r="O45" s="379">
        <f>+$O$5+M45</f>
        <v>41578</v>
      </c>
      <c r="P45" s="35"/>
      <c r="Q45" s="36"/>
      <c r="R45" s="40"/>
      <c r="S45" s="40"/>
      <c r="T45" s="39"/>
      <c r="U45" s="39"/>
      <c r="V45" s="39"/>
      <c r="W45" s="39"/>
      <c r="X45" s="39"/>
      <c r="Y45" s="40"/>
      <c r="Z45" s="504"/>
      <c r="AA45" s="505"/>
      <c r="AB45" s="544"/>
      <c r="AC45" s="504">
        <v>11</v>
      </c>
      <c r="AD45" s="529"/>
      <c r="AE45" s="525"/>
      <c r="AF45" s="504">
        <v>12</v>
      </c>
      <c r="AG45" s="529"/>
      <c r="AH45" s="544"/>
      <c r="AI45" s="531"/>
      <c r="AJ45" s="533"/>
      <c r="AK45" s="535"/>
      <c r="AL45" s="539"/>
      <c r="AM45" s="539"/>
      <c r="AN45" s="539"/>
      <c r="AO45" s="539"/>
      <c r="AP45" s="539"/>
      <c r="AQ45" s="539"/>
      <c r="AR45" s="537"/>
      <c r="AS45" s="539"/>
      <c r="AT45" s="541"/>
      <c r="AU45" s="537"/>
      <c r="AV45" s="539"/>
      <c r="AW45" s="541"/>
      <c r="AX45" s="537"/>
      <c r="AY45" s="539"/>
      <c r="AZ45" s="541"/>
      <c r="BA45" s="537"/>
      <c r="BB45" s="539"/>
      <c r="BC45" s="541"/>
      <c r="BD45" s="537"/>
      <c r="BE45" s="539"/>
      <c r="BF45" s="541"/>
      <c r="BG45" s="537"/>
      <c r="BH45" s="539"/>
      <c r="BI45" s="541"/>
      <c r="BT45" s="1534">
        <v>3</v>
      </c>
      <c r="BU45" s="1546">
        <f>L45+L46+L48+L49+L51+L60+L61+L62+L63+BT45</f>
        <v>19.782777777777778</v>
      </c>
    </row>
    <row r="46" spans="1:73" ht="33" customHeight="1" thickBot="1">
      <c r="A46" s="1522"/>
      <c r="B46" s="1434" t="s">
        <v>334</v>
      </c>
      <c r="C46" s="397" t="s">
        <v>92</v>
      </c>
      <c r="D46" s="419" t="s">
        <v>414</v>
      </c>
      <c r="E46" s="381">
        <v>60.8</v>
      </c>
      <c r="F46" s="382">
        <f t="shared" ref="F46:F51" si="7">3600/E46</f>
        <v>59.21052631578948</v>
      </c>
      <c r="G46" s="382">
        <v>1</v>
      </c>
      <c r="H46" s="382">
        <f>BY17</f>
        <v>300</v>
      </c>
      <c r="I46" s="480">
        <v>0</v>
      </c>
      <c r="J46" s="565">
        <f>18*13*2</f>
        <v>468</v>
      </c>
      <c r="K46" s="382">
        <v>1</v>
      </c>
      <c r="L46" s="378">
        <f t="shared" si="5"/>
        <v>5.0666666666666664</v>
      </c>
      <c r="M46" s="385">
        <f t="shared" si="6"/>
        <v>0</v>
      </c>
      <c r="N46" s="490">
        <f t="shared" ref="N46:N51" si="8">M46*2</f>
        <v>0</v>
      </c>
      <c r="O46" s="386">
        <f t="shared" ref="O46:O115" si="9">+$O$5+M46</f>
        <v>41578</v>
      </c>
      <c r="P46" s="35"/>
      <c r="Q46" s="36"/>
      <c r="R46" s="40"/>
      <c r="S46" s="40"/>
      <c r="T46" s="39"/>
      <c r="U46" s="64">
        <v>1</v>
      </c>
      <c r="V46" s="64">
        <v>1</v>
      </c>
      <c r="W46" s="64">
        <v>1</v>
      </c>
      <c r="X46" s="39"/>
      <c r="Y46" s="40"/>
      <c r="Z46" s="1392"/>
      <c r="AA46" s="1394"/>
      <c r="AB46" s="1396"/>
      <c r="AC46" s="1392"/>
      <c r="AD46" s="1394">
        <v>16</v>
      </c>
      <c r="AE46" s="70"/>
      <c r="AF46" s="1402"/>
      <c r="AG46" s="1394">
        <v>20</v>
      </c>
      <c r="AH46" s="1402"/>
      <c r="AI46" s="1392"/>
      <c r="AJ46" s="1394"/>
      <c r="AK46" s="1396"/>
      <c r="AL46" s="1392"/>
      <c r="AM46" s="1394"/>
      <c r="AN46" s="1396"/>
      <c r="AO46" s="1447"/>
      <c r="AP46" s="1449"/>
      <c r="AQ46" s="1445"/>
      <c r="AR46" s="1447"/>
      <c r="AS46" s="1449"/>
      <c r="AT46" s="1445"/>
      <c r="AU46" s="1447"/>
      <c r="AV46" s="1449"/>
      <c r="AW46" s="1445"/>
      <c r="AX46" s="1447"/>
      <c r="AY46" s="1449"/>
      <c r="AZ46" s="1445"/>
      <c r="BA46" s="1447"/>
      <c r="BB46" s="1449"/>
      <c r="BC46" s="1445"/>
      <c r="BD46" s="1447"/>
      <c r="BE46" s="1449"/>
      <c r="BF46" s="1445"/>
      <c r="BG46" s="1447"/>
      <c r="BH46" s="1449"/>
      <c r="BI46" s="1445"/>
      <c r="BT46" s="1535"/>
      <c r="BU46" s="1547"/>
    </row>
    <row r="47" spans="1:73" ht="33.75" customHeight="1" thickBot="1">
      <c r="A47" s="1522"/>
      <c r="B47" s="1553"/>
      <c r="C47" s="397" t="s">
        <v>94</v>
      </c>
      <c r="D47" s="419" t="s">
        <v>415</v>
      </c>
      <c r="E47" s="381">
        <v>60.8</v>
      </c>
      <c r="F47" s="382">
        <f t="shared" si="7"/>
        <v>59.21052631578948</v>
      </c>
      <c r="G47" s="382">
        <v>1</v>
      </c>
      <c r="H47" s="382">
        <f>H46+H48</f>
        <v>320</v>
      </c>
      <c r="I47" s="480">
        <v>0</v>
      </c>
      <c r="J47" s="565">
        <v>468</v>
      </c>
      <c r="K47" s="382">
        <v>1</v>
      </c>
      <c r="L47" s="378">
        <f t="shared" si="5"/>
        <v>5.4044444444444446</v>
      </c>
      <c r="M47" s="385">
        <f t="shared" si="6"/>
        <v>0</v>
      </c>
      <c r="N47" s="490">
        <f t="shared" si="8"/>
        <v>0</v>
      </c>
      <c r="O47" s="386">
        <f t="shared" si="9"/>
        <v>41578</v>
      </c>
      <c r="P47" s="35"/>
      <c r="Q47" s="36"/>
      <c r="R47" s="40"/>
      <c r="S47" s="40"/>
      <c r="T47" s="39"/>
      <c r="U47" s="39"/>
      <c r="V47" s="39"/>
      <c r="W47" s="39"/>
      <c r="X47" s="39"/>
      <c r="Y47" s="40"/>
      <c r="Z47" s="1393"/>
      <c r="AA47" s="1395"/>
      <c r="AB47" s="1397"/>
      <c r="AC47" s="1393"/>
      <c r="AD47" s="1395"/>
      <c r="AE47" s="70"/>
      <c r="AF47" s="1403"/>
      <c r="AG47" s="1395"/>
      <c r="AH47" s="1403"/>
      <c r="AI47" s="1393"/>
      <c r="AJ47" s="1395"/>
      <c r="AK47" s="1397"/>
      <c r="AL47" s="1393"/>
      <c r="AM47" s="1395"/>
      <c r="AN47" s="1397"/>
      <c r="AO47" s="1448"/>
      <c r="AP47" s="1450"/>
      <c r="AQ47" s="1446"/>
      <c r="AR47" s="1448"/>
      <c r="AS47" s="1450"/>
      <c r="AT47" s="1446"/>
      <c r="AU47" s="1448"/>
      <c r="AV47" s="1450"/>
      <c r="AW47" s="1446"/>
      <c r="AX47" s="1448"/>
      <c r="AY47" s="1450"/>
      <c r="AZ47" s="1446"/>
      <c r="BA47" s="1448"/>
      <c r="BB47" s="1450"/>
      <c r="BC47" s="1446"/>
      <c r="BD47" s="1448"/>
      <c r="BE47" s="1450"/>
      <c r="BF47" s="1446"/>
      <c r="BG47" s="1448"/>
      <c r="BH47" s="1450"/>
      <c r="BI47" s="1446"/>
      <c r="BT47" s="1535"/>
      <c r="BU47" s="1547"/>
    </row>
    <row r="48" spans="1:73" ht="37.5" customHeight="1" thickBot="1">
      <c r="A48" s="1522"/>
      <c r="B48" s="1435"/>
      <c r="C48" s="397" t="s">
        <v>93</v>
      </c>
      <c r="D48" s="419" t="s">
        <v>416</v>
      </c>
      <c r="E48" s="381">
        <v>60.8</v>
      </c>
      <c r="F48" s="382">
        <f t="shared" si="7"/>
        <v>59.21052631578948</v>
      </c>
      <c r="G48" s="382">
        <v>1</v>
      </c>
      <c r="H48" s="382">
        <v>20</v>
      </c>
      <c r="I48" s="480">
        <v>0</v>
      </c>
      <c r="J48" s="565">
        <v>234</v>
      </c>
      <c r="K48" s="382">
        <v>1</v>
      </c>
      <c r="L48" s="378">
        <f t="shared" si="5"/>
        <v>0.33777777777777779</v>
      </c>
      <c r="M48" s="385">
        <f t="shared" si="6"/>
        <v>0</v>
      </c>
      <c r="N48" s="490">
        <f t="shared" si="8"/>
        <v>0</v>
      </c>
      <c r="O48" s="386">
        <f t="shared" si="9"/>
        <v>41578</v>
      </c>
      <c r="P48" s="35"/>
      <c r="Q48" s="36"/>
      <c r="R48" s="40"/>
      <c r="S48" s="40"/>
      <c r="T48" s="39"/>
      <c r="U48" s="39"/>
      <c r="V48" s="39"/>
      <c r="W48" s="39"/>
      <c r="X48" s="39"/>
      <c r="Y48" s="40"/>
      <c r="Z48" s="504"/>
      <c r="AA48" s="505"/>
      <c r="AB48" s="544"/>
      <c r="AC48" s="504"/>
      <c r="AD48" s="505"/>
      <c r="AE48" s="544"/>
      <c r="AF48" s="504"/>
      <c r="AG48" s="505"/>
      <c r="AH48" s="544"/>
      <c r="AI48" s="504"/>
      <c r="AJ48" s="505"/>
      <c r="AK48" s="544"/>
      <c r="AL48" s="504"/>
      <c r="AM48" s="505"/>
      <c r="AN48" s="544"/>
      <c r="AO48" s="545"/>
      <c r="AP48" s="546"/>
      <c r="AQ48" s="547"/>
      <c r="AR48" s="545"/>
      <c r="AS48" s="546"/>
      <c r="AT48" s="547"/>
      <c r="AU48" s="545"/>
      <c r="AV48" s="546"/>
      <c r="AW48" s="547"/>
      <c r="AX48" s="545"/>
      <c r="AY48" s="546"/>
      <c r="AZ48" s="547"/>
      <c r="BA48" s="545"/>
      <c r="BB48" s="546"/>
      <c r="BC48" s="547"/>
      <c r="BD48" s="545"/>
      <c r="BE48" s="546"/>
      <c r="BF48" s="547"/>
      <c r="BG48" s="545"/>
      <c r="BH48" s="546"/>
      <c r="BI48" s="547"/>
      <c r="BR48" s="170"/>
      <c r="BT48" s="1535"/>
      <c r="BU48" s="1547"/>
    </row>
    <row r="49" spans="1:73" ht="35.25" customHeight="1" thickBot="1">
      <c r="A49" s="1522"/>
      <c r="B49" s="1434" t="s">
        <v>335</v>
      </c>
      <c r="C49" s="397" t="s">
        <v>95</v>
      </c>
      <c r="D49" s="419" t="s">
        <v>417</v>
      </c>
      <c r="E49" s="381">
        <v>62.7</v>
      </c>
      <c r="F49" s="382">
        <f t="shared" si="7"/>
        <v>57.41626794258373</v>
      </c>
      <c r="G49" s="382">
        <v>1</v>
      </c>
      <c r="H49" s="382">
        <f>BY17</f>
        <v>300</v>
      </c>
      <c r="I49" s="480">
        <v>0</v>
      </c>
      <c r="J49" s="565">
        <v>468</v>
      </c>
      <c r="K49" s="382">
        <v>1</v>
      </c>
      <c r="L49" s="378">
        <f t="shared" si="5"/>
        <v>5.2249999999999996</v>
      </c>
      <c r="M49" s="385">
        <f t="shared" si="6"/>
        <v>0</v>
      </c>
      <c r="N49" s="490">
        <f t="shared" si="8"/>
        <v>0</v>
      </c>
      <c r="O49" s="386">
        <f t="shared" si="9"/>
        <v>41578</v>
      </c>
      <c r="P49" s="35"/>
      <c r="Q49" s="36"/>
      <c r="R49" s="37">
        <v>1</v>
      </c>
      <c r="S49" s="37"/>
      <c r="T49" s="64">
        <v>1</v>
      </c>
      <c r="U49" s="39"/>
      <c r="V49" s="39"/>
      <c r="W49" s="39"/>
      <c r="X49" s="64">
        <v>1</v>
      </c>
      <c r="Y49" s="37">
        <v>1</v>
      </c>
      <c r="Z49" s="1392"/>
      <c r="AA49" s="1394"/>
      <c r="AB49" s="1396"/>
      <c r="AC49" s="1392"/>
      <c r="AD49" s="1394"/>
      <c r="AE49" s="1396"/>
      <c r="AF49" s="1392">
        <v>4</v>
      </c>
      <c r="AG49" s="1421"/>
      <c r="AH49" s="1396"/>
      <c r="AI49" s="1392"/>
      <c r="AJ49" s="1394"/>
      <c r="AK49" s="1396"/>
      <c r="AL49" s="1392"/>
      <c r="AM49" s="1394"/>
      <c r="AN49" s="1396"/>
      <c r="AO49" s="1447"/>
      <c r="AP49" s="1449"/>
      <c r="AQ49" s="1445"/>
      <c r="AR49" s="1447"/>
      <c r="AS49" s="1449"/>
      <c r="AT49" s="1445"/>
      <c r="AU49" s="1447"/>
      <c r="AV49" s="1449"/>
      <c r="AW49" s="1445"/>
      <c r="AX49" s="1447"/>
      <c r="AY49" s="1449"/>
      <c r="AZ49" s="1445"/>
      <c r="BA49" s="1447"/>
      <c r="BB49" s="1449"/>
      <c r="BC49" s="1445"/>
      <c r="BD49" s="1447"/>
      <c r="BE49" s="1449"/>
      <c r="BF49" s="1445"/>
      <c r="BG49" s="1447"/>
      <c r="BH49" s="1449"/>
      <c r="BI49" s="1445"/>
      <c r="BT49" s="1535"/>
      <c r="BU49" s="1547"/>
    </row>
    <row r="50" spans="1:73" ht="31.5" customHeight="1" thickBot="1">
      <c r="A50" s="1522"/>
      <c r="B50" s="1553"/>
      <c r="C50" s="397" t="s">
        <v>97</v>
      </c>
      <c r="D50" s="419" t="s">
        <v>418</v>
      </c>
      <c r="E50" s="381">
        <v>62.7</v>
      </c>
      <c r="F50" s="382">
        <f t="shared" si="7"/>
        <v>57.41626794258373</v>
      </c>
      <c r="G50" s="382">
        <v>1</v>
      </c>
      <c r="H50" s="382">
        <f>H49+H51</f>
        <v>320</v>
      </c>
      <c r="I50" s="480">
        <v>0</v>
      </c>
      <c r="J50" s="565">
        <v>468</v>
      </c>
      <c r="K50" s="382">
        <v>1</v>
      </c>
      <c r="L50" s="378">
        <f t="shared" si="5"/>
        <v>5.5733333333333333</v>
      </c>
      <c r="M50" s="385">
        <f t="shared" si="6"/>
        <v>0</v>
      </c>
      <c r="N50" s="490">
        <f t="shared" si="8"/>
        <v>0</v>
      </c>
      <c r="O50" s="386">
        <f t="shared" si="9"/>
        <v>41578</v>
      </c>
      <c r="P50" s="35"/>
      <c r="Q50" s="36"/>
      <c r="R50" s="40"/>
      <c r="S50" s="40"/>
      <c r="T50" s="39"/>
      <c r="U50" s="39"/>
      <c r="V50" s="39"/>
      <c r="W50" s="39"/>
      <c r="X50" s="39"/>
      <c r="Y50" s="40"/>
      <c r="Z50" s="1393"/>
      <c r="AA50" s="1395"/>
      <c r="AB50" s="1397"/>
      <c r="AC50" s="1393"/>
      <c r="AD50" s="1395"/>
      <c r="AE50" s="1397"/>
      <c r="AF50" s="1393"/>
      <c r="AG50" s="1477"/>
      <c r="AH50" s="1397"/>
      <c r="AI50" s="1393"/>
      <c r="AJ50" s="1395"/>
      <c r="AK50" s="1397"/>
      <c r="AL50" s="1393"/>
      <c r="AM50" s="1395"/>
      <c r="AN50" s="1397"/>
      <c r="AO50" s="1448"/>
      <c r="AP50" s="1450"/>
      <c r="AQ50" s="1446"/>
      <c r="AR50" s="1448"/>
      <c r="AS50" s="1450"/>
      <c r="AT50" s="1446"/>
      <c r="AU50" s="1448"/>
      <c r="AV50" s="1450"/>
      <c r="AW50" s="1446"/>
      <c r="AX50" s="1448"/>
      <c r="AY50" s="1450"/>
      <c r="AZ50" s="1446"/>
      <c r="BA50" s="1448"/>
      <c r="BB50" s="1450"/>
      <c r="BC50" s="1446"/>
      <c r="BD50" s="1448"/>
      <c r="BE50" s="1450"/>
      <c r="BF50" s="1446"/>
      <c r="BG50" s="1448"/>
      <c r="BH50" s="1450"/>
      <c r="BI50" s="1446"/>
      <c r="BT50" s="1535"/>
      <c r="BU50" s="1547"/>
    </row>
    <row r="51" spans="1:73" ht="32.25" customHeight="1" thickBot="1">
      <c r="A51" s="1522"/>
      <c r="B51" s="1435"/>
      <c r="C51" s="397" t="s">
        <v>96</v>
      </c>
      <c r="D51" s="419" t="s">
        <v>419</v>
      </c>
      <c r="E51" s="381">
        <v>62.7</v>
      </c>
      <c r="F51" s="382">
        <f t="shared" si="7"/>
        <v>57.41626794258373</v>
      </c>
      <c r="G51" s="382">
        <v>1</v>
      </c>
      <c r="H51" s="382">
        <v>20</v>
      </c>
      <c r="I51" s="480">
        <v>0</v>
      </c>
      <c r="J51" s="565">
        <v>234</v>
      </c>
      <c r="K51" s="382">
        <v>1</v>
      </c>
      <c r="L51" s="378">
        <f t="shared" si="5"/>
        <v>0.34833333333333333</v>
      </c>
      <c r="M51" s="385">
        <f t="shared" si="6"/>
        <v>0</v>
      </c>
      <c r="N51" s="490">
        <f t="shared" si="8"/>
        <v>0</v>
      </c>
      <c r="O51" s="386">
        <f t="shared" si="9"/>
        <v>41578</v>
      </c>
      <c r="P51" s="35"/>
      <c r="Q51" s="36"/>
      <c r="R51" s="40"/>
      <c r="S51" s="40"/>
      <c r="T51" s="39"/>
      <c r="U51" s="39"/>
      <c r="V51" s="39"/>
      <c r="W51" s="39"/>
      <c r="X51" s="39"/>
      <c r="Y51" s="40"/>
      <c r="Z51" s="527">
        <v>6</v>
      </c>
      <c r="AA51" s="505"/>
      <c r="AB51" s="544"/>
      <c r="AC51" s="504"/>
      <c r="AD51" s="505"/>
      <c r="AE51" s="544"/>
      <c r="AF51" s="504"/>
      <c r="AG51" s="505"/>
      <c r="AH51" s="544"/>
      <c r="AI51" s="504"/>
      <c r="AJ51" s="505"/>
      <c r="AK51" s="544"/>
      <c r="AL51" s="504"/>
      <c r="AM51" s="505"/>
      <c r="AN51" s="544"/>
      <c r="AO51" s="545"/>
      <c r="AP51" s="546"/>
      <c r="AQ51" s="547"/>
      <c r="AR51" s="545"/>
      <c r="AS51" s="546"/>
      <c r="AT51" s="547"/>
      <c r="AU51" s="545"/>
      <c r="AV51" s="546"/>
      <c r="AW51" s="547"/>
      <c r="AX51" s="545"/>
      <c r="AY51" s="546"/>
      <c r="AZ51" s="547"/>
      <c r="BA51" s="545"/>
      <c r="BB51" s="546"/>
      <c r="BC51" s="547"/>
      <c r="BD51" s="545"/>
      <c r="BE51" s="546"/>
      <c r="BF51" s="547"/>
      <c r="BG51" s="545"/>
      <c r="BH51" s="546"/>
      <c r="BI51" s="547"/>
      <c r="BT51" s="1535"/>
      <c r="BU51" s="1547"/>
    </row>
    <row r="52" spans="1:73" ht="30.75" hidden="1" customHeight="1" thickBot="1">
      <c r="A52" s="1522"/>
      <c r="B52" s="563"/>
      <c r="C52" s="398" t="s">
        <v>98</v>
      </c>
      <c r="D52" s="419" t="s">
        <v>41</v>
      </c>
      <c r="E52" s="399"/>
      <c r="F52" s="387"/>
      <c r="G52" s="387"/>
      <c r="H52" s="387"/>
      <c r="I52" s="663"/>
      <c r="J52" s="401"/>
      <c r="K52" s="387"/>
      <c r="L52" s="378">
        <f t="shared" si="5"/>
        <v>0</v>
      </c>
      <c r="M52" s="385" t="e">
        <f t="shared" si="6"/>
        <v>#DIV/0!</v>
      </c>
      <c r="N52" s="490"/>
      <c r="O52" s="386" t="e">
        <f t="shared" si="9"/>
        <v>#DIV/0!</v>
      </c>
      <c r="P52" s="35"/>
      <c r="Q52" s="36"/>
      <c r="R52" s="40"/>
      <c r="S52" s="40"/>
      <c r="T52" s="39"/>
      <c r="U52" s="39"/>
      <c r="V52" s="39"/>
      <c r="W52" s="39"/>
      <c r="X52" s="39"/>
      <c r="Y52" s="40"/>
      <c r="Z52" s="504">
        <v>12</v>
      </c>
      <c r="AA52" s="529"/>
      <c r="AB52" s="525"/>
      <c r="AC52" s="504"/>
      <c r="AD52" s="505"/>
      <c r="AE52" s="544"/>
      <c r="AF52" s="504"/>
      <c r="AG52" s="505"/>
      <c r="AH52" s="544"/>
      <c r="AI52" s="504"/>
      <c r="AJ52" s="505"/>
      <c r="AK52" s="544"/>
      <c r="AL52" s="504"/>
      <c r="AM52" s="505"/>
      <c r="AN52" s="544"/>
      <c r="AO52" s="545"/>
      <c r="AP52" s="546"/>
      <c r="AQ52" s="547"/>
      <c r="AR52" s="545"/>
      <c r="AS52" s="546"/>
      <c r="AT52" s="547"/>
      <c r="AU52" s="545"/>
      <c r="AV52" s="546"/>
      <c r="AW52" s="547"/>
      <c r="AX52" s="545"/>
      <c r="AY52" s="546"/>
      <c r="AZ52" s="547"/>
      <c r="BA52" s="545"/>
      <c r="BB52" s="546"/>
      <c r="BC52" s="547"/>
      <c r="BD52" s="545"/>
      <c r="BE52" s="546"/>
      <c r="BF52" s="547"/>
      <c r="BG52" s="545"/>
      <c r="BH52" s="546"/>
      <c r="BI52" s="547"/>
      <c r="BT52" s="1535"/>
      <c r="BU52" s="1547"/>
    </row>
    <row r="53" spans="1:73" ht="30.75" hidden="1" customHeight="1" thickBot="1">
      <c r="A53" s="1522"/>
      <c r="B53" s="563"/>
      <c r="C53" s="398" t="s">
        <v>99</v>
      </c>
      <c r="D53" s="419" t="s">
        <v>42</v>
      </c>
      <c r="E53" s="399"/>
      <c r="F53" s="387"/>
      <c r="G53" s="387"/>
      <c r="H53" s="387"/>
      <c r="I53" s="663"/>
      <c r="J53" s="401"/>
      <c r="K53" s="387"/>
      <c r="L53" s="378">
        <f t="shared" si="5"/>
        <v>0</v>
      </c>
      <c r="M53" s="385" t="e">
        <f t="shared" si="6"/>
        <v>#DIV/0!</v>
      </c>
      <c r="N53" s="490"/>
      <c r="O53" s="386" t="e">
        <f t="shared" si="9"/>
        <v>#DIV/0!</v>
      </c>
      <c r="P53" s="35"/>
      <c r="Q53" s="36"/>
      <c r="R53" s="40"/>
      <c r="S53" s="40"/>
      <c r="T53" s="39"/>
      <c r="U53" s="39"/>
      <c r="V53" s="39"/>
      <c r="W53" s="39"/>
      <c r="X53" s="39"/>
      <c r="Y53" s="40"/>
      <c r="Z53" s="504"/>
      <c r="AA53" s="505"/>
      <c r="AB53" s="544"/>
      <c r="AC53" s="504"/>
      <c r="AD53" s="505"/>
      <c r="AE53" s="544"/>
      <c r="AF53" s="504"/>
      <c r="AG53" s="505"/>
      <c r="AH53" s="544"/>
      <c r="AI53" s="504"/>
      <c r="AJ53" s="505"/>
      <c r="AK53" s="544"/>
      <c r="AL53" s="504"/>
      <c r="AM53" s="505"/>
      <c r="AN53" s="544"/>
      <c r="AO53" s="545"/>
      <c r="AP53" s="546"/>
      <c r="AQ53" s="547"/>
      <c r="AR53" s="545"/>
      <c r="AS53" s="546"/>
      <c r="AT53" s="547"/>
      <c r="AU53" s="545"/>
      <c r="AV53" s="546"/>
      <c r="AW53" s="547"/>
      <c r="AX53" s="545"/>
      <c r="AY53" s="546"/>
      <c r="AZ53" s="547"/>
      <c r="BA53" s="545"/>
      <c r="BB53" s="546"/>
      <c r="BC53" s="547"/>
      <c r="BD53" s="545"/>
      <c r="BE53" s="546"/>
      <c r="BF53" s="547"/>
      <c r="BG53" s="545"/>
      <c r="BH53" s="546"/>
      <c r="BI53" s="547"/>
      <c r="BT53" s="1535"/>
      <c r="BU53" s="1547"/>
    </row>
    <row r="54" spans="1:73" ht="30.75" hidden="1" customHeight="1" thickBot="1">
      <c r="A54" s="1522"/>
      <c r="B54" s="563"/>
      <c r="C54" s="398" t="s">
        <v>100</v>
      </c>
      <c r="D54" s="419" t="s">
        <v>43</v>
      </c>
      <c r="E54" s="399"/>
      <c r="F54" s="387"/>
      <c r="G54" s="387"/>
      <c r="H54" s="387"/>
      <c r="I54" s="663"/>
      <c r="J54" s="401"/>
      <c r="K54" s="387"/>
      <c r="L54" s="378">
        <f t="shared" si="5"/>
        <v>0</v>
      </c>
      <c r="M54" s="385" t="e">
        <f t="shared" si="6"/>
        <v>#DIV/0!</v>
      </c>
      <c r="N54" s="490"/>
      <c r="O54" s="386" t="e">
        <f t="shared" si="9"/>
        <v>#DIV/0!</v>
      </c>
      <c r="P54" s="35"/>
      <c r="Q54" s="36"/>
      <c r="R54" s="40"/>
      <c r="S54" s="40"/>
      <c r="T54" s="39"/>
      <c r="U54" s="39"/>
      <c r="V54" s="39"/>
      <c r="W54" s="39"/>
      <c r="X54" s="39"/>
      <c r="Y54" s="40"/>
      <c r="Z54" s="504"/>
      <c r="AA54" s="505"/>
      <c r="AB54" s="4">
        <v>0</v>
      </c>
      <c r="AC54" s="527"/>
      <c r="AD54" s="529"/>
      <c r="AE54" s="544"/>
      <c r="AF54" s="504"/>
      <c r="AG54" s="505"/>
      <c r="AH54" s="544"/>
      <c r="AI54" s="504"/>
      <c r="AJ54" s="505"/>
      <c r="AK54" s="544"/>
      <c r="AL54" s="504"/>
      <c r="AM54" s="505"/>
      <c r="AN54" s="544"/>
      <c r="AO54" s="545"/>
      <c r="AP54" s="546"/>
      <c r="AQ54" s="547"/>
      <c r="AR54" s="545"/>
      <c r="AS54" s="546"/>
      <c r="AT54" s="547"/>
      <c r="AU54" s="545"/>
      <c r="AV54" s="546"/>
      <c r="AW54" s="547"/>
      <c r="AX54" s="545"/>
      <c r="AY54" s="546"/>
      <c r="AZ54" s="547"/>
      <c r="BA54" s="545"/>
      <c r="BB54" s="546"/>
      <c r="BC54" s="547"/>
      <c r="BD54" s="545"/>
      <c r="BE54" s="546"/>
      <c r="BF54" s="547"/>
      <c r="BG54" s="545"/>
      <c r="BH54" s="546"/>
      <c r="BI54" s="547"/>
      <c r="BT54" s="1535"/>
      <c r="BU54" s="1547"/>
    </row>
    <row r="55" spans="1:73" ht="30.75" hidden="1" customHeight="1" thickBot="1">
      <c r="A55" s="1522"/>
      <c r="B55" s="563"/>
      <c r="C55" s="398" t="s">
        <v>101</v>
      </c>
      <c r="D55" s="419" t="s">
        <v>44</v>
      </c>
      <c r="E55" s="399"/>
      <c r="F55" s="387"/>
      <c r="G55" s="387"/>
      <c r="H55" s="387"/>
      <c r="I55" s="663"/>
      <c r="J55" s="401"/>
      <c r="K55" s="387"/>
      <c r="L55" s="378">
        <f t="shared" si="5"/>
        <v>0</v>
      </c>
      <c r="M55" s="385" t="e">
        <f t="shared" si="6"/>
        <v>#DIV/0!</v>
      </c>
      <c r="N55" s="490"/>
      <c r="O55" s="386" t="e">
        <f t="shared" si="9"/>
        <v>#DIV/0!</v>
      </c>
      <c r="P55" s="43"/>
      <c r="Q55" s="44"/>
      <c r="R55" s="45"/>
      <c r="S55" s="45"/>
      <c r="T55" s="46"/>
      <c r="U55" s="46"/>
      <c r="V55" s="46"/>
      <c r="W55" s="46"/>
      <c r="X55" s="46"/>
      <c r="Y55" s="45"/>
      <c r="Z55" s="524"/>
      <c r="AA55" s="10"/>
      <c r="AB55" s="9"/>
      <c r="AC55" s="524"/>
      <c r="AD55" s="10"/>
      <c r="AE55" s="9"/>
      <c r="AF55" s="524"/>
      <c r="AG55" s="10"/>
      <c r="AH55" s="9"/>
      <c r="AI55" s="524"/>
      <c r="AJ55" s="10"/>
      <c r="AK55" s="9"/>
      <c r="AL55" s="524"/>
      <c r="AM55" s="10"/>
      <c r="AN55" s="9"/>
      <c r="AO55" s="51"/>
      <c r="AP55" s="52"/>
      <c r="AQ55" s="53"/>
      <c r="AR55" s="51"/>
      <c r="AS55" s="52"/>
      <c r="AT55" s="53"/>
      <c r="AU55" s="51"/>
      <c r="AV55" s="52"/>
      <c r="AW55" s="53"/>
      <c r="AX55" s="51"/>
      <c r="AY55" s="52"/>
      <c r="AZ55" s="53"/>
      <c r="BA55" s="51"/>
      <c r="BB55" s="52"/>
      <c r="BC55" s="53"/>
      <c r="BD55" s="51"/>
      <c r="BE55" s="52"/>
      <c r="BF55" s="53"/>
      <c r="BG55" s="51"/>
      <c r="BH55" s="52"/>
      <c r="BI55" s="53"/>
      <c r="BT55" s="1535"/>
      <c r="BU55" s="1547"/>
    </row>
    <row r="56" spans="1:73" ht="30.75" hidden="1" customHeight="1" thickBot="1">
      <c r="A56" s="1522"/>
      <c r="B56" s="669" t="s">
        <v>336</v>
      </c>
      <c r="C56" s="397" t="s">
        <v>98</v>
      </c>
      <c r="D56" s="419" t="s">
        <v>41</v>
      </c>
      <c r="E56" s="381">
        <v>69</v>
      </c>
      <c r="F56" s="382">
        <f t="shared" ref="F56:F63" si="10">3600/E56</f>
        <v>52.173913043478258</v>
      </c>
      <c r="G56" s="382">
        <v>1</v>
      </c>
      <c r="H56" s="382">
        <v>180</v>
      </c>
      <c r="I56" s="480">
        <v>10</v>
      </c>
      <c r="J56" s="565">
        <v>468</v>
      </c>
      <c r="K56" s="382">
        <f>I56-H56</f>
        <v>-170</v>
      </c>
      <c r="L56" s="378">
        <f t="shared" si="5"/>
        <v>3.45</v>
      </c>
      <c r="M56" s="385">
        <f t="shared" si="6"/>
        <v>5.5555555555555552E-2</v>
      </c>
      <c r="N56" s="490"/>
      <c r="O56" s="386">
        <f t="shared" si="9"/>
        <v>41578.055555555555</v>
      </c>
      <c r="P56" s="47"/>
      <c r="Q56" s="48"/>
      <c r="R56" s="49"/>
      <c r="S56" s="49"/>
      <c r="T56" s="50"/>
      <c r="U56" s="50"/>
      <c r="V56" s="50"/>
      <c r="W56" s="68"/>
      <c r="X56" s="68">
        <v>1</v>
      </c>
      <c r="Y56" s="67">
        <v>1</v>
      </c>
      <c r="Z56" s="569"/>
      <c r="AA56" s="570"/>
      <c r="AB56" s="571"/>
      <c r="AC56" s="569"/>
      <c r="AD56" s="570"/>
      <c r="AE56" s="571"/>
      <c r="AF56" s="569"/>
      <c r="AG56" s="570"/>
      <c r="AH56" s="571"/>
      <c r="AI56" s="13"/>
      <c r="AJ56" s="11"/>
      <c r="AK56" s="12"/>
      <c r="AL56" s="13"/>
      <c r="AM56" s="11"/>
      <c r="AN56" s="12"/>
      <c r="AO56" s="30"/>
      <c r="AP56" s="31"/>
      <c r="AQ56" s="32"/>
      <c r="AR56" s="30"/>
      <c r="AS56" s="31"/>
      <c r="AT56" s="32"/>
      <c r="AU56" s="30"/>
      <c r="AV56" s="31"/>
      <c r="AW56" s="32"/>
      <c r="AX56" s="30"/>
      <c r="AY56" s="31"/>
      <c r="AZ56" s="32"/>
      <c r="BA56" s="30"/>
      <c r="BB56" s="31"/>
      <c r="BC56" s="32"/>
      <c r="BD56" s="30"/>
      <c r="BE56" s="31"/>
      <c r="BF56" s="32"/>
      <c r="BG56" s="30"/>
      <c r="BH56" s="31"/>
      <c r="BI56" s="32"/>
      <c r="BT56" s="1535"/>
      <c r="BU56" s="1547"/>
    </row>
    <row r="57" spans="1:73" ht="30.75" hidden="1" customHeight="1" thickBot="1">
      <c r="A57" s="1522"/>
      <c r="B57" s="670"/>
      <c r="C57" s="397" t="s">
        <v>99</v>
      </c>
      <c r="D57" s="419" t="s">
        <v>42</v>
      </c>
      <c r="E57" s="381">
        <v>69</v>
      </c>
      <c r="F57" s="382">
        <f t="shared" si="10"/>
        <v>52.173913043478258</v>
      </c>
      <c r="G57" s="382">
        <v>1</v>
      </c>
      <c r="H57" s="382">
        <v>6</v>
      </c>
      <c r="I57" s="480">
        <v>426</v>
      </c>
      <c r="J57" s="565">
        <v>234</v>
      </c>
      <c r="K57" s="382">
        <f>I57-H57</f>
        <v>420</v>
      </c>
      <c r="L57" s="378">
        <f t="shared" si="5"/>
        <v>0.115</v>
      </c>
      <c r="M57" s="385">
        <f t="shared" si="6"/>
        <v>71</v>
      </c>
      <c r="N57" s="490"/>
      <c r="O57" s="386">
        <f t="shared" si="9"/>
        <v>41649</v>
      </c>
      <c r="P57" s="35"/>
      <c r="Q57" s="36"/>
      <c r="R57" s="40"/>
      <c r="S57" s="40"/>
      <c r="T57" s="39"/>
      <c r="U57" s="39"/>
      <c r="V57" s="39"/>
      <c r="W57" s="64">
        <v>1</v>
      </c>
      <c r="X57" s="39"/>
      <c r="Y57" s="40"/>
      <c r="Z57" s="504"/>
      <c r="AA57" s="505"/>
      <c r="AB57" s="544"/>
      <c r="AC57" s="504"/>
      <c r="AD57" s="505"/>
      <c r="AE57" s="544"/>
      <c r="AF57" s="504"/>
      <c r="AG57" s="505"/>
      <c r="AH57" s="544"/>
      <c r="AI57" s="531"/>
      <c r="AJ57" s="533"/>
      <c r="AK57" s="535"/>
      <c r="AL57" s="531"/>
      <c r="AM57" s="533"/>
      <c r="AN57" s="535"/>
      <c r="AO57" s="537"/>
      <c r="AP57" s="539"/>
      <c r="AQ57" s="541"/>
      <c r="AR57" s="537"/>
      <c r="AS57" s="539"/>
      <c r="AT57" s="541"/>
      <c r="AU57" s="537"/>
      <c r="AV57" s="539"/>
      <c r="AW57" s="541"/>
      <c r="AX57" s="537"/>
      <c r="AY57" s="539"/>
      <c r="AZ57" s="541"/>
      <c r="BA57" s="537"/>
      <c r="BB57" s="539"/>
      <c r="BC57" s="541"/>
      <c r="BD57" s="537"/>
      <c r="BE57" s="539"/>
      <c r="BF57" s="541"/>
      <c r="BG57" s="537"/>
      <c r="BH57" s="539"/>
      <c r="BI57" s="541"/>
      <c r="BT57" s="1535"/>
      <c r="BU57" s="1547"/>
    </row>
    <row r="58" spans="1:73" ht="30.75" hidden="1" customHeight="1" thickBot="1">
      <c r="A58" s="1522"/>
      <c r="B58" s="669" t="s">
        <v>337</v>
      </c>
      <c r="C58" s="397" t="s">
        <v>100</v>
      </c>
      <c r="D58" s="419" t="s">
        <v>43</v>
      </c>
      <c r="E58" s="381">
        <v>65</v>
      </c>
      <c r="F58" s="382">
        <f t="shared" si="10"/>
        <v>55.384615384615387</v>
      </c>
      <c r="G58" s="382">
        <v>1</v>
      </c>
      <c r="H58" s="382">
        <v>180</v>
      </c>
      <c r="I58" s="480">
        <v>180</v>
      </c>
      <c r="J58" s="565">
        <v>468</v>
      </c>
      <c r="K58" s="382">
        <f>I58-H58</f>
        <v>0</v>
      </c>
      <c r="L58" s="378">
        <f t="shared" si="5"/>
        <v>3.25</v>
      </c>
      <c r="M58" s="385">
        <f t="shared" si="6"/>
        <v>1</v>
      </c>
      <c r="N58" s="490"/>
      <c r="O58" s="386">
        <f t="shared" si="9"/>
        <v>41579</v>
      </c>
      <c r="P58" s="35"/>
      <c r="Q58" s="36"/>
      <c r="R58" s="40"/>
      <c r="S58" s="40"/>
      <c r="T58" s="64"/>
      <c r="U58" s="64">
        <v>1</v>
      </c>
      <c r="V58" s="64">
        <v>1</v>
      </c>
      <c r="W58" s="39"/>
      <c r="X58" s="39"/>
      <c r="Y58" s="40"/>
      <c r="Z58" s="504"/>
      <c r="AA58" s="505"/>
      <c r="AB58" s="544"/>
      <c r="AC58" s="504"/>
      <c r="AD58" s="505"/>
      <c r="AE58" s="544"/>
      <c r="AF58" s="504"/>
      <c r="AG58" s="505"/>
      <c r="AH58" s="544"/>
      <c r="AI58" s="531"/>
      <c r="AJ58" s="533"/>
      <c r="AK58" s="535"/>
      <c r="AL58" s="531"/>
      <c r="AM58" s="533"/>
      <c r="AN58" s="535"/>
      <c r="AO58" s="537"/>
      <c r="AP58" s="539"/>
      <c r="AQ58" s="541"/>
      <c r="AR58" s="537"/>
      <c r="AS58" s="539"/>
      <c r="AT58" s="541"/>
      <c r="AU58" s="537"/>
      <c r="AV58" s="539"/>
      <c r="AW58" s="541"/>
      <c r="AX58" s="537"/>
      <c r="AY58" s="539"/>
      <c r="AZ58" s="541"/>
      <c r="BA58" s="537"/>
      <c r="BB58" s="539"/>
      <c r="BC58" s="541"/>
      <c r="BD58" s="537"/>
      <c r="BE58" s="539"/>
      <c r="BF58" s="541"/>
      <c r="BG58" s="537"/>
      <c r="BH58" s="539"/>
      <c r="BI58" s="541"/>
      <c r="BT58" s="1535"/>
      <c r="BU58" s="1547"/>
    </row>
    <row r="59" spans="1:73" ht="30.75" hidden="1" customHeight="1" thickBot="1">
      <c r="A59" s="1522"/>
      <c r="B59" s="671"/>
      <c r="C59" s="390" t="s">
        <v>101</v>
      </c>
      <c r="D59" s="420" t="s">
        <v>44</v>
      </c>
      <c r="E59" s="402">
        <v>65</v>
      </c>
      <c r="F59" s="391">
        <f t="shared" si="10"/>
        <v>55.384615384615387</v>
      </c>
      <c r="G59" s="391">
        <v>1</v>
      </c>
      <c r="H59" s="382">
        <v>4</v>
      </c>
      <c r="I59" s="481">
        <v>10</v>
      </c>
      <c r="J59" s="566">
        <v>234</v>
      </c>
      <c r="K59" s="391">
        <f>I59-H59</f>
        <v>6</v>
      </c>
      <c r="L59" s="378">
        <f t="shared" si="5"/>
        <v>7.2222222222222215E-2</v>
      </c>
      <c r="M59" s="394">
        <f t="shared" si="6"/>
        <v>2.5</v>
      </c>
      <c r="N59" s="491"/>
      <c r="O59" s="395">
        <f t="shared" si="9"/>
        <v>41580.5</v>
      </c>
      <c r="P59" s="35"/>
      <c r="Q59" s="36"/>
      <c r="R59" s="40"/>
      <c r="S59" s="40"/>
      <c r="T59" s="64">
        <v>1</v>
      </c>
      <c r="U59" s="39"/>
      <c r="V59" s="39"/>
      <c r="W59" s="39"/>
      <c r="X59" s="39"/>
      <c r="Y59" s="40"/>
      <c r="Z59" s="504"/>
      <c r="AA59" s="505"/>
      <c r="AB59" s="544"/>
      <c r="AC59" s="504"/>
      <c r="AD59" s="505"/>
      <c r="AE59" s="544"/>
      <c r="AF59" s="504"/>
      <c r="AG59" s="505"/>
      <c r="AH59" s="544"/>
      <c r="AI59" s="531"/>
      <c r="AJ59" s="533"/>
      <c r="AK59" s="535"/>
      <c r="AL59" s="531"/>
      <c r="AM59" s="533"/>
      <c r="AN59" s="535"/>
      <c r="AO59" s="537"/>
      <c r="AP59" s="539"/>
      <c r="AQ59" s="541"/>
      <c r="AR59" s="537"/>
      <c r="AS59" s="539"/>
      <c r="AT59" s="541"/>
      <c r="AU59" s="537"/>
      <c r="AV59" s="539"/>
      <c r="AW59" s="541"/>
      <c r="AX59" s="537"/>
      <c r="AY59" s="539"/>
      <c r="AZ59" s="541"/>
      <c r="BA59" s="537"/>
      <c r="BB59" s="539"/>
      <c r="BC59" s="541"/>
      <c r="BD59" s="537"/>
      <c r="BE59" s="539"/>
      <c r="BF59" s="541"/>
      <c r="BG59" s="537"/>
      <c r="BH59" s="539"/>
      <c r="BI59" s="541"/>
      <c r="BT59" s="1535"/>
      <c r="BU59" s="1547"/>
    </row>
    <row r="60" spans="1:73" ht="39.75" customHeight="1" thickBot="1">
      <c r="A60" s="1522"/>
      <c r="B60" s="1549" t="s">
        <v>336</v>
      </c>
      <c r="C60" s="397" t="s">
        <v>98</v>
      </c>
      <c r="D60" s="419" t="s">
        <v>428</v>
      </c>
      <c r="E60" s="381">
        <v>69</v>
      </c>
      <c r="F60" s="382">
        <f t="shared" si="10"/>
        <v>52.173913043478258</v>
      </c>
      <c r="G60" s="382">
        <v>1</v>
      </c>
      <c r="H60" s="382">
        <v>108</v>
      </c>
      <c r="I60" s="666">
        <v>0</v>
      </c>
      <c r="J60" s="565">
        <v>468</v>
      </c>
      <c r="K60" s="382">
        <v>1</v>
      </c>
      <c r="L60" s="378">
        <f t="shared" si="5"/>
        <v>2.0699999999999998</v>
      </c>
      <c r="M60" s="385">
        <f t="shared" si="6"/>
        <v>0</v>
      </c>
      <c r="N60" s="490">
        <f>M60*2</f>
        <v>0</v>
      </c>
      <c r="O60" s="386">
        <f t="shared" si="9"/>
        <v>41578</v>
      </c>
      <c r="P60" s="47"/>
      <c r="Q60" s="48"/>
      <c r="R60" s="49"/>
      <c r="S60" s="49"/>
      <c r="T60" s="50"/>
      <c r="U60" s="50"/>
      <c r="V60" s="50"/>
      <c r="W60" s="68"/>
      <c r="X60" s="68">
        <v>1</v>
      </c>
      <c r="Y60" s="67">
        <v>1</v>
      </c>
      <c r="Z60" s="569"/>
      <c r="AA60" s="570"/>
      <c r="AB60" s="571"/>
      <c r="AC60" s="569"/>
      <c r="AD60" s="570"/>
      <c r="AE60" s="571"/>
      <c r="AF60" s="569"/>
      <c r="AG60" s="570"/>
      <c r="AH60" s="571"/>
      <c r="AI60" s="13"/>
      <c r="AJ60" s="11"/>
      <c r="AK60" s="12"/>
      <c r="AL60" s="13"/>
      <c r="AM60" s="11"/>
      <c r="AN60" s="12"/>
      <c r="AO60" s="30"/>
      <c r="AP60" s="31"/>
      <c r="AQ60" s="32"/>
      <c r="AR60" s="30"/>
      <c r="AS60" s="31"/>
      <c r="AT60" s="32"/>
      <c r="AU60" s="30"/>
      <c r="AV60" s="31"/>
      <c r="AW60" s="32"/>
      <c r="AX60" s="30"/>
      <c r="AY60" s="31"/>
      <c r="AZ60" s="32"/>
      <c r="BA60" s="30"/>
      <c r="BB60" s="31"/>
      <c r="BC60" s="32"/>
      <c r="BD60" s="30"/>
      <c r="BE60" s="31"/>
      <c r="BF60" s="32"/>
      <c r="BG60" s="30"/>
      <c r="BH60" s="31"/>
      <c r="BI60" s="32"/>
      <c r="BT60" s="1535"/>
      <c r="BU60" s="1547"/>
    </row>
    <row r="61" spans="1:73" ht="36.75" customHeight="1" thickBot="1">
      <c r="A61" s="1522"/>
      <c r="B61" s="1550"/>
      <c r="C61" s="397" t="s">
        <v>99</v>
      </c>
      <c r="D61" s="419" t="s">
        <v>429</v>
      </c>
      <c r="E61" s="381">
        <v>69</v>
      </c>
      <c r="F61" s="382">
        <f t="shared" si="10"/>
        <v>52.173913043478258</v>
      </c>
      <c r="G61" s="382">
        <v>1</v>
      </c>
      <c r="H61" s="382">
        <v>4</v>
      </c>
      <c r="I61" s="666">
        <v>0</v>
      </c>
      <c r="J61" s="565">
        <v>234</v>
      </c>
      <c r="K61" s="382">
        <v>1</v>
      </c>
      <c r="L61" s="378">
        <f t="shared" si="5"/>
        <v>7.6666666666666661E-2</v>
      </c>
      <c r="M61" s="385">
        <f t="shared" si="6"/>
        <v>0</v>
      </c>
      <c r="N61" s="490">
        <f>M61*2</f>
        <v>0</v>
      </c>
      <c r="O61" s="386">
        <f t="shared" si="9"/>
        <v>41578</v>
      </c>
      <c r="P61" s="35"/>
      <c r="Q61" s="36"/>
      <c r="R61" s="40"/>
      <c r="S61" s="40"/>
      <c r="T61" s="39"/>
      <c r="U61" s="39"/>
      <c r="V61" s="39"/>
      <c r="W61" s="64">
        <v>1</v>
      </c>
      <c r="X61" s="39"/>
      <c r="Y61" s="40"/>
      <c r="Z61" s="504"/>
      <c r="AA61" s="505"/>
      <c r="AB61" s="544"/>
      <c r="AC61" s="504"/>
      <c r="AD61" s="505"/>
      <c r="AE61" s="544"/>
      <c r="AF61" s="504"/>
      <c r="AG61" s="505"/>
      <c r="AH61" s="544"/>
      <c r="AI61" s="531"/>
      <c r="AJ61" s="533"/>
      <c r="AK61" s="535"/>
      <c r="AL61" s="531"/>
      <c r="AM61" s="533"/>
      <c r="AN61" s="535"/>
      <c r="AO61" s="537"/>
      <c r="AP61" s="539"/>
      <c r="AQ61" s="541"/>
      <c r="AR61" s="537"/>
      <c r="AS61" s="539"/>
      <c r="AT61" s="541"/>
      <c r="AU61" s="537"/>
      <c r="AV61" s="539"/>
      <c r="AW61" s="541"/>
      <c r="AX61" s="537"/>
      <c r="AY61" s="539"/>
      <c r="AZ61" s="541"/>
      <c r="BA61" s="537"/>
      <c r="BB61" s="539"/>
      <c r="BC61" s="541"/>
      <c r="BD61" s="537"/>
      <c r="BE61" s="539"/>
      <c r="BF61" s="541"/>
      <c r="BG61" s="537"/>
      <c r="BH61" s="539"/>
      <c r="BI61" s="541"/>
      <c r="BT61" s="1535"/>
      <c r="BU61" s="1547"/>
    </row>
    <row r="62" spans="1:73" ht="35.25" customHeight="1" thickBot="1">
      <c r="A62" s="1522"/>
      <c r="B62" s="1551" t="s">
        <v>337</v>
      </c>
      <c r="C62" s="397" t="s">
        <v>100</v>
      </c>
      <c r="D62" s="419" t="s">
        <v>430</v>
      </c>
      <c r="E62" s="381">
        <v>65</v>
      </c>
      <c r="F62" s="382">
        <f t="shared" si="10"/>
        <v>55.384615384615387</v>
      </c>
      <c r="G62" s="382">
        <v>1</v>
      </c>
      <c r="H62" s="382">
        <v>108</v>
      </c>
      <c r="I62" s="666">
        <v>0</v>
      </c>
      <c r="J62" s="565">
        <v>468</v>
      </c>
      <c r="K62" s="382">
        <v>1</v>
      </c>
      <c r="L62" s="378">
        <f t="shared" si="5"/>
        <v>1.95</v>
      </c>
      <c r="M62" s="385">
        <f t="shared" si="6"/>
        <v>0</v>
      </c>
      <c r="N62" s="490">
        <f>M62*2</f>
        <v>0</v>
      </c>
      <c r="O62" s="386">
        <f t="shared" si="9"/>
        <v>41578</v>
      </c>
      <c r="P62" s="35"/>
      <c r="Q62" s="36"/>
      <c r="R62" s="40"/>
      <c r="S62" s="40"/>
      <c r="T62" s="64"/>
      <c r="U62" s="64">
        <v>1</v>
      </c>
      <c r="V62" s="64">
        <v>1</v>
      </c>
      <c r="W62" s="39"/>
      <c r="X62" s="39"/>
      <c r="Y62" s="40"/>
      <c r="Z62" s="504"/>
      <c r="AA62" s="505"/>
      <c r="AB62" s="544"/>
      <c r="AC62" s="504"/>
      <c r="AD62" s="505"/>
      <c r="AE62" s="544"/>
      <c r="AF62" s="504"/>
      <c r="AG62" s="505"/>
      <c r="AH62" s="544"/>
      <c r="AI62" s="531"/>
      <c r="AJ62" s="533"/>
      <c r="AK62" s="535"/>
      <c r="AL62" s="531"/>
      <c r="AM62" s="533"/>
      <c r="AN62" s="535"/>
      <c r="AO62" s="537"/>
      <c r="AP62" s="539"/>
      <c r="AQ62" s="541"/>
      <c r="AR62" s="537"/>
      <c r="AS62" s="539"/>
      <c r="AT62" s="541"/>
      <c r="AU62" s="537"/>
      <c r="AV62" s="539"/>
      <c r="AW62" s="541"/>
      <c r="AX62" s="537"/>
      <c r="AY62" s="539"/>
      <c r="AZ62" s="541"/>
      <c r="BA62" s="537"/>
      <c r="BB62" s="539"/>
      <c r="BC62" s="541"/>
      <c r="BD62" s="537"/>
      <c r="BE62" s="539"/>
      <c r="BF62" s="541"/>
      <c r="BG62" s="537"/>
      <c r="BH62" s="539"/>
      <c r="BI62" s="541"/>
      <c r="BT62" s="1535"/>
      <c r="BU62" s="1547"/>
    </row>
    <row r="63" spans="1:73" ht="37.5" customHeight="1" thickBot="1">
      <c r="A63" s="1523"/>
      <c r="B63" s="1552"/>
      <c r="C63" s="397" t="s">
        <v>101</v>
      </c>
      <c r="D63" s="419" t="s">
        <v>431</v>
      </c>
      <c r="E63" s="657">
        <v>65</v>
      </c>
      <c r="F63" s="658">
        <f t="shared" si="10"/>
        <v>55.384615384615387</v>
      </c>
      <c r="G63" s="658">
        <v>1</v>
      </c>
      <c r="H63" s="382">
        <v>4</v>
      </c>
      <c r="I63" s="667">
        <v>0</v>
      </c>
      <c r="J63" s="659">
        <v>234</v>
      </c>
      <c r="K63" s="658">
        <v>1</v>
      </c>
      <c r="L63" s="378">
        <f t="shared" si="5"/>
        <v>7.2222222222222215E-2</v>
      </c>
      <c r="M63" s="660">
        <f t="shared" si="6"/>
        <v>0</v>
      </c>
      <c r="N63" s="490">
        <f>M63*2</f>
        <v>0</v>
      </c>
      <c r="O63" s="661">
        <f t="shared" si="9"/>
        <v>41578</v>
      </c>
      <c r="P63" s="35"/>
      <c r="Q63" s="36"/>
      <c r="R63" s="40"/>
      <c r="S63" s="40"/>
      <c r="T63" s="64">
        <v>1</v>
      </c>
      <c r="U63" s="39"/>
      <c r="V63" s="39"/>
      <c r="W63" s="39"/>
      <c r="X63" s="39"/>
      <c r="Y63" s="40"/>
      <c r="Z63" s="504"/>
      <c r="AA63" s="505"/>
      <c r="AB63" s="544"/>
      <c r="AC63" s="504"/>
      <c r="AD63" s="505"/>
      <c r="AE63" s="544"/>
      <c r="AF63" s="504"/>
      <c r="AG63" s="505"/>
      <c r="AH63" s="544"/>
      <c r="AI63" s="531"/>
      <c r="AJ63" s="533"/>
      <c r="AK63" s="535"/>
      <c r="AL63" s="531"/>
      <c r="AM63" s="533"/>
      <c r="AN63" s="535"/>
      <c r="AO63" s="537"/>
      <c r="AP63" s="539"/>
      <c r="AQ63" s="541"/>
      <c r="AR63" s="537"/>
      <c r="AS63" s="539"/>
      <c r="AT63" s="541"/>
      <c r="AU63" s="537"/>
      <c r="AV63" s="539"/>
      <c r="AW63" s="541"/>
      <c r="AX63" s="537"/>
      <c r="AY63" s="539"/>
      <c r="AZ63" s="541"/>
      <c r="BA63" s="537"/>
      <c r="BB63" s="539"/>
      <c r="BC63" s="541"/>
      <c r="BD63" s="537"/>
      <c r="BE63" s="539"/>
      <c r="BF63" s="541"/>
      <c r="BG63" s="537"/>
      <c r="BH63" s="539"/>
      <c r="BI63" s="541"/>
      <c r="BT63" s="1536"/>
      <c r="BU63" s="1548"/>
    </row>
    <row r="64" spans="1:73" ht="33" customHeight="1" thickBot="1">
      <c r="A64" s="1484" t="s">
        <v>380</v>
      </c>
      <c r="B64" s="334" t="s">
        <v>318</v>
      </c>
      <c r="C64" s="335" t="s">
        <v>69</v>
      </c>
      <c r="D64" s="421" t="s">
        <v>420</v>
      </c>
      <c r="E64" s="287">
        <v>50</v>
      </c>
      <c r="F64" s="288">
        <f t="shared" ref="F64:F69" si="11">3600/E64</f>
        <v>72</v>
      </c>
      <c r="G64" s="288">
        <v>1</v>
      </c>
      <c r="H64" s="295">
        <f>BY17</f>
        <v>300</v>
      </c>
      <c r="I64" s="662">
        <v>0</v>
      </c>
      <c r="J64" s="290">
        <v>1488</v>
      </c>
      <c r="K64" s="288">
        <v>1</v>
      </c>
      <c r="L64" s="378">
        <f t="shared" si="5"/>
        <v>4.166666666666667</v>
      </c>
      <c r="M64" s="291">
        <f t="shared" si="6"/>
        <v>0</v>
      </c>
      <c r="N64" s="492">
        <f>M64*1.5</f>
        <v>0</v>
      </c>
      <c r="O64" s="292">
        <f t="shared" si="9"/>
        <v>41578</v>
      </c>
      <c r="P64" s="35"/>
      <c r="Q64" s="36"/>
      <c r="R64" s="37">
        <v>1</v>
      </c>
      <c r="S64" s="37"/>
      <c r="T64" s="64">
        <v>1</v>
      </c>
      <c r="U64" s="64">
        <v>1</v>
      </c>
      <c r="V64" s="39"/>
      <c r="W64" s="39"/>
      <c r="X64" s="39"/>
      <c r="Y64" s="40"/>
      <c r="Z64" s="504"/>
      <c r="AA64" s="505"/>
      <c r="AB64" s="544">
        <v>5</v>
      </c>
      <c r="AC64" s="527"/>
      <c r="AD64" s="529"/>
      <c r="AE64" s="525"/>
      <c r="AF64" s="527"/>
      <c r="AG64" s="529"/>
      <c r="AH64" s="525"/>
      <c r="AI64" s="527"/>
      <c r="AJ64" s="529"/>
      <c r="AK64" s="535"/>
      <c r="AL64" s="531"/>
      <c r="AM64" s="533"/>
      <c r="AN64" s="535"/>
      <c r="AO64" s="537"/>
      <c r="AP64" s="539"/>
      <c r="AQ64" s="541"/>
      <c r="AR64" s="537"/>
      <c r="AS64" s="539"/>
      <c r="AT64" s="541"/>
      <c r="AU64" s="537"/>
      <c r="AV64" s="539"/>
      <c r="AW64" s="541"/>
      <c r="AX64" s="537"/>
      <c r="AY64" s="539"/>
      <c r="AZ64" s="541"/>
      <c r="BA64" s="537"/>
      <c r="BB64" s="539"/>
      <c r="BC64" s="541"/>
      <c r="BD64" s="537"/>
      <c r="BE64" s="539"/>
      <c r="BF64" s="541"/>
      <c r="BG64" s="537"/>
      <c r="BH64" s="539"/>
      <c r="BI64" s="541"/>
      <c r="BP64" s="283">
        <v>4188</v>
      </c>
      <c r="BT64" s="1534">
        <v>2</v>
      </c>
      <c r="BU64" s="1546">
        <f>L64+L65+L67+L82+L84+BT64</f>
        <v>21.583333333333336</v>
      </c>
    </row>
    <row r="65" spans="1:73" ht="43.5" customHeight="1" thickBot="1">
      <c r="A65" s="1485"/>
      <c r="B65" s="1487" t="s">
        <v>320</v>
      </c>
      <c r="C65" s="311" t="s">
        <v>72</v>
      </c>
      <c r="D65" s="422" t="s">
        <v>421</v>
      </c>
      <c r="E65" s="294">
        <v>48</v>
      </c>
      <c r="F65" s="295">
        <f t="shared" si="11"/>
        <v>75</v>
      </c>
      <c r="G65" s="295">
        <v>1</v>
      </c>
      <c r="H65" s="295">
        <f>BY18</f>
        <v>200</v>
      </c>
      <c r="I65" s="480">
        <v>0</v>
      </c>
      <c r="J65" s="297">
        <v>520</v>
      </c>
      <c r="K65" s="295">
        <v>1</v>
      </c>
      <c r="L65" s="378">
        <f t="shared" si="5"/>
        <v>2.6666666666666665</v>
      </c>
      <c r="M65" s="298">
        <f t="shared" si="6"/>
        <v>0</v>
      </c>
      <c r="N65" s="492">
        <f>M65*1.5</f>
        <v>0</v>
      </c>
      <c r="O65" s="299">
        <f t="shared" si="9"/>
        <v>41578</v>
      </c>
      <c r="P65" s="35"/>
      <c r="Q65" s="36"/>
      <c r="R65" s="40"/>
      <c r="S65" s="41"/>
      <c r="T65" s="1412"/>
      <c r="U65" s="1412"/>
      <c r="V65" s="1412"/>
      <c r="W65" s="1412"/>
      <c r="X65" s="1412"/>
      <c r="Y65" s="1414"/>
      <c r="Z65" s="1392">
        <v>10</v>
      </c>
      <c r="AA65" s="1421"/>
      <c r="AB65" s="1402"/>
      <c r="AC65" s="1392"/>
      <c r="AD65" s="1394"/>
      <c r="AE65" s="1396"/>
      <c r="AF65" s="1392"/>
      <c r="AG65" s="1394"/>
      <c r="AH65" s="1396"/>
      <c r="AI65" s="1398"/>
      <c r="AJ65" s="1400"/>
      <c r="AK65" s="1404"/>
      <c r="AL65" s="1398"/>
      <c r="AM65" s="1400"/>
      <c r="AN65" s="1404"/>
      <c r="AO65" s="1406"/>
      <c r="AP65" s="1408"/>
      <c r="AQ65" s="1410"/>
      <c r="AR65" s="1406"/>
      <c r="AS65" s="1408"/>
      <c r="AT65" s="1410"/>
      <c r="AU65" s="1406"/>
      <c r="AV65" s="1408"/>
      <c r="AW65" s="1410"/>
      <c r="AX65" s="1406"/>
      <c r="AY65" s="1408"/>
      <c r="AZ65" s="1410"/>
      <c r="BA65" s="1406"/>
      <c r="BB65" s="1408"/>
      <c r="BC65" s="1410"/>
      <c r="BD65" s="1406"/>
      <c r="BE65" s="1408"/>
      <c r="BF65" s="1410"/>
      <c r="BG65" s="1406"/>
      <c r="BH65" s="1408"/>
      <c r="BI65" s="1410"/>
      <c r="BT65" s="1535"/>
      <c r="BU65" s="1547"/>
    </row>
    <row r="66" spans="1:73" ht="42" customHeight="1" thickBot="1">
      <c r="A66" s="1485"/>
      <c r="B66" s="1487"/>
      <c r="C66" s="311" t="s">
        <v>73</v>
      </c>
      <c r="D66" s="422" t="s">
        <v>422</v>
      </c>
      <c r="E66" s="294">
        <v>48</v>
      </c>
      <c r="F66" s="295">
        <f t="shared" si="11"/>
        <v>75</v>
      </c>
      <c r="G66" s="295">
        <v>1</v>
      </c>
      <c r="H66" s="295">
        <f>BY18</f>
        <v>200</v>
      </c>
      <c r="I66" s="480">
        <v>0</v>
      </c>
      <c r="J66" s="297">
        <v>520</v>
      </c>
      <c r="K66" s="295">
        <v>1</v>
      </c>
      <c r="L66" s="378">
        <f t="shared" si="5"/>
        <v>2.6666666666666665</v>
      </c>
      <c r="M66" s="298">
        <f t="shared" si="6"/>
        <v>0</v>
      </c>
      <c r="N66" s="492">
        <f>M66*1.5</f>
        <v>0</v>
      </c>
      <c r="O66" s="299">
        <f t="shared" si="9"/>
        <v>41578</v>
      </c>
      <c r="P66" s="35"/>
      <c r="Q66" s="36"/>
      <c r="R66" s="40"/>
      <c r="S66" s="42"/>
      <c r="T66" s="1436"/>
      <c r="U66" s="1436"/>
      <c r="V66" s="1436"/>
      <c r="W66" s="1436"/>
      <c r="X66" s="1436"/>
      <c r="Y66" s="1437"/>
      <c r="Z66" s="1393"/>
      <c r="AA66" s="1477"/>
      <c r="AB66" s="1403"/>
      <c r="AC66" s="1393"/>
      <c r="AD66" s="1395"/>
      <c r="AE66" s="1397"/>
      <c r="AF66" s="1393"/>
      <c r="AG66" s="1395"/>
      <c r="AH66" s="1397"/>
      <c r="AI66" s="1399"/>
      <c r="AJ66" s="1401"/>
      <c r="AK66" s="1405"/>
      <c r="AL66" s="1399"/>
      <c r="AM66" s="1401"/>
      <c r="AN66" s="1405"/>
      <c r="AO66" s="1407"/>
      <c r="AP66" s="1409"/>
      <c r="AQ66" s="1411"/>
      <c r="AR66" s="1407"/>
      <c r="AS66" s="1409"/>
      <c r="AT66" s="1411"/>
      <c r="AU66" s="1407"/>
      <c r="AV66" s="1409"/>
      <c r="AW66" s="1411"/>
      <c r="AX66" s="1407"/>
      <c r="AY66" s="1409"/>
      <c r="AZ66" s="1411"/>
      <c r="BA66" s="1407"/>
      <c r="BB66" s="1409"/>
      <c r="BC66" s="1411"/>
      <c r="BD66" s="1407"/>
      <c r="BE66" s="1409"/>
      <c r="BF66" s="1411"/>
      <c r="BG66" s="1407"/>
      <c r="BH66" s="1409"/>
      <c r="BI66" s="1411"/>
      <c r="BT66" s="1535"/>
      <c r="BU66" s="1547"/>
    </row>
    <row r="67" spans="1:73" ht="33" customHeight="1" thickBot="1">
      <c r="A67" s="1485"/>
      <c r="B67" s="336" t="s">
        <v>321</v>
      </c>
      <c r="C67" s="293" t="s">
        <v>74</v>
      </c>
      <c r="D67" s="422" t="s">
        <v>423</v>
      </c>
      <c r="E67" s="295">
        <v>49</v>
      </c>
      <c r="F67" s="295">
        <f t="shared" si="11"/>
        <v>73.469387755102048</v>
      </c>
      <c r="G67" s="295">
        <v>1</v>
      </c>
      <c r="H67" s="295">
        <f>0.3*BY17</f>
        <v>90</v>
      </c>
      <c r="I67" s="480">
        <v>0</v>
      </c>
      <c r="J67" s="297">
        <v>438</v>
      </c>
      <c r="K67" s="295">
        <v>1</v>
      </c>
      <c r="L67" s="378">
        <f t="shared" si="5"/>
        <v>1.2250000000000001</v>
      </c>
      <c r="M67" s="298">
        <f t="shared" si="6"/>
        <v>0</v>
      </c>
      <c r="N67" s="492">
        <f>M67*1.5</f>
        <v>0</v>
      </c>
      <c r="O67" s="299">
        <f t="shared" si="9"/>
        <v>41578</v>
      </c>
      <c r="P67" s="35"/>
      <c r="Q67" s="36"/>
      <c r="R67" s="40"/>
      <c r="S67" s="40"/>
      <c r="T67" s="39"/>
      <c r="U67" s="39"/>
      <c r="V67" s="64">
        <v>1</v>
      </c>
      <c r="W67" s="39"/>
      <c r="X67" s="39"/>
      <c r="Y67" s="40"/>
      <c r="Z67" s="504"/>
      <c r="AA67" s="505"/>
      <c r="AB67" s="544"/>
      <c r="AC67" s="504"/>
      <c r="AD67" s="505"/>
      <c r="AE67" s="544"/>
      <c r="AF67" s="504"/>
      <c r="AG67" s="505"/>
      <c r="AH67" s="544"/>
      <c r="AI67" s="531"/>
      <c r="AJ67" s="533"/>
      <c r="AK67" s="535"/>
      <c r="AL67" s="531"/>
      <c r="AM67" s="533"/>
      <c r="AN67" s="535"/>
      <c r="AO67" s="537"/>
      <c r="AP67" s="539"/>
      <c r="AQ67" s="541"/>
      <c r="AR67" s="537"/>
      <c r="AS67" s="539"/>
      <c r="AT67" s="541"/>
      <c r="AU67" s="537"/>
      <c r="AV67" s="539"/>
      <c r="AW67" s="541"/>
      <c r="AX67" s="537"/>
      <c r="AY67" s="539"/>
      <c r="AZ67" s="541"/>
      <c r="BA67" s="537"/>
      <c r="BB67" s="539"/>
      <c r="BC67" s="541"/>
      <c r="BD67" s="537"/>
      <c r="BE67" s="539"/>
      <c r="BF67" s="541"/>
      <c r="BG67" s="537"/>
      <c r="BH67" s="539"/>
      <c r="BI67" s="541"/>
      <c r="BP67" s="283">
        <v>236</v>
      </c>
      <c r="BT67" s="1535"/>
      <c r="BU67" s="1547"/>
    </row>
    <row r="68" spans="1:73" ht="30" hidden="1" customHeight="1">
      <c r="A68" s="1485"/>
      <c r="B68" s="1487" t="s">
        <v>322</v>
      </c>
      <c r="C68" s="293" t="s">
        <v>75</v>
      </c>
      <c r="D68" s="422" t="s">
        <v>24</v>
      </c>
      <c r="E68" s="294">
        <v>49.3</v>
      </c>
      <c r="F68" s="295">
        <f t="shared" si="11"/>
        <v>73.022312373225162</v>
      </c>
      <c r="G68" s="295">
        <v>1</v>
      </c>
      <c r="H68" s="295">
        <v>200</v>
      </c>
      <c r="I68" s="480">
        <v>565</v>
      </c>
      <c r="J68" s="297">
        <v>544</v>
      </c>
      <c r="K68" s="295">
        <f t="shared" ref="K68:K80" si="12">I68-H68</f>
        <v>365</v>
      </c>
      <c r="L68" s="378">
        <f t="shared" si="5"/>
        <v>2.7388888888888889</v>
      </c>
      <c r="M68" s="298">
        <f t="shared" si="6"/>
        <v>2.8250000000000002</v>
      </c>
      <c r="N68" s="493"/>
      <c r="O68" s="299">
        <f t="shared" si="9"/>
        <v>41580.824999999997</v>
      </c>
      <c r="P68" s="35"/>
      <c r="Q68" s="36"/>
      <c r="R68" s="40"/>
      <c r="S68" s="41"/>
      <c r="T68" s="1412"/>
      <c r="U68" s="1412"/>
      <c r="V68" s="1412"/>
      <c r="W68" s="1412"/>
      <c r="X68" s="1412"/>
      <c r="Y68" s="1414"/>
      <c r="Z68" s="1392"/>
      <c r="AA68" s="1394"/>
      <c r="AB68" s="1396"/>
      <c r="AC68" s="1392"/>
      <c r="AD68" s="1394"/>
      <c r="AE68" s="1396"/>
      <c r="AF68" s="1392"/>
      <c r="AG68" s="1394"/>
      <c r="AH68" s="1396"/>
      <c r="AI68" s="1398"/>
      <c r="AJ68" s="1400">
        <v>20</v>
      </c>
      <c r="AK68" s="1402"/>
      <c r="AL68" s="1398"/>
      <c r="AM68" s="1400"/>
      <c r="AN68" s="1404"/>
      <c r="AO68" s="1406"/>
      <c r="AP68" s="1408"/>
      <c r="AQ68" s="1410"/>
      <c r="AR68" s="1406"/>
      <c r="AS68" s="1408"/>
      <c r="AT68" s="1410"/>
      <c r="AU68" s="1406"/>
      <c r="AV68" s="1408"/>
      <c r="AW68" s="1410"/>
      <c r="AX68" s="1406"/>
      <c r="AY68" s="1408"/>
      <c r="AZ68" s="1410"/>
      <c r="BA68" s="1406"/>
      <c r="BB68" s="1408"/>
      <c r="BC68" s="1410"/>
      <c r="BD68" s="1406"/>
      <c r="BE68" s="1408"/>
      <c r="BF68" s="1410"/>
      <c r="BG68" s="1406"/>
      <c r="BH68" s="1408"/>
      <c r="BI68" s="1410"/>
      <c r="BP68" s="284">
        <v>179</v>
      </c>
      <c r="BT68" s="1535"/>
      <c r="BU68" s="1547"/>
    </row>
    <row r="69" spans="1:73" ht="30" hidden="1" customHeight="1">
      <c r="A69" s="1485"/>
      <c r="B69" s="1487"/>
      <c r="C69" s="293" t="s">
        <v>76</v>
      </c>
      <c r="D69" s="422" t="s">
        <v>25</v>
      </c>
      <c r="E69" s="294">
        <v>49.3</v>
      </c>
      <c r="F69" s="295">
        <f t="shared" si="11"/>
        <v>73.022312373225162</v>
      </c>
      <c r="G69" s="295">
        <v>1</v>
      </c>
      <c r="H69" s="295">
        <v>200</v>
      </c>
      <c r="I69" s="480">
        <v>565</v>
      </c>
      <c r="J69" s="297">
        <v>544</v>
      </c>
      <c r="K69" s="295">
        <f t="shared" si="12"/>
        <v>365</v>
      </c>
      <c r="L69" s="378">
        <f t="shared" si="5"/>
        <v>2.7388888888888889</v>
      </c>
      <c r="M69" s="298">
        <f t="shared" si="6"/>
        <v>2.8250000000000002</v>
      </c>
      <c r="N69" s="493"/>
      <c r="O69" s="299">
        <f t="shared" si="9"/>
        <v>41580.824999999997</v>
      </c>
      <c r="P69" s="35"/>
      <c r="Q69" s="36"/>
      <c r="R69" s="40"/>
      <c r="S69" s="42"/>
      <c r="T69" s="1436"/>
      <c r="U69" s="1436"/>
      <c r="V69" s="1436"/>
      <c r="W69" s="1436"/>
      <c r="X69" s="1436"/>
      <c r="Y69" s="1437"/>
      <c r="Z69" s="1393"/>
      <c r="AA69" s="1395"/>
      <c r="AB69" s="1397"/>
      <c r="AC69" s="1393"/>
      <c r="AD69" s="1395"/>
      <c r="AE69" s="1397"/>
      <c r="AF69" s="1393"/>
      <c r="AG69" s="1395"/>
      <c r="AH69" s="1397"/>
      <c r="AI69" s="1399"/>
      <c r="AJ69" s="1401"/>
      <c r="AK69" s="1403"/>
      <c r="AL69" s="1399"/>
      <c r="AM69" s="1401"/>
      <c r="AN69" s="1405"/>
      <c r="AO69" s="1407"/>
      <c r="AP69" s="1409"/>
      <c r="AQ69" s="1411"/>
      <c r="AR69" s="1407"/>
      <c r="AS69" s="1409"/>
      <c r="AT69" s="1411"/>
      <c r="AU69" s="1407"/>
      <c r="AV69" s="1409"/>
      <c r="AW69" s="1411"/>
      <c r="AX69" s="1407"/>
      <c r="AY69" s="1409"/>
      <c r="AZ69" s="1411"/>
      <c r="BA69" s="1407"/>
      <c r="BB69" s="1409"/>
      <c r="BC69" s="1411"/>
      <c r="BD69" s="1407"/>
      <c r="BE69" s="1409"/>
      <c r="BF69" s="1411"/>
      <c r="BG69" s="1407"/>
      <c r="BH69" s="1409"/>
      <c r="BI69" s="1411"/>
      <c r="BT69" s="1535"/>
      <c r="BU69" s="1547"/>
    </row>
    <row r="70" spans="1:73" ht="30" hidden="1" customHeight="1">
      <c r="A70" s="1485"/>
      <c r="B70" s="336"/>
      <c r="C70" s="337" t="s">
        <v>58</v>
      </c>
      <c r="D70" s="422" t="s">
        <v>15</v>
      </c>
      <c r="E70" s="312"/>
      <c r="F70" s="300"/>
      <c r="G70" s="300"/>
      <c r="H70" s="300"/>
      <c r="I70" s="663"/>
      <c r="J70" s="314"/>
      <c r="K70" s="295">
        <f t="shared" si="12"/>
        <v>0</v>
      </c>
      <c r="L70" s="378">
        <f t="shared" si="5"/>
        <v>0</v>
      </c>
      <c r="M70" s="298" t="e">
        <f t="shared" si="6"/>
        <v>#DIV/0!</v>
      </c>
      <c r="N70" s="493"/>
      <c r="O70" s="299" t="e">
        <f t="shared" si="9"/>
        <v>#DIV/0!</v>
      </c>
      <c r="P70" s="35"/>
      <c r="Q70" s="36"/>
      <c r="R70" s="40"/>
      <c r="S70" s="41"/>
      <c r="T70" s="60"/>
      <c r="U70" s="60"/>
      <c r="V70" s="60"/>
      <c r="W70" s="60"/>
      <c r="X70" s="60"/>
      <c r="Y70" s="41"/>
      <c r="Z70" s="508"/>
      <c r="AA70" s="510"/>
      <c r="AB70" s="506"/>
      <c r="AC70" s="508"/>
      <c r="AD70" s="510"/>
      <c r="AE70" s="506"/>
      <c r="AF70" s="508"/>
      <c r="AG70" s="510"/>
      <c r="AH70" s="506"/>
      <c r="AI70" s="512"/>
      <c r="AJ70" s="514"/>
      <c r="AK70" s="516"/>
      <c r="AL70" s="512"/>
      <c r="AM70" s="514"/>
      <c r="AN70" s="516"/>
      <c r="AO70" s="518"/>
      <c r="AP70" s="520"/>
      <c r="AQ70" s="522"/>
      <c r="AR70" s="518"/>
      <c r="AS70" s="520"/>
      <c r="AT70" s="522"/>
      <c r="AU70" s="518"/>
      <c r="AV70" s="520"/>
      <c r="AW70" s="522"/>
      <c r="AX70" s="518"/>
      <c r="AY70" s="520"/>
      <c r="AZ70" s="522"/>
      <c r="BA70" s="518"/>
      <c r="BB70" s="520"/>
      <c r="BC70" s="522"/>
      <c r="BD70" s="518"/>
      <c r="BE70" s="520"/>
      <c r="BF70" s="522"/>
      <c r="BG70" s="518"/>
      <c r="BH70" s="520"/>
      <c r="BI70" s="522"/>
      <c r="BT70" s="1535"/>
      <c r="BU70" s="1547"/>
    </row>
    <row r="71" spans="1:73" ht="30" hidden="1" customHeight="1">
      <c r="A71" s="1485"/>
      <c r="B71" s="336"/>
      <c r="C71" s="337" t="s">
        <v>59</v>
      </c>
      <c r="D71" s="422" t="s">
        <v>16</v>
      </c>
      <c r="E71" s="312"/>
      <c r="F71" s="300"/>
      <c r="G71" s="300"/>
      <c r="H71" s="300"/>
      <c r="I71" s="663"/>
      <c r="J71" s="314"/>
      <c r="K71" s="295">
        <f t="shared" si="12"/>
        <v>0</v>
      </c>
      <c r="L71" s="378">
        <f t="shared" si="5"/>
        <v>0</v>
      </c>
      <c r="M71" s="298" t="e">
        <f t="shared" si="6"/>
        <v>#DIV/0!</v>
      </c>
      <c r="N71" s="493"/>
      <c r="O71" s="299" t="e">
        <f t="shared" si="9"/>
        <v>#DIV/0!</v>
      </c>
      <c r="P71" s="35"/>
      <c r="Q71" s="36"/>
      <c r="R71" s="40"/>
      <c r="S71" s="59"/>
      <c r="T71" s="66"/>
      <c r="U71" s="66"/>
      <c r="V71" s="66"/>
      <c r="W71" s="66"/>
      <c r="X71" s="66"/>
      <c r="Y71" s="59"/>
      <c r="Z71" s="549"/>
      <c r="AA71" s="550"/>
      <c r="AB71" s="551"/>
      <c r="AC71" s="549"/>
      <c r="AD71" s="550"/>
      <c r="AE71" s="551"/>
      <c r="AF71" s="549"/>
      <c r="AG71" s="550"/>
      <c r="AH71" s="551"/>
      <c r="AI71" s="557"/>
      <c r="AJ71" s="558"/>
      <c r="AK71" s="559"/>
      <c r="AL71" s="557"/>
      <c r="AM71" s="558"/>
      <c r="AN71" s="559"/>
      <c r="AO71" s="560"/>
      <c r="AP71" s="561"/>
      <c r="AQ71" s="562"/>
      <c r="AR71" s="560"/>
      <c r="AS71" s="561"/>
      <c r="AT71" s="562"/>
      <c r="AU71" s="560"/>
      <c r="AV71" s="561"/>
      <c r="AW71" s="562"/>
      <c r="AX71" s="560"/>
      <c r="AY71" s="561"/>
      <c r="AZ71" s="562"/>
      <c r="BA71" s="560"/>
      <c r="BB71" s="561"/>
      <c r="BC71" s="562"/>
      <c r="BD71" s="560"/>
      <c r="BE71" s="561"/>
      <c r="BF71" s="562"/>
      <c r="BG71" s="560"/>
      <c r="BH71" s="561"/>
      <c r="BI71" s="562"/>
      <c r="BT71" s="1535"/>
      <c r="BU71" s="1547"/>
    </row>
    <row r="72" spans="1:73" ht="30" hidden="1" customHeight="1">
      <c r="A72" s="1485"/>
      <c r="B72" s="336"/>
      <c r="C72" s="337" t="s">
        <v>64</v>
      </c>
      <c r="D72" s="422" t="s">
        <v>114</v>
      </c>
      <c r="E72" s="312"/>
      <c r="F72" s="300"/>
      <c r="G72" s="300"/>
      <c r="H72" s="300"/>
      <c r="I72" s="663"/>
      <c r="J72" s="314"/>
      <c r="K72" s="295">
        <f t="shared" si="12"/>
        <v>0</v>
      </c>
      <c r="L72" s="378">
        <f t="shared" si="5"/>
        <v>0</v>
      </c>
      <c r="M72" s="298" t="e">
        <f t="shared" si="6"/>
        <v>#DIV/0!</v>
      </c>
      <c r="N72" s="493"/>
      <c r="O72" s="299" t="e">
        <f t="shared" si="9"/>
        <v>#DIV/0!</v>
      </c>
      <c r="P72" s="35"/>
      <c r="Q72" s="36"/>
      <c r="R72" s="40"/>
      <c r="S72" s="42"/>
      <c r="T72" s="65"/>
      <c r="U72" s="65"/>
      <c r="V72" s="65"/>
      <c r="W72" s="65"/>
      <c r="X72" s="65"/>
      <c r="Y72" s="42"/>
      <c r="Z72" s="509"/>
      <c r="AA72" s="511"/>
      <c r="AB72" s="507"/>
      <c r="AC72" s="509"/>
      <c r="AD72" s="511"/>
      <c r="AE72" s="507"/>
      <c r="AF72" s="509"/>
      <c r="AG72" s="511"/>
      <c r="AH72" s="507"/>
      <c r="AI72" s="513"/>
      <c r="AJ72" s="515"/>
      <c r="AK72" s="517"/>
      <c r="AL72" s="513"/>
      <c r="AM72" s="515"/>
      <c r="AN72" s="517"/>
      <c r="AO72" s="519"/>
      <c r="AP72" s="521"/>
      <c r="AQ72" s="523"/>
      <c r="AR72" s="519"/>
      <c r="AS72" s="521"/>
      <c r="AT72" s="523"/>
      <c r="AU72" s="519"/>
      <c r="AV72" s="521"/>
      <c r="AW72" s="523"/>
      <c r="AX72" s="519"/>
      <c r="AY72" s="521"/>
      <c r="AZ72" s="523"/>
      <c r="BA72" s="519"/>
      <c r="BB72" s="521"/>
      <c r="BC72" s="523"/>
      <c r="BD72" s="519"/>
      <c r="BE72" s="521"/>
      <c r="BF72" s="523"/>
      <c r="BG72" s="519"/>
      <c r="BH72" s="521"/>
      <c r="BI72" s="523"/>
      <c r="BT72" s="1535"/>
      <c r="BU72" s="1547"/>
    </row>
    <row r="73" spans="1:73" ht="30" hidden="1" customHeight="1">
      <c r="A73" s="1485"/>
      <c r="B73" s="336"/>
      <c r="C73" s="311" t="s">
        <v>77</v>
      </c>
      <c r="D73" s="422" t="s">
        <v>26</v>
      </c>
      <c r="E73" s="312"/>
      <c r="F73" s="300"/>
      <c r="G73" s="300"/>
      <c r="H73" s="300"/>
      <c r="I73" s="663"/>
      <c r="J73" s="314"/>
      <c r="K73" s="295">
        <f t="shared" si="12"/>
        <v>0</v>
      </c>
      <c r="L73" s="378">
        <f t="shared" si="5"/>
        <v>0</v>
      </c>
      <c r="M73" s="298" t="e">
        <f t="shared" si="6"/>
        <v>#DIV/0!</v>
      </c>
      <c r="N73" s="493"/>
      <c r="O73" s="299" t="e">
        <f t="shared" si="9"/>
        <v>#DIV/0!</v>
      </c>
      <c r="P73" s="35"/>
      <c r="Q73" s="36"/>
      <c r="R73" s="40"/>
      <c r="S73" s="40"/>
      <c r="T73" s="39"/>
      <c r="U73" s="39"/>
      <c r="V73" s="39"/>
      <c r="W73" s="39"/>
      <c r="X73" s="39"/>
      <c r="Y73" s="40"/>
      <c r="Z73" s="504"/>
      <c r="AA73" s="505"/>
      <c r="AB73" s="544"/>
      <c r="AC73" s="504"/>
      <c r="AD73" s="505"/>
      <c r="AE73" s="544"/>
      <c r="AF73" s="504"/>
      <c r="AG73" s="505"/>
      <c r="AH73" s="544"/>
      <c r="AI73" s="531"/>
      <c r="AJ73" s="533"/>
      <c r="AK73" s="535"/>
      <c r="AL73" s="531"/>
      <c r="AM73" s="533"/>
      <c r="AN73" s="535"/>
      <c r="AO73" s="537"/>
      <c r="AP73" s="539"/>
      <c r="AQ73" s="541"/>
      <c r="AR73" s="537"/>
      <c r="AS73" s="539"/>
      <c r="AT73" s="541"/>
      <c r="AU73" s="537"/>
      <c r="AV73" s="539"/>
      <c r="AW73" s="541"/>
      <c r="AX73" s="537"/>
      <c r="AY73" s="539"/>
      <c r="AZ73" s="541"/>
      <c r="BA73" s="537"/>
      <c r="BB73" s="539"/>
      <c r="BC73" s="541"/>
      <c r="BD73" s="537"/>
      <c r="BE73" s="539"/>
      <c r="BF73" s="541"/>
      <c r="BG73" s="537"/>
      <c r="BH73" s="539"/>
      <c r="BI73" s="541"/>
      <c r="BT73" s="1535"/>
      <c r="BU73" s="1547"/>
    </row>
    <row r="74" spans="1:73" ht="30" hidden="1" customHeight="1">
      <c r="A74" s="1485"/>
      <c r="B74" s="336"/>
      <c r="C74" s="311" t="s">
        <v>79</v>
      </c>
      <c r="D74" s="422" t="s">
        <v>27</v>
      </c>
      <c r="E74" s="312"/>
      <c r="F74" s="300"/>
      <c r="G74" s="300"/>
      <c r="H74" s="300"/>
      <c r="I74" s="663"/>
      <c r="J74" s="314"/>
      <c r="K74" s="295">
        <f t="shared" si="12"/>
        <v>0</v>
      </c>
      <c r="L74" s="378">
        <f t="shared" si="5"/>
        <v>0</v>
      </c>
      <c r="M74" s="298" t="e">
        <f t="shared" si="6"/>
        <v>#DIV/0!</v>
      </c>
      <c r="N74" s="493"/>
      <c r="O74" s="299" t="e">
        <f t="shared" si="9"/>
        <v>#DIV/0!</v>
      </c>
      <c r="P74" s="35"/>
      <c r="Q74" s="36"/>
      <c r="R74" s="40"/>
      <c r="S74" s="40"/>
      <c r="T74" s="39"/>
      <c r="U74" s="39"/>
      <c r="V74" s="39"/>
      <c r="W74" s="39"/>
      <c r="X74" s="39"/>
      <c r="Y74" s="40"/>
      <c r="Z74" s="504"/>
      <c r="AA74" s="505"/>
      <c r="AB74" s="544"/>
      <c r="AC74" s="504"/>
      <c r="AD74" s="505"/>
      <c r="AE74" s="544"/>
      <c r="AF74" s="504"/>
      <c r="AG74" s="505"/>
      <c r="AH74" s="544"/>
      <c r="AI74" s="531"/>
      <c r="AJ74" s="533"/>
      <c r="AK74" s="535"/>
      <c r="AL74" s="531"/>
      <c r="AM74" s="533"/>
      <c r="AN74" s="535"/>
      <c r="AO74" s="537"/>
      <c r="AP74" s="539"/>
      <c r="AQ74" s="541"/>
      <c r="AR74" s="537"/>
      <c r="AS74" s="539"/>
      <c r="AT74" s="541"/>
      <c r="AU74" s="537"/>
      <c r="AV74" s="539"/>
      <c r="AW74" s="541"/>
      <c r="AX74" s="537"/>
      <c r="AY74" s="539"/>
      <c r="AZ74" s="541"/>
      <c r="BA74" s="537"/>
      <c r="BB74" s="539"/>
      <c r="BC74" s="541"/>
      <c r="BD74" s="537"/>
      <c r="BE74" s="539"/>
      <c r="BF74" s="541"/>
      <c r="BG74" s="537"/>
      <c r="BH74" s="539"/>
      <c r="BI74" s="541"/>
      <c r="BT74" s="1535"/>
      <c r="BU74" s="1547"/>
    </row>
    <row r="75" spans="1:73" ht="30" hidden="1" customHeight="1">
      <c r="A75" s="1485"/>
      <c r="B75" s="336"/>
      <c r="C75" s="311" t="s">
        <v>82</v>
      </c>
      <c r="D75" s="422" t="s">
        <v>29</v>
      </c>
      <c r="E75" s="312"/>
      <c r="F75" s="300"/>
      <c r="G75" s="300"/>
      <c r="H75" s="300"/>
      <c r="I75" s="663"/>
      <c r="J75" s="314"/>
      <c r="K75" s="295">
        <f t="shared" si="12"/>
        <v>0</v>
      </c>
      <c r="L75" s="378">
        <f t="shared" si="5"/>
        <v>0</v>
      </c>
      <c r="M75" s="298" t="e">
        <f t="shared" si="6"/>
        <v>#DIV/0!</v>
      </c>
      <c r="N75" s="493"/>
      <c r="O75" s="299" t="e">
        <f t="shared" si="9"/>
        <v>#DIV/0!</v>
      </c>
      <c r="P75" s="35"/>
      <c r="Q75" s="36"/>
      <c r="R75" s="40"/>
      <c r="S75" s="41"/>
      <c r="T75" s="1412"/>
      <c r="U75" s="1412"/>
      <c r="V75" s="1412"/>
      <c r="W75" s="1412"/>
      <c r="X75" s="1412"/>
      <c r="Y75" s="1414"/>
      <c r="Z75" s="1392"/>
      <c r="AA75" s="1394"/>
      <c r="AB75" s="1396"/>
      <c r="AC75" s="1392"/>
      <c r="AD75" s="1394"/>
      <c r="AE75" s="1396"/>
      <c r="AF75" s="1392"/>
      <c r="AG75" s="1394"/>
      <c r="AH75" s="1396"/>
      <c r="AI75" s="1398"/>
      <c r="AJ75" s="1400"/>
      <c r="AK75" s="1404"/>
      <c r="AL75" s="1398"/>
      <c r="AM75" s="1400"/>
      <c r="AN75" s="1404"/>
      <c r="AO75" s="1406"/>
      <c r="AP75" s="1408"/>
      <c r="AQ75" s="1410"/>
      <c r="AR75" s="1406"/>
      <c r="AS75" s="1408"/>
      <c r="AT75" s="1410"/>
      <c r="AU75" s="1406"/>
      <c r="AV75" s="1408"/>
      <c r="AW75" s="1410"/>
      <c r="AX75" s="1406"/>
      <c r="AY75" s="1408"/>
      <c r="AZ75" s="1410"/>
      <c r="BA75" s="1406"/>
      <c r="BB75" s="1408"/>
      <c r="BC75" s="1410"/>
      <c r="BD75" s="1406"/>
      <c r="BE75" s="1408"/>
      <c r="BF75" s="1410"/>
      <c r="BG75" s="1406"/>
      <c r="BH75" s="1408"/>
      <c r="BI75" s="1410"/>
      <c r="BT75" s="1535"/>
      <c r="BU75" s="1547"/>
    </row>
    <row r="76" spans="1:73" ht="30" hidden="1" customHeight="1">
      <c r="A76" s="1485"/>
      <c r="B76" s="336"/>
      <c r="C76" s="311" t="s">
        <v>83</v>
      </c>
      <c r="D76" s="422" t="s">
        <v>30</v>
      </c>
      <c r="E76" s="312"/>
      <c r="F76" s="300"/>
      <c r="G76" s="300"/>
      <c r="H76" s="300"/>
      <c r="I76" s="663"/>
      <c r="J76" s="314"/>
      <c r="K76" s="295">
        <f t="shared" si="12"/>
        <v>0</v>
      </c>
      <c r="L76" s="378">
        <f t="shared" si="5"/>
        <v>0</v>
      </c>
      <c r="M76" s="298" t="e">
        <f t="shared" si="6"/>
        <v>#DIV/0!</v>
      </c>
      <c r="N76" s="493"/>
      <c r="O76" s="299" t="e">
        <f t="shared" si="9"/>
        <v>#DIV/0!</v>
      </c>
      <c r="P76" s="35"/>
      <c r="Q76" s="36"/>
      <c r="R76" s="40"/>
      <c r="S76" s="42"/>
      <c r="T76" s="1436"/>
      <c r="U76" s="1436"/>
      <c r="V76" s="1436"/>
      <c r="W76" s="1436"/>
      <c r="X76" s="1436"/>
      <c r="Y76" s="1437"/>
      <c r="Z76" s="1393"/>
      <c r="AA76" s="1395"/>
      <c r="AB76" s="1397"/>
      <c r="AC76" s="1393"/>
      <c r="AD76" s="1395"/>
      <c r="AE76" s="1397"/>
      <c r="AF76" s="1393"/>
      <c r="AG76" s="1395"/>
      <c r="AH76" s="1397"/>
      <c r="AI76" s="1399"/>
      <c r="AJ76" s="1401"/>
      <c r="AK76" s="1405"/>
      <c r="AL76" s="1399"/>
      <c r="AM76" s="1401"/>
      <c r="AN76" s="1405"/>
      <c r="AO76" s="1407"/>
      <c r="AP76" s="1409"/>
      <c r="AQ76" s="1411"/>
      <c r="AR76" s="1407"/>
      <c r="AS76" s="1409"/>
      <c r="AT76" s="1411"/>
      <c r="AU76" s="1407"/>
      <c r="AV76" s="1409"/>
      <c r="AW76" s="1411"/>
      <c r="AX76" s="1407"/>
      <c r="AY76" s="1409"/>
      <c r="AZ76" s="1411"/>
      <c r="BA76" s="1407"/>
      <c r="BB76" s="1409"/>
      <c r="BC76" s="1411"/>
      <c r="BD76" s="1407"/>
      <c r="BE76" s="1409"/>
      <c r="BF76" s="1411"/>
      <c r="BG76" s="1407"/>
      <c r="BH76" s="1409"/>
      <c r="BI76" s="1411"/>
      <c r="BT76" s="1535"/>
      <c r="BU76" s="1547"/>
    </row>
    <row r="77" spans="1:73" ht="30" hidden="1" customHeight="1">
      <c r="A77" s="1485"/>
      <c r="B77" s="336"/>
      <c r="C77" s="311" t="s">
        <v>84</v>
      </c>
      <c r="D77" s="422" t="s">
        <v>31</v>
      </c>
      <c r="E77" s="312"/>
      <c r="F77" s="300"/>
      <c r="G77" s="300"/>
      <c r="H77" s="300"/>
      <c r="I77" s="663"/>
      <c r="J77" s="314"/>
      <c r="K77" s="295">
        <f t="shared" si="12"/>
        <v>0</v>
      </c>
      <c r="L77" s="378">
        <f t="shared" si="5"/>
        <v>0</v>
      </c>
      <c r="M77" s="298" t="e">
        <f t="shared" si="6"/>
        <v>#DIV/0!</v>
      </c>
      <c r="N77" s="493"/>
      <c r="O77" s="299" t="e">
        <f t="shared" si="9"/>
        <v>#DIV/0!</v>
      </c>
      <c r="P77" s="35"/>
      <c r="Q77" s="36"/>
      <c r="R77" s="40"/>
      <c r="S77" s="41"/>
      <c r="T77" s="1412"/>
      <c r="U77" s="1412"/>
      <c r="V77" s="1412"/>
      <c r="W77" s="1412"/>
      <c r="X77" s="1412"/>
      <c r="Y77" s="1414"/>
      <c r="Z77" s="1392"/>
      <c r="AA77" s="1394"/>
      <c r="AB77" s="1396"/>
      <c r="AC77" s="1392"/>
      <c r="AD77" s="1394"/>
      <c r="AE77" s="1396"/>
      <c r="AF77" s="1392"/>
      <c r="AG77" s="1394"/>
      <c r="AH77" s="1396"/>
      <c r="AI77" s="1398"/>
      <c r="AJ77" s="1400"/>
      <c r="AK77" s="1404"/>
      <c r="AL77" s="1398"/>
      <c r="AM77" s="1400"/>
      <c r="AN77" s="1404"/>
      <c r="AO77" s="1406"/>
      <c r="AP77" s="1408"/>
      <c r="AQ77" s="1410"/>
      <c r="AR77" s="1406"/>
      <c r="AS77" s="1408"/>
      <c r="AT77" s="1410"/>
      <c r="AU77" s="1406"/>
      <c r="AV77" s="1408"/>
      <c r="AW77" s="1410"/>
      <c r="AX77" s="1406"/>
      <c r="AY77" s="1408"/>
      <c r="AZ77" s="1410"/>
      <c r="BA77" s="1406"/>
      <c r="BB77" s="1408"/>
      <c r="BC77" s="1410"/>
      <c r="BD77" s="1406"/>
      <c r="BE77" s="1408"/>
      <c r="BF77" s="1410"/>
      <c r="BG77" s="1406"/>
      <c r="BH77" s="1408"/>
      <c r="BI77" s="1410"/>
      <c r="BT77" s="1535"/>
      <c r="BU77" s="1547"/>
    </row>
    <row r="78" spans="1:73" ht="30" hidden="1" customHeight="1">
      <c r="A78" s="1485"/>
      <c r="B78" s="336"/>
      <c r="C78" s="311" t="s">
        <v>85</v>
      </c>
      <c r="D78" s="422" t="s">
        <v>32</v>
      </c>
      <c r="E78" s="312"/>
      <c r="F78" s="300"/>
      <c r="G78" s="300"/>
      <c r="H78" s="300"/>
      <c r="I78" s="663"/>
      <c r="J78" s="314"/>
      <c r="K78" s="295">
        <f t="shared" si="12"/>
        <v>0</v>
      </c>
      <c r="L78" s="378">
        <f t="shared" si="5"/>
        <v>0</v>
      </c>
      <c r="M78" s="298" t="e">
        <f t="shared" si="6"/>
        <v>#DIV/0!</v>
      </c>
      <c r="N78" s="493"/>
      <c r="O78" s="299" t="e">
        <f t="shared" si="9"/>
        <v>#DIV/0!</v>
      </c>
      <c r="P78" s="35"/>
      <c r="Q78" s="36"/>
      <c r="R78" s="40"/>
      <c r="S78" s="42"/>
      <c r="T78" s="1436"/>
      <c r="U78" s="1436"/>
      <c r="V78" s="1436"/>
      <c r="W78" s="1436"/>
      <c r="X78" s="1436"/>
      <c r="Y78" s="1437"/>
      <c r="Z78" s="1393"/>
      <c r="AA78" s="1395"/>
      <c r="AB78" s="1397"/>
      <c r="AC78" s="1393"/>
      <c r="AD78" s="1395"/>
      <c r="AE78" s="1397"/>
      <c r="AF78" s="1393"/>
      <c r="AG78" s="1395"/>
      <c r="AH78" s="1397"/>
      <c r="AI78" s="1399"/>
      <c r="AJ78" s="1401"/>
      <c r="AK78" s="1405"/>
      <c r="AL78" s="1399"/>
      <c r="AM78" s="1401"/>
      <c r="AN78" s="1405"/>
      <c r="AO78" s="1407"/>
      <c r="AP78" s="1409"/>
      <c r="AQ78" s="1411"/>
      <c r="AR78" s="1407"/>
      <c r="AS78" s="1409"/>
      <c r="AT78" s="1411"/>
      <c r="AU78" s="1407"/>
      <c r="AV78" s="1409"/>
      <c r="AW78" s="1411"/>
      <c r="AX78" s="1407"/>
      <c r="AY78" s="1409"/>
      <c r="AZ78" s="1411"/>
      <c r="BA78" s="1407"/>
      <c r="BB78" s="1409"/>
      <c r="BC78" s="1411"/>
      <c r="BD78" s="1407"/>
      <c r="BE78" s="1409"/>
      <c r="BF78" s="1411"/>
      <c r="BG78" s="1407"/>
      <c r="BH78" s="1409"/>
      <c r="BI78" s="1411"/>
      <c r="BT78" s="1535"/>
      <c r="BU78" s="1547"/>
    </row>
    <row r="79" spans="1:73" ht="30" hidden="1" customHeight="1">
      <c r="A79" s="1485"/>
      <c r="B79" s="336"/>
      <c r="C79" s="293" t="s">
        <v>65</v>
      </c>
      <c r="D79" s="422" t="s">
        <v>109</v>
      </c>
      <c r="E79" s="312"/>
      <c r="F79" s="300"/>
      <c r="G79" s="300"/>
      <c r="H79" s="300"/>
      <c r="I79" s="663"/>
      <c r="J79" s="314"/>
      <c r="K79" s="295">
        <f t="shared" si="12"/>
        <v>0</v>
      </c>
      <c r="L79" s="378">
        <f t="shared" ref="L79:L142" si="13">((H79*E79)/3600)</f>
        <v>0</v>
      </c>
      <c r="M79" s="298" t="e">
        <f t="shared" si="6"/>
        <v>#DIV/0!</v>
      </c>
      <c r="N79" s="493"/>
      <c r="O79" s="299" t="e">
        <f t="shared" si="9"/>
        <v>#DIV/0!</v>
      </c>
      <c r="P79" s="35"/>
      <c r="Q79" s="36"/>
      <c r="R79" s="40"/>
      <c r="S79" s="40"/>
      <c r="T79" s="39"/>
      <c r="U79" s="39"/>
      <c r="V79" s="39"/>
      <c r="W79" s="39"/>
      <c r="X79" s="39"/>
      <c r="Y79" s="40"/>
      <c r="Z79" s="504"/>
      <c r="AA79" s="505"/>
      <c r="AB79" s="544"/>
      <c r="AC79" s="504"/>
      <c r="AD79" s="505"/>
      <c r="AE79" s="544"/>
      <c r="AF79" s="504"/>
      <c r="AG79" s="505"/>
      <c r="AH79" s="544"/>
      <c r="AI79" s="531"/>
      <c r="AJ79" s="533"/>
      <c r="AK79" s="535"/>
      <c r="AL79" s="531"/>
      <c r="AM79" s="533"/>
      <c r="AN79" s="535"/>
      <c r="AO79" s="537"/>
      <c r="AP79" s="539"/>
      <c r="AQ79" s="541"/>
      <c r="AR79" s="537"/>
      <c r="AS79" s="539"/>
      <c r="AT79" s="541"/>
      <c r="AU79" s="537"/>
      <c r="AV79" s="539"/>
      <c r="AW79" s="541"/>
      <c r="AX79" s="537"/>
      <c r="AY79" s="539"/>
      <c r="AZ79" s="541"/>
      <c r="BA79" s="537"/>
      <c r="BB79" s="539"/>
      <c r="BC79" s="541"/>
      <c r="BD79" s="537"/>
      <c r="BE79" s="539"/>
      <c r="BF79" s="541"/>
      <c r="BG79" s="537"/>
      <c r="BH79" s="539"/>
      <c r="BI79" s="541"/>
      <c r="BT79" s="1535"/>
      <c r="BU79" s="1547"/>
    </row>
    <row r="80" spans="1:73" ht="30" hidden="1" customHeight="1">
      <c r="A80" s="1485"/>
      <c r="B80" s="336"/>
      <c r="C80" s="293" t="s">
        <v>66</v>
      </c>
      <c r="D80" s="422" t="s">
        <v>20</v>
      </c>
      <c r="E80" s="312"/>
      <c r="F80" s="300"/>
      <c r="G80" s="300"/>
      <c r="H80" s="300"/>
      <c r="I80" s="663"/>
      <c r="J80" s="314"/>
      <c r="K80" s="295">
        <f t="shared" si="12"/>
        <v>0</v>
      </c>
      <c r="L80" s="378">
        <f t="shared" si="13"/>
        <v>0</v>
      </c>
      <c r="M80" s="298" t="e">
        <f t="shared" si="6"/>
        <v>#DIV/0!</v>
      </c>
      <c r="N80" s="493"/>
      <c r="O80" s="299" t="e">
        <f t="shared" si="9"/>
        <v>#DIV/0!</v>
      </c>
      <c r="P80" s="35"/>
      <c r="Q80" s="36"/>
      <c r="R80" s="40"/>
      <c r="S80" s="40"/>
      <c r="T80" s="39"/>
      <c r="U80" s="39"/>
      <c r="V80" s="39"/>
      <c r="W80" s="39"/>
      <c r="X80" s="39"/>
      <c r="Y80" s="40"/>
      <c r="Z80" s="504"/>
      <c r="AA80" s="505"/>
      <c r="AB80" s="544"/>
      <c r="AC80" s="504"/>
      <c r="AD80" s="505"/>
      <c r="AE80" s="544"/>
      <c r="AF80" s="504"/>
      <c r="AG80" s="505"/>
      <c r="AH80" s="544"/>
      <c r="AI80" s="531"/>
      <c r="AJ80" s="533"/>
      <c r="AK80" s="535"/>
      <c r="AL80" s="531"/>
      <c r="AM80" s="533"/>
      <c r="AN80" s="535"/>
      <c r="AO80" s="537"/>
      <c r="AP80" s="539"/>
      <c r="AQ80" s="541"/>
      <c r="AR80" s="537"/>
      <c r="AS80" s="539"/>
      <c r="AT80" s="541"/>
      <c r="AU80" s="537"/>
      <c r="AV80" s="539"/>
      <c r="AW80" s="541"/>
      <c r="AX80" s="537"/>
      <c r="AY80" s="539"/>
      <c r="AZ80" s="541"/>
      <c r="BA80" s="537"/>
      <c r="BB80" s="539"/>
      <c r="BC80" s="541"/>
      <c r="BD80" s="537"/>
      <c r="BE80" s="539"/>
      <c r="BF80" s="541"/>
      <c r="BG80" s="537"/>
      <c r="BH80" s="539"/>
      <c r="BI80" s="541"/>
      <c r="BT80" s="1535"/>
      <c r="BU80" s="1547"/>
    </row>
    <row r="81" spans="1:73" ht="34.5" customHeight="1" thickBot="1">
      <c r="A81" s="1485"/>
      <c r="B81" s="1488" t="s">
        <v>397</v>
      </c>
      <c r="C81" s="311" t="s">
        <v>389</v>
      </c>
      <c r="D81" s="422" t="s">
        <v>298</v>
      </c>
      <c r="E81" s="295">
        <v>57.7</v>
      </c>
      <c r="F81" s="295">
        <f t="shared" ref="F81:F97" si="14">3600/E81</f>
        <v>62.391681109185441</v>
      </c>
      <c r="G81" s="300"/>
      <c r="H81" s="294">
        <v>0</v>
      </c>
      <c r="I81" s="480">
        <v>0</v>
      </c>
      <c r="J81" s="1490">
        <v>720</v>
      </c>
      <c r="K81" s="295">
        <v>1</v>
      </c>
      <c r="L81" s="378">
        <f t="shared" si="13"/>
        <v>0</v>
      </c>
      <c r="M81" s="298" t="e">
        <f t="shared" si="6"/>
        <v>#DIV/0!</v>
      </c>
      <c r="N81" s="493" t="e">
        <f>2.5*M81</f>
        <v>#DIV/0!</v>
      </c>
      <c r="O81" s="299" t="e">
        <f>+$O$5+M81</f>
        <v>#DIV/0!</v>
      </c>
      <c r="P81" s="57"/>
      <c r="Q81" s="58"/>
      <c r="R81" s="59"/>
      <c r="S81" s="59"/>
      <c r="T81" s="66"/>
      <c r="U81" s="66"/>
      <c r="V81" s="66"/>
      <c r="W81" s="66"/>
      <c r="X81" s="66"/>
      <c r="Y81" s="59"/>
      <c r="Z81" s="556"/>
      <c r="AA81" s="555"/>
      <c r="AB81" s="551"/>
      <c r="AC81" s="549"/>
      <c r="AD81" s="550"/>
      <c r="AE81" s="551"/>
      <c r="AF81" s="549"/>
      <c r="AG81" s="555"/>
      <c r="AH81" s="551"/>
      <c r="AI81" s="549"/>
      <c r="AJ81" s="550"/>
      <c r="AK81" s="551"/>
      <c r="AL81" s="89"/>
      <c r="AM81" s="510"/>
      <c r="AN81" s="90"/>
      <c r="AO81" s="91"/>
      <c r="AP81" s="548"/>
      <c r="AQ81" s="92"/>
      <c r="AR81" s="552"/>
      <c r="AS81" s="554"/>
      <c r="AT81" s="553"/>
      <c r="AU81" s="552"/>
      <c r="AV81" s="554"/>
      <c r="AW81" s="553"/>
      <c r="AX81" s="552"/>
      <c r="AY81" s="554"/>
      <c r="AZ81" s="553"/>
      <c r="BA81" s="552"/>
      <c r="BB81" s="554"/>
      <c r="BC81" s="553"/>
      <c r="BD81" s="552"/>
      <c r="BE81" s="554"/>
      <c r="BF81" s="553"/>
      <c r="BG81" s="552"/>
      <c r="BH81" s="554"/>
      <c r="BI81" s="553"/>
      <c r="BT81" s="1535"/>
      <c r="BU81" s="1547"/>
    </row>
    <row r="82" spans="1:73" ht="42" customHeight="1" thickBot="1">
      <c r="A82" s="1485"/>
      <c r="B82" s="1489"/>
      <c r="C82" s="293" t="s">
        <v>388</v>
      </c>
      <c r="D82" s="427" t="s">
        <v>295</v>
      </c>
      <c r="E82" s="294">
        <v>57.7</v>
      </c>
      <c r="F82" s="295">
        <f t="shared" si="14"/>
        <v>62.391681109185441</v>
      </c>
      <c r="G82" s="300"/>
      <c r="H82" s="294">
        <v>450</v>
      </c>
      <c r="I82" s="480">
        <v>0</v>
      </c>
      <c r="J82" s="1490"/>
      <c r="K82" s="295">
        <v>1</v>
      </c>
      <c r="L82" s="378">
        <f t="shared" si="13"/>
        <v>7.2125000000000004</v>
      </c>
      <c r="M82" s="298">
        <f t="shared" si="6"/>
        <v>0</v>
      </c>
      <c r="N82" s="493">
        <f>2.5*M82</f>
        <v>0</v>
      </c>
      <c r="O82" s="299">
        <f>+$O$5+M82</f>
        <v>41578</v>
      </c>
      <c r="P82" s="57"/>
      <c r="Q82" s="58"/>
      <c r="R82" s="59"/>
      <c r="S82" s="59"/>
      <c r="T82" s="66"/>
      <c r="U82" s="66"/>
      <c r="V82" s="66"/>
      <c r="W82" s="66"/>
      <c r="X82" s="66"/>
      <c r="Y82" s="59"/>
      <c r="Z82" s="556"/>
      <c r="AA82" s="555"/>
      <c r="AB82" s="551"/>
      <c r="AC82" s="549"/>
      <c r="AD82" s="550"/>
      <c r="AE82" s="551"/>
      <c r="AF82" s="549"/>
      <c r="AG82" s="555"/>
      <c r="AH82" s="551"/>
      <c r="AI82" s="549"/>
      <c r="AJ82" s="550"/>
      <c r="AK82" s="551"/>
      <c r="AL82" s="89"/>
      <c r="AM82" s="510"/>
      <c r="AN82" s="90"/>
      <c r="AO82" s="91"/>
      <c r="AP82" s="548"/>
      <c r="AQ82" s="92"/>
      <c r="AR82" s="552"/>
      <c r="AS82" s="554"/>
      <c r="AT82" s="553"/>
      <c r="AU82" s="552"/>
      <c r="AV82" s="554"/>
      <c r="AW82" s="553"/>
      <c r="AX82" s="552"/>
      <c r="AY82" s="554"/>
      <c r="AZ82" s="553"/>
      <c r="BA82" s="552"/>
      <c r="BB82" s="554"/>
      <c r="BC82" s="553"/>
      <c r="BD82" s="552"/>
      <c r="BE82" s="554"/>
      <c r="BF82" s="553"/>
      <c r="BG82" s="552"/>
      <c r="BH82" s="554"/>
      <c r="BI82" s="553"/>
      <c r="BT82" s="1535"/>
      <c r="BU82" s="1547"/>
    </row>
    <row r="83" spans="1:73" ht="35.25" customHeight="1" thickBot="1">
      <c r="A83" s="1485"/>
      <c r="B83" s="1489"/>
      <c r="C83" s="325" t="s">
        <v>390</v>
      </c>
      <c r="D83" s="428" t="s">
        <v>299</v>
      </c>
      <c r="E83" s="338">
        <v>57.7</v>
      </c>
      <c r="F83" s="339">
        <f t="shared" si="14"/>
        <v>62.391681109185441</v>
      </c>
      <c r="G83" s="326"/>
      <c r="H83" s="294">
        <v>0</v>
      </c>
      <c r="I83" s="483">
        <v>0</v>
      </c>
      <c r="J83" s="1491"/>
      <c r="K83" s="339">
        <v>1</v>
      </c>
      <c r="L83" s="378">
        <f t="shared" si="13"/>
        <v>0</v>
      </c>
      <c r="M83" s="330" t="e">
        <f t="shared" si="6"/>
        <v>#DIV/0!</v>
      </c>
      <c r="N83" s="493" t="e">
        <f>2.5*M83</f>
        <v>#DIV/0!</v>
      </c>
      <c r="O83" s="341" t="e">
        <f>+$O$5+M83</f>
        <v>#DIV/0!</v>
      </c>
      <c r="P83" s="57"/>
      <c r="Q83" s="58"/>
      <c r="R83" s="59"/>
      <c r="S83" s="59"/>
      <c r="T83" s="66"/>
      <c r="U83" s="66"/>
      <c r="V83" s="66"/>
      <c r="W83" s="66"/>
      <c r="X83" s="66"/>
      <c r="Y83" s="59"/>
      <c r="Z83" s="556"/>
      <c r="AA83" s="555"/>
      <c r="AB83" s="551"/>
      <c r="AC83" s="549"/>
      <c r="AD83" s="550"/>
      <c r="AE83" s="551"/>
      <c r="AF83" s="549"/>
      <c r="AG83" s="555"/>
      <c r="AH83" s="551"/>
      <c r="AI83" s="549"/>
      <c r="AJ83" s="550"/>
      <c r="AK83" s="551"/>
      <c r="AL83" s="89"/>
      <c r="AM83" s="510"/>
      <c r="AN83" s="90"/>
      <c r="AO83" s="91"/>
      <c r="AP83" s="548"/>
      <c r="AQ83" s="92"/>
      <c r="AR83" s="552"/>
      <c r="AS83" s="554"/>
      <c r="AT83" s="553"/>
      <c r="AU83" s="552"/>
      <c r="AV83" s="554"/>
      <c r="AW83" s="553"/>
      <c r="AX83" s="552"/>
      <c r="AY83" s="554"/>
      <c r="AZ83" s="553"/>
      <c r="BA83" s="552"/>
      <c r="BB83" s="554"/>
      <c r="BC83" s="553"/>
      <c r="BD83" s="552"/>
      <c r="BE83" s="554"/>
      <c r="BF83" s="553"/>
      <c r="BG83" s="552"/>
      <c r="BH83" s="554"/>
      <c r="BI83" s="553"/>
      <c r="BT83" s="1535"/>
      <c r="BU83" s="1547"/>
    </row>
    <row r="84" spans="1:73" ht="35.25" customHeight="1" thickBot="1">
      <c r="A84" s="1486"/>
      <c r="B84" s="342" t="s">
        <v>398</v>
      </c>
      <c r="C84" s="303" t="s">
        <v>386</v>
      </c>
      <c r="D84" s="423" t="s">
        <v>293</v>
      </c>
      <c r="E84" s="333">
        <v>34.5</v>
      </c>
      <c r="F84" s="333">
        <f t="shared" si="14"/>
        <v>104.34782608695652</v>
      </c>
      <c r="G84" s="304"/>
      <c r="H84" s="295">
        <f>BY16</f>
        <v>450</v>
      </c>
      <c r="I84" s="481">
        <v>0</v>
      </c>
      <c r="J84" s="307">
        <v>1800</v>
      </c>
      <c r="K84" s="305">
        <v>1</v>
      </c>
      <c r="L84" s="378">
        <f t="shared" si="13"/>
        <v>4.3125</v>
      </c>
      <c r="M84" s="308">
        <f t="shared" si="6"/>
        <v>0</v>
      </c>
      <c r="N84" s="493">
        <f>2.5*M84</f>
        <v>0</v>
      </c>
      <c r="O84" s="309">
        <f t="shared" si="9"/>
        <v>41578</v>
      </c>
      <c r="P84" s="57"/>
      <c r="Q84" s="58"/>
      <c r="R84" s="59"/>
      <c r="S84" s="59"/>
      <c r="T84" s="66"/>
      <c r="U84" s="66"/>
      <c r="V84" s="66"/>
      <c r="W84" s="66"/>
      <c r="X84" s="66"/>
      <c r="Y84" s="59"/>
      <c r="Z84" s="556"/>
      <c r="AA84" s="555"/>
      <c r="AB84" s="551"/>
      <c r="AC84" s="549"/>
      <c r="AD84" s="550"/>
      <c r="AE84" s="551"/>
      <c r="AF84" s="549"/>
      <c r="AG84" s="555"/>
      <c r="AH84" s="551"/>
      <c r="AI84" s="549"/>
      <c r="AJ84" s="550"/>
      <c r="AK84" s="551"/>
      <c r="AL84" s="89"/>
      <c r="AM84" s="510"/>
      <c r="AN84" s="90"/>
      <c r="AO84" s="91"/>
      <c r="AP84" s="548"/>
      <c r="AQ84" s="92"/>
      <c r="AR84" s="552"/>
      <c r="AS84" s="554"/>
      <c r="AT84" s="553"/>
      <c r="AU84" s="552"/>
      <c r="AV84" s="554"/>
      <c r="AW84" s="553"/>
      <c r="AX84" s="552"/>
      <c r="AY84" s="554"/>
      <c r="AZ84" s="553"/>
      <c r="BA84" s="552"/>
      <c r="BB84" s="554"/>
      <c r="BC84" s="553"/>
      <c r="BD84" s="552"/>
      <c r="BE84" s="554"/>
      <c r="BF84" s="553"/>
      <c r="BG84" s="552"/>
      <c r="BH84" s="554"/>
      <c r="BI84" s="553"/>
      <c r="BT84" s="1536"/>
      <c r="BU84" s="1548"/>
    </row>
    <row r="85" spans="1:73" ht="33" customHeight="1" thickBot="1">
      <c r="A85" s="1492" t="s">
        <v>290</v>
      </c>
      <c r="B85" s="568" t="s">
        <v>331</v>
      </c>
      <c r="C85" s="404" t="s">
        <v>87</v>
      </c>
      <c r="D85" s="429" t="s">
        <v>440</v>
      </c>
      <c r="E85" s="405">
        <v>64.7</v>
      </c>
      <c r="F85" s="406">
        <f t="shared" si="14"/>
        <v>55.641421947449764</v>
      </c>
      <c r="G85" s="406"/>
      <c r="H85" s="382">
        <f>BY17</f>
        <v>300</v>
      </c>
      <c r="I85" s="664">
        <v>0</v>
      </c>
      <c r="J85" s="408">
        <v>770</v>
      </c>
      <c r="K85" s="406">
        <v>1</v>
      </c>
      <c r="L85" s="378">
        <f t="shared" si="13"/>
        <v>5.3916666666666666</v>
      </c>
      <c r="M85" s="409">
        <f t="shared" si="6"/>
        <v>0</v>
      </c>
      <c r="N85" s="498">
        <f>M85*1.5</f>
        <v>0</v>
      </c>
      <c r="O85" s="410">
        <f t="shared" si="9"/>
        <v>41578</v>
      </c>
      <c r="P85" s="47"/>
      <c r="Q85" s="48"/>
      <c r="R85" s="67">
        <v>1</v>
      </c>
      <c r="S85" s="67"/>
      <c r="T85" s="68">
        <v>1</v>
      </c>
      <c r="U85" s="68">
        <v>1</v>
      </c>
      <c r="V85" s="50"/>
      <c r="W85" s="50"/>
      <c r="X85" s="50"/>
      <c r="Y85" s="49"/>
      <c r="Z85" s="569">
        <v>13</v>
      </c>
      <c r="AA85" s="6"/>
      <c r="AB85" s="7"/>
      <c r="AC85" s="5"/>
      <c r="AD85" s="570"/>
      <c r="AE85" s="571"/>
      <c r="AF85" s="569"/>
      <c r="AG85" s="570">
        <v>20</v>
      </c>
      <c r="AH85" s="7"/>
      <c r="AI85" s="5"/>
      <c r="AJ85" s="6"/>
      <c r="AK85" s="7"/>
      <c r="AL85" s="539"/>
      <c r="AM85" s="539"/>
      <c r="AN85" s="539"/>
      <c r="AO85" s="539"/>
      <c r="AP85" s="539"/>
      <c r="AQ85" s="539"/>
      <c r="AR85" s="30"/>
      <c r="AS85" s="31"/>
      <c r="AT85" s="32"/>
      <c r="AU85" s="30"/>
      <c r="AV85" s="31"/>
      <c r="AW85" s="32"/>
      <c r="AX85" s="30"/>
      <c r="AY85" s="31"/>
      <c r="AZ85" s="32"/>
      <c r="BA85" s="30"/>
      <c r="BB85" s="31"/>
      <c r="BC85" s="32"/>
      <c r="BD85" s="30"/>
      <c r="BE85" s="31"/>
      <c r="BF85" s="32"/>
      <c r="BG85" s="30"/>
      <c r="BH85" s="31"/>
      <c r="BI85" s="32"/>
      <c r="BT85" s="1534">
        <v>3</v>
      </c>
      <c r="BU85" s="1546">
        <f>L85+L86+L98+L99+L100+BT85</f>
        <v>20.766666666666666</v>
      </c>
    </row>
    <row r="86" spans="1:73" ht="36" customHeight="1" thickBot="1">
      <c r="A86" s="1492"/>
      <c r="B86" s="567" t="s">
        <v>333</v>
      </c>
      <c r="C86" s="380" t="s">
        <v>89</v>
      </c>
      <c r="D86" s="419" t="s">
        <v>424</v>
      </c>
      <c r="E86" s="382">
        <v>67.5</v>
      </c>
      <c r="F86" s="382">
        <f t="shared" si="14"/>
        <v>53.333333333333336</v>
      </c>
      <c r="G86" s="382">
        <v>1</v>
      </c>
      <c r="H86" s="382">
        <f>BY18</f>
        <v>200</v>
      </c>
      <c r="I86" s="480">
        <v>0</v>
      </c>
      <c r="J86" s="408">
        <v>700</v>
      </c>
      <c r="K86" s="382">
        <v>1</v>
      </c>
      <c r="L86" s="378">
        <f t="shared" si="13"/>
        <v>3.75</v>
      </c>
      <c r="M86" s="385">
        <f t="shared" si="6"/>
        <v>0</v>
      </c>
      <c r="N86" s="498">
        <f>M86*1.5</f>
        <v>0</v>
      </c>
      <c r="O86" s="386">
        <f t="shared" si="9"/>
        <v>41578</v>
      </c>
      <c r="P86" s="35"/>
      <c r="Q86" s="36"/>
      <c r="R86" s="40"/>
      <c r="S86" s="40"/>
      <c r="T86" s="39"/>
      <c r="U86" s="39"/>
      <c r="V86" s="64">
        <v>1</v>
      </c>
      <c r="W86" s="64">
        <v>1</v>
      </c>
      <c r="X86" s="39"/>
      <c r="Y86" s="40"/>
      <c r="Z86" s="504"/>
      <c r="AA86" s="505"/>
      <c r="AB86" s="544"/>
      <c r="AC86" s="504"/>
      <c r="AD86" s="505"/>
      <c r="AE86" s="544"/>
      <c r="AF86" s="504"/>
      <c r="AG86" s="505"/>
      <c r="AH86" s="544"/>
      <c r="AI86" s="531"/>
      <c r="AJ86" s="533"/>
      <c r="AK86" s="535">
        <v>3</v>
      </c>
      <c r="AL86" s="539"/>
      <c r="AM86" s="539"/>
      <c r="AN86" s="539"/>
      <c r="AO86" s="539"/>
      <c r="AP86" s="539"/>
      <c r="AQ86" s="539"/>
      <c r="AR86" s="537"/>
      <c r="AS86" s="539"/>
      <c r="AT86" s="541"/>
      <c r="AU86" s="537"/>
      <c r="AV86" s="539"/>
      <c r="AW86" s="541"/>
      <c r="AX86" s="537"/>
      <c r="AY86" s="539"/>
      <c r="AZ86" s="541"/>
      <c r="BA86" s="537"/>
      <c r="BB86" s="539"/>
      <c r="BC86" s="541"/>
      <c r="BD86" s="537"/>
      <c r="BE86" s="539"/>
      <c r="BF86" s="541"/>
      <c r="BG86" s="537"/>
      <c r="BH86" s="539"/>
      <c r="BI86" s="541"/>
      <c r="BT86" s="1535"/>
      <c r="BU86" s="1547"/>
    </row>
    <row r="87" spans="1:73" ht="55.5" hidden="1" customHeight="1">
      <c r="A87" s="1492"/>
      <c r="B87" s="567"/>
      <c r="C87" s="397" t="s">
        <v>86</v>
      </c>
      <c r="D87" s="419" t="s">
        <v>111</v>
      </c>
      <c r="E87" s="399"/>
      <c r="F87" s="382" t="e">
        <f t="shared" si="14"/>
        <v>#DIV/0!</v>
      </c>
      <c r="G87" s="387"/>
      <c r="H87" s="387"/>
      <c r="I87" s="480"/>
      <c r="J87" s="401"/>
      <c r="K87" s="382">
        <f t="shared" ref="K87:K97" si="15">I87-H87</f>
        <v>0</v>
      </c>
      <c r="L87" s="378">
        <f t="shared" si="13"/>
        <v>0</v>
      </c>
      <c r="M87" s="385" t="e">
        <f t="shared" si="6"/>
        <v>#DIV/0!</v>
      </c>
      <c r="N87" s="490"/>
      <c r="O87" s="386" t="e">
        <f t="shared" si="9"/>
        <v>#DIV/0!</v>
      </c>
      <c r="P87" s="35"/>
      <c r="Q87" s="36"/>
      <c r="R87" s="40"/>
      <c r="S87" s="40"/>
      <c r="T87" s="39"/>
      <c r="U87" s="39"/>
      <c r="V87" s="64"/>
      <c r="W87" s="64"/>
      <c r="X87" s="39"/>
      <c r="Y87" s="40"/>
      <c r="Z87" s="504"/>
      <c r="AA87" s="505"/>
      <c r="AB87" s="544"/>
      <c r="AC87" s="504"/>
      <c r="AD87" s="505"/>
      <c r="AE87" s="544" t="s">
        <v>174</v>
      </c>
      <c r="AF87" s="527"/>
      <c r="AG87" s="505"/>
      <c r="AH87" s="544"/>
      <c r="AI87" s="531"/>
      <c r="AJ87" s="533"/>
      <c r="AK87" s="535"/>
      <c r="AL87" s="539"/>
      <c r="AM87" s="539"/>
      <c r="AN87" s="539"/>
      <c r="AO87" s="539"/>
      <c r="AP87" s="539"/>
      <c r="AQ87" s="539"/>
      <c r="AR87" s="537"/>
      <c r="AS87" s="539"/>
      <c r="AT87" s="541"/>
      <c r="AU87" s="537"/>
      <c r="AV87" s="539"/>
      <c r="AW87" s="541"/>
      <c r="AX87" s="537"/>
      <c r="AY87" s="539"/>
      <c r="AZ87" s="541"/>
      <c r="BA87" s="537"/>
      <c r="BB87" s="539"/>
      <c r="BC87" s="541"/>
      <c r="BD87" s="537"/>
      <c r="BE87" s="539"/>
      <c r="BF87" s="541"/>
      <c r="BG87" s="537"/>
      <c r="BH87" s="539"/>
      <c r="BI87" s="541"/>
      <c r="BT87" s="1535"/>
      <c r="BU87" s="1547"/>
    </row>
    <row r="88" spans="1:73" ht="30" hidden="1" customHeight="1">
      <c r="A88" s="1492"/>
      <c r="B88" s="567"/>
      <c r="C88" s="398" t="s">
        <v>92</v>
      </c>
      <c r="D88" s="419" t="s">
        <v>35</v>
      </c>
      <c r="E88" s="399"/>
      <c r="F88" s="382" t="e">
        <f t="shared" si="14"/>
        <v>#DIV/0!</v>
      </c>
      <c r="G88" s="387"/>
      <c r="H88" s="387"/>
      <c r="I88" s="480"/>
      <c r="J88" s="401"/>
      <c r="K88" s="382">
        <f t="shared" si="15"/>
        <v>0</v>
      </c>
      <c r="L88" s="378">
        <f t="shared" si="13"/>
        <v>0</v>
      </c>
      <c r="M88" s="385" t="e">
        <f t="shared" si="6"/>
        <v>#DIV/0!</v>
      </c>
      <c r="N88" s="490"/>
      <c r="O88" s="386" t="e">
        <f t="shared" si="9"/>
        <v>#DIV/0!</v>
      </c>
      <c r="P88" s="35"/>
      <c r="Q88" s="36"/>
      <c r="R88" s="40"/>
      <c r="S88" s="40"/>
      <c r="T88" s="39"/>
      <c r="U88" s="39"/>
      <c r="V88" s="64"/>
      <c r="W88" s="64"/>
      <c r="X88" s="39"/>
      <c r="Y88" s="40"/>
      <c r="Z88" s="1392"/>
      <c r="AA88" s="1394"/>
      <c r="AB88" s="1396"/>
      <c r="AC88" s="1392"/>
      <c r="AD88" s="1394"/>
      <c r="AE88" s="1396"/>
      <c r="AF88" s="1392"/>
      <c r="AG88" s="1394"/>
      <c r="AH88" s="1396"/>
      <c r="AI88" s="1398"/>
      <c r="AJ88" s="1400"/>
      <c r="AK88" s="1404"/>
      <c r="AL88" s="539"/>
      <c r="AM88" s="539"/>
      <c r="AN88" s="539"/>
      <c r="AO88" s="539"/>
      <c r="AP88" s="539"/>
      <c r="AQ88" s="539"/>
      <c r="AR88" s="1406"/>
      <c r="AS88" s="1408"/>
      <c r="AT88" s="1410"/>
      <c r="AU88" s="1406"/>
      <c r="AV88" s="1408"/>
      <c r="AW88" s="1410"/>
      <c r="AX88" s="1406"/>
      <c r="AY88" s="1408"/>
      <c r="AZ88" s="1410"/>
      <c r="BA88" s="1406"/>
      <c r="BB88" s="1408"/>
      <c r="BC88" s="1410"/>
      <c r="BD88" s="1406"/>
      <c r="BE88" s="1408"/>
      <c r="BF88" s="1410"/>
      <c r="BG88" s="1406"/>
      <c r="BH88" s="1408"/>
      <c r="BI88" s="1410"/>
      <c r="BT88" s="1535"/>
      <c r="BU88" s="1547"/>
    </row>
    <row r="89" spans="1:73" ht="30" hidden="1" customHeight="1">
      <c r="A89" s="1492"/>
      <c r="B89" s="567"/>
      <c r="C89" s="398" t="s">
        <v>94</v>
      </c>
      <c r="D89" s="419" t="s">
        <v>37</v>
      </c>
      <c r="E89" s="399"/>
      <c r="F89" s="382" t="e">
        <f t="shared" si="14"/>
        <v>#DIV/0!</v>
      </c>
      <c r="G89" s="387"/>
      <c r="H89" s="387"/>
      <c r="I89" s="480"/>
      <c r="J89" s="401"/>
      <c r="K89" s="382">
        <f t="shared" si="15"/>
        <v>0</v>
      </c>
      <c r="L89" s="378">
        <f t="shared" si="13"/>
        <v>0</v>
      </c>
      <c r="M89" s="385" t="e">
        <f t="shared" si="6"/>
        <v>#DIV/0!</v>
      </c>
      <c r="N89" s="490"/>
      <c r="O89" s="386" t="e">
        <f t="shared" si="9"/>
        <v>#DIV/0!</v>
      </c>
      <c r="P89" s="35"/>
      <c r="Q89" s="36"/>
      <c r="R89" s="40"/>
      <c r="S89" s="40"/>
      <c r="T89" s="39"/>
      <c r="U89" s="39"/>
      <c r="V89" s="64"/>
      <c r="W89" s="64"/>
      <c r="X89" s="39"/>
      <c r="Y89" s="40"/>
      <c r="Z89" s="1393"/>
      <c r="AA89" s="1395"/>
      <c r="AB89" s="1397"/>
      <c r="AC89" s="1393"/>
      <c r="AD89" s="1395"/>
      <c r="AE89" s="1397"/>
      <c r="AF89" s="1393"/>
      <c r="AG89" s="1395"/>
      <c r="AH89" s="1397"/>
      <c r="AI89" s="1399"/>
      <c r="AJ89" s="1401"/>
      <c r="AK89" s="1405"/>
      <c r="AL89" s="539"/>
      <c r="AM89" s="539"/>
      <c r="AN89" s="539"/>
      <c r="AO89" s="539"/>
      <c r="AP89" s="539"/>
      <c r="AQ89" s="539"/>
      <c r="AR89" s="1407"/>
      <c r="AS89" s="1409"/>
      <c r="AT89" s="1411"/>
      <c r="AU89" s="1407"/>
      <c r="AV89" s="1409"/>
      <c r="AW89" s="1411"/>
      <c r="AX89" s="1407"/>
      <c r="AY89" s="1409"/>
      <c r="AZ89" s="1411"/>
      <c r="BA89" s="1407"/>
      <c r="BB89" s="1409"/>
      <c r="BC89" s="1411"/>
      <c r="BD89" s="1407"/>
      <c r="BE89" s="1409"/>
      <c r="BF89" s="1411"/>
      <c r="BG89" s="1407"/>
      <c r="BH89" s="1409"/>
      <c r="BI89" s="1411"/>
      <c r="BT89" s="1535"/>
      <c r="BU89" s="1547"/>
    </row>
    <row r="90" spans="1:73" ht="30" hidden="1" customHeight="1">
      <c r="A90" s="1492"/>
      <c r="B90" s="567"/>
      <c r="C90" s="398" t="s">
        <v>93</v>
      </c>
      <c r="D90" s="419" t="s">
        <v>36</v>
      </c>
      <c r="E90" s="399"/>
      <c r="F90" s="382" t="e">
        <f t="shared" si="14"/>
        <v>#DIV/0!</v>
      </c>
      <c r="G90" s="387"/>
      <c r="H90" s="387"/>
      <c r="I90" s="480"/>
      <c r="J90" s="401"/>
      <c r="K90" s="382">
        <f t="shared" si="15"/>
        <v>0</v>
      </c>
      <c r="L90" s="378">
        <f t="shared" si="13"/>
        <v>0</v>
      </c>
      <c r="M90" s="385" t="e">
        <f t="shared" si="6"/>
        <v>#DIV/0!</v>
      </c>
      <c r="N90" s="490"/>
      <c r="O90" s="386" t="e">
        <f t="shared" si="9"/>
        <v>#DIV/0!</v>
      </c>
      <c r="P90" s="35"/>
      <c r="Q90" s="36"/>
      <c r="R90" s="40"/>
      <c r="S90" s="40"/>
      <c r="T90" s="39"/>
      <c r="U90" s="39"/>
      <c r="V90" s="64"/>
      <c r="W90" s="64"/>
      <c r="X90" s="39"/>
      <c r="Y90" s="40"/>
      <c r="Z90" s="527">
        <v>6</v>
      </c>
      <c r="AA90" s="505"/>
      <c r="AB90" s="544"/>
      <c r="AC90" s="504"/>
      <c r="AD90" s="505"/>
      <c r="AE90" s="544"/>
      <c r="AF90" s="504"/>
      <c r="AG90" s="505"/>
      <c r="AH90" s="544"/>
      <c r="AI90" s="531"/>
      <c r="AJ90" s="533"/>
      <c r="AK90" s="535"/>
      <c r="AL90" s="539"/>
      <c r="AM90" s="539"/>
      <c r="AN90" s="539"/>
      <c r="AO90" s="539"/>
      <c r="AP90" s="539"/>
      <c r="AQ90" s="539"/>
      <c r="AR90" s="537"/>
      <c r="AS90" s="539"/>
      <c r="AT90" s="541"/>
      <c r="AU90" s="537"/>
      <c r="AV90" s="539"/>
      <c r="AW90" s="541"/>
      <c r="AX90" s="537"/>
      <c r="AY90" s="539"/>
      <c r="AZ90" s="541"/>
      <c r="BA90" s="537"/>
      <c r="BB90" s="539"/>
      <c r="BC90" s="541"/>
      <c r="BD90" s="537"/>
      <c r="BE90" s="539"/>
      <c r="BF90" s="541"/>
      <c r="BG90" s="537"/>
      <c r="BH90" s="539"/>
      <c r="BI90" s="541"/>
      <c r="BT90" s="1535"/>
      <c r="BU90" s="1547"/>
    </row>
    <row r="91" spans="1:73" ht="30" hidden="1" customHeight="1">
      <c r="A91" s="1492"/>
      <c r="B91" s="567"/>
      <c r="C91" s="398" t="s">
        <v>95</v>
      </c>
      <c r="D91" s="419" t="s">
        <v>38</v>
      </c>
      <c r="E91" s="399"/>
      <c r="F91" s="382" t="e">
        <f t="shared" si="14"/>
        <v>#DIV/0!</v>
      </c>
      <c r="G91" s="387"/>
      <c r="H91" s="387"/>
      <c r="I91" s="480"/>
      <c r="J91" s="401"/>
      <c r="K91" s="382">
        <f t="shared" si="15"/>
        <v>0</v>
      </c>
      <c r="L91" s="378">
        <f t="shared" si="13"/>
        <v>0</v>
      </c>
      <c r="M91" s="385" t="e">
        <f t="shared" si="6"/>
        <v>#DIV/0!</v>
      </c>
      <c r="N91" s="490"/>
      <c r="O91" s="386" t="e">
        <f t="shared" si="9"/>
        <v>#DIV/0!</v>
      </c>
      <c r="P91" s="35"/>
      <c r="Q91" s="36"/>
      <c r="R91" s="40"/>
      <c r="S91" s="40"/>
      <c r="T91" s="39"/>
      <c r="U91" s="39"/>
      <c r="V91" s="64"/>
      <c r="W91" s="64"/>
      <c r="X91" s="39"/>
      <c r="Y91" s="40"/>
      <c r="Z91" s="1392"/>
      <c r="AA91" s="1394"/>
      <c r="AB91" s="1396"/>
      <c r="AC91" s="1392"/>
      <c r="AD91" s="1394"/>
      <c r="AE91" s="1396"/>
      <c r="AF91" s="1392"/>
      <c r="AG91" s="1394"/>
      <c r="AH91" s="1396"/>
      <c r="AI91" s="1398"/>
      <c r="AJ91" s="1400"/>
      <c r="AK91" s="1404"/>
      <c r="AL91" s="539"/>
      <c r="AM91" s="539"/>
      <c r="AN91" s="539"/>
      <c r="AO91" s="539"/>
      <c r="AP91" s="539"/>
      <c r="AQ91" s="539"/>
      <c r="AR91" s="1406"/>
      <c r="AS91" s="1408"/>
      <c r="AT91" s="1410"/>
      <c r="AU91" s="1406"/>
      <c r="AV91" s="1408"/>
      <c r="AW91" s="1410"/>
      <c r="AX91" s="1406"/>
      <c r="AY91" s="1408"/>
      <c r="AZ91" s="1410"/>
      <c r="BA91" s="1406"/>
      <c r="BB91" s="1408"/>
      <c r="BC91" s="1410"/>
      <c r="BD91" s="1406"/>
      <c r="BE91" s="1408"/>
      <c r="BF91" s="1410"/>
      <c r="BG91" s="1406"/>
      <c r="BH91" s="1408"/>
      <c r="BI91" s="1410"/>
      <c r="BT91" s="1535"/>
      <c r="BU91" s="1547"/>
    </row>
    <row r="92" spans="1:73" ht="30" hidden="1" customHeight="1">
      <c r="A92" s="1492"/>
      <c r="B92" s="567"/>
      <c r="C92" s="398" t="s">
        <v>97</v>
      </c>
      <c r="D92" s="419" t="s">
        <v>40</v>
      </c>
      <c r="E92" s="399"/>
      <c r="F92" s="382" t="e">
        <f t="shared" si="14"/>
        <v>#DIV/0!</v>
      </c>
      <c r="G92" s="387"/>
      <c r="H92" s="387"/>
      <c r="I92" s="480"/>
      <c r="J92" s="401"/>
      <c r="K92" s="382">
        <f t="shared" si="15"/>
        <v>0</v>
      </c>
      <c r="L92" s="378">
        <f t="shared" si="13"/>
        <v>0</v>
      </c>
      <c r="M92" s="385" t="e">
        <f t="shared" si="6"/>
        <v>#DIV/0!</v>
      </c>
      <c r="N92" s="490"/>
      <c r="O92" s="386" t="e">
        <f t="shared" si="9"/>
        <v>#DIV/0!</v>
      </c>
      <c r="P92" s="35"/>
      <c r="Q92" s="36"/>
      <c r="R92" s="40"/>
      <c r="S92" s="40"/>
      <c r="T92" s="39"/>
      <c r="U92" s="39"/>
      <c r="V92" s="64"/>
      <c r="W92" s="64"/>
      <c r="X92" s="39"/>
      <c r="Y92" s="40"/>
      <c r="Z92" s="1393"/>
      <c r="AA92" s="1395"/>
      <c r="AB92" s="1397"/>
      <c r="AC92" s="1393"/>
      <c r="AD92" s="1395"/>
      <c r="AE92" s="1397"/>
      <c r="AF92" s="1393"/>
      <c r="AG92" s="1395"/>
      <c r="AH92" s="1397"/>
      <c r="AI92" s="1399"/>
      <c r="AJ92" s="1401"/>
      <c r="AK92" s="1405"/>
      <c r="AL92" s="539"/>
      <c r="AM92" s="539"/>
      <c r="AN92" s="539"/>
      <c r="AO92" s="539"/>
      <c r="AP92" s="539"/>
      <c r="AQ92" s="539"/>
      <c r="AR92" s="1407"/>
      <c r="AS92" s="1409"/>
      <c r="AT92" s="1411"/>
      <c r="AU92" s="1407"/>
      <c r="AV92" s="1409"/>
      <c r="AW92" s="1411"/>
      <c r="AX92" s="1407"/>
      <c r="AY92" s="1409"/>
      <c r="AZ92" s="1411"/>
      <c r="BA92" s="1407"/>
      <c r="BB92" s="1409"/>
      <c r="BC92" s="1411"/>
      <c r="BD92" s="1407"/>
      <c r="BE92" s="1409"/>
      <c r="BF92" s="1411"/>
      <c r="BG92" s="1407"/>
      <c r="BH92" s="1409"/>
      <c r="BI92" s="1411"/>
      <c r="BT92" s="1535"/>
      <c r="BU92" s="1547"/>
    </row>
    <row r="93" spans="1:73" ht="30" hidden="1" customHeight="1">
      <c r="A93" s="1492"/>
      <c r="B93" s="567"/>
      <c r="C93" s="398" t="s">
        <v>96</v>
      </c>
      <c r="D93" s="419" t="s">
        <v>39</v>
      </c>
      <c r="E93" s="399"/>
      <c r="F93" s="382" t="e">
        <f t="shared" si="14"/>
        <v>#DIV/0!</v>
      </c>
      <c r="G93" s="387"/>
      <c r="H93" s="387"/>
      <c r="I93" s="480"/>
      <c r="J93" s="401"/>
      <c r="K93" s="382">
        <f t="shared" si="15"/>
        <v>0</v>
      </c>
      <c r="L93" s="378">
        <f t="shared" si="13"/>
        <v>0</v>
      </c>
      <c r="M93" s="385" t="e">
        <f t="shared" si="6"/>
        <v>#DIV/0!</v>
      </c>
      <c r="N93" s="490"/>
      <c r="O93" s="386" t="e">
        <f t="shared" si="9"/>
        <v>#DIV/0!</v>
      </c>
      <c r="P93" s="35"/>
      <c r="Q93" s="36"/>
      <c r="R93" s="40"/>
      <c r="S93" s="40"/>
      <c r="T93" s="39"/>
      <c r="U93" s="39"/>
      <c r="V93" s="64"/>
      <c r="W93" s="64"/>
      <c r="X93" s="39"/>
      <c r="Y93" s="40"/>
      <c r="Z93" s="504"/>
      <c r="AA93" s="505"/>
      <c r="AB93" s="544"/>
      <c r="AC93" s="504"/>
      <c r="AD93" s="505"/>
      <c r="AE93" s="544"/>
      <c r="AF93" s="504"/>
      <c r="AG93" s="505"/>
      <c r="AH93" s="544"/>
      <c r="AI93" s="531"/>
      <c r="AJ93" s="533"/>
      <c r="AK93" s="535"/>
      <c r="AL93" s="539"/>
      <c r="AM93" s="539"/>
      <c r="AN93" s="539"/>
      <c r="AO93" s="539"/>
      <c r="AP93" s="539"/>
      <c r="AQ93" s="539"/>
      <c r="AR93" s="537"/>
      <c r="AS93" s="539"/>
      <c r="AT93" s="541"/>
      <c r="AU93" s="537"/>
      <c r="AV93" s="539"/>
      <c r="AW93" s="541"/>
      <c r="AX93" s="537"/>
      <c r="AY93" s="539"/>
      <c r="AZ93" s="541"/>
      <c r="BA93" s="537"/>
      <c r="BB93" s="539"/>
      <c r="BC93" s="541"/>
      <c r="BD93" s="537"/>
      <c r="BE93" s="539"/>
      <c r="BF93" s="541"/>
      <c r="BG93" s="537"/>
      <c r="BH93" s="539"/>
      <c r="BI93" s="541"/>
      <c r="BT93" s="1535"/>
      <c r="BU93" s="1547"/>
    </row>
    <row r="94" spans="1:73" ht="30" hidden="1" customHeight="1">
      <c r="A94" s="1492"/>
      <c r="B94" s="567"/>
      <c r="C94" s="397" t="s">
        <v>98</v>
      </c>
      <c r="D94" s="419" t="s">
        <v>41</v>
      </c>
      <c r="E94" s="399"/>
      <c r="F94" s="382" t="e">
        <f t="shared" si="14"/>
        <v>#DIV/0!</v>
      </c>
      <c r="G94" s="387"/>
      <c r="H94" s="387"/>
      <c r="I94" s="480"/>
      <c r="J94" s="401"/>
      <c r="K94" s="382">
        <f t="shared" si="15"/>
        <v>0</v>
      </c>
      <c r="L94" s="378">
        <f t="shared" si="13"/>
        <v>0</v>
      </c>
      <c r="M94" s="385" t="e">
        <f t="shared" si="6"/>
        <v>#DIV/0!</v>
      </c>
      <c r="N94" s="490"/>
      <c r="O94" s="386" t="e">
        <f t="shared" si="9"/>
        <v>#DIV/0!</v>
      </c>
      <c r="P94" s="35"/>
      <c r="Q94" s="36"/>
      <c r="R94" s="40"/>
      <c r="S94" s="40"/>
      <c r="T94" s="39"/>
      <c r="U94" s="39"/>
      <c r="V94" s="64"/>
      <c r="W94" s="64"/>
      <c r="X94" s="39"/>
      <c r="Y94" s="40"/>
      <c r="Z94" s="504"/>
      <c r="AA94" s="505"/>
      <c r="AB94" s="544"/>
      <c r="AC94" s="504"/>
      <c r="AD94" s="505"/>
      <c r="AE94" s="544"/>
      <c r="AF94" s="504"/>
      <c r="AG94" s="505"/>
      <c r="AH94" s="544"/>
      <c r="AI94" s="531"/>
      <c r="AJ94" s="533"/>
      <c r="AK94" s="535"/>
      <c r="AL94" s="539"/>
      <c r="AM94" s="539"/>
      <c r="AN94" s="539"/>
      <c r="AO94" s="539"/>
      <c r="AP94" s="539"/>
      <c r="AQ94" s="539"/>
      <c r="AR94" s="537"/>
      <c r="AS94" s="539"/>
      <c r="AT94" s="541"/>
      <c r="AU94" s="537"/>
      <c r="AV94" s="539"/>
      <c r="AW94" s="541"/>
      <c r="AX94" s="537"/>
      <c r="AY94" s="539"/>
      <c r="AZ94" s="541"/>
      <c r="BA94" s="537"/>
      <c r="BB94" s="539"/>
      <c r="BC94" s="541"/>
      <c r="BD94" s="537"/>
      <c r="BE94" s="539"/>
      <c r="BF94" s="541"/>
      <c r="BG94" s="537"/>
      <c r="BH94" s="539"/>
      <c r="BI94" s="541"/>
      <c r="BT94" s="1535"/>
      <c r="BU94" s="1547"/>
    </row>
    <row r="95" spans="1:73" ht="30" hidden="1" customHeight="1">
      <c r="A95" s="1492"/>
      <c r="B95" s="567"/>
      <c r="C95" s="397" t="s">
        <v>99</v>
      </c>
      <c r="D95" s="419" t="s">
        <v>42</v>
      </c>
      <c r="E95" s="399"/>
      <c r="F95" s="382" t="e">
        <f t="shared" si="14"/>
        <v>#DIV/0!</v>
      </c>
      <c r="G95" s="387"/>
      <c r="H95" s="387"/>
      <c r="I95" s="480"/>
      <c r="J95" s="401"/>
      <c r="K95" s="382">
        <f t="shared" si="15"/>
        <v>0</v>
      </c>
      <c r="L95" s="378">
        <f t="shared" si="13"/>
        <v>0</v>
      </c>
      <c r="M95" s="385" t="e">
        <f t="shared" si="6"/>
        <v>#DIV/0!</v>
      </c>
      <c r="N95" s="490"/>
      <c r="O95" s="386" t="e">
        <f t="shared" si="9"/>
        <v>#DIV/0!</v>
      </c>
      <c r="P95" s="35"/>
      <c r="Q95" s="36"/>
      <c r="R95" s="40"/>
      <c r="S95" s="40"/>
      <c r="T95" s="39"/>
      <c r="U95" s="39"/>
      <c r="V95" s="64"/>
      <c r="W95" s="64"/>
      <c r="X95" s="39"/>
      <c r="Y95" s="40"/>
      <c r="Z95" s="504"/>
      <c r="AA95" s="505"/>
      <c r="AB95" s="544"/>
      <c r="AC95" s="504"/>
      <c r="AD95" s="505"/>
      <c r="AE95" s="544"/>
      <c r="AF95" s="504"/>
      <c r="AG95" s="505"/>
      <c r="AH95" s="544"/>
      <c r="AI95" s="531"/>
      <c r="AJ95" s="533"/>
      <c r="AK95" s="535"/>
      <c r="AL95" s="539"/>
      <c r="AM95" s="539"/>
      <c r="AN95" s="539"/>
      <c r="AO95" s="539"/>
      <c r="AP95" s="539"/>
      <c r="AQ95" s="539"/>
      <c r="AR95" s="537"/>
      <c r="AS95" s="539"/>
      <c r="AT95" s="541"/>
      <c r="AU95" s="537"/>
      <c r="AV95" s="539"/>
      <c r="AW95" s="541"/>
      <c r="AX95" s="537"/>
      <c r="AY95" s="539"/>
      <c r="AZ95" s="541"/>
      <c r="BA95" s="537"/>
      <c r="BB95" s="539"/>
      <c r="BC95" s="541"/>
      <c r="BD95" s="537"/>
      <c r="BE95" s="539"/>
      <c r="BF95" s="541"/>
      <c r="BG95" s="537"/>
      <c r="BH95" s="539"/>
      <c r="BI95" s="541"/>
      <c r="BT95" s="1535"/>
      <c r="BU95" s="1547"/>
    </row>
    <row r="96" spans="1:73" ht="30" hidden="1" customHeight="1">
      <c r="A96" s="1492"/>
      <c r="B96" s="567"/>
      <c r="C96" s="397" t="s">
        <v>100</v>
      </c>
      <c r="D96" s="419" t="s">
        <v>43</v>
      </c>
      <c r="E96" s="399"/>
      <c r="F96" s="382" t="e">
        <f t="shared" si="14"/>
        <v>#DIV/0!</v>
      </c>
      <c r="G96" s="387"/>
      <c r="H96" s="387"/>
      <c r="I96" s="480"/>
      <c r="J96" s="401"/>
      <c r="K96" s="382">
        <f t="shared" si="15"/>
        <v>0</v>
      </c>
      <c r="L96" s="378">
        <f t="shared" si="13"/>
        <v>0</v>
      </c>
      <c r="M96" s="385" t="e">
        <f t="shared" si="6"/>
        <v>#DIV/0!</v>
      </c>
      <c r="N96" s="490"/>
      <c r="O96" s="386" t="e">
        <f t="shared" si="9"/>
        <v>#DIV/0!</v>
      </c>
      <c r="P96" s="35"/>
      <c r="Q96" s="36"/>
      <c r="R96" s="40"/>
      <c r="S96" s="40"/>
      <c r="T96" s="39"/>
      <c r="U96" s="39"/>
      <c r="V96" s="64"/>
      <c r="W96" s="64"/>
      <c r="X96" s="39"/>
      <c r="Y96" s="40"/>
      <c r="Z96" s="504"/>
      <c r="AA96" s="505"/>
      <c r="AB96" s="544"/>
      <c r="AC96" s="504"/>
      <c r="AD96" s="505"/>
      <c r="AE96" s="544"/>
      <c r="AF96" s="504"/>
      <c r="AG96" s="505"/>
      <c r="AH96" s="544"/>
      <c r="AI96" s="531"/>
      <c r="AJ96" s="533"/>
      <c r="AK96" s="535"/>
      <c r="AL96" s="539"/>
      <c r="AM96" s="539"/>
      <c r="AN96" s="539"/>
      <c r="AO96" s="539"/>
      <c r="AP96" s="539"/>
      <c r="AQ96" s="539"/>
      <c r="AR96" s="537"/>
      <c r="AS96" s="539"/>
      <c r="AT96" s="541"/>
      <c r="AU96" s="537"/>
      <c r="AV96" s="539"/>
      <c r="AW96" s="541"/>
      <c r="AX96" s="537"/>
      <c r="AY96" s="539"/>
      <c r="AZ96" s="541"/>
      <c r="BA96" s="537"/>
      <c r="BB96" s="539"/>
      <c r="BC96" s="541"/>
      <c r="BD96" s="537"/>
      <c r="BE96" s="539"/>
      <c r="BF96" s="541"/>
      <c r="BG96" s="537"/>
      <c r="BH96" s="539"/>
      <c r="BI96" s="541"/>
      <c r="BT96" s="1535"/>
      <c r="BU96" s="1547"/>
    </row>
    <row r="97" spans="1:73" ht="30.75" hidden="1" customHeight="1" thickBot="1">
      <c r="A97" s="1492"/>
      <c r="B97" s="567"/>
      <c r="C97" s="397" t="s">
        <v>101</v>
      </c>
      <c r="D97" s="419" t="s">
        <v>44</v>
      </c>
      <c r="E97" s="399"/>
      <c r="F97" s="382" t="e">
        <f t="shared" si="14"/>
        <v>#DIV/0!</v>
      </c>
      <c r="G97" s="387"/>
      <c r="H97" s="387"/>
      <c r="I97" s="480"/>
      <c r="J97" s="401"/>
      <c r="K97" s="382">
        <f t="shared" si="15"/>
        <v>0</v>
      </c>
      <c r="L97" s="378">
        <f t="shared" si="13"/>
        <v>0</v>
      </c>
      <c r="M97" s="385" t="e">
        <f t="shared" si="6"/>
        <v>#DIV/0!</v>
      </c>
      <c r="N97" s="490"/>
      <c r="O97" s="386" t="e">
        <f t="shared" si="9"/>
        <v>#DIV/0!</v>
      </c>
      <c r="P97" s="43"/>
      <c r="Q97" s="44"/>
      <c r="R97" s="45"/>
      <c r="S97" s="45"/>
      <c r="T97" s="46"/>
      <c r="U97" s="46"/>
      <c r="V97" s="69"/>
      <c r="W97" s="69"/>
      <c r="X97" s="46"/>
      <c r="Y97" s="45"/>
      <c r="Z97" s="524"/>
      <c r="AA97" s="10"/>
      <c r="AB97" s="9"/>
      <c r="AC97" s="524"/>
      <c r="AD97" s="10"/>
      <c r="AE97" s="9"/>
      <c r="AF97" s="524"/>
      <c r="AG97" s="10"/>
      <c r="AH97" s="9"/>
      <c r="AI97" s="532"/>
      <c r="AJ97" s="534"/>
      <c r="AK97" s="536"/>
      <c r="AL97" s="539"/>
      <c r="AM97" s="539"/>
      <c r="AN97" s="539"/>
      <c r="AO97" s="539"/>
      <c r="AP97" s="539"/>
      <c r="AQ97" s="539"/>
      <c r="AR97" s="538"/>
      <c r="AS97" s="540"/>
      <c r="AT97" s="542"/>
      <c r="AU97" s="538"/>
      <c r="AV97" s="540"/>
      <c r="AW97" s="542"/>
      <c r="AX97" s="538"/>
      <c r="AY97" s="540"/>
      <c r="AZ97" s="542"/>
      <c r="BA97" s="538"/>
      <c r="BB97" s="540"/>
      <c r="BC97" s="542"/>
      <c r="BD97" s="538"/>
      <c r="BE97" s="540"/>
      <c r="BF97" s="542"/>
      <c r="BG97" s="538"/>
      <c r="BH97" s="540"/>
      <c r="BI97" s="542"/>
      <c r="BT97" s="1535"/>
      <c r="BU97" s="1547"/>
    </row>
    <row r="98" spans="1:73" ht="41.25" customHeight="1" thickBot="1">
      <c r="A98" s="1492"/>
      <c r="B98" s="1526" t="s">
        <v>399</v>
      </c>
      <c r="C98" s="412" t="s">
        <v>383</v>
      </c>
      <c r="D98" s="430" t="s">
        <v>297</v>
      </c>
      <c r="E98" s="382">
        <f>68.86</f>
        <v>68.86</v>
      </c>
      <c r="F98" s="382">
        <v>50</v>
      </c>
      <c r="G98" s="413"/>
      <c r="H98" s="382">
        <v>0</v>
      </c>
      <c r="I98" s="480">
        <v>0</v>
      </c>
      <c r="J98" s="1529">
        <v>917</v>
      </c>
      <c r="K98" s="382">
        <v>1</v>
      </c>
      <c r="L98" s="378">
        <f t="shared" si="13"/>
        <v>0</v>
      </c>
      <c r="M98" s="385" t="e">
        <f t="shared" si="6"/>
        <v>#DIV/0!</v>
      </c>
      <c r="N98" s="490" t="e">
        <f>M98*2.5</f>
        <v>#DIV/0!</v>
      </c>
      <c r="O98" s="386" t="e">
        <f t="shared" si="9"/>
        <v>#DIV/0!</v>
      </c>
      <c r="P98" s="57"/>
      <c r="Q98" s="58"/>
      <c r="R98" s="59"/>
      <c r="S98" s="59"/>
      <c r="T98" s="66"/>
      <c r="U98" s="66"/>
      <c r="V98" s="96"/>
      <c r="W98" s="96"/>
      <c r="X98" s="66"/>
      <c r="Y98" s="59"/>
      <c r="Z98" s="549"/>
      <c r="AA98" s="550"/>
      <c r="AB98" s="551"/>
      <c r="AC98" s="549"/>
      <c r="AD98" s="550"/>
      <c r="AE98" s="551"/>
      <c r="AF98" s="549"/>
      <c r="AG98" s="550"/>
      <c r="AH98" s="551"/>
      <c r="AI98" s="557"/>
      <c r="AJ98" s="558"/>
      <c r="AK98" s="559"/>
      <c r="AL98" s="97"/>
      <c r="AM98" s="521"/>
      <c r="AN98" s="98"/>
      <c r="AO98" s="97"/>
      <c r="AP98" s="521"/>
      <c r="AQ98" s="98"/>
      <c r="AR98" s="560"/>
      <c r="AS98" s="561"/>
      <c r="AT98" s="562"/>
      <c r="AU98" s="560"/>
      <c r="AV98" s="561"/>
      <c r="AW98" s="562"/>
      <c r="AX98" s="560"/>
      <c r="AY98" s="561"/>
      <c r="AZ98" s="562"/>
      <c r="BA98" s="560"/>
      <c r="BB98" s="561"/>
      <c r="BC98" s="562"/>
      <c r="BD98" s="560"/>
      <c r="BE98" s="561"/>
      <c r="BF98" s="562"/>
      <c r="BG98" s="560"/>
      <c r="BH98" s="561"/>
      <c r="BI98" s="562"/>
      <c r="BT98" s="1535"/>
      <c r="BU98" s="1547"/>
    </row>
    <row r="99" spans="1:73" ht="41.25" customHeight="1" thickBot="1">
      <c r="A99" s="1492"/>
      <c r="B99" s="1527"/>
      <c r="C99" s="412" t="s">
        <v>382</v>
      </c>
      <c r="D99" s="430" t="s">
        <v>294</v>
      </c>
      <c r="E99" s="382">
        <v>69</v>
      </c>
      <c r="F99" s="382">
        <v>50</v>
      </c>
      <c r="G99" s="413"/>
      <c r="H99" s="382">
        <v>450</v>
      </c>
      <c r="I99" s="480">
        <v>0</v>
      </c>
      <c r="J99" s="1529"/>
      <c r="K99" s="382">
        <v>1</v>
      </c>
      <c r="L99" s="378">
        <f t="shared" si="13"/>
        <v>8.625</v>
      </c>
      <c r="M99" s="385" t="e">
        <f>I98/H98</f>
        <v>#DIV/0!</v>
      </c>
      <c r="N99" s="490" t="e">
        <f>M99*2.5</f>
        <v>#DIV/0!</v>
      </c>
      <c r="O99" s="386" t="e">
        <f t="shared" si="9"/>
        <v>#DIV/0!</v>
      </c>
      <c r="P99" s="57"/>
      <c r="Q99" s="58"/>
      <c r="R99" s="59"/>
      <c r="S99" s="59"/>
      <c r="T99" s="66"/>
      <c r="U99" s="66"/>
      <c r="V99" s="96"/>
      <c r="W99" s="96"/>
      <c r="X99" s="66"/>
      <c r="Y99" s="59"/>
      <c r="Z99" s="549"/>
      <c r="AA99" s="550"/>
      <c r="AB99" s="551"/>
      <c r="AC99" s="549"/>
      <c r="AD99" s="550"/>
      <c r="AE99" s="551"/>
      <c r="AF99" s="549"/>
      <c r="AG99" s="550"/>
      <c r="AH99" s="551"/>
      <c r="AI99" s="557"/>
      <c r="AJ99" s="558"/>
      <c r="AK99" s="559"/>
      <c r="AL99" s="97"/>
      <c r="AM99" s="521"/>
      <c r="AN99" s="98"/>
      <c r="AO99" s="97"/>
      <c r="AP99" s="521"/>
      <c r="AQ99" s="98"/>
      <c r="AR99" s="560"/>
      <c r="AS99" s="561"/>
      <c r="AT99" s="562"/>
      <c r="AU99" s="560"/>
      <c r="AV99" s="561"/>
      <c r="AW99" s="562"/>
      <c r="AX99" s="560"/>
      <c r="AY99" s="561"/>
      <c r="AZ99" s="562"/>
      <c r="BA99" s="560"/>
      <c r="BB99" s="561"/>
      <c r="BC99" s="562"/>
      <c r="BD99" s="560"/>
      <c r="BE99" s="561"/>
      <c r="BF99" s="562"/>
      <c r="BG99" s="560"/>
      <c r="BH99" s="561"/>
      <c r="BI99" s="562"/>
      <c r="BT99" s="1535"/>
      <c r="BU99" s="1547"/>
    </row>
    <row r="100" spans="1:73" ht="42" customHeight="1" thickBot="1">
      <c r="A100" s="1493"/>
      <c r="B100" s="1528"/>
      <c r="C100" s="414" t="s">
        <v>384</v>
      </c>
      <c r="D100" s="431" t="s">
        <v>296</v>
      </c>
      <c r="E100" s="391">
        <v>69</v>
      </c>
      <c r="F100" s="391">
        <f>3600/E100</f>
        <v>52.173913043478258</v>
      </c>
      <c r="G100" s="415"/>
      <c r="H100" s="382">
        <v>0</v>
      </c>
      <c r="I100" s="481">
        <v>0</v>
      </c>
      <c r="J100" s="1530"/>
      <c r="K100" s="391">
        <v>1</v>
      </c>
      <c r="L100" s="378">
        <f t="shared" si="13"/>
        <v>0</v>
      </c>
      <c r="M100" s="385" t="e">
        <f>I100/H98</f>
        <v>#DIV/0!</v>
      </c>
      <c r="N100" s="490" t="e">
        <f>M100*2.5</f>
        <v>#DIV/0!</v>
      </c>
      <c r="O100" s="395" t="e">
        <f t="shared" si="9"/>
        <v>#DIV/0!</v>
      </c>
      <c r="P100" s="57"/>
      <c r="Q100" s="58"/>
      <c r="R100" s="59"/>
      <c r="S100" s="59"/>
      <c r="T100" s="66"/>
      <c r="U100" s="66"/>
      <c r="V100" s="96"/>
      <c r="W100" s="96"/>
      <c r="X100" s="66"/>
      <c r="Y100" s="59"/>
      <c r="Z100" s="549"/>
      <c r="AA100" s="550"/>
      <c r="AB100" s="551"/>
      <c r="AC100" s="549"/>
      <c r="AD100" s="550"/>
      <c r="AE100" s="551"/>
      <c r="AF100" s="549"/>
      <c r="AG100" s="550"/>
      <c r="AH100" s="551"/>
      <c r="AI100" s="557"/>
      <c r="AJ100" s="558"/>
      <c r="AK100" s="559"/>
      <c r="AL100" s="97"/>
      <c r="AM100" s="521"/>
      <c r="AN100" s="98"/>
      <c r="AO100" s="97"/>
      <c r="AP100" s="521"/>
      <c r="AQ100" s="98"/>
      <c r="AR100" s="560"/>
      <c r="AS100" s="561"/>
      <c r="AT100" s="562"/>
      <c r="AU100" s="560"/>
      <c r="AV100" s="561"/>
      <c r="AW100" s="562"/>
      <c r="AX100" s="560"/>
      <c r="AY100" s="561"/>
      <c r="AZ100" s="562"/>
      <c r="BA100" s="560"/>
      <c r="BB100" s="561"/>
      <c r="BC100" s="562"/>
      <c r="BD100" s="560"/>
      <c r="BE100" s="561"/>
      <c r="BF100" s="562"/>
      <c r="BG100" s="560"/>
      <c r="BH100" s="561"/>
      <c r="BI100" s="562"/>
      <c r="BT100" s="1535"/>
      <c r="BU100" s="1548"/>
    </row>
    <row r="101" spans="1:73" ht="30.75" hidden="1" customHeight="1" thickBot="1">
      <c r="A101" s="442" t="s">
        <v>105</v>
      </c>
      <c r="B101" s="345" t="s">
        <v>324</v>
      </c>
      <c r="C101" s="346" t="s">
        <v>77</v>
      </c>
      <c r="D101" s="432" t="s">
        <v>26</v>
      </c>
      <c r="E101" s="347">
        <v>47</v>
      </c>
      <c r="F101" s="347">
        <f t="shared" ref="F101:F119" si="16">3600/E101</f>
        <v>76.59574468085107</v>
      </c>
      <c r="G101" s="348">
        <v>1</v>
      </c>
      <c r="H101" s="295">
        <v>144</v>
      </c>
      <c r="I101" s="668">
        <v>450</v>
      </c>
      <c r="J101" s="349" t="s">
        <v>252</v>
      </c>
      <c r="K101" s="348">
        <f>I101-H101</f>
        <v>306</v>
      </c>
      <c r="L101" s="378">
        <f t="shared" si="13"/>
        <v>1.88</v>
      </c>
      <c r="M101" s="350">
        <f t="shared" ref="M101:M164" si="17">I101/H101</f>
        <v>3.125</v>
      </c>
      <c r="N101" s="499"/>
      <c r="O101" s="351">
        <f t="shared" si="9"/>
        <v>41581.125</v>
      </c>
      <c r="P101" s="35"/>
      <c r="Q101" s="36"/>
      <c r="R101" s="37">
        <v>1</v>
      </c>
      <c r="S101" s="37"/>
      <c r="T101" s="64">
        <v>1</v>
      </c>
      <c r="U101" s="39"/>
      <c r="V101" s="39"/>
      <c r="W101" s="39"/>
      <c r="X101" s="39"/>
      <c r="Y101" s="40"/>
      <c r="Z101" s="504"/>
      <c r="AA101" s="505"/>
      <c r="AB101" s="544"/>
      <c r="AC101" s="504"/>
      <c r="AD101" s="505"/>
      <c r="AE101" s="544"/>
      <c r="AF101" s="504"/>
      <c r="AG101" s="505"/>
      <c r="AH101" s="544"/>
      <c r="AI101" s="504"/>
      <c r="AJ101" s="505"/>
      <c r="AK101" s="544"/>
      <c r="AL101" s="504"/>
      <c r="AM101" s="505"/>
      <c r="AN101" s="544"/>
      <c r="AO101" s="545"/>
      <c r="AP101" s="546"/>
      <c r="AQ101" s="547"/>
      <c r="AR101" s="545"/>
      <c r="AS101" s="546"/>
      <c r="AT101" s="547"/>
      <c r="AU101" s="545"/>
      <c r="AV101" s="546"/>
      <c r="AW101" s="547"/>
      <c r="AX101" s="545"/>
      <c r="AY101" s="546"/>
      <c r="AZ101" s="547"/>
      <c r="BA101" s="545"/>
      <c r="BB101" s="546"/>
      <c r="BC101" s="547"/>
      <c r="BD101" s="545"/>
      <c r="BE101" s="546"/>
      <c r="BF101" s="547"/>
      <c r="BG101" s="545"/>
      <c r="BH101" s="546"/>
      <c r="BI101" s="547"/>
      <c r="BT101" s="864"/>
      <c r="BU101" s="864"/>
    </row>
    <row r="102" spans="1:73" ht="27" customHeight="1" thickBot="1">
      <c r="A102" s="1484" t="s">
        <v>394</v>
      </c>
      <c r="B102" s="334" t="s">
        <v>395</v>
      </c>
      <c r="C102" s="352" t="s">
        <v>385</v>
      </c>
      <c r="D102" s="421" t="s">
        <v>291</v>
      </c>
      <c r="E102" s="288">
        <v>72.5</v>
      </c>
      <c r="F102" s="288">
        <f>3600/E102</f>
        <v>49.655172413793103</v>
      </c>
      <c r="G102" s="332"/>
      <c r="H102" s="295">
        <f>BY16</f>
        <v>450</v>
      </c>
      <c r="I102" s="662">
        <v>0</v>
      </c>
      <c r="J102" s="290">
        <v>1053</v>
      </c>
      <c r="K102" s="288">
        <v>1</v>
      </c>
      <c r="L102" s="378">
        <f t="shared" si="13"/>
        <v>9.0625</v>
      </c>
      <c r="M102" s="291">
        <f t="shared" si="17"/>
        <v>0</v>
      </c>
      <c r="N102" s="492">
        <f>M102*2.5</f>
        <v>0</v>
      </c>
      <c r="O102" s="292">
        <f>+$O$5+M102</f>
        <v>41578</v>
      </c>
      <c r="P102" s="35"/>
      <c r="Q102" s="36"/>
      <c r="R102" s="37"/>
      <c r="S102" s="37"/>
      <c r="T102" s="64"/>
      <c r="U102" s="39"/>
      <c r="V102" s="39"/>
      <c r="W102" s="39"/>
      <c r="X102" s="39"/>
      <c r="Y102" s="40"/>
      <c r="Z102" s="504"/>
      <c r="AA102" s="505"/>
      <c r="AB102" s="544"/>
      <c r="AC102" s="504"/>
      <c r="AD102" s="505"/>
      <c r="AE102" s="544"/>
      <c r="AF102" s="504"/>
      <c r="AG102" s="505"/>
      <c r="AH102" s="544"/>
      <c r="AI102" s="504"/>
      <c r="AJ102" s="505"/>
      <c r="AK102" s="544"/>
      <c r="AL102" s="504"/>
      <c r="AM102" s="505"/>
      <c r="AN102" s="544"/>
      <c r="AO102" s="545"/>
      <c r="AP102" s="546"/>
      <c r="AQ102" s="547"/>
      <c r="AR102" s="545"/>
      <c r="AS102" s="546"/>
      <c r="AT102" s="547"/>
      <c r="AU102" s="545"/>
      <c r="AV102" s="546"/>
      <c r="AW102" s="547"/>
      <c r="AX102" s="545"/>
      <c r="AY102" s="546"/>
      <c r="AZ102" s="547"/>
      <c r="BA102" s="545"/>
      <c r="BB102" s="546"/>
      <c r="BC102" s="547"/>
      <c r="BD102" s="545"/>
      <c r="BE102" s="546"/>
      <c r="BF102" s="547"/>
      <c r="BG102" s="545"/>
      <c r="BH102" s="546"/>
      <c r="BI102" s="547"/>
      <c r="BT102" s="1534">
        <v>2</v>
      </c>
      <c r="BU102" s="1546">
        <f>L102+L103+BT102</f>
        <v>18.5625</v>
      </c>
    </row>
    <row r="103" spans="1:73" ht="34.5" customHeight="1" thickBot="1">
      <c r="A103" s="1486"/>
      <c r="B103" s="720" t="s">
        <v>396</v>
      </c>
      <c r="C103" s="744" t="s">
        <v>387</v>
      </c>
      <c r="D103" s="425" t="s">
        <v>292</v>
      </c>
      <c r="E103" s="339">
        <v>60</v>
      </c>
      <c r="F103" s="339">
        <f>3600/E103</f>
        <v>60</v>
      </c>
      <c r="G103" s="745"/>
      <c r="H103" s="339">
        <f>BY16</f>
        <v>450</v>
      </c>
      <c r="I103" s="483">
        <v>0</v>
      </c>
      <c r="J103" s="340">
        <v>880</v>
      </c>
      <c r="K103" s="339">
        <v>1</v>
      </c>
      <c r="L103" s="378">
        <f t="shared" si="13"/>
        <v>7.5</v>
      </c>
      <c r="M103" s="330">
        <f t="shared" si="17"/>
        <v>0</v>
      </c>
      <c r="N103" s="499">
        <f>M103*2.5</f>
        <v>0</v>
      </c>
      <c r="O103" s="341">
        <f>+$O$5+M103</f>
        <v>41578</v>
      </c>
      <c r="P103" s="746"/>
      <c r="Q103" s="747"/>
      <c r="R103" s="61"/>
      <c r="S103" s="61"/>
      <c r="T103" s="748"/>
      <c r="U103" s="60"/>
      <c r="V103" s="60"/>
      <c r="W103" s="60"/>
      <c r="X103" s="60"/>
      <c r="Y103" s="41"/>
      <c r="Z103" s="702"/>
      <c r="AA103" s="704"/>
      <c r="AB103" s="700"/>
      <c r="AC103" s="702"/>
      <c r="AD103" s="704"/>
      <c r="AE103" s="700"/>
      <c r="AF103" s="702"/>
      <c r="AG103" s="704"/>
      <c r="AH103" s="700"/>
      <c r="AI103" s="702"/>
      <c r="AJ103" s="704"/>
      <c r="AK103" s="700"/>
      <c r="AL103" s="702"/>
      <c r="AM103" s="704"/>
      <c r="AN103" s="700"/>
      <c r="AO103" s="712"/>
      <c r="AP103" s="714"/>
      <c r="AQ103" s="716"/>
      <c r="AR103" s="712"/>
      <c r="AS103" s="714"/>
      <c r="AT103" s="716"/>
      <c r="AU103" s="712"/>
      <c r="AV103" s="714"/>
      <c r="AW103" s="716"/>
      <c r="AX103" s="712"/>
      <c r="AY103" s="714"/>
      <c r="AZ103" s="716"/>
      <c r="BA103" s="712"/>
      <c r="BB103" s="714"/>
      <c r="BC103" s="716"/>
      <c r="BD103" s="712"/>
      <c r="BE103" s="714"/>
      <c r="BF103" s="716"/>
      <c r="BG103" s="712"/>
      <c r="BH103" s="714"/>
      <c r="BI103" s="716"/>
      <c r="BT103" s="1535"/>
      <c r="BU103" s="1547"/>
    </row>
    <row r="104" spans="1:73" ht="36.75" customHeight="1" thickBot="1">
      <c r="A104" s="1494" t="s">
        <v>105</v>
      </c>
      <c r="B104" s="752" t="s">
        <v>324</v>
      </c>
      <c r="C104" s="373" t="s">
        <v>78</v>
      </c>
      <c r="D104" s="417" t="s">
        <v>113</v>
      </c>
      <c r="E104" s="374">
        <v>62</v>
      </c>
      <c r="F104" s="374">
        <f t="shared" si="16"/>
        <v>58.064516129032256</v>
      </c>
      <c r="G104" s="375">
        <v>1</v>
      </c>
      <c r="H104" s="375">
        <f>BY18</f>
        <v>200</v>
      </c>
      <c r="I104" s="662">
        <v>0</v>
      </c>
      <c r="J104" s="377" t="s">
        <v>252</v>
      </c>
      <c r="K104" s="375">
        <v>1</v>
      </c>
      <c r="L104" s="378">
        <f t="shared" si="13"/>
        <v>3.4444444444444446</v>
      </c>
      <c r="M104" s="378">
        <f t="shared" si="17"/>
        <v>0</v>
      </c>
      <c r="N104" s="489">
        <f>M104</f>
        <v>0</v>
      </c>
      <c r="O104" s="379">
        <f t="shared" si="9"/>
        <v>41578</v>
      </c>
      <c r="P104" s="47"/>
      <c r="Q104" s="48"/>
      <c r="R104" s="49"/>
      <c r="S104" s="49"/>
      <c r="T104" s="50"/>
      <c r="U104" s="68">
        <v>1</v>
      </c>
      <c r="V104" s="68">
        <v>1</v>
      </c>
      <c r="W104" s="68">
        <v>1</v>
      </c>
      <c r="X104" s="68">
        <v>1</v>
      </c>
      <c r="Y104" s="67">
        <v>1</v>
      </c>
      <c r="Z104" s="721"/>
      <c r="AA104" s="722"/>
      <c r="AB104" s="723"/>
      <c r="AC104" s="721"/>
      <c r="AD104" s="722"/>
      <c r="AE104" s="723"/>
      <c r="AF104" s="721"/>
      <c r="AG104" s="722"/>
      <c r="AH104" s="723"/>
      <c r="AI104" s="721"/>
      <c r="AJ104" s="722"/>
      <c r="AK104" s="723"/>
      <c r="AL104" s="721"/>
      <c r="AM104" s="722"/>
      <c r="AN104" s="723"/>
      <c r="AO104" s="724"/>
      <c r="AP104" s="725"/>
      <c r="AQ104" s="726"/>
      <c r="AR104" s="724"/>
      <c r="AS104" s="725"/>
      <c r="AT104" s="726"/>
      <c r="AU104" s="724"/>
      <c r="AV104" s="725"/>
      <c r="AW104" s="726"/>
      <c r="AX104" s="724"/>
      <c r="AY104" s="725"/>
      <c r="AZ104" s="726"/>
      <c r="BA104" s="724"/>
      <c r="BB104" s="725"/>
      <c r="BC104" s="726"/>
      <c r="BD104" s="724"/>
      <c r="BE104" s="725"/>
      <c r="BF104" s="726"/>
      <c r="BG104" s="724"/>
      <c r="BH104" s="725"/>
      <c r="BI104" s="726"/>
      <c r="BJ104" s="753"/>
      <c r="BK104" s="753"/>
      <c r="BL104" s="753"/>
      <c r="BM104" s="753"/>
      <c r="BN104" s="753"/>
      <c r="BO104" s="753"/>
      <c r="BP104" s="753"/>
      <c r="BQ104" s="753"/>
      <c r="BR104" s="753"/>
      <c r="BS104" s="753"/>
      <c r="BT104" s="1534">
        <v>2</v>
      </c>
      <c r="BU104" s="1546">
        <f>L104+L105+L106+L108+L112+L113+BT104</f>
        <v>15.173888888888889</v>
      </c>
    </row>
    <row r="105" spans="1:73" ht="42" customHeight="1" thickBot="1">
      <c r="A105" s="1492"/>
      <c r="B105" s="754" t="s">
        <v>325</v>
      </c>
      <c r="C105" s="380" t="s">
        <v>79</v>
      </c>
      <c r="D105" s="418" t="s">
        <v>27</v>
      </c>
      <c r="E105" s="382">
        <v>50.1</v>
      </c>
      <c r="F105" s="382">
        <f t="shared" si="16"/>
        <v>71.856287425149702</v>
      </c>
      <c r="G105" s="382">
        <v>1</v>
      </c>
      <c r="H105" s="382">
        <f>BY18</f>
        <v>200</v>
      </c>
      <c r="I105" s="480">
        <v>0</v>
      </c>
      <c r="J105" s="718">
        <v>800</v>
      </c>
      <c r="K105" s="382">
        <v>1</v>
      </c>
      <c r="L105" s="378">
        <f t="shared" si="13"/>
        <v>2.7833333333333332</v>
      </c>
      <c r="M105" s="385">
        <f t="shared" si="17"/>
        <v>0</v>
      </c>
      <c r="N105" s="490">
        <f>M105*2</f>
        <v>0</v>
      </c>
      <c r="O105" s="386">
        <f t="shared" si="9"/>
        <v>41578</v>
      </c>
      <c r="P105" s="35"/>
      <c r="Q105" s="36"/>
      <c r="R105" s="40"/>
      <c r="S105" s="40"/>
      <c r="T105" s="39"/>
      <c r="U105" s="39"/>
      <c r="V105" s="39"/>
      <c r="W105" s="39"/>
      <c r="X105" s="39"/>
      <c r="Y105" s="40"/>
      <c r="Z105" s="698"/>
      <c r="AA105" s="699">
        <v>17</v>
      </c>
      <c r="AB105" s="706"/>
      <c r="AC105" s="707"/>
      <c r="AD105" s="699"/>
      <c r="AE105" s="708"/>
      <c r="AF105" s="698"/>
      <c r="AG105" s="699"/>
      <c r="AH105" s="708"/>
      <c r="AI105" s="698"/>
      <c r="AJ105" s="699"/>
      <c r="AK105" s="8">
        <v>0</v>
      </c>
      <c r="AL105" s="698"/>
      <c r="AM105" s="699"/>
      <c r="AN105" s="708"/>
      <c r="AO105" s="709"/>
      <c r="AP105" s="710"/>
      <c r="AQ105" s="711"/>
      <c r="AR105" s="709"/>
      <c r="AS105" s="710"/>
      <c r="AT105" s="711"/>
      <c r="AU105" s="709"/>
      <c r="AV105" s="710"/>
      <c r="AW105" s="711"/>
      <c r="AX105" s="709"/>
      <c r="AY105" s="710"/>
      <c r="AZ105" s="711"/>
      <c r="BA105" s="709"/>
      <c r="BB105" s="710"/>
      <c r="BC105" s="711"/>
      <c r="BD105" s="709"/>
      <c r="BE105" s="710"/>
      <c r="BF105" s="711"/>
      <c r="BG105" s="709"/>
      <c r="BH105" s="710"/>
      <c r="BI105" s="711"/>
      <c r="BT105" s="1535"/>
      <c r="BU105" s="1547"/>
    </row>
    <row r="106" spans="1:73" ht="35.25" customHeight="1" thickBot="1">
      <c r="A106" s="1492"/>
      <c r="B106" s="1495" t="s">
        <v>326</v>
      </c>
      <c r="C106" s="380" t="s">
        <v>80</v>
      </c>
      <c r="D106" s="419" t="s">
        <v>425</v>
      </c>
      <c r="E106" s="381">
        <v>51.8</v>
      </c>
      <c r="F106" s="382">
        <f t="shared" si="16"/>
        <v>69.498069498069498</v>
      </c>
      <c r="G106" s="382">
        <v>1</v>
      </c>
      <c r="H106" s="382">
        <v>70</v>
      </c>
      <c r="I106" s="480">
        <v>0</v>
      </c>
      <c r="J106" s="718">
        <v>625</v>
      </c>
      <c r="K106" s="382">
        <v>1</v>
      </c>
      <c r="L106" s="378">
        <f t="shared" si="13"/>
        <v>1.0072222222222222</v>
      </c>
      <c r="M106" s="385">
        <f t="shared" si="17"/>
        <v>0</v>
      </c>
      <c r="N106" s="490">
        <f>M106*2</f>
        <v>0</v>
      </c>
      <c r="O106" s="386">
        <f t="shared" si="9"/>
        <v>41578</v>
      </c>
      <c r="P106" s="35"/>
      <c r="Q106" s="36"/>
      <c r="R106" s="40"/>
      <c r="S106" s="41"/>
      <c r="T106" s="1412"/>
      <c r="U106" s="1412"/>
      <c r="V106" s="1412"/>
      <c r="W106" s="1412"/>
      <c r="X106" s="1412"/>
      <c r="Y106" s="1473"/>
      <c r="Z106" s="1392"/>
      <c r="AA106" s="1394"/>
      <c r="AB106" s="1396"/>
      <c r="AC106" s="1392"/>
      <c r="AD106" s="1394"/>
      <c r="AE106" s="1396"/>
      <c r="AF106" s="1392"/>
      <c r="AG106" s="1394"/>
      <c r="AH106" s="1402">
        <v>22</v>
      </c>
      <c r="AI106" s="1392"/>
      <c r="AJ106" s="1394"/>
      <c r="AK106" s="1396"/>
      <c r="AL106" s="1392"/>
      <c r="AM106" s="1394"/>
      <c r="AN106" s="1396"/>
      <c r="AO106" s="1447"/>
      <c r="AP106" s="1449"/>
      <c r="AQ106" s="1445"/>
      <c r="AR106" s="1447"/>
      <c r="AS106" s="1449"/>
      <c r="AT106" s="1445"/>
      <c r="AU106" s="1447"/>
      <c r="AV106" s="1449"/>
      <c r="AW106" s="1445"/>
      <c r="AX106" s="1447"/>
      <c r="AY106" s="1449"/>
      <c r="AZ106" s="1445"/>
      <c r="BA106" s="1447"/>
      <c r="BB106" s="1449"/>
      <c r="BC106" s="1445"/>
      <c r="BD106" s="1447"/>
      <c r="BE106" s="1449"/>
      <c r="BF106" s="1445"/>
      <c r="BG106" s="1447"/>
      <c r="BH106" s="1449"/>
      <c r="BI106" s="1445"/>
      <c r="BT106" s="1535"/>
      <c r="BU106" s="1547"/>
    </row>
    <row r="107" spans="1:73" ht="31.5" customHeight="1" thickBot="1">
      <c r="A107" s="1492"/>
      <c r="B107" s="1495"/>
      <c r="C107" s="380" t="s">
        <v>81</v>
      </c>
      <c r="D107" s="419" t="s">
        <v>28</v>
      </c>
      <c r="E107" s="381">
        <f>51.8</f>
        <v>51.8</v>
      </c>
      <c r="F107" s="382">
        <f t="shared" si="16"/>
        <v>69.498069498069498</v>
      </c>
      <c r="G107" s="382">
        <v>1</v>
      </c>
      <c r="H107" s="382">
        <v>70</v>
      </c>
      <c r="I107" s="480">
        <v>0</v>
      </c>
      <c r="J107" s="718">
        <v>625</v>
      </c>
      <c r="K107" s="382">
        <v>1</v>
      </c>
      <c r="L107" s="378">
        <f t="shared" si="13"/>
        <v>1.0072222222222222</v>
      </c>
      <c r="M107" s="385">
        <f t="shared" si="17"/>
        <v>0</v>
      </c>
      <c r="N107" s="490">
        <f>M107*2</f>
        <v>0</v>
      </c>
      <c r="O107" s="386">
        <f t="shared" si="9"/>
        <v>41578</v>
      </c>
      <c r="P107" s="35"/>
      <c r="Q107" s="36"/>
      <c r="R107" s="40"/>
      <c r="S107" s="42"/>
      <c r="T107" s="1436"/>
      <c r="U107" s="1436"/>
      <c r="V107" s="1436"/>
      <c r="W107" s="1436"/>
      <c r="X107" s="1436"/>
      <c r="Y107" s="1497"/>
      <c r="Z107" s="1393"/>
      <c r="AA107" s="1395"/>
      <c r="AB107" s="1397"/>
      <c r="AC107" s="1393"/>
      <c r="AD107" s="1395"/>
      <c r="AE107" s="1397"/>
      <c r="AF107" s="1393"/>
      <c r="AG107" s="1395"/>
      <c r="AH107" s="1403"/>
      <c r="AI107" s="1393"/>
      <c r="AJ107" s="1395"/>
      <c r="AK107" s="1397"/>
      <c r="AL107" s="1393"/>
      <c r="AM107" s="1395"/>
      <c r="AN107" s="1397"/>
      <c r="AO107" s="1448"/>
      <c r="AP107" s="1450"/>
      <c r="AQ107" s="1446"/>
      <c r="AR107" s="1448"/>
      <c r="AS107" s="1450"/>
      <c r="AT107" s="1446"/>
      <c r="AU107" s="1448"/>
      <c r="AV107" s="1450"/>
      <c r="AW107" s="1446"/>
      <c r="AX107" s="1448"/>
      <c r="AY107" s="1450"/>
      <c r="AZ107" s="1446"/>
      <c r="BA107" s="1448"/>
      <c r="BB107" s="1450"/>
      <c r="BC107" s="1446"/>
      <c r="BD107" s="1448"/>
      <c r="BE107" s="1450"/>
      <c r="BF107" s="1446"/>
      <c r="BG107" s="1448"/>
      <c r="BH107" s="1450"/>
      <c r="BI107" s="1446"/>
      <c r="BT107" s="1535"/>
      <c r="BU107" s="1547"/>
    </row>
    <row r="108" spans="1:73" ht="39" customHeight="1" thickBot="1">
      <c r="A108" s="1492"/>
      <c r="B108" s="1498" t="s">
        <v>327</v>
      </c>
      <c r="C108" s="397" t="s">
        <v>82</v>
      </c>
      <c r="D108" s="419" t="s">
        <v>29</v>
      </c>
      <c r="E108" s="382">
        <f>51.5</f>
        <v>51.5</v>
      </c>
      <c r="F108" s="382">
        <f t="shared" si="16"/>
        <v>69.902912621359221</v>
      </c>
      <c r="G108" s="382">
        <v>1</v>
      </c>
      <c r="H108" s="382">
        <f>BY19</f>
        <v>100</v>
      </c>
      <c r="I108" s="480">
        <v>0</v>
      </c>
      <c r="J108" s="718">
        <v>496</v>
      </c>
      <c r="K108" s="382">
        <v>1</v>
      </c>
      <c r="L108" s="378">
        <f t="shared" si="13"/>
        <v>1.4305555555555556</v>
      </c>
      <c r="M108" s="385">
        <f t="shared" si="17"/>
        <v>0</v>
      </c>
      <c r="N108" s="490">
        <f>M108*2</f>
        <v>0</v>
      </c>
      <c r="O108" s="386">
        <f t="shared" si="9"/>
        <v>41578</v>
      </c>
      <c r="P108" s="35"/>
      <c r="Q108" s="36"/>
      <c r="R108" s="40"/>
      <c r="S108" s="41"/>
      <c r="T108" s="1412"/>
      <c r="U108" s="1412"/>
      <c r="V108" s="1412"/>
      <c r="W108" s="1412"/>
      <c r="X108" s="1412"/>
      <c r="Y108" s="1473"/>
      <c r="Z108" s="1392"/>
      <c r="AA108" s="1394"/>
      <c r="AB108" s="1396"/>
      <c r="AC108" s="1392"/>
      <c r="AD108" s="1394"/>
      <c r="AE108" s="1396"/>
      <c r="AF108" s="1392"/>
      <c r="AG108" s="1394"/>
      <c r="AH108" s="1396"/>
      <c r="AI108" s="1419"/>
      <c r="AJ108" s="1421"/>
      <c r="AK108" s="1402"/>
      <c r="AL108" s="1392"/>
      <c r="AM108" s="1394"/>
      <c r="AN108" s="1396"/>
      <c r="AO108" s="1447"/>
      <c r="AP108" s="1449"/>
      <c r="AQ108" s="1445"/>
      <c r="AR108" s="1447"/>
      <c r="AS108" s="1449"/>
      <c r="AT108" s="1445"/>
      <c r="AU108" s="1447"/>
      <c r="AV108" s="1449"/>
      <c r="AW108" s="1445"/>
      <c r="AX108" s="1447"/>
      <c r="AY108" s="1449"/>
      <c r="AZ108" s="1445"/>
      <c r="BA108" s="1447"/>
      <c r="BB108" s="1449"/>
      <c r="BC108" s="1445"/>
      <c r="BD108" s="1447"/>
      <c r="BE108" s="1449"/>
      <c r="BF108" s="1445"/>
      <c r="BG108" s="1447"/>
      <c r="BH108" s="1449"/>
      <c r="BI108" s="1445"/>
      <c r="BT108" s="1535"/>
      <c r="BU108" s="1547"/>
    </row>
    <row r="109" spans="1:73" ht="35.25" customHeight="1" thickBot="1">
      <c r="A109" s="1492"/>
      <c r="B109" s="1499"/>
      <c r="C109" s="380" t="s">
        <v>83</v>
      </c>
      <c r="D109" s="418" t="s">
        <v>30</v>
      </c>
      <c r="E109" s="381">
        <v>51.5</v>
      </c>
      <c r="F109" s="381">
        <f t="shared" si="16"/>
        <v>69.902912621359221</v>
      </c>
      <c r="G109" s="382">
        <v>1</v>
      </c>
      <c r="H109" s="382">
        <f>BY19</f>
        <v>100</v>
      </c>
      <c r="I109" s="480">
        <v>0</v>
      </c>
      <c r="J109" s="718">
        <v>496</v>
      </c>
      <c r="K109" s="382">
        <v>1</v>
      </c>
      <c r="L109" s="378">
        <f t="shared" si="13"/>
        <v>1.4305555555555556</v>
      </c>
      <c r="M109" s="385">
        <f t="shared" si="17"/>
        <v>0</v>
      </c>
      <c r="N109" s="490">
        <f>M109*2</f>
        <v>0</v>
      </c>
      <c r="O109" s="386">
        <f t="shared" si="9"/>
        <v>41578</v>
      </c>
      <c r="P109" s="35"/>
      <c r="Q109" s="36"/>
      <c r="R109" s="40"/>
      <c r="S109" s="42"/>
      <c r="T109" s="1436"/>
      <c r="U109" s="1436"/>
      <c r="V109" s="1436"/>
      <c r="W109" s="1436"/>
      <c r="X109" s="1436"/>
      <c r="Y109" s="1497"/>
      <c r="Z109" s="1393"/>
      <c r="AA109" s="1395"/>
      <c r="AB109" s="1397"/>
      <c r="AC109" s="1393"/>
      <c r="AD109" s="1395"/>
      <c r="AE109" s="1397"/>
      <c r="AF109" s="1393"/>
      <c r="AG109" s="1395"/>
      <c r="AH109" s="1397"/>
      <c r="AI109" s="1438"/>
      <c r="AJ109" s="1477"/>
      <c r="AK109" s="1403"/>
      <c r="AL109" s="1393"/>
      <c r="AM109" s="1395"/>
      <c r="AN109" s="1397"/>
      <c r="AO109" s="1448"/>
      <c r="AP109" s="1450"/>
      <c r="AQ109" s="1446"/>
      <c r="AR109" s="1448"/>
      <c r="AS109" s="1450"/>
      <c r="AT109" s="1446"/>
      <c r="AU109" s="1448"/>
      <c r="AV109" s="1450"/>
      <c r="AW109" s="1446"/>
      <c r="AX109" s="1448"/>
      <c r="AY109" s="1450"/>
      <c r="AZ109" s="1446"/>
      <c r="BA109" s="1448"/>
      <c r="BB109" s="1450"/>
      <c r="BC109" s="1446"/>
      <c r="BD109" s="1448"/>
      <c r="BE109" s="1450"/>
      <c r="BF109" s="1446"/>
      <c r="BG109" s="1448"/>
      <c r="BH109" s="1450"/>
      <c r="BI109" s="1446"/>
      <c r="BT109" s="1535"/>
      <c r="BU109" s="1547"/>
    </row>
    <row r="110" spans="1:73" ht="30.75" hidden="1" customHeight="1" thickBot="1">
      <c r="A110" s="1492"/>
      <c r="B110" s="755" t="s">
        <v>328</v>
      </c>
      <c r="C110" s="380" t="s">
        <v>84</v>
      </c>
      <c r="D110" s="418" t="s">
        <v>31</v>
      </c>
      <c r="E110" s="381">
        <v>52</v>
      </c>
      <c r="F110" s="381">
        <f t="shared" si="16"/>
        <v>69.230769230769226</v>
      </c>
      <c r="G110" s="382">
        <v>1</v>
      </c>
      <c r="H110" s="382">
        <v>200</v>
      </c>
      <c r="I110" s="480">
        <v>350</v>
      </c>
      <c r="J110" s="718">
        <v>935</v>
      </c>
      <c r="K110" s="382">
        <f>I110-H110</f>
        <v>150</v>
      </c>
      <c r="L110" s="378">
        <f t="shared" si="13"/>
        <v>2.8888888888888888</v>
      </c>
      <c r="M110" s="385">
        <f t="shared" si="17"/>
        <v>1.75</v>
      </c>
      <c r="N110" s="490"/>
      <c r="O110" s="386">
        <f t="shared" si="9"/>
        <v>41579.75</v>
      </c>
      <c r="P110" s="35"/>
      <c r="Q110" s="36"/>
      <c r="R110" s="40"/>
      <c r="S110" s="41"/>
      <c r="T110" s="1412"/>
      <c r="U110" s="1412"/>
      <c r="V110" s="1412"/>
      <c r="W110" s="1412"/>
      <c r="X110" s="1412"/>
      <c r="Y110" s="1473"/>
      <c r="Z110" s="1392"/>
      <c r="AA110" s="1394"/>
      <c r="AB110" s="1396"/>
      <c r="AC110" s="1392"/>
      <c r="AD110" s="1394"/>
      <c r="AE110" s="1396"/>
      <c r="AF110" s="1392"/>
      <c r="AG110" s="1394"/>
      <c r="AH110" s="1396"/>
      <c r="AI110" s="1392"/>
      <c r="AJ110" s="1394"/>
      <c r="AK110" s="1396"/>
      <c r="AL110" s="1392"/>
      <c r="AM110" s="1394"/>
      <c r="AN110" s="1396"/>
      <c r="AO110" s="1447"/>
      <c r="AP110" s="1449"/>
      <c r="AQ110" s="1445"/>
      <c r="AR110" s="1447"/>
      <c r="AS110" s="1449"/>
      <c r="AT110" s="1445"/>
      <c r="AU110" s="1447"/>
      <c r="AV110" s="1449"/>
      <c r="AW110" s="1445"/>
      <c r="AX110" s="1447"/>
      <c r="AY110" s="1449"/>
      <c r="AZ110" s="1445"/>
      <c r="BA110" s="1447"/>
      <c r="BB110" s="1449"/>
      <c r="BC110" s="1445"/>
      <c r="BD110" s="1447"/>
      <c r="BE110" s="1449"/>
      <c r="BF110" s="1445"/>
      <c r="BG110" s="1447"/>
      <c r="BH110" s="1449"/>
      <c r="BI110" s="1445"/>
      <c r="BT110" s="1535"/>
      <c r="BU110" s="1547"/>
    </row>
    <row r="111" spans="1:73" ht="30.75" hidden="1" customHeight="1" thickBot="1">
      <c r="A111" s="1492"/>
      <c r="B111" s="754"/>
      <c r="C111" s="380" t="s">
        <v>85</v>
      </c>
      <c r="D111" s="418" t="s">
        <v>32</v>
      </c>
      <c r="E111" s="382">
        <v>52</v>
      </c>
      <c r="F111" s="382">
        <f>3600/E111</f>
        <v>69.230769230769226</v>
      </c>
      <c r="G111" s="382">
        <v>1</v>
      </c>
      <c r="H111" s="382">
        <v>200</v>
      </c>
      <c r="I111" s="480">
        <v>330</v>
      </c>
      <c r="J111" s="718">
        <v>935</v>
      </c>
      <c r="K111" s="382">
        <f>I111-H111</f>
        <v>130</v>
      </c>
      <c r="L111" s="378">
        <f t="shared" si="13"/>
        <v>2.8888888888888888</v>
      </c>
      <c r="M111" s="385">
        <f t="shared" si="17"/>
        <v>1.65</v>
      </c>
      <c r="N111" s="490"/>
      <c r="O111" s="386">
        <f t="shared" si="9"/>
        <v>41579.65</v>
      </c>
      <c r="P111" s="35"/>
      <c r="Q111" s="36"/>
      <c r="R111" s="40"/>
      <c r="S111" s="42"/>
      <c r="T111" s="1496"/>
      <c r="U111" s="1496"/>
      <c r="V111" s="1496"/>
      <c r="W111" s="1496"/>
      <c r="X111" s="1496"/>
      <c r="Y111" s="1500"/>
      <c r="Z111" s="1470"/>
      <c r="AA111" s="1471"/>
      <c r="AB111" s="1472"/>
      <c r="AC111" s="1470"/>
      <c r="AD111" s="1471"/>
      <c r="AE111" s="1472"/>
      <c r="AF111" s="1470"/>
      <c r="AG111" s="1471"/>
      <c r="AH111" s="1472"/>
      <c r="AI111" s="1470"/>
      <c r="AJ111" s="1471"/>
      <c r="AK111" s="1472"/>
      <c r="AL111" s="1470"/>
      <c r="AM111" s="1471"/>
      <c r="AN111" s="1472"/>
      <c r="AO111" s="1461"/>
      <c r="AP111" s="1462"/>
      <c r="AQ111" s="1463"/>
      <c r="AR111" s="1461"/>
      <c r="AS111" s="1462"/>
      <c r="AT111" s="1463"/>
      <c r="AU111" s="1461"/>
      <c r="AV111" s="1462"/>
      <c r="AW111" s="1463"/>
      <c r="AX111" s="1461"/>
      <c r="AY111" s="1462"/>
      <c r="AZ111" s="1463"/>
      <c r="BA111" s="1461"/>
      <c r="BB111" s="1462"/>
      <c r="BC111" s="1463"/>
      <c r="BD111" s="1461"/>
      <c r="BE111" s="1462"/>
      <c r="BF111" s="1463"/>
      <c r="BG111" s="1461"/>
      <c r="BH111" s="1462"/>
      <c r="BI111" s="1463"/>
      <c r="BT111" s="1535"/>
      <c r="BU111" s="1547"/>
    </row>
    <row r="112" spans="1:73" ht="40.5" customHeight="1" thickBot="1">
      <c r="A112" s="1492"/>
      <c r="B112" s="754" t="s">
        <v>329</v>
      </c>
      <c r="C112" s="380" t="s">
        <v>90</v>
      </c>
      <c r="D112" s="419" t="s">
        <v>426</v>
      </c>
      <c r="E112" s="381">
        <v>57.2</v>
      </c>
      <c r="F112" s="382">
        <f t="shared" si="16"/>
        <v>62.937062937062933</v>
      </c>
      <c r="G112" s="382">
        <v>1</v>
      </c>
      <c r="H112" s="382">
        <v>150</v>
      </c>
      <c r="I112" s="480">
        <v>0</v>
      </c>
      <c r="J112" s="718" t="s">
        <v>252</v>
      </c>
      <c r="K112" s="382">
        <v>1</v>
      </c>
      <c r="L112" s="378">
        <f t="shared" si="13"/>
        <v>2.3833333333333333</v>
      </c>
      <c r="M112" s="385">
        <f t="shared" si="17"/>
        <v>0</v>
      </c>
      <c r="N112" s="490">
        <f>M112</f>
        <v>0</v>
      </c>
      <c r="O112" s="386">
        <f t="shared" si="9"/>
        <v>41578</v>
      </c>
      <c r="P112" s="47"/>
      <c r="Q112" s="48"/>
      <c r="R112" s="49"/>
      <c r="S112" s="49"/>
      <c r="T112" s="1496"/>
      <c r="U112" s="1496"/>
      <c r="V112" s="1496"/>
      <c r="W112" s="1496"/>
      <c r="X112" s="1496"/>
      <c r="Y112" s="1500"/>
      <c r="Z112" s="1470"/>
      <c r="AA112" s="1471"/>
      <c r="AB112" s="1472"/>
      <c r="AC112" s="1470"/>
      <c r="AD112" s="1471"/>
      <c r="AE112" s="1472"/>
      <c r="AF112" s="1470"/>
      <c r="AG112" s="1471"/>
      <c r="AH112" s="1472"/>
      <c r="AI112" s="1470"/>
      <c r="AJ112" s="1471"/>
      <c r="AK112" s="1472"/>
      <c r="AL112" s="1470"/>
      <c r="AM112" s="1471"/>
      <c r="AN112" s="1472"/>
      <c r="AO112" s="1461"/>
      <c r="AP112" s="1462"/>
      <c r="AQ112" s="1463"/>
      <c r="AR112" s="1461"/>
      <c r="AS112" s="1462"/>
      <c r="AT112" s="1463"/>
      <c r="AU112" s="1461"/>
      <c r="AV112" s="1462"/>
      <c r="AW112" s="1463"/>
      <c r="AX112" s="1461"/>
      <c r="AY112" s="1462"/>
      <c r="AZ112" s="1463"/>
      <c r="BA112" s="1461"/>
      <c r="BB112" s="1462"/>
      <c r="BC112" s="1463"/>
      <c r="BD112" s="1461"/>
      <c r="BE112" s="1462"/>
      <c r="BF112" s="1463"/>
      <c r="BG112" s="1461"/>
      <c r="BH112" s="1462"/>
      <c r="BI112" s="1463"/>
      <c r="BT112" s="1535"/>
      <c r="BU112" s="1547"/>
    </row>
    <row r="113" spans="1:73" ht="41.25" customHeight="1" thickBot="1">
      <c r="A113" s="1493"/>
      <c r="B113" s="756" t="s">
        <v>330</v>
      </c>
      <c r="C113" s="757" t="s">
        <v>91</v>
      </c>
      <c r="D113" s="420" t="s">
        <v>427</v>
      </c>
      <c r="E113" s="402">
        <v>51</v>
      </c>
      <c r="F113" s="391">
        <f t="shared" si="16"/>
        <v>70.588235294117652</v>
      </c>
      <c r="G113" s="391">
        <v>1</v>
      </c>
      <c r="H113" s="391">
        <v>150</v>
      </c>
      <c r="I113" s="481">
        <v>0</v>
      </c>
      <c r="J113" s="719" t="s">
        <v>252</v>
      </c>
      <c r="K113" s="391">
        <v>1</v>
      </c>
      <c r="L113" s="378">
        <f t="shared" si="13"/>
        <v>2.125</v>
      </c>
      <c r="M113" s="394">
        <f t="shared" si="17"/>
        <v>0</v>
      </c>
      <c r="N113" s="491">
        <f>M113</f>
        <v>0</v>
      </c>
      <c r="O113" s="395">
        <f t="shared" si="9"/>
        <v>41578</v>
      </c>
      <c r="P113" s="43"/>
      <c r="Q113" s="44"/>
      <c r="R113" s="45"/>
      <c r="S113" s="45"/>
      <c r="T113" s="1413"/>
      <c r="U113" s="1413"/>
      <c r="V113" s="1413"/>
      <c r="W113" s="1413"/>
      <c r="X113" s="1413"/>
      <c r="Y113" s="1474"/>
      <c r="Z113" s="1416"/>
      <c r="AA113" s="1417"/>
      <c r="AB113" s="1465"/>
      <c r="AC113" s="1416"/>
      <c r="AD113" s="1417"/>
      <c r="AE113" s="1465"/>
      <c r="AF113" s="1416"/>
      <c r="AG113" s="1417"/>
      <c r="AH113" s="1465"/>
      <c r="AI113" s="1416"/>
      <c r="AJ113" s="1417"/>
      <c r="AK113" s="1465"/>
      <c r="AL113" s="1416"/>
      <c r="AM113" s="1417"/>
      <c r="AN113" s="1465"/>
      <c r="AO113" s="1466"/>
      <c r="AP113" s="1467"/>
      <c r="AQ113" s="1468"/>
      <c r="AR113" s="1466"/>
      <c r="AS113" s="1467"/>
      <c r="AT113" s="1468"/>
      <c r="AU113" s="1466"/>
      <c r="AV113" s="1467"/>
      <c r="AW113" s="1468"/>
      <c r="AX113" s="1466"/>
      <c r="AY113" s="1467"/>
      <c r="AZ113" s="1468"/>
      <c r="BA113" s="1466"/>
      <c r="BB113" s="1467"/>
      <c r="BC113" s="1468"/>
      <c r="BD113" s="1466"/>
      <c r="BE113" s="1467"/>
      <c r="BF113" s="1468"/>
      <c r="BG113" s="1466"/>
      <c r="BH113" s="1467"/>
      <c r="BI113" s="1468"/>
      <c r="BJ113" s="71"/>
      <c r="BK113" s="71"/>
      <c r="BL113" s="71"/>
      <c r="BM113" s="71"/>
      <c r="BN113" s="71"/>
      <c r="BO113" s="71"/>
      <c r="BP113" s="71"/>
      <c r="BQ113" s="71"/>
      <c r="BR113" s="71"/>
      <c r="BS113" s="71"/>
      <c r="BT113" s="1536"/>
      <c r="BU113" s="1548"/>
    </row>
    <row r="114" spans="1:73" ht="30.75" hidden="1" customHeight="1" thickBot="1">
      <c r="A114" s="443"/>
      <c r="B114" s="316"/>
      <c r="C114" s="317" t="s">
        <v>69</v>
      </c>
      <c r="D114" s="424" t="s">
        <v>21</v>
      </c>
      <c r="E114" s="319"/>
      <c r="F114" s="319" t="e">
        <f t="shared" si="16"/>
        <v>#DIV/0!</v>
      </c>
      <c r="G114" s="318"/>
      <c r="H114" s="318"/>
      <c r="I114" s="664">
        <v>0</v>
      </c>
      <c r="J114" s="749"/>
      <c r="K114" s="319">
        <f t="shared" ref="K114:K119" si="18">I114-H114</f>
        <v>0</v>
      </c>
      <c r="L114" s="378">
        <f t="shared" si="13"/>
        <v>0</v>
      </c>
      <c r="M114" s="322" t="e">
        <f t="shared" si="17"/>
        <v>#DIV/0!</v>
      </c>
      <c r="N114" s="496"/>
      <c r="O114" s="323" t="e">
        <f t="shared" si="9"/>
        <v>#DIV/0!</v>
      </c>
      <c r="P114" s="750"/>
      <c r="Q114" s="751"/>
      <c r="R114" s="42"/>
      <c r="S114" s="42"/>
      <c r="T114" s="65"/>
      <c r="U114" s="65"/>
      <c r="V114" s="65"/>
      <c r="W114" s="65"/>
      <c r="X114" s="65"/>
      <c r="Y114" s="42"/>
      <c r="Z114" s="703"/>
      <c r="AA114" s="705"/>
      <c r="AB114" s="701"/>
      <c r="AC114" s="703"/>
      <c r="AD114" s="705"/>
      <c r="AE114" s="701"/>
      <c r="AF114" s="703"/>
      <c r="AG114" s="705"/>
      <c r="AH114" s="701"/>
      <c r="AI114" s="703"/>
      <c r="AJ114" s="705"/>
      <c r="AK114" s="701"/>
      <c r="AL114" s="703"/>
      <c r="AM114" s="705"/>
      <c r="AN114" s="701"/>
      <c r="AO114" s="713"/>
      <c r="AP114" s="715"/>
      <c r="AQ114" s="717"/>
      <c r="AR114" s="713"/>
      <c r="AS114" s="715"/>
      <c r="AT114" s="717"/>
      <c r="AU114" s="713"/>
      <c r="AV114" s="715"/>
      <c r="AW114" s="717"/>
      <c r="AX114" s="713"/>
      <c r="AY114" s="715"/>
      <c r="AZ114" s="717"/>
      <c r="BA114" s="713"/>
      <c r="BB114" s="715"/>
      <c r="BC114" s="717"/>
      <c r="BD114" s="713"/>
      <c r="BE114" s="715"/>
      <c r="BF114" s="717"/>
      <c r="BG114" s="713"/>
      <c r="BH114" s="715"/>
      <c r="BI114" s="717"/>
      <c r="BT114" s="864"/>
      <c r="BU114" s="864"/>
    </row>
    <row r="115" spans="1:73" ht="30.75" hidden="1" customHeight="1" thickBot="1">
      <c r="A115" s="443"/>
      <c r="B115" s="1469"/>
      <c r="C115" s="293" t="s">
        <v>75</v>
      </c>
      <c r="D115" s="427" t="s">
        <v>24</v>
      </c>
      <c r="E115" s="294"/>
      <c r="F115" s="295" t="e">
        <f t="shared" si="16"/>
        <v>#DIV/0!</v>
      </c>
      <c r="G115" s="300"/>
      <c r="H115" s="300"/>
      <c r="I115" s="480">
        <v>0</v>
      </c>
      <c r="J115" s="314"/>
      <c r="K115" s="295">
        <f t="shared" si="18"/>
        <v>0</v>
      </c>
      <c r="L115" s="378">
        <f t="shared" si="13"/>
        <v>0</v>
      </c>
      <c r="M115" s="298" t="e">
        <f t="shared" si="17"/>
        <v>#DIV/0!</v>
      </c>
      <c r="N115" s="493"/>
      <c r="O115" s="299" t="e">
        <f t="shared" si="9"/>
        <v>#DIV/0!</v>
      </c>
      <c r="P115" s="35"/>
      <c r="Q115" s="36"/>
      <c r="R115" s="40"/>
      <c r="S115" s="41"/>
      <c r="T115" s="1412"/>
      <c r="U115" s="1412"/>
      <c r="V115" s="1412"/>
      <c r="W115" s="1412"/>
      <c r="X115" s="1412"/>
      <c r="Y115" s="1473"/>
      <c r="Z115" s="1392"/>
      <c r="AA115" s="1394"/>
      <c r="AB115" s="1396"/>
      <c r="AC115" s="1392"/>
      <c r="AD115" s="1394"/>
      <c r="AE115" s="1396"/>
      <c r="AF115" s="1392"/>
      <c r="AG115" s="1394"/>
      <c r="AH115" s="1396"/>
      <c r="AI115" s="1392"/>
      <c r="AJ115" s="1394"/>
      <c r="AK115" s="1396"/>
      <c r="AL115" s="1392"/>
      <c r="AM115" s="1394"/>
      <c r="AN115" s="1396"/>
      <c r="AO115" s="1447"/>
      <c r="AP115" s="1449"/>
      <c r="AQ115" s="1445"/>
      <c r="AR115" s="1447"/>
      <c r="AS115" s="1449"/>
      <c r="AT115" s="1445"/>
      <c r="AU115" s="1447"/>
      <c r="AV115" s="1449"/>
      <c r="AW115" s="1445"/>
      <c r="AX115" s="1447"/>
      <c r="AY115" s="1449"/>
      <c r="AZ115" s="1445"/>
      <c r="BA115" s="1447"/>
      <c r="BB115" s="1449"/>
      <c r="BC115" s="1445"/>
      <c r="BD115" s="1447"/>
      <c r="BE115" s="1449"/>
      <c r="BF115" s="1445"/>
      <c r="BG115" s="1447"/>
      <c r="BH115" s="1449"/>
      <c r="BI115" s="1445"/>
      <c r="BT115" s="864"/>
      <c r="BU115" s="864"/>
    </row>
    <row r="116" spans="1:73" ht="30.75" hidden="1" customHeight="1" thickBot="1">
      <c r="A116" s="443"/>
      <c r="B116" s="1455"/>
      <c r="C116" s="293" t="s">
        <v>76</v>
      </c>
      <c r="D116" s="427" t="s">
        <v>25</v>
      </c>
      <c r="E116" s="294"/>
      <c r="F116" s="295" t="e">
        <f t="shared" si="16"/>
        <v>#DIV/0!</v>
      </c>
      <c r="G116" s="300"/>
      <c r="H116" s="300"/>
      <c r="I116" s="480">
        <v>0</v>
      </c>
      <c r="J116" s="314"/>
      <c r="K116" s="295">
        <f t="shared" si="18"/>
        <v>0</v>
      </c>
      <c r="L116" s="378">
        <f t="shared" si="13"/>
        <v>0</v>
      </c>
      <c r="M116" s="298" t="e">
        <f t="shared" si="17"/>
        <v>#DIV/0!</v>
      </c>
      <c r="N116" s="493"/>
      <c r="O116" s="299" t="e">
        <f t="shared" ref="O116:O179" si="19">+$O$5+M116</f>
        <v>#DIV/0!</v>
      </c>
      <c r="P116" s="35"/>
      <c r="Q116" s="36"/>
      <c r="R116" s="40"/>
      <c r="S116" s="42"/>
      <c r="T116" s="1436"/>
      <c r="U116" s="1436"/>
      <c r="V116" s="1436"/>
      <c r="W116" s="1436"/>
      <c r="X116" s="1436"/>
      <c r="Y116" s="1497"/>
      <c r="Z116" s="1393"/>
      <c r="AA116" s="1395"/>
      <c r="AB116" s="1397"/>
      <c r="AC116" s="1393"/>
      <c r="AD116" s="1395"/>
      <c r="AE116" s="1397"/>
      <c r="AF116" s="1393"/>
      <c r="AG116" s="1395"/>
      <c r="AH116" s="1397"/>
      <c r="AI116" s="1393"/>
      <c r="AJ116" s="1395"/>
      <c r="AK116" s="1397"/>
      <c r="AL116" s="1393"/>
      <c r="AM116" s="1395"/>
      <c r="AN116" s="1397"/>
      <c r="AO116" s="1448"/>
      <c r="AP116" s="1450"/>
      <c r="AQ116" s="1446"/>
      <c r="AR116" s="1448"/>
      <c r="AS116" s="1450"/>
      <c r="AT116" s="1446"/>
      <c r="AU116" s="1448"/>
      <c r="AV116" s="1450"/>
      <c r="AW116" s="1446"/>
      <c r="AX116" s="1448"/>
      <c r="AY116" s="1450"/>
      <c r="AZ116" s="1446"/>
      <c r="BA116" s="1448"/>
      <c r="BB116" s="1450"/>
      <c r="BC116" s="1446"/>
      <c r="BD116" s="1448"/>
      <c r="BE116" s="1450"/>
      <c r="BF116" s="1446"/>
      <c r="BG116" s="1448"/>
      <c r="BH116" s="1450"/>
      <c r="BI116" s="1446"/>
      <c r="BT116" s="864"/>
      <c r="BU116" s="864"/>
    </row>
    <row r="117" spans="1:73" ht="30.75" hidden="1" customHeight="1" thickBot="1">
      <c r="A117" s="443"/>
      <c r="B117" s="301"/>
      <c r="C117" s="293" t="s">
        <v>70</v>
      </c>
      <c r="D117" s="427" t="s">
        <v>22</v>
      </c>
      <c r="E117" s="295"/>
      <c r="F117" s="295" t="e">
        <f t="shared" si="16"/>
        <v>#DIV/0!</v>
      </c>
      <c r="G117" s="300"/>
      <c r="H117" s="300"/>
      <c r="I117" s="480">
        <v>0</v>
      </c>
      <c r="J117" s="314"/>
      <c r="K117" s="295">
        <f t="shared" si="18"/>
        <v>0</v>
      </c>
      <c r="L117" s="378">
        <f t="shared" si="13"/>
        <v>0</v>
      </c>
      <c r="M117" s="298" t="e">
        <f t="shared" si="17"/>
        <v>#DIV/0!</v>
      </c>
      <c r="N117" s="493"/>
      <c r="O117" s="299" t="e">
        <f t="shared" si="19"/>
        <v>#DIV/0!</v>
      </c>
      <c r="P117" s="35"/>
      <c r="Q117" s="36"/>
      <c r="R117" s="40"/>
      <c r="S117" s="41"/>
      <c r="T117" s="1412"/>
      <c r="U117" s="1412"/>
      <c r="V117" s="1412"/>
      <c r="W117" s="1412"/>
      <c r="X117" s="1412"/>
      <c r="Y117" s="1473"/>
      <c r="Z117" s="1392"/>
      <c r="AA117" s="1394"/>
      <c r="AB117" s="1396"/>
      <c r="AC117" s="1392">
        <v>11</v>
      </c>
      <c r="AD117" s="1421"/>
      <c r="AE117" s="1402"/>
      <c r="AF117" s="1392"/>
      <c r="AG117" s="1394"/>
      <c r="AH117" s="1396"/>
      <c r="AI117" s="1392"/>
      <c r="AJ117" s="1394"/>
      <c r="AK117" s="1396"/>
      <c r="AL117" s="1392"/>
      <c r="AM117" s="1394"/>
      <c r="AN117" s="1396"/>
      <c r="AO117" s="1447"/>
      <c r="AP117" s="1449"/>
      <c r="AQ117" s="1445"/>
      <c r="AR117" s="1447"/>
      <c r="AS117" s="1449"/>
      <c r="AT117" s="1445"/>
      <c r="AU117" s="1447"/>
      <c r="AV117" s="1449"/>
      <c r="AW117" s="1445"/>
      <c r="AX117" s="1447"/>
      <c r="AY117" s="1449"/>
      <c r="AZ117" s="1445"/>
      <c r="BA117" s="1447"/>
      <c r="BB117" s="1449"/>
      <c r="BC117" s="1445"/>
      <c r="BD117" s="1447"/>
      <c r="BE117" s="1449"/>
      <c r="BF117" s="1445"/>
      <c r="BG117" s="1447"/>
      <c r="BH117" s="1449"/>
      <c r="BI117" s="1445"/>
      <c r="BT117" s="864"/>
      <c r="BU117" s="864"/>
    </row>
    <row r="118" spans="1:73" ht="30.75" hidden="1" customHeight="1" thickBot="1">
      <c r="A118" s="443"/>
      <c r="B118" s="1469"/>
      <c r="C118" s="293" t="s">
        <v>71</v>
      </c>
      <c r="D118" s="422" t="s">
        <v>23</v>
      </c>
      <c r="E118" s="294"/>
      <c r="F118" s="295" t="e">
        <f t="shared" si="16"/>
        <v>#DIV/0!</v>
      </c>
      <c r="G118" s="300"/>
      <c r="H118" s="300"/>
      <c r="I118" s="480">
        <v>0</v>
      </c>
      <c r="J118" s="314"/>
      <c r="K118" s="295">
        <f t="shared" si="18"/>
        <v>0</v>
      </c>
      <c r="L118" s="378">
        <f t="shared" si="13"/>
        <v>0</v>
      </c>
      <c r="M118" s="298" t="e">
        <f t="shared" si="17"/>
        <v>#DIV/0!</v>
      </c>
      <c r="N118" s="493"/>
      <c r="O118" s="299" t="e">
        <f t="shared" si="19"/>
        <v>#DIV/0!</v>
      </c>
      <c r="P118" s="35"/>
      <c r="Q118" s="36"/>
      <c r="R118" s="40"/>
      <c r="S118" s="42"/>
      <c r="T118" s="1436"/>
      <c r="U118" s="1436"/>
      <c r="V118" s="1436"/>
      <c r="W118" s="1436"/>
      <c r="X118" s="1436"/>
      <c r="Y118" s="1497"/>
      <c r="Z118" s="1393"/>
      <c r="AA118" s="1395"/>
      <c r="AB118" s="1397"/>
      <c r="AC118" s="1393"/>
      <c r="AD118" s="1477"/>
      <c r="AE118" s="1403"/>
      <c r="AF118" s="1393"/>
      <c r="AG118" s="1395"/>
      <c r="AH118" s="1397"/>
      <c r="AI118" s="1393"/>
      <c r="AJ118" s="1395"/>
      <c r="AK118" s="1397"/>
      <c r="AL118" s="1393"/>
      <c r="AM118" s="1395"/>
      <c r="AN118" s="1397"/>
      <c r="AO118" s="1448"/>
      <c r="AP118" s="1450"/>
      <c r="AQ118" s="1446"/>
      <c r="AR118" s="1448"/>
      <c r="AS118" s="1450"/>
      <c r="AT118" s="1446"/>
      <c r="AU118" s="1448"/>
      <c r="AV118" s="1450"/>
      <c r="AW118" s="1446"/>
      <c r="AX118" s="1448"/>
      <c r="AY118" s="1450"/>
      <c r="AZ118" s="1446"/>
      <c r="BA118" s="1448"/>
      <c r="BB118" s="1450"/>
      <c r="BC118" s="1446"/>
      <c r="BD118" s="1448"/>
      <c r="BE118" s="1450"/>
      <c r="BF118" s="1446"/>
      <c r="BG118" s="1448"/>
      <c r="BH118" s="1450"/>
      <c r="BI118" s="1446"/>
      <c r="BT118" s="864"/>
      <c r="BU118" s="864"/>
    </row>
    <row r="119" spans="1:73" ht="30.75" hidden="1" customHeight="1" thickBot="1">
      <c r="A119" s="443"/>
      <c r="B119" s="1469"/>
      <c r="C119" s="293"/>
      <c r="D119" s="422" t="s">
        <v>162</v>
      </c>
      <c r="E119" s="294"/>
      <c r="F119" s="295" t="e">
        <f t="shared" si="16"/>
        <v>#DIV/0!</v>
      </c>
      <c r="G119" s="300"/>
      <c r="H119" s="300"/>
      <c r="I119" s="480">
        <v>0</v>
      </c>
      <c r="J119" s="314"/>
      <c r="K119" s="295">
        <f t="shared" si="18"/>
        <v>0</v>
      </c>
      <c r="L119" s="378">
        <f t="shared" si="13"/>
        <v>0</v>
      </c>
      <c r="M119" s="298" t="e">
        <f t="shared" si="17"/>
        <v>#DIV/0!</v>
      </c>
      <c r="N119" s="493"/>
      <c r="O119" s="299" t="e">
        <f t="shared" si="19"/>
        <v>#DIV/0!</v>
      </c>
      <c r="P119" s="43"/>
      <c r="Q119" s="44"/>
      <c r="R119" s="45"/>
      <c r="S119" s="45"/>
      <c r="T119" s="46"/>
      <c r="U119" s="46"/>
      <c r="V119" s="46"/>
      <c r="W119" s="46"/>
      <c r="X119" s="46"/>
      <c r="Y119" s="45"/>
      <c r="Z119" s="528">
        <v>8</v>
      </c>
      <c r="AA119" s="530"/>
      <c r="AB119" s="9"/>
      <c r="AC119" s="524"/>
      <c r="AD119" s="10"/>
      <c r="AE119" s="9"/>
      <c r="AF119" s="524">
        <v>8</v>
      </c>
      <c r="AG119" s="530"/>
      <c r="AH119" s="9"/>
      <c r="AI119" s="524"/>
      <c r="AJ119" s="10"/>
      <c r="AK119" s="9"/>
      <c r="AL119" s="524"/>
      <c r="AM119" s="10"/>
      <c r="AN119" s="9"/>
      <c r="AO119" s="51"/>
      <c r="AP119" s="52"/>
      <c r="AQ119" s="53"/>
      <c r="AR119" s="51"/>
      <c r="AS119" s="52"/>
      <c r="AT119" s="53"/>
      <c r="AU119" s="51"/>
      <c r="AV119" s="52"/>
      <c r="AW119" s="53"/>
      <c r="AX119" s="51"/>
      <c r="AY119" s="52"/>
      <c r="AZ119" s="53"/>
      <c r="BA119" s="51"/>
      <c r="BB119" s="52"/>
      <c r="BC119" s="53"/>
      <c r="BD119" s="51"/>
      <c r="BE119" s="52"/>
      <c r="BF119" s="53"/>
      <c r="BG119" s="51"/>
      <c r="BH119" s="52"/>
      <c r="BI119" s="53"/>
      <c r="BT119" s="864"/>
      <c r="BU119" s="864"/>
    </row>
    <row r="120" spans="1:73" ht="56.25" hidden="1" customHeight="1" thickBot="1">
      <c r="A120" s="443"/>
      <c r="B120" s="353"/>
      <c r="C120" s="317" t="s">
        <v>90</v>
      </c>
      <c r="D120" s="424" t="s">
        <v>33</v>
      </c>
      <c r="E120" s="354"/>
      <c r="F120" s="318"/>
      <c r="G120" s="318"/>
      <c r="H120" s="300"/>
      <c r="I120" s="480">
        <v>0</v>
      </c>
      <c r="J120" s="356"/>
      <c r="K120" s="321">
        <f t="shared" ref="K120:K183" si="20">I120-H120</f>
        <v>0</v>
      </c>
      <c r="L120" s="378">
        <f t="shared" si="13"/>
        <v>0</v>
      </c>
      <c r="M120" s="322" t="e">
        <f t="shared" si="17"/>
        <v>#DIV/0!</v>
      </c>
      <c r="N120" s="496"/>
      <c r="O120" s="323" t="e">
        <f t="shared" si="19"/>
        <v>#DIV/0!</v>
      </c>
      <c r="T120" s="64"/>
      <c r="U120" s="39"/>
      <c r="V120" s="39"/>
      <c r="W120" s="39"/>
      <c r="X120" s="39"/>
      <c r="Y120" s="40"/>
      <c r="Z120" s="527"/>
      <c r="AA120" s="529"/>
      <c r="AB120" s="525"/>
      <c r="AC120" s="504"/>
      <c r="AD120" s="505"/>
      <c r="AE120" s="544"/>
      <c r="AF120" s="504"/>
      <c r="AG120" s="505"/>
      <c r="AH120" s="544"/>
      <c r="AI120" s="527">
        <v>6</v>
      </c>
      <c r="AJ120" s="529"/>
      <c r="AK120" s="525"/>
      <c r="AL120" s="531"/>
      <c r="AM120" s="533"/>
      <c r="AN120" s="535"/>
      <c r="AO120" s="537"/>
      <c r="AP120" s="539"/>
      <c r="AQ120" s="541"/>
      <c r="AR120" s="537"/>
      <c r="AS120" s="539"/>
      <c r="AT120" s="541"/>
      <c r="AU120" s="537"/>
      <c r="AV120" s="539"/>
      <c r="AW120" s="541"/>
      <c r="AX120" s="537"/>
      <c r="AY120" s="539"/>
      <c r="AZ120" s="541"/>
      <c r="BA120" s="537"/>
      <c r="BB120" s="539"/>
      <c r="BC120" s="541"/>
      <c r="BD120" s="537"/>
      <c r="BE120" s="539"/>
      <c r="BF120" s="541"/>
      <c r="BG120" s="537"/>
      <c r="BH120" s="539"/>
      <c r="BI120" s="541"/>
      <c r="BT120" s="864"/>
      <c r="BU120" s="864"/>
    </row>
    <row r="121" spans="1:73" ht="56.25" hidden="1" customHeight="1" thickBot="1">
      <c r="A121" s="444"/>
      <c r="B121" s="353"/>
      <c r="C121" s="357" t="s">
        <v>91</v>
      </c>
      <c r="D121" s="425" t="s">
        <v>34</v>
      </c>
      <c r="E121" s="327"/>
      <c r="F121" s="326"/>
      <c r="G121" s="326"/>
      <c r="H121" s="300"/>
      <c r="I121" s="480">
        <v>0</v>
      </c>
      <c r="J121" s="358"/>
      <c r="K121" s="297">
        <f t="shared" si="20"/>
        <v>0</v>
      </c>
      <c r="L121" s="378">
        <f t="shared" si="13"/>
        <v>0</v>
      </c>
      <c r="M121" s="298" t="e">
        <f t="shared" si="17"/>
        <v>#DIV/0!</v>
      </c>
      <c r="N121" s="496"/>
      <c r="O121" s="292" t="e">
        <f t="shared" si="19"/>
        <v>#DIV/0!</v>
      </c>
      <c r="P121" s="71"/>
      <c r="Q121" s="71"/>
      <c r="R121" s="72"/>
      <c r="S121" s="72"/>
      <c r="T121" s="69"/>
      <c r="U121" s="46"/>
      <c r="V121" s="46"/>
      <c r="W121" s="46"/>
      <c r="X121" s="46"/>
      <c r="Y121" s="45"/>
      <c r="Z121" s="524"/>
      <c r="AA121" s="10"/>
      <c r="AB121" s="9">
        <v>3</v>
      </c>
      <c r="AC121" s="528"/>
      <c r="AD121" s="530"/>
      <c r="AE121" s="526"/>
      <c r="AF121" s="528"/>
      <c r="AG121" s="530"/>
      <c r="AH121" s="526"/>
      <c r="AI121" s="532"/>
      <c r="AJ121" s="534"/>
      <c r="AK121" s="536"/>
      <c r="AL121" s="532"/>
      <c r="AM121" s="534"/>
      <c r="AN121" s="536"/>
      <c r="AO121" s="538"/>
      <c r="AP121" s="540"/>
      <c r="AQ121" s="542"/>
      <c r="AR121" s="538"/>
      <c r="AS121" s="540"/>
      <c r="AT121" s="542"/>
      <c r="AU121" s="538"/>
      <c r="AV121" s="540"/>
      <c r="AW121" s="542"/>
      <c r="AX121" s="538"/>
      <c r="AY121" s="540"/>
      <c r="AZ121" s="542"/>
      <c r="BA121" s="538"/>
      <c r="BB121" s="540"/>
      <c r="BC121" s="542"/>
      <c r="BD121" s="538"/>
      <c r="BE121" s="540"/>
      <c r="BF121" s="542"/>
      <c r="BG121" s="538"/>
      <c r="BH121" s="540"/>
      <c r="BI121" s="542"/>
      <c r="BT121" s="864"/>
      <c r="BU121" s="864"/>
    </row>
    <row r="122" spans="1:73" s="16" customFormat="1" ht="30.75" hidden="1" customHeight="1" thickBot="1">
      <c r="A122" s="445" t="s">
        <v>190</v>
      </c>
      <c r="B122" s="359"/>
      <c r="C122" s="1514" t="s">
        <v>191</v>
      </c>
      <c r="D122" s="434" t="s">
        <v>192</v>
      </c>
      <c r="E122" s="294">
        <v>39</v>
      </c>
      <c r="F122" s="295">
        <v>92</v>
      </c>
      <c r="G122" s="361"/>
      <c r="H122" s="295">
        <v>364</v>
      </c>
      <c r="I122" s="480">
        <v>0</v>
      </c>
      <c r="J122" s="362"/>
      <c r="K122" s="297">
        <f t="shared" si="20"/>
        <v>-364</v>
      </c>
      <c r="L122" s="378">
        <f t="shared" si="13"/>
        <v>3.9433333333333334</v>
      </c>
      <c r="M122" s="298">
        <f t="shared" si="17"/>
        <v>0</v>
      </c>
      <c r="N122" s="496"/>
      <c r="O122" s="292">
        <f t="shared" si="19"/>
        <v>41578</v>
      </c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T122" s="864"/>
      <c r="BU122" s="864"/>
    </row>
    <row r="123" spans="1:73" s="16" customFormat="1" ht="30.75" hidden="1" customHeight="1" thickBot="1">
      <c r="A123" s="446"/>
      <c r="B123" s="359"/>
      <c r="C123" s="1515"/>
      <c r="D123" s="435" t="s">
        <v>193</v>
      </c>
      <c r="E123" s="294">
        <v>39</v>
      </c>
      <c r="F123" s="295">
        <v>92</v>
      </c>
      <c r="G123" s="363"/>
      <c r="H123" s="295">
        <v>364</v>
      </c>
      <c r="I123" s="480">
        <v>0</v>
      </c>
      <c r="J123" s="362"/>
      <c r="K123" s="297">
        <f t="shared" si="20"/>
        <v>-364</v>
      </c>
      <c r="L123" s="378">
        <f t="shared" si="13"/>
        <v>3.9433333333333334</v>
      </c>
      <c r="M123" s="298">
        <f t="shared" si="17"/>
        <v>0</v>
      </c>
      <c r="N123" s="496"/>
      <c r="O123" s="292">
        <f t="shared" si="19"/>
        <v>41578</v>
      </c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T123" s="864"/>
      <c r="BU123" s="864"/>
    </row>
    <row r="124" spans="1:73" s="16" customFormat="1" ht="30.75" hidden="1" customHeight="1" thickBot="1">
      <c r="A124" s="446"/>
      <c r="B124" s="359"/>
      <c r="C124" s="1514" t="s">
        <v>194</v>
      </c>
      <c r="D124" s="434" t="s">
        <v>195</v>
      </c>
      <c r="E124" s="294">
        <v>34</v>
      </c>
      <c r="F124" s="295">
        <v>106</v>
      </c>
      <c r="G124" s="361"/>
      <c r="H124" s="295">
        <v>448</v>
      </c>
      <c r="I124" s="480">
        <v>0</v>
      </c>
      <c r="J124" s="362"/>
      <c r="K124" s="297">
        <f t="shared" si="20"/>
        <v>-448</v>
      </c>
      <c r="L124" s="378">
        <f t="shared" si="13"/>
        <v>4.2311111111111108</v>
      </c>
      <c r="M124" s="298">
        <f t="shared" si="17"/>
        <v>0</v>
      </c>
      <c r="N124" s="496"/>
      <c r="O124" s="292">
        <f t="shared" si="19"/>
        <v>41578</v>
      </c>
      <c r="R124" s="17"/>
      <c r="S124" s="17"/>
      <c r="T124" s="17"/>
      <c r="U124" s="17"/>
      <c r="V124" s="17"/>
      <c r="W124" s="17"/>
      <c r="X124" s="17"/>
      <c r="Y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T124" s="864"/>
      <c r="BU124" s="864"/>
    </row>
    <row r="125" spans="1:73" s="16" customFormat="1" ht="30.75" hidden="1" customHeight="1" thickBot="1">
      <c r="A125" s="446"/>
      <c r="B125" s="359"/>
      <c r="C125" s="1516"/>
      <c r="D125" s="436" t="s">
        <v>196</v>
      </c>
      <c r="E125" s="294">
        <v>34</v>
      </c>
      <c r="F125" s="295">
        <v>106</v>
      </c>
      <c r="G125" s="364"/>
      <c r="H125" s="295">
        <v>448</v>
      </c>
      <c r="I125" s="480">
        <v>0</v>
      </c>
      <c r="J125" s="362"/>
      <c r="K125" s="297">
        <f t="shared" si="20"/>
        <v>-448</v>
      </c>
      <c r="L125" s="378">
        <f t="shared" si="13"/>
        <v>4.2311111111111108</v>
      </c>
      <c r="M125" s="298">
        <f t="shared" si="17"/>
        <v>0</v>
      </c>
      <c r="N125" s="496"/>
      <c r="O125" s="292">
        <f t="shared" si="19"/>
        <v>41578</v>
      </c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T125" s="864"/>
      <c r="BU125" s="864"/>
    </row>
    <row r="126" spans="1:73" s="16" customFormat="1" ht="30.75" hidden="1" customHeight="1" thickBot="1">
      <c r="A126" s="446"/>
      <c r="B126" s="359"/>
      <c r="C126" s="1516"/>
      <c r="D126" s="436" t="s">
        <v>197</v>
      </c>
      <c r="E126" s="294">
        <v>34</v>
      </c>
      <c r="F126" s="295">
        <v>106</v>
      </c>
      <c r="G126" s="364"/>
      <c r="H126" s="295">
        <v>448</v>
      </c>
      <c r="I126" s="480">
        <v>0</v>
      </c>
      <c r="J126" s="362"/>
      <c r="K126" s="297">
        <f t="shared" si="20"/>
        <v>-448</v>
      </c>
      <c r="L126" s="378">
        <f t="shared" si="13"/>
        <v>4.2311111111111108</v>
      </c>
      <c r="M126" s="298">
        <f t="shared" si="17"/>
        <v>0</v>
      </c>
      <c r="N126" s="496"/>
      <c r="O126" s="292">
        <f t="shared" si="19"/>
        <v>41578</v>
      </c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T126" s="864"/>
      <c r="BU126" s="864"/>
    </row>
    <row r="127" spans="1:73" s="16" customFormat="1" ht="30.75" hidden="1" customHeight="1" thickBot="1">
      <c r="A127" s="446"/>
      <c r="B127" s="359"/>
      <c r="C127" s="1516"/>
      <c r="D127" s="436" t="s">
        <v>198</v>
      </c>
      <c r="E127" s="294">
        <v>34</v>
      </c>
      <c r="F127" s="295">
        <v>106</v>
      </c>
      <c r="G127" s="364"/>
      <c r="H127" s="295">
        <v>448</v>
      </c>
      <c r="I127" s="480">
        <v>0</v>
      </c>
      <c r="J127" s="362"/>
      <c r="K127" s="297">
        <f t="shared" si="20"/>
        <v>-448</v>
      </c>
      <c r="L127" s="378">
        <f t="shared" si="13"/>
        <v>4.2311111111111108</v>
      </c>
      <c r="M127" s="298">
        <f t="shared" si="17"/>
        <v>0</v>
      </c>
      <c r="N127" s="496"/>
      <c r="O127" s="292">
        <f t="shared" si="19"/>
        <v>41578</v>
      </c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T127" s="864"/>
      <c r="BU127" s="864"/>
    </row>
    <row r="128" spans="1:73" s="16" customFormat="1" ht="30.75" hidden="1" customHeight="1" thickBot="1">
      <c r="A128" s="446"/>
      <c r="B128" s="359"/>
      <c r="C128" s="1516"/>
      <c r="D128" s="436" t="s">
        <v>199</v>
      </c>
      <c r="E128" s="294">
        <v>34</v>
      </c>
      <c r="F128" s="295">
        <v>106</v>
      </c>
      <c r="G128" s="364"/>
      <c r="H128" s="295">
        <v>448</v>
      </c>
      <c r="I128" s="480">
        <v>0</v>
      </c>
      <c r="J128" s="362"/>
      <c r="K128" s="297">
        <f t="shared" si="20"/>
        <v>-448</v>
      </c>
      <c r="L128" s="378">
        <f t="shared" si="13"/>
        <v>4.2311111111111108</v>
      </c>
      <c r="M128" s="298">
        <f t="shared" si="17"/>
        <v>0</v>
      </c>
      <c r="N128" s="496"/>
      <c r="O128" s="292">
        <f t="shared" si="19"/>
        <v>41578</v>
      </c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T128" s="864"/>
      <c r="BU128" s="864"/>
    </row>
    <row r="129" spans="1:73" s="16" customFormat="1" ht="30.75" hidden="1" customHeight="1" thickBot="1">
      <c r="A129" s="446"/>
      <c r="B129" s="359"/>
      <c r="C129" s="1516"/>
      <c r="D129" s="436" t="s">
        <v>200</v>
      </c>
      <c r="E129" s="294">
        <v>34</v>
      </c>
      <c r="F129" s="295">
        <v>106</v>
      </c>
      <c r="G129" s="364"/>
      <c r="H129" s="295">
        <v>448</v>
      </c>
      <c r="I129" s="480">
        <v>0</v>
      </c>
      <c r="J129" s="362"/>
      <c r="K129" s="297">
        <f t="shared" si="20"/>
        <v>-448</v>
      </c>
      <c r="L129" s="378">
        <f t="shared" si="13"/>
        <v>4.2311111111111108</v>
      </c>
      <c r="M129" s="298">
        <f t="shared" si="17"/>
        <v>0</v>
      </c>
      <c r="N129" s="496"/>
      <c r="O129" s="292">
        <f t="shared" si="19"/>
        <v>41578</v>
      </c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T129" s="864"/>
      <c r="BU129" s="864"/>
    </row>
    <row r="130" spans="1:73" s="16" customFormat="1" ht="30.75" hidden="1" customHeight="1" thickBot="1">
      <c r="A130" s="446"/>
      <c r="B130" s="359"/>
      <c r="C130" s="1516"/>
      <c r="D130" s="436" t="s">
        <v>201</v>
      </c>
      <c r="E130" s="294">
        <v>34</v>
      </c>
      <c r="F130" s="295">
        <v>106</v>
      </c>
      <c r="G130" s="364"/>
      <c r="H130" s="295">
        <v>448</v>
      </c>
      <c r="I130" s="480">
        <v>0</v>
      </c>
      <c r="J130" s="362"/>
      <c r="K130" s="297">
        <f t="shared" si="20"/>
        <v>-448</v>
      </c>
      <c r="L130" s="378">
        <f t="shared" si="13"/>
        <v>4.2311111111111108</v>
      </c>
      <c r="M130" s="298">
        <f t="shared" si="17"/>
        <v>0</v>
      </c>
      <c r="N130" s="496"/>
      <c r="O130" s="292">
        <f t="shared" si="19"/>
        <v>41578</v>
      </c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T130" s="864"/>
      <c r="BU130" s="864"/>
    </row>
    <row r="131" spans="1:73" s="16" customFormat="1" ht="30.75" hidden="1" customHeight="1" thickBot="1">
      <c r="A131" s="446"/>
      <c r="B131" s="359"/>
      <c r="C131" s="1516"/>
      <c r="D131" s="436" t="s">
        <v>202</v>
      </c>
      <c r="E131" s="294">
        <v>34</v>
      </c>
      <c r="F131" s="295">
        <v>106</v>
      </c>
      <c r="G131" s="364"/>
      <c r="H131" s="295">
        <v>448</v>
      </c>
      <c r="I131" s="480">
        <v>0</v>
      </c>
      <c r="J131" s="362"/>
      <c r="K131" s="297">
        <f t="shared" si="20"/>
        <v>-448</v>
      </c>
      <c r="L131" s="378">
        <f t="shared" si="13"/>
        <v>4.2311111111111108</v>
      </c>
      <c r="M131" s="298">
        <f t="shared" si="17"/>
        <v>0</v>
      </c>
      <c r="N131" s="496"/>
      <c r="O131" s="292">
        <f t="shared" si="19"/>
        <v>41578</v>
      </c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T131" s="864"/>
      <c r="BU131" s="864"/>
    </row>
    <row r="132" spans="1:73" s="16" customFormat="1" ht="30.75" hidden="1" customHeight="1" thickBot="1">
      <c r="A132" s="446"/>
      <c r="B132" s="359"/>
      <c r="C132" s="1516"/>
      <c r="D132" s="436" t="s">
        <v>203</v>
      </c>
      <c r="E132" s="294">
        <v>34</v>
      </c>
      <c r="F132" s="295">
        <v>106</v>
      </c>
      <c r="G132" s="364"/>
      <c r="H132" s="295">
        <v>448</v>
      </c>
      <c r="I132" s="480">
        <v>0</v>
      </c>
      <c r="J132" s="362"/>
      <c r="K132" s="297">
        <f t="shared" si="20"/>
        <v>-448</v>
      </c>
      <c r="L132" s="378">
        <f t="shared" si="13"/>
        <v>4.2311111111111108</v>
      </c>
      <c r="M132" s="298">
        <f t="shared" si="17"/>
        <v>0</v>
      </c>
      <c r="N132" s="496"/>
      <c r="O132" s="292">
        <f t="shared" si="19"/>
        <v>41578</v>
      </c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T132" s="864"/>
      <c r="BU132" s="864"/>
    </row>
    <row r="133" spans="1:73" s="16" customFormat="1" ht="30.75" hidden="1" customHeight="1" thickBot="1">
      <c r="A133" s="446"/>
      <c r="B133" s="359"/>
      <c r="C133" s="1515"/>
      <c r="D133" s="435" t="s">
        <v>204</v>
      </c>
      <c r="E133" s="294">
        <v>34</v>
      </c>
      <c r="F133" s="295">
        <v>106</v>
      </c>
      <c r="G133" s="363"/>
      <c r="H133" s="295">
        <v>448</v>
      </c>
      <c r="I133" s="480">
        <v>0</v>
      </c>
      <c r="J133" s="362"/>
      <c r="K133" s="297">
        <f t="shared" si="20"/>
        <v>-448</v>
      </c>
      <c r="L133" s="378">
        <f t="shared" si="13"/>
        <v>4.2311111111111108</v>
      </c>
      <c r="M133" s="298">
        <f t="shared" si="17"/>
        <v>0</v>
      </c>
      <c r="N133" s="496"/>
      <c r="O133" s="292">
        <f t="shared" si="19"/>
        <v>41578</v>
      </c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T133" s="864"/>
      <c r="BU133" s="864"/>
    </row>
    <row r="134" spans="1:73" s="16" customFormat="1" ht="30.75" hidden="1" customHeight="1" thickBot="1">
      <c r="A134" s="446"/>
      <c r="B134" s="359"/>
      <c r="C134" s="1514" t="s">
        <v>205</v>
      </c>
      <c r="D134" s="434" t="s">
        <v>206</v>
      </c>
      <c r="E134" s="294">
        <v>34</v>
      </c>
      <c r="F134" s="295">
        <v>106</v>
      </c>
      <c r="G134" s="361"/>
      <c r="H134" s="295">
        <v>448</v>
      </c>
      <c r="I134" s="480">
        <v>0</v>
      </c>
      <c r="J134" s="362"/>
      <c r="K134" s="297">
        <f t="shared" si="20"/>
        <v>-448</v>
      </c>
      <c r="L134" s="378">
        <f t="shared" si="13"/>
        <v>4.2311111111111108</v>
      </c>
      <c r="M134" s="298">
        <f t="shared" si="17"/>
        <v>0</v>
      </c>
      <c r="N134" s="496"/>
      <c r="O134" s="292">
        <f t="shared" si="19"/>
        <v>41578</v>
      </c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T134" s="864"/>
      <c r="BU134" s="864"/>
    </row>
    <row r="135" spans="1:73" s="16" customFormat="1" ht="30.75" hidden="1" customHeight="1" thickBot="1">
      <c r="A135" s="446"/>
      <c r="B135" s="359"/>
      <c r="C135" s="1516"/>
      <c r="D135" s="436" t="s">
        <v>207</v>
      </c>
      <c r="E135" s="294">
        <v>34</v>
      </c>
      <c r="F135" s="295">
        <v>106</v>
      </c>
      <c r="G135" s="364"/>
      <c r="H135" s="295">
        <v>448</v>
      </c>
      <c r="I135" s="480">
        <v>0</v>
      </c>
      <c r="J135" s="362"/>
      <c r="K135" s="297">
        <f t="shared" si="20"/>
        <v>-448</v>
      </c>
      <c r="L135" s="378">
        <f t="shared" si="13"/>
        <v>4.2311111111111108</v>
      </c>
      <c r="M135" s="298">
        <f t="shared" si="17"/>
        <v>0</v>
      </c>
      <c r="N135" s="496"/>
      <c r="O135" s="292">
        <f t="shared" si="19"/>
        <v>41578</v>
      </c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T135" s="864"/>
      <c r="BU135" s="864"/>
    </row>
    <row r="136" spans="1:73" s="16" customFormat="1" ht="30.75" hidden="1" customHeight="1" thickBot="1">
      <c r="A136" s="446"/>
      <c r="B136" s="359"/>
      <c r="C136" s="1516"/>
      <c r="D136" s="436" t="s">
        <v>208</v>
      </c>
      <c r="E136" s="294">
        <v>34</v>
      </c>
      <c r="F136" s="295">
        <v>106</v>
      </c>
      <c r="G136" s="364"/>
      <c r="H136" s="295">
        <v>448</v>
      </c>
      <c r="I136" s="480">
        <v>0</v>
      </c>
      <c r="J136" s="362"/>
      <c r="K136" s="297">
        <f t="shared" si="20"/>
        <v>-448</v>
      </c>
      <c r="L136" s="378">
        <f t="shared" si="13"/>
        <v>4.2311111111111108</v>
      </c>
      <c r="M136" s="298">
        <f t="shared" si="17"/>
        <v>0</v>
      </c>
      <c r="N136" s="496"/>
      <c r="O136" s="292">
        <f t="shared" si="19"/>
        <v>41578</v>
      </c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T136" s="864"/>
      <c r="BU136" s="864"/>
    </row>
    <row r="137" spans="1:73" s="16" customFormat="1" ht="30.75" hidden="1" customHeight="1" thickBot="1">
      <c r="A137" s="446"/>
      <c r="B137" s="359"/>
      <c r="C137" s="1516"/>
      <c r="D137" s="436" t="s">
        <v>209</v>
      </c>
      <c r="E137" s="294">
        <v>34</v>
      </c>
      <c r="F137" s="295">
        <v>106</v>
      </c>
      <c r="G137" s="364"/>
      <c r="H137" s="295">
        <v>448</v>
      </c>
      <c r="I137" s="480">
        <v>0</v>
      </c>
      <c r="J137" s="362"/>
      <c r="K137" s="297">
        <f t="shared" si="20"/>
        <v>-448</v>
      </c>
      <c r="L137" s="378">
        <f t="shared" si="13"/>
        <v>4.2311111111111108</v>
      </c>
      <c r="M137" s="298">
        <f t="shared" si="17"/>
        <v>0</v>
      </c>
      <c r="N137" s="496"/>
      <c r="O137" s="292">
        <f t="shared" si="19"/>
        <v>41578</v>
      </c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T137" s="864"/>
      <c r="BU137" s="864"/>
    </row>
    <row r="138" spans="1:73" s="16" customFormat="1" ht="30.75" hidden="1" customHeight="1" thickBot="1">
      <c r="A138" s="446"/>
      <c r="B138" s="359"/>
      <c r="C138" s="1516"/>
      <c r="D138" s="436" t="s">
        <v>210</v>
      </c>
      <c r="E138" s="294">
        <v>34</v>
      </c>
      <c r="F138" s="295">
        <v>106</v>
      </c>
      <c r="G138" s="364"/>
      <c r="H138" s="295">
        <v>448</v>
      </c>
      <c r="I138" s="480">
        <v>0</v>
      </c>
      <c r="J138" s="362"/>
      <c r="K138" s="297">
        <f t="shared" si="20"/>
        <v>-448</v>
      </c>
      <c r="L138" s="378">
        <f t="shared" si="13"/>
        <v>4.2311111111111108</v>
      </c>
      <c r="M138" s="298">
        <f t="shared" si="17"/>
        <v>0</v>
      </c>
      <c r="N138" s="496"/>
      <c r="O138" s="292">
        <f t="shared" si="19"/>
        <v>41578</v>
      </c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T138" s="864"/>
      <c r="BU138" s="864"/>
    </row>
    <row r="139" spans="1:73" s="16" customFormat="1" ht="30.75" hidden="1" customHeight="1" thickBot="1">
      <c r="A139" s="446"/>
      <c r="B139" s="359"/>
      <c r="C139" s="1516"/>
      <c r="D139" s="436" t="s">
        <v>211</v>
      </c>
      <c r="E139" s="294">
        <v>34</v>
      </c>
      <c r="F139" s="295">
        <v>106</v>
      </c>
      <c r="G139" s="364"/>
      <c r="H139" s="295">
        <v>448</v>
      </c>
      <c r="I139" s="480">
        <v>0</v>
      </c>
      <c r="J139" s="362"/>
      <c r="K139" s="297">
        <f t="shared" si="20"/>
        <v>-448</v>
      </c>
      <c r="L139" s="378">
        <f t="shared" si="13"/>
        <v>4.2311111111111108</v>
      </c>
      <c r="M139" s="298">
        <f t="shared" si="17"/>
        <v>0</v>
      </c>
      <c r="N139" s="496"/>
      <c r="O139" s="292">
        <f t="shared" si="19"/>
        <v>41578</v>
      </c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T139" s="864"/>
      <c r="BU139" s="864"/>
    </row>
    <row r="140" spans="1:73" s="16" customFormat="1" ht="30.75" hidden="1" customHeight="1" thickBot="1">
      <c r="A140" s="446"/>
      <c r="B140" s="359"/>
      <c r="C140" s="1516"/>
      <c r="D140" s="436" t="s">
        <v>212</v>
      </c>
      <c r="E140" s="294">
        <v>34</v>
      </c>
      <c r="F140" s="295">
        <v>106</v>
      </c>
      <c r="G140" s="364"/>
      <c r="H140" s="295">
        <v>448</v>
      </c>
      <c r="I140" s="480">
        <v>0</v>
      </c>
      <c r="J140" s="362"/>
      <c r="K140" s="297">
        <f t="shared" si="20"/>
        <v>-448</v>
      </c>
      <c r="L140" s="378">
        <f t="shared" si="13"/>
        <v>4.2311111111111108</v>
      </c>
      <c r="M140" s="298">
        <f t="shared" si="17"/>
        <v>0</v>
      </c>
      <c r="N140" s="496"/>
      <c r="O140" s="292">
        <f t="shared" si="19"/>
        <v>41578</v>
      </c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T140" s="864"/>
      <c r="BU140" s="864"/>
    </row>
    <row r="141" spans="1:73" s="16" customFormat="1" ht="30.75" hidden="1" customHeight="1" thickBot="1">
      <c r="A141" s="446"/>
      <c r="B141" s="359"/>
      <c r="C141" s="1516"/>
      <c r="D141" s="436" t="s">
        <v>213</v>
      </c>
      <c r="E141" s="294">
        <v>34</v>
      </c>
      <c r="F141" s="295">
        <v>106</v>
      </c>
      <c r="G141" s="364"/>
      <c r="H141" s="295">
        <v>448</v>
      </c>
      <c r="I141" s="480">
        <v>0</v>
      </c>
      <c r="J141" s="362"/>
      <c r="K141" s="297">
        <f t="shared" si="20"/>
        <v>-448</v>
      </c>
      <c r="L141" s="378">
        <f t="shared" si="13"/>
        <v>4.2311111111111108</v>
      </c>
      <c r="M141" s="298">
        <f t="shared" si="17"/>
        <v>0</v>
      </c>
      <c r="N141" s="496"/>
      <c r="O141" s="292">
        <f t="shared" si="19"/>
        <v>41578</v>
      </c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T141" s="864"/>
      <c r="BU141" s="864"/>
    </row>
    <row r="142" spans="1:73" s="16" customFormat="1" ht="30.75" hidden="1" customHeight="1" thickBot="1">
      <c r="A142" s="446"/>
      <c r="B142" s="359"/>
      <c r="C142" s="1516"/>
      <c r="D142" s="436" t="s">
        <v>214</v>
      </c>
      <c r="E142" s="294">
        <v>34</v>
      </c>
      <c r="F142" s="295">
        <v>106</v>
      </c>
      <c r="G142" s="364"/>
      <c r="H142" s="295">
        <v>448</v>
      </c>
      <c r="I142" s="480">
        <v>0</v>
      </c>
      <c r="J142" s="362"/>
      <c r="K142" s="297">
        <f t="shared" si="20"/>
        <v>-448</v>
      </c>
      <c r="L142" s="378">
        <f t="shared" si="13"/>
        <v>4.2311111111111108</v>
      </c>
      <c r="M142" s="298">
        <f t="shared" si="17"/>
        <v>0</v>
      </c>
      <c r="N142" s="496"/>
      <c r="O142" s="292">
        <f t="shared" si="19"/>
        <v>41578</v>
      </c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T142" s="864"/>
      <c r="BU142" s="864"/>
    </row>
    <row r="143" spans="1:73" s="16" customFormat="1" ht="30.75" hidden="1" customHeight="1" thickBot="1">
      <c r="A143" s="446"/>
      <c r="B143" s="359"/>
      <c r="C143" s="1515"/>
      <c r="D143" s="435" t="s">
        <v>215</v>
      </c>
      <c r="E143" s="294">
        <v>34</v>
      </c>
      <c r="F143" s="295">
        <v>106</v>
      </c>
      <c r="G143" s="363"/>
      <c r="H143" s="295">
        <v>448</v>
      </c>
      <c r="I143" s="480">
        <v>0</v>
      </c>
      <c r="J143" s="362"/>
      <c r="K143" s="297">
        <f t="shared" si="20"/>
        <v>-448</v>
      </c>
      <c r="L143" s="378">
        <f t="shared" ref="L143:L191" si="21">((H143*E143)/3600)</f>
        <v>4.2311111111111108</v>
      </c>
      <c r="M143" s="298">
        <f t="shared" si="17"/>
        <v>0</v>
      </c>
      <c r="N143" s="496"/>
      <c r="O143" s="292">
        <f t="shared" si="19"/>
        <v>41578</v>
      </c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T143" s="864"/>
      <c r="BU143" s="864"/>
    </row>
    <row r="144" spans="1:73" s="16" customFormat="1" ht="30.75" hidden="1" customHeight="1" thickBot="1">
      <c r="A144" s="446"/>
      <c r="B144" s="359"/>
      <c r="C144" s="1514" t="s">
        <v>216</v>
      </c>
      <c r="D144" s="434" t="s">
        <v>217</v>
      </c>
      <c r="E144" s="1517">
        <v>32</v>
      </c>
      <c r="F144" s="1519">
        <v>113</v>
      </c>
      <c r="G144" s="361"/>
      <c r="H144" s="295">
        <v>448</v>
      </c>
      <c r="I144" s="480">
        <v>0</v>
      </c>
      <c r="J144" s="362"/>
      <c r="K144" s="297">
        <f t="shared" si="20"/>
        <v>-448</v>
      </c>
      <c r="L144" s="378">
        <f t="shared" si="21"/>
        <v>3.9822222222222221</v>
      </c>
      <c r="M144" s="298">
        <f t="shared" si="17"/>
        <v>0</v>
      </c>
      <c r="N144" s="496"/>
      <c r="O144" s="292">
        <f t="shared" si="19"/>
        <v>41578</v>
      </c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T144" s="864"/>
      <c r="BU144" s="864"/>
    </row>
    <row r="145" spans="1:73" s="16" customFormat="1" ht="30.75" hidden="1" customHeight="1" thickBot="1">
      <c r="A145" s="446"/>
      <c r="B145" s="359"/>
      <c r="C145" s="1515"/>
      <c r="D145" s="435" t="s">
        <v>218</v>
      </c>
      <c r="E145" s="1518"/>
      <c r="F145" s="1520"/>
      <c r="G145" s="363"/>
      <c r="H145" s="295">
        <v>448</v>
      </c>
      <c r="I145" s="480">
        <v>0</v>
      </c>
      <c r="J145" s="362"/>
      <c r="K145" s="297">
        <f t="shared" si="20"/>
        <v>-448</v>
      </c>
      <c r="L145" s="378">
        <f t="shared" si="21"/>
        <v>0</v>
      </c>
      <c r="M145" s="298">
        <f t="shared" si="17"/>
        <v>0</v>
      </c>
      <c r="N145" s="496"/>
      <c r="O145" s="292">
        <f t="shared" si="19"/>
        <v>41578</v>
      </c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T145" s="864"/>
      <c r="BU145" s="864"/>
    </row>
    <row r="146" spans="1:73" s="16" customFormat="1" ht="30.75" hidden="1" customHeight="1" thickBot="1">
      <c r="A146" s="446"/>
      <c r="B146" s="359"/>
      <c r="C146" s="1514" t="s">
        <v>219</v>
      </c>
      <c r="D146" s="434" t="s">
        <v>217</v>
      </c>
      <c r="E146" s="1517">
        <v>32</v>
      </c>
      <c r="F146" s="1519">
        <v>113</v>
      </c>
      <c r="G146" s="361"/>
      <c r="H146" s="295">
        <v>64</v>
      </c>
      <c r="I146" s="480">
        <v>0</v>
      </c>
      <c r="J146" s="362"/>
      <c r="K146" s="297">
        <f t="shared" si="20"/>
        <v>-64</v>
      </c>
      <c r="L146" s="378">
        <f t="shared" si="21"/>
        <v>0.56888888888888889</v>
      </c>
      <c r="M146" s="298">
        <f t="shared" si="17"/>
        <v>0</v>
      </c>
      <c r="N146" s="496"/>
      <c r="O146" s="292">
        <f t="shared" si="19"/>
        <v>41578</v>
      </c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T146" s="864"/>
      <c r="BU146" s="864"/>
    </row>
    <row r="147" spans="1:73" s="16" customFormat="1" ht="30.75" hidden="1" customHeight="1" thickBot="1">
      <c r="A147" s="447"/>
      <c r="B147" s="365"/>
      <c r="C147" s="1515"/>
      <c r="D147" s="435" t="s">
        <v>218</v>
      </c>
      <c r="E147" s="1518"/>
      <c r="F147" s="1520"/>
      <c r="G147" s="363"/>
      <c r="H147" s="295">
        <v>64</v>
      </c>
      <c r="I147" s="480">
        <v>0</v>
      </c>
      <c r="J147" s="362"/>
      <c r="K147" s="297">
        <f t="shared" si="20"/>
        <v>-64</v>
      </c>
      <c r="L147" s="378">
        <f t="shared" si="21"/>
        <v>0</v>
      </c>
      <c r="M147" s="298">
        <f t="shared" si="17"/>
        <v>0</v>
      </c>
      <c r="N147" s="496"/>
      <c r="O147" s="292">
        <f t="shared" si="19"/>
        <v>41578</v>
      </c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T147" s="864"/>
      <c r="BU147" s="864"/>
    </row>
    <row r="148" spans="1:73" s="16" customFormat="1" ht="30.75" hidden="1" customHeight="1" thickBot="1">
      <c r="A148" s="448" t="s">
        <v>243</v>
      </c>
      <c r="B148" s="366"/>
      <c r="C148" s="1514" t="s">
        <v>220</v>
      </c>
      <c r="D148" s="434" t="s">
        <v>221</v>
      </c>
      <c r="E148" s="294">
        <v>26</v>
      </c>
      <c r="F148" s="295">
        <v>138</v>
      </c>
      <c r="G148" s="361"/>
      <c r="H148" s="295">
        <v>896</v>
      </c>
      <c r="I148" s="480">
        <v>0</v>
      </c>
      <c r="J148" s="362"/>
      <c r="K148" s="297">
        <f t="shared" si="20"/>
        <v>-896</v>
      </c>
      <c r="L148" s="378">
        <f t="shared" si="21"/>
        <v>6.471111111111111</v>
      </c>
      <c r="M148" s="298">
        <f t="shared" si="17"/>
        <v>0</v>
      </c>
      <c r="N148" s="496"/>
      <c r="O148" s="292">
        <f t="shared" si="19"/>
        <v>41578</v>
      </c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T148" s="864"/>
      <c r="BU148" s="864"/>
    </row>
    <row r="149" spans="1:73" s="16" customFormat="1" ht="30.75" hidden="1" customHeight="1" thickBot="1">
      <c r="A149" s="446"/>
      <c r="B149" s="359"/>
      <c r="C149" s="1515"/>
      <c r="D149" s="435" t="s">
        <v>222</v>
      </c>
      <c r="E149" s="294">
        <v>26</v>
      </c>
      <c r="F149" s="295">
        <v>138</v>
      </c>
      <c r="G149" s="363"/>
      <c r="H149" s="295">
        <v>896</v>
      </c>
      <c r="I149" s="480">
        <v>0</v>
      </c>
      <c r="J149" s="362"/>
      <c r="K149" s="297">
        <f t="shared" si="20"/>
        <v>-896</v>
      </c>
      <c r="L149" s="378">
        <f t="shared" si="21"/>
        <v>6.471111111111111</v>
      </c>
      <c r="M149" s="298">
        <f t="shared" si="17"/>
        <v>0</v>
      </c>
      <c r="N149" s="496"/>
      <c r="O149" s="292">
        <f t="shared" si="19"/>
        <v>41578</v>
      </c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T149" s="864"/>
      <c r="BU149" s="864"/>
    </row>
    <row r="150" spans="1:73" s="16" customFormat="1" ht="30.75" hidden="1" customHeight="1" thickBot="1">
      <c r="A150" s="446"/>
      <c r="B150" s="359"/>
      <c r="C150" s="1514" t="s">
        <v>223</v>
      </c>
      <c r="D150" s="434" t="s">
        <v>224</v>
      </c>
      <c r="E150" s="294">
        <v>24</v>
      </c>
      <c r="F150" s="295">
        <v>150</v>
      </c>
      <c r="G150" s="361"/>
      <c r="H150" s="295">
        <v>896</v>
      </c>
      <c r="I150" s="480">
        <v>0</v>
      </c>
      <c r="J150" s="362"/>
      <c r="K150" s="297">
        <f t="shared" si="20"/>
        <v>-896</v>
      </c>
      <c r="L150" s="378">
        <f t="shared" si="21"/>
        <v>5.9733333333333336</v>
      </c>
      <c r="M150" s="298">
        <f t="shared" si="17"/>
        <v>0</v>
      </c>
      <c r="N150" s="496"/>
      <c r="O150" s="292">
        <f t="shared" si="19"/>
        <v>41578</v>
      </c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T150" s="864"/>
      <c r="BU150" s="864"/>
    </row>
    <row r="151" spans="1:73" s="16" customFormat="1" ht="30.75" hidden="1" customHeight="1" thickBot="1">
      <c r="A151" s="446"/>
      <c r="B151" s="359"/>
      <c r="C151" s="1515"/>
      <c r="D151" s="435" t="s">
        <v>225</v>
      </c>
      <c r="E151" s="294">
        <v>24</v>
      </c>
      <c r="F151" s="295">
        <v>150</v>
      </c>
      <c r="G151" s="363"/>
      <c r="H151" s="295">
        <v>896</v>
      </c>
      <c r="I151" s="480">
        <v>0</v>
      </c>
      <c r="J151" s="362"/>
      <c r="K151" s="297">
        <f t="shared" si="20"/>
        <v>-896</v>
      </c>
      <c r="L151" s="378">
        <f t="shared" si="21"/>
        <v>5.9733333333333336</v>
      </c>
      <c r="M151" s="298">
        <f t="shared" si="17"/>
        <v>0</v>
      </c>
      <c r="N151" s="496"/>
      <c r="O151" s="292">
        <f t="shared" si="19"/>
        <v>41578</v>
      </c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T151" s="864"/>
      <c r="BU151" s="864"/>
    </row>
    <row r="152" spans="1:73" s="16" customFormat="1" ht="30.75" hidden="1" customHeight="1" thickBot="1">
      <c r="A152" s="446"/>
      <c r="B152" s="359"/>
      <c r="C152" s="367" t="s">
        <v>226</v>
      </c>
      <c r="D152" s="437" t="s">
        <v>227</v>
      </c>
      <c r="E152" s="294">
        <v>33</v>
      </c>
      <c r="F152" s="295">
        <v>109</v>
      </c>
      <c r="G152" s="368"/>
      <c r="H152" s="295">
        <v>896</v>
      </c>
      <c r="I152" s="480">
        <v>0</v>
      </c>
      <c r="J152" s="362"/>
      <c r="K152" s="297">
        <f>I152-H152</f>
        <v>-896</v>
      </c>
      <c r="L152" s="378">
        <f t="shared" si="21"/>
        <v>8.2133333333333329</v>
      </c>
      <c r="M152" s="298">
        <f t="shared" si="17"/>
        <v>0</v>
      </c>
      <c r="N152" s="496"/>
      <c r="O152" s="292">
        <f t="shared" si="19"/>
        <v>41578</v>
      </c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T152" s="864"/>
      <c r="BU152" s="864"/>
    </row>
    <row r="153" spans="1:73" s="79" customFormat="1" ht="30.75" hidden="1" customHeight="1" thickBot="1">
      <c r="A153" s="446"/>
      <c r="B153" s="359"/>
      <c r="C153" s="367" t="s">
        <v>241</v>
      </c>
      <c r="D153" s="437" t="s">
        <v>228</v>
      </c>
      <c r="E153" s="294">
        <v>27</v>
      </c>
      <c r="F153" s="295">
        <v>133</v>
      </c>
      <c r="G153" s="368"/>
      <c r="H153" s="295">
        <v>1024</v>
      </c>
      <c r="I153" s="480">
        <v>0</v>
      </c>
      <c r="J153" s="362"/>
      <c r="K153" s="297">
        <f t="shared" si="20"/>
        <v>-1024</v>
      </c>
      <c r="L153" s="378">
        <f t="shared" si="21"/>
        <v>7.68</v>
      </c>
      <c r="M153" s="298">
        <f t="shared" si="17"/>
        <v>0</v>
      </c>
      <c r="N153" s="496"/>
      <c r="O153" s="292">
        <f t="shared" si="19"/>
        <v>41578</v>
      </c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  <c r="AK153" s="80"/>
      <c r="AL153" s="80"/>
      <c r="AM153" s="80"/>
      <c r="AN153" s="80"/>
      <c r="AO153" s="80"/>
      <c r="AP153" s="80"/>
      <c r="AQ153" s="80"/>
      <c r="AR153" s="80"/>
      <c r="AS153" s="80"/>
      <c r="AT153" s="80"/>
      <c r="AU153" s="80"/>
      <c r="AV153" s="80"/>
      <c r="AW153" s="80"/>
      <c r="AX153" s="80"/>
      <c r="AY153" s="80"/>
      <c r="AZ153" s="80"/>
      <c r="BA153" s="80"/>
      <c r="BB153" s="80"/>
      <c r="BC153" s="80"/>
      <c r="BT153" s="865"/>
      <c r="BU153" s="865"/>
    </row>
    <row r="154" spans="1:73" s="79" customFormat="1" ht="30.75" hidden="1" customHeight="1" thickBot="1">
      <c r="A154" s="446"/>
      <c r="B154" s="359"/>
      <c r="C154" s="1514" t="s">
        <v>231</v>
      </c>
      <c r="D154" s="434" t="s">
        <v>229</v>
      </c>
      <c r="E154" s="1517">
        <v>27</v>
      </c>
      <c r="F154" s="1519">
        <v>133</v>
      </c>
      <c r="G154" s="361"/>
      <c r="H154" s="295">
        <v>512</v>
      </c>
      <c r="I154" s="480">
        <v>0</v>
      </c>
      <c r="J154" s="362"/>
      <c r="K154" s="297">
        <f t="shared" si="20"/>
        <v>-512</v>
      </c>
      <c r="L154" s="378">
        <f t="shared" si="21"/>
        <v>3.84</v>
      </c>
      <c r="M154" s="298">
        <f t="shared" si="17"/>
        <v>0</v>
      </c>
      <c r="N154" s="496"/>
      <c r="O154" s="292">
        <f t="shared" si="19"/>
        <v>41578</v>
      </c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80"/>
      <c r="AK154" s="80"/>
      <c r="AL154" s="80"/>
      <c r="AM154" s="80"/>
      <c r="AN154" s="80"/>
      <c r="AO154" s="80"/>
      <c r="AP154" s="80"/>
      <c r="AQ154" s="80"/>
      <c r="AR154" s="80"/>
      <c r="AS154" s="80"/>
      <c r="AT154" s="80"/>
      <c r="AU154" s="80"/>
      <c r="AV154" s="80"/>
      <c r="AW154" s="80"/>
      <c r="AX154" s="80"/>
      <c r="AY154" s="80"/>
      <c r="AZ154" s="80"/>
      <c r="BA154" s="80"/>
      <c r="BB154" s="80"/>
      <c r="BC154" s="80"/>
      <c r="BT154" s="865"/>
      <c r="BU154" s="865"/>
    </row>
    <row r="155" spans="1:73" s="79" customFormat="1" ht="30.75" hidden="1" customHeight="1" thickBot="1">
      <c r="A155" s="446"/>
      <c r="B155" s="359"/>
      <c r="C155" s="1515"/>
      <c r="D155" s="435" t="s">
        <v>230</v>
      </c>
      <c r="E155" s="1518"/>
      <c r="F155" s="1520"/>
      <c r="G155" s="363"/>
      <c r="H155" s="295">
        <v>512</v>
      </c>
      <c r="I155" s="480">
        <v>0</v>
      </c>
      <c r="J155" s="362"/>
      <c r="K155" s="297">
        <f t="shared" si="20"/>
        <v>-512</v>
      </c>
      <c r="L155" s="378">
        <f t="shared" si="21"/>
        <v>0</v>
      </c>
      <c r="M155" s="298">
        <f t="shared" si="17"/>
        <v>0</v>
      </c>
      <c r="N155" s="496"/>
      <c r="O155" s="292">
        <f t="shared" si="19"/>
        <v>41578</v>
      </c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80"/>
      <c r="AK155" s="80"/>
      <c r="AL155" s="80"/>
      <c r="AM155" s="80"/>
      <c r="AN155" s="80"/>
      <c r="AO155" s="80"/>
      <c r="AP155" s="80"/>
      <c r="AQ155" s="80"/>
      <c r="AR155" s="80"/>
      <c r="AS155" s="80"/>
      <c r="AT155" s="80"/>
      <c r="AU155" s="80"/>
      <c r="AV155" s="80"/>
      <c r="AW155" s="80"/>
      <c r="AX155" s="80"/>
      <c r="AY155" s="80"/>
      <c r="AZ155" s="80"/>
      <c r="BA155" s="80"/>
      <c r="BB155" s="80"/>
      <c r="BC155" s="80"/>
      <c r="BT155" s="865"/>
      <c r="BU155" s="865"/>
    </row>
    <row r="156" spans="1:73" s="79" customFormat="1" ht="30.75" hidden="1" customHeight="1" thickBot="1">
      <c r="A156" s="446"/>
      <c r="B156" s="359"/>
      <c r="C156" s="369" t="s">
        <v>232</v>
      </c>
      <c r="D156" s="437" t="s">
        <v>233</v>
      </c>
      <c r="E156" s="294">
        <v>19</v>
      </c>
      <c r="F156" s="295">
        <v>189</v>
      </c>
      <c r="G156" s="368"/>
      <c r="H156" s="295">
        <v>1024</v>
      </c>
      <c r="I156" s="480">
        <v>0</v>
      </c>
      <c r="J156" s="362"/>
      <c r="K156" s="297">
        <f t="shared" si="20"/>
        <v>-1024</v>
      </c>
      <c r="L156" s="378">
        <f t="shared" si="21"/>
        <v>5.4044444444444446</v>
      </c>
      <c r="M156" s="298">
        <f t="shared" si="17"/>
        <v>0</v>
      </c>
      <c r="N156" s="496"/>
      <c r="O156" s="292">
        <f t="shared" si="19"/>
        <v>41578</v>
      </c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  <c r="AN156" s="80"/>
      <c r="AO156" s="80"/>
      <c r="AP156" s="80"/>
      <c r="AQ156" s="80"/>
      <c r="AR156" s="80"/>
      <c r="AS156" s="80"/>
      <c r="AT156" s="80"/>
      <c r="AU156" s="80"/>
      <c r="AV156" s="80"/>
      <c r="AW156" s="80"/>
      <c r="AX156" s="80"/>
      <c r="AY156" s="80"/>
      <c r="AZ156" s="80"/>
      <c r="BA156" s="80"/>
      <c r="BB156" s="80"/>
      <c r="BC156" s="80"/>
      <c r="BT156" s="865"/>
      <c r="BU156" s="865"/>
    </row>
    <row r="157" spans="1:73" s="16" customFormat="1" ht="30.75" hidden="1" customHeight="1" thickBot="1">
      <c r="A157" s="446"/>
      <c r="B157" s="359"/>
      <c r="C157" s="1514" t="s">
        <v>236</v>
      </c>
      <c r="D157" s="434" t="s">
        <v>234</v>
      </c>
      <c r="E157" s="294">
        <v>21</v>
      </c>
      <c r="F157" s="295">
        <v>171</v>
      </c>
      <c r="G157" s="361"/>
      <c r="H157" s="295">
        <v>512</v>
      </c>
      <c r="I157" s="480">
        <v>0</v>
      </c>
      <c r="J157" s="362"/>
      <c r="K157" s="297">
        <f t="shared" si="20"/>
        <v>-512</v>
      </c>
      <c r="L157" s="378">
        <f t="shared" si="21"/>
        <v>2.9866666666666668</v>
      </c>
      <c r="M157" s="298">
        <f t="shared" si="17"/>
        <v>0</v>
      </c>
      <c r="N157" s="496"/>
      <c r="O157" s="292">
        <f t="shared" si="19"/>
        <v>41578</v>
      </c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T157" s="864"/>
      <c r="BU157" s="864"/>
    </row>
    <row r="158" spans="1:73" s="16" customFormat="1" ht="30.75" hidden="1" customHeight="1" thickBot="1">
      <c r="A158" s="446"/>
      <c r="B158" s="359"/>
      <c r="C158" s="1515"/>
      <c r="D158" s="435" t="s">
        <v>235</v>
      </c>
      <c r="E158" s="294">
        <v>21</v>
      </c>
      <c r="F158" s="295">
        <v>171</v>
      </c>
      <c r="G158" s="363"/>
      <c r="H158" s="295">
        <v>512</v>
      </c>
      <c r="I158" s="480">
        <v>0</v>
      </c>
      <c r="J158" s="362"/>
      <c r="K158" s="297">
        <f t="shared" si="20"/>
        <v>-512</v>
      </c>
      <c r="L158" s="378">
        <f t="shared" si="21"/>
        <v>2.9866666666666668</v>
      </c>
      <c r="M158" s="298">
        <f t="shared" si="17"/>
        <v>0</v>
      </c>
      <c r="N158" s="496"/>
      <c r="O158" s="292">
        <f t="shared" si="19"/>
        <v>41578</v>
      </c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T158" s="864"/>
      <c r="BU158" s="864"/>
    </row>
    <row r="159" spans="1:73" s="16" customFormat="1" ht="30.75" hidden="1" customHeight="1" thickBot="1">
      <c r="A159" s="446"/>
      <c r="B159" s="359"/>
      <c r="C159" s="1514" t="s">
        <v>237</v>
      </c>
      <c r="D159" s="434" t="s">
        <v>195</v>
      </c>
      <c r="E159" s="294">
        <v>34</v>
      </c>
      <c r="F159" s="295">
        <v>106</v>
      </c>
      <c r="G159" s="361"/>
      <c r="H159" s="295">
        <v>64</v>
      </c>
      <c r="I159" s="480">
        <v>0</v>
      </c>
      <c r="J159" s="362"/>
      <c r="K159" s="297">
        <f t="shared" si="20"/>
        <v>-64</v>
      </c>
      <c r="L159" s="378">
        <f t="shared" si="21"/>
        <v>0.60444444444444445</v>
      </c>
      <c r="M159" s="298">
        <f t="shared" si="17"/>
        <v>0</v>
      </c>
      <c r="N159" s="496"/>
      <c r="O159" s="292">
        <f t="shared" si="19"/>
        <v>41578</v>
      </c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T159" s="864"/>
      <c r="BU159" s="864"/>
    </row>
    <row r="160" spans="1:73" s="16" customFormat="1" ht="30.75" hidden="1" customHeight="1" thickBot="1">
      <c r="A160" s="446"/>
      <c r="B160" s="359"/>
      <c r="C160" s="1516"/>
      <c r="D160" s="436" t="s">
        <v>196</v>
      </c>
      <c r="E160" s="294">
        <v>34</v>
      </c>
      <c r="F160" s="295">
        <v>106</v>
      </c>
      <c r="G160" s="364"/>
      <c r="H160" s="295">
        <v>64</v>
      </c>
      <c r="I160" s="480">
        <v>0</v>
      </c>
      <c r="J160" s="362"/>
      <c r="K160" s="297">
        <f t="shared" si="20"/>
        <v>-64</v>
      </c>
      <c r="L160" s="378">
        <f t="shared" si="21"/>
        <v>0.60444444444444445</v>
      </c>
      <c r="M160" s="298">
        <f t="shared" si="17"/>
        <v>0</v>
      </c>
      <c r="N160" s="496"/>
      <c r="O160" s="292">
        <f t="shared" si="19"/>
        <v>41578</v>
      </c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T160" s="864"/>
      <c r="BU160" s="864"/>
    </row>
    <row r="161" spans="1:73" s="16" customFormat="1" ht="30.75" hidden="1" customHeight="1" thickBot="1">
      <c r="A161" s="446"/>
      <c r="B161" s="359"/>
      <c r="C161" s="1516"/>
      <c r="D161" s="436" t="s">
        <v>197</v>
      </c>
      <c r="E161" s="294">
        <v>34</v>
      </c>
      <c r="F161" s="295">
        <v>106</v>
      </c>
      <c r="G161" s="364"/>
      <c r="H161" s="295">
        <v>64</v>
      </c>
      <c r="I161" s="480">
        <v>0</v>
      </c>
      <c r="J161" s="362"/>
      <c r="K161" s="297">
        <f t="shared" si="20"/>
        <v>-64</v>
      </c>
      <c r="L161" s="378">
        <f t="shared" si="21"/>
        <v>0.60444444444444445</v>
      </c>
      <c r="M161" s="298">
        <f t="shared" si="17"/>
        <v>0</v>
      </c>
      <c r="N161" s="496"/>
      <c r="O161" s="292">
        <f t="shared" si="19"/>
        <v>41578</v>
      </c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T161" s="864"/>
      <c r="BU161" s="864"/>
    </row>
    <row r="162" spans="1:73" s="16" customFormat="1" ht="30.75" hidden="1" customHeight="1" thickBot="1">
      <c r="A162" s="446"/>
      <c r="B162" s="359"/>
      <c r="C162" s="1516"/>
      <c r="D162" s="436" t="s">
        <v>198</v>
      </c>
      <c r="E162" s="294">
        <v>34</v>
      </c>
      <c r="F162" s="295">
        <v>106</v>
      </c>
      <c r="G162" s="364"/>
      <c r="H162" s="295">
        <v>64</v>
      </c>
      <c r="I162" s="480">
        <v>0</v>
      </c>
      <c r="J162" s="362"/>
      <c r="K162" s="297">
        <f t="shared" si="20"/>
        <v>-64</v>
      </c>
      <c r="L162" s="378">
        <f t="shared" si="21"/>
        <v>0.60444444444444445</v>
      </c>
      <c r="M162" s="298">
        <f t="shared" si="17"/>
        <v>0</v>
      </c>
      <c r="N162" s="496"/>
      <c r="O162" s="292">
        <f t="shared" si="19"/>
        <v>41578</v>
      </c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T162" s="864"/>
      <c r="BU162" s="864"/>
    </row>
    <row r="163" spans="1:73" s="16" customFormat="1" ht="30.75" hidden="1" customHeight="1" thickBot="1">
      <c r="A163" s="446"/>
      <c r="B163" s="359"/>
      <c r="C163" s="1516"/>
      <c r="D163" s="436" t="s">
        <v>199</v>
      </c>
      <c r="E163" s="294">
        <v>34</v>
      </c>
      <c r="F163" s="295">
        <v>106</v>
      </c>
      <c r="G163" s="364"/>
      <c r="H163" s="295">
        <v>64</v>
      </c>
      <c r="I163" s="480">
        <v>0</v>
      </c>
      <c r="J163" s="362"/>
      <c r="K163" s="297">
        <f t="shared" si="20"/>
        <v>-64</v>
      </c>
      <c r="L163" s="378">
        <f t="shared" si="21"/>
        <v>0.60444444444444445</v>
      </c>
      <c r="M163" s="298">
        <f t="shared" si="17"/>
        <v>0</v>
      </c>
      <c r="N163" s="496"/>
      <c r="O163" s="292">
        <f t="shared" si="19"/>
        <v>41578</v>
      </c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T163" s="864"/>
      <c r="BU163" s="864"/>
    </row>
    <row r="164" spans="1:73" s="16" customFormat="1" ht="30.75" hidden="1" customHeight="1" thickBot="1">
      <c r="A164" s="446"/>
      <c r="B164" s="359"/>
      <c r="C164" s="1516"/>
      <c r="D164" s="436" t="s">
        <v>200</v>
      </c>
      <c r="E164" s="294">
        <v>34</v>
      </c>
      <c r="F164" s="295">
        <v>106</v>
      </c>
      <c r="G164" s="364"/>
      <c r="H164" s="295">
        <v>64</v>
      </c>
      <c r="I164" s="480">
        <v>0</v>
      </c>
      <c r="J164" s="362"/>
      <c r="K164" s="297">
        <f t="shared" si="20"/>
        <v>-64</v>
      </c>
      <c r="L164" s="378">
        <f t="shared" si="21"/>
        <v>0.60444444444444445</v>
      </c>
      <c r="M164" s="298">
        <f t="shared" si="17"/>
        <v>0</v>
      </c>
      <c r="N164" s="496"/>
      <c r="O164" s="292">
        <f t="shared" si="19"/>
        <v>41578</v>
      </c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T164" s="864"/>
      <c r="BU164" s="864"/>
    </row>
    <row r="165" spans="1:73" s="16" customFormat="1" ht="30.75" hidden="1" customHeight="1" thickBot="1">
      <c r="A165" s="446"/>
      <c r="B165" s="359"/>
      <c r="C165" s="1516"/>
      <c r="D165" s="436" t="s">
        <v>201</v>
      </c>
      <c r="E165" s="294">
        <v>34</v>
      </c>
      <c r="F165" s="295">
        <v>106</v>
      </c>
      <c r="G165" s="364"/>
      <c r="H165" s="295">
        <v>64</v>
      </c>
      <c r="I165" s="480">
        <v>0</v>
      </c>
      <c r="J165" s="362"/>
      <c r="K165" s="297">
        <f t="shared" si="20"/>
        <v>-64</v>
      </c>
      <c r="L165" s="378">
        <f t="shared" si="21"/>
        <v>0.60444444444444445</v>
      </c>
      <c r="M165" s="298">
        <f t="shared" ref="M165:M194" si="22">I165/H165</f>
        <v>0</v>
      </c>
      <c r="N165" s="496"/>
      <c r="O165" s="292">
        <f t="shared" si="19"/>
        <v>41578</v>
      </c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T165" s="864"/>
      <c r="BU165" s="864"/>
    </row>
    <row r="166" spans="1:73" s="16" customFormat="1" ht="30.75" hidden="1" customHeight="1" thickBot="1">
      <c r="A166" s="446"/>
      <c r="B166" s="359"/>
      <c r="C166" s="1516"/>
      <c r="D166" s="436" t="s">
        <v>202</v>
      </c>
      <c r="E166" s="294">
        <v>34</v>
      </c>
      <c r="F166" s="295">
        <v>106</v>
      </c>
      <c r="G166" s="364"/>
      <c r="H166" s="295">
        <v>64</v>
      </c>
      <c r="I166" s="480">
        <v>0</v>
      </c>
      <c r="J166" s="362"/>
      <c r="K166" s="297">
        <f t="shared" si="20"/>
        <v>-64</v>
      </c>
      <c r="L166" s="378">
        <f t="shared" si="21"/>
        <v>0.60444444444444445</v>
      </c>
      <c r="M166" s="298">
        <f t="shared" si="22"/>
        <v>0</v>
      </c>
      <c r="N166" s="496"/>
      <c r="O166" s="292">
        <f t="shared" si="19"/>
        <v>41578</v>
      </c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T166" s="864"/>
      <c r="BU166" s="864"/>
    </row>
    <row r="167" spans="1:73" s="16" customFormat="1" ht="30.75" hidden="1" customHeight="1" thickBot="1">
      <c r="A167" s="446"/>
      <c r="B167" s="359"/>
      <c r="C167" s="1516"/>
      <c r="D167" s="436" t="s">
        <v>203</v>
      </c>
      <c r="E167" s="294">
        <v>34</v>
      </c>
      <c r="F167" s="295">
        <v>106</v>
      </c>
      <c r="G167" s="364"/>
      <c r="H167" s="295">
        <v>64</v>
      </c>
      <c r="I167" s="480">
        <v>0</v>
      </c>
      <c r="J167" s="362"/>
      <c r="K167" s="297">
        <f>I167-H167</f>
        <v>-64</v>
      </c>
      <c r="L167" s="378">
        <f t="shared" si="21"/>
        <v>0.60444444444444445</v>
      </c>
      <c r="M167" s="298">
        <f t="shared" si="22"/>
        <v>0</v>
      </c>
      <c r="N167" s="496"/>
      <c r="O167" s="292">
        <f t="shared" si="19"/>
        <v>41578</v>
      </c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T167" s="864"/>
      <c r="BU167" s="864"/>
    </row>
    <row r="168" spans="1:73" s="16" customFormat="1" ht="30.75" hidden="1" customHeight="1" thickBot="1">
      <c r="A168" s="446"/>
      <c r="B168" s="359"/>
      <c r="C168" s="1515"/>
      <c r="D168" s="435" t="s">
        <v>204</v>
      </c>
      <c r="E168" s="294">
        <v>34</v>
      </c>
      <c r="F168" s="295">
        <v>106</v>
      </c>
      <c r="G168" s="363"/>
      <c r="H168" s="295">
        <v>64</v>
      </c>
      <c r="I168" s="480">
        <v>0</v>
      </c>
      <c r="J168" s="362"/>
      <c r="K168" s="297">
        <f t="shared" si="20"/>
        <v>-64</v>
      </c>
      <c r="L168" s="378">
        <f t="shared" si="21"/>
        <v>0.60444444444444445</v>
      </c>
      <c r="M168" s="298">
        <f t="shared" si="22"/>
        <v>0</v>
      </c>
      <c r="N168" s="496"/>
      <c r="O168" s="292">
        <f t="shared" si="19"/>
        <v>41578</v>
      </c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T168" s="864"/>
      <c r="BU168" s="864"/>
    </row>
    <row r="169" spans="1:73" s="16" customFormat="1" ht="30.75" hidden="1" customHeight="1" thickBot="1">
      <c r="A169" s="446"/>
      <c r="B169" s="359"/>
      <c r="C169" s="1514" t="s">
        <v>238</v>
      </c>
      <c r="D169" s="434" t="s">
        <v>206</v>
      </c>
      <c r="E169" s="294">
        <v>34</v>
      </c>
      <c r="F169" s="295">
        <v>106</v>
      </c>
      <c r="G169" s="361"/>
      <c r="H169" s="295">
        <v>64</v>
      </c>
      <c r="I169" s="480">
        <v>0</v>
      </c>
      <c r="J169" s="362"/>
      <c r="K169" s="297">
        <f>I169-H169</f>
        <v>-64</v>
      </c>
      <c r="L169" s="378">
        <f t="shared" si="21"/>
        <v>0.60444444444444445</v>
      </c>
      <c r="M169" s="298">
        <f t="shared" si="22"/>
        <v>0</v>
      </c>
      <c r="N169" s="496"/>
      <c r="O169" s="292">
        <f t="shared" si="19"/>
        <v>41578</v>
      </c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T169" s="864"/>
      <c r="BU169" s="864"/>
    </row>
    <row r="170" spans="1:73" s="16" customFormat="1" ht="30.75" hidden="1" customHeight="1" thickBot="1">
      <c r="A170" s="446"/>
      <c r="B170" s="359"/>
      <c r="C170" s="1516"/>
      <c r="D170" s="436" t="s">
        <v>207</v>
      </c>
      <c r="E170" s="294">
        <v>34</v>
      </c>
      <c r="F170" s="295">
        <v>106</v>
      </c>
      <c r="G170" s="364"/>
      <c r="H170" s="295">
        <v>64</v>
      </c>
      <c r="I170" s="480">
        <v>0</v>
      </c>
      <c r="J170" s="362"/>
      <c r="K170" s="297">
        <f t="shared" si="20"/>
        <v>-64</v>
      </c>
      <c r="L170" s="378">
        <f t="shared" si="21"/>
        <v>0.60444444444444445</v>
      </c>
      <c r="M170" s="298">
        <f t="shared" si="22"/>
        <v>0</v>
      </c>
      <c r="N170" s="496"/>
      <c r="O170" s="292">
        <f t="shared" si="19"/>
        <v>41578</v>
      </c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T170" s="864"/>
      <c r="BU170" s="864"/>
    </row>
    <row r="171" spans="1:73" s="16" customFormat="1" ht="30.75" hidden="1" customHeight="1" thickBot="1">
      <c r="A171" s="446"/>
      <c r="B171" s="359"/>
      <c r="C171" s="1516"/>
      <c r="D171" s="436" t="s">
        <v>208</v>
      </c>
      <c r="E171" s="294">
        <v>34</v>
      </c>
      <c r="F171" s="295">
        <v>106</v>
      </c>
      <c r="G171" s="364"/>
      <c r="H171" s="295">
        <v>64</v>
      </c>
      <c r="I171" s="480">
        <v>0</v>
      </c>
      <c r="J171" s="362"/>
      <c r="K171" s="297">
        <f t="shared" si="20"/>
        <v>-64</v>
      </c>
      <c r="L171" s="378">
        <f t="shared" si="21"/>
        <v>0.60444444444444445</v>
      </c>
      <c r="M171" s="298">
        <f t="shared" si="22"/>
        <v>0</v>
      </c>
      <c r="N171" s="496"/>
      <c r="O171" s="292">
        <f t="shared" si="19"/>
        <v>41578</v>
      </c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T171" s="864"/>
      <c r="BU171" s="864"/>
    </row>
    <row r="172" spans="1:73" s="16" customFormat="1" ht="30.75" hidden="1" customHeight="1" thickBot="1">
      <c r="A172" s="446"/>
      <c r="B172" s="359"/>
      <c r="C172" s="1516"/>
      <c r="D172" s="436" t="s">
        <v>209</v>
      </c>
      <c r="E172" s="294">
        <v>34</v>
      </c>
      <c r="F172" s="295">
        <v>106</v>
      </c>
      <c r="G172" s="364"/>
      <c r="H172" s="295">
        <v>64</v>
      </c>
      <c r="I172" s="480">
        <v>0</v>
      </c>
      <c r="J172" s="362"/>
      <c r="K172" s="297">
        <f t="shared" si="20"/>
        <v>-64</v>
      </c>
      <c r="L172" s="378">
        <f t="shared" si="21"/>
        <v>0.60444444444444445</v>
      </c>
      <c r="M172" s="298">
        <f t="shared" si="22"/>
        <v>0</v>
      </c>
      <c r="N172" s="496"/>
      <c r="O172" s="292">
        <f t="shared" si="19"/>
        <v>41578</v>
      </c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T172" s="864"/>
      <c r="BU172" s="864"/>
    </row>
    <row r="173" spans="1:73" s="16" customFormat="1" ht="30.75" hidden="1" customHeight="1" thickBot="1">
      <c r="A173" s="446"/>
      <c r="B173" s="359"/>
      <c r="C173" s="1516"/>
      <c r="D173" s="436" t="s">
        <v>210</v>
      </c>
      <c r="E173" s="294">
        <v>34</v>
      </c>
      <c r="F173" s="295">
        <v>106</v>
      </c>
      <c r="G173" s="364"/>
      <c r="H173" s="295">
        <v>64</v>
      </c>
      <c r="I173" s="480">
        <v>0</v>
      </c>
      <c r="J173" s="362"/>
      <c r="K173" s="297">
        <f t="shared" si="20"/>
        <v>-64</v>
      </c>
      <c r="L173" s="378">
        <f t="shared" si="21"/>
        <v>0.60444444444444445</v>
      </c>
      <c r="M173" s="298">
        <f t="shared" si="22"/>
        <v>0</v>
      </c>
      <c r="N173" s="496"/>
      <c r="O173" s="292">
        <f t="shared" si="19"/>
        <v>41578</v>
      </c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T173" s="864"/>
      <c r="BU173" s="864"/>
    </row>
    <row r="174" spans="1:73" s="16" customFormat="1" ht="30.75" hidden="1" customHeight="1" thickBot="1">
      <c r="A174" s="446"/>
      <c r="B174" s="359"/>
      <c r="C174" s="1516"/>
      <c r="D174" s="436" t="s">
        <v>211</v>
      </c>
      <c r="E174" s="294">
        <v>34</v>
      </c>
      <c r="F174" s="295">
        <v>106</v>
      </c>
      <c r="G174" s="364"/>
      <c r="H174" s="295">
        <v>64</v>
      </c>
      <c r="I174" s="480">
        <v>0</v>
      </c>
      <c r="J174" s="362"/>
      <c r="K174" s="297">
        <f t="shared" si="20"/>
        <v>-64</v>
      </c>
      <c r="L174" s="378">
        <f t="shared" si="21"/>
        <v>0.60444444444444445</v>
      </c>
      <c r="M174" s="298">
        <f t="shared" si="22"/>
        <v>0</v>
      </c>
      <c r="N174" s="496"/>
      <c r="O174" s="292">
        <f t="shared" si="19"/>
        <v>41578</v>
      </c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T174" s="864"/>
      <c r="BU174" s="864"/>
    </row>
    <row r="175" spans="1:73" s="16" customFormat="1" ht="30.75" hidden="1" customHeight="1" thickBot="1">
      <c r="A175" s="446"/>
      <c r="B175" s="359"/>
      <c r="C175" s="1516"/>
      <c r="D175" s="436" t="s">
        <v>212</v>
      </c>
      <c r="E175" s="294">
        <v>34</v>
      </c>
      <c r="F175" s="295">
        <v>106</v>
      </c>
      <c r="G175" s="364"/>
      <c r="H175" s="295">
        <v>64</v>
      </c>
      <c r="I175" s="480">
        <v>0</v>
      </c>
      <c r="J175" s="362"/>
      <c r="K175" s="297">
        <f t="shared" si="20"/>
        <v>-64</v>
      </c>
      <c r="L175" s="378">
        <f t="shared" si="21"/>
        <v>0.60444444444444445</v>
      </c>
      <c r="M175" s="298">
        <f t="shared" si="22"/>
        <v>0</v>
      </c>
      <c r="N175" s="496"/>
      <c r="O175" s="292">
        <f t="shared" si="19"/>
        <v>41578</v>
      </c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T175" s="864"/>
      <c r="BU175" s="864"/>
    </row>
    <row r="176" spans="1:73" s="16" customFormat="1" ht="30.75" hidden="1" customHeight="1" thickBot="1">
      <c r="A176" s="446"/>
      <c r="B176" s="359"/>
      <c r="C176" s="1516"/>
      <c r="D176" s="436" t="s">
        <v>213</v>
      </c>
      <c r="E176" s="294">
        <v>34</v>
      </c>
      <c r="F176" s="295">
        <v>106</v>
      </c>
      <c r="G176" s="364"/>
      <c r="H176" s="295">
        <v>64</v>
      </c>
      <c r="I176" s="480">
        <v>0</v>
      </c>
      <c r="J176" s="362"/>
      <c r="K176" s="297">
        <f t="shared" si="20"/>
        <v>-64</v>
      </c>
      <c r="L176" s="378">
        <f t="shared" si="21"/>
        <v>0.60444444444444445</v>
      </c>
      <c r="M176" s="298">
        <f t="shared" si="22"/>
        <v>0</v>
      </c>
      <c r="N176" s="496"/>
      <c r="O176" s="292">
        <f t="shared" si="19"/>
        <v>41578</v>
      </c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T176" s="864"/>
      <c r="BU176" s="864"/>
    </row>
    <row r="177" spans="1:73" s="16" customFormat="1" ht="30.75" hidden="1" customHeight="1" thickBot="1">
      <c r="A177" s="446"/>
      <c r="B177" s="359"/>
      <c r="C177" s="1516"/>
      <c r="D177" s="436" t="s">
        <v>214</v>
      </c>
      <c r="E177" s="294">
        <v>34</v>
      </c>
      <c r="F177" s="295">
        <v>106</v>
      </c>
      <c r="G177" s="364"/>
      <c r="H177" s="295">
        <v>64</v>
      </c>
      <c r="I177" s="480">
        <v>0</v>
      </c>
      <c r="J177" s="362"/>
      <c r="K177" s="297">
        <f>I177-H177</f>
        <v>-64</v>
      </c>
      <c r="L177" s="378">
        <f t="shared" si="21"/>
        <v>0.60444444444444445</v>
      </c>
      <c r="M177" s="298">
        <f t="shared" si="22"/>
        <v>0</v>
      </c>
      <c r="N177" s="496"/>
      <c r="O177" s="292">
        <f t="shared" si="19"/>
        <v>41578</v>
      </c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T177" s="864"/>
      <c r="BU177" s="864"/>
    </row>
    <row r="178" spans="1:73" s="16" customFormat="1" ht="30.75" hidden="1" customHeight="1" thickBot="1">
      <c r="A178" s="446"/>
      <c r="B178" s="359"/>
      <c r="C178" s="1515"/>
      <c r="D178" s="435" t="s">
        <v>215</v>
      </c>
      <c r="E178" s="294">
        <v>34</v>
      </c>
      <c r="F178" s="295">
        <v>106</v>
      </c>
      <c r="G178" s="363"/>
      <c r="H178" s="295">
        <v>64</v>
      </c>
      <c r="I178" s="480">
        <v>0</v>
      </c>
      <c r="J178" s="362"/>
      <c r="K178" s="297">
        <f t="shared" si="20"/>
        <v>-64</v>
      </c>
      <c r="L178" s="378">
        <f t="shared" si="21"/>
        <v>0.60444444444444445</v>
      </c>
      <c r="M178" s="298">
        <f t="shared" si="22"/>
        <v>0</v>
      </c>
      <c r="N178" s="496"/>
      <c r="O178" s="292">
        <f t="shared" si="19"/>
        <v>41578</v>
      </c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T178" s="864"/>
      <c r="BU178" s="864"/>
    </row>
    <row r="179" spans="1:73" s="16" customFormat="1" ht="30.75" hidden="1" customHeight="1" thickBot="1">
      <c r="A179" s="446"/>
      <c r="B179" s="359"/>
      <c r="C179" s="1514" t="s">
        <v>239</v>
      </c>
      <c r="D179" s="434" t="s">
        <v>221</v>
      </c>
      <c r="E179" s="294">
        <v>26</v>
      </c>
      <c r="F179" s="295">
        <v>138</v>
      </c>
      <c r="G179" s="361"/>
      <c r="H179" s="295">
        <v>128</v>
      </c>
      <c r="I179" s="480">
        <v>0</v>
      </c>
      <c r="J179" s="362"/>
      <c r="K179" s="297">
        <f t="shared" si="20"/>
        <v>-128</v>
      </c>
      <c r="L179" s="378">
        <f t="shared" si="21"/>
        <v>0.9244444444444444</v>
      </c>
      <c r="M179" s="298">
        <f t="shared" si="22"/>
        <v>0</v>
      </c>
      <c r="N179" s="496"/>
      <c r="O179" s="292">
        <f t="shared" si="19"/>
        <v>41578</v>
      </c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T179" s="864"/>
      <c r="BU179" s="864"/>
    </row>
    <row r="180" spans="1:73" s="16" customFormat="1" ht="30.75" hidden="1" customHeight="1" thickBot="1">
      <c r="A180" s="446"/>
      <c r="B180" s="359"/>
      <c r="C180" s="1515"/>
      <c r="D180" s="435" t="s">
        <v>222</v>
      </c>
      <c r="E180" s="294">
        <v>26</v>
      </c>
      <c r="F180" s="295">
        <v>138</v>
      </c>
      <c r="G180" s="363"/>
      <c r="H180" s="295">
        <v>128</v>
      </c>
      <c r="I180" s="480">
        <v>0</v>
      </c>
      <c r="J180" s="362"/>
      <c r="K180" s="297">
        <f t="shared" si="20"/>
        <v>-128</v>
      </c>
      <c r="L180" s="378">
        <f t="shared" si="21"/>
        <v>0.9244444444444444</v>
      </c>
      <c r="M180" s="298">
        <f t="shared" si="22"/>
        <v>0</v>
      </c>
      <c r="N180" s="496"/>
      <c r="O180" s="292">
        <f t="shared" ref="O180:O194" si="23">+$O$5+M180</f>
        <v>41578</v>
      </c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T180" s="864"/>
      <c r="BU180" s="864"/>
    </row>
    <row r="181" spans="1:73" s="16" customFormat="1" ht="30.75" hidden="1" customHeight="1" thickBot="1">
      <c r="A181" s="446"/>
      <c r="B181" s="359"/>
      <c r="C181" s="1514" t="s">
        <v>240</v>
      </c>
      <c r="D181" s="434" t="s">
        <v>224</v>
      </c>
      <c r="E181" s="294">
        <v>24</v>
      </c>
      <c r="F181" s="295">
        <v>150</v>
      </c>
      <c r="G181" s="361"/>
      <c r="H181" s="295">
        <v>128</v>
      </c>
      <c r="I181" s="480">
        <v>0</v>
      </c>
      <c r="J181" s="362"/>
      <c r="K181" s="297">
        <f t="shared" si="20"/>
        <v>-128</v>
      </c>
      <c r="L181" s="378">
        <f t="shared" si="21"/>
        <v>0.85333333333333339</v>
      </c>
      <c r="M181" s="298">
        <f t="shared" si="22"/>
        <v>0</v>
      </c>
      <c r="N181" s="496"/>
      <c r="O181" s="292">
        <f t="shared" si="23"/>
        <v>41578</v>
      </c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T181" s="864"/>
      <c r="BU181" s="864"/>
    </row>
    <row r="182" spans="1:73" s="16" customFormat="1" ht="30.75" hidden="1" customHeight="1" thickBot="1">
      <c r="A182" s="446"/>
      <c r="B182" s="359"/>
      <c r="C182" s="1515"/>
      <c r="D182" s="435" t="s">
        <v>225</v>
      </c>
      <c r="E182" s="294">
        <v>24</v>
      </c>
      <c r="F182" s="295">
        <v>150</v>
      </c>
      <c r="G182" s="363"/>
      <c r="H182" s="295">
        <v>128</v>
      </c>
      <c r="I182" s="480">
        <v>0</v>
      </c>
      <c r="J182" s="362"/>
      <c r="K182" s="297">
        <f t="shared" si="20"/>
        <v>-128</v>
      </c>
      <c r="L182" s="378">
        <f t="shared" si="21"/>
        <v>0.85333333333333339</v>
      </c>
      <c r="M182" s="298">
        <f t="shared" si="22"/>
        <v>0</v>
      </c>
      <c r="N182" s="496"/>
      <c r="O182" s="292">
        <f t="shared" si="23"/>
        <v>41578</v>
      </c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T182" s="864"/>
      <c r="BU182" s="864"/>
    </row>
    <row r="183" spans="1:73" s="16" customFormat="1" ht="30.75" hidden="1" customHeight="1" thickBot="1">
      <c r="A183" s="446"/>
      <c r="B183" s="359"/>
      <c r="C183" s="360" t="s">
        <v>242</v>
      </c>
      <c r="D183" s="438" t="s">
        <v>227</v>
      </c>
      <c r="E183" s="338">
        <v>33</v>
      </c>
      <c r="F183" s="339">
        <v>109</v>
      </c>
      <c r="G183" s="370"/>
      <c r="H183" s="295">
        <v>128</v>
      </c>
      <c r="I183" s="480">
        <v>0</v>
      </c>
      <c r="J183" s="372"/>
      <c r="K183" s="340">
        <f t="shared" si="20"/>
        <v>-128</v>
      </c>
      <c r="L183" s="378">
        <f t="shared" si="21"/>
        <v>1.1733333333333333</v>
      </c>
      <c r="M183" s="330">
        <f t="shared" si="22"/>
        <v>0</v>
      </c>
      <c r="N183" s="500"/>
      <c r="O183" s="351">
        <f t="shared" si="23"/>
        <v>41578</v>
      </c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T183" s="864"/>
      <c r="BU183" s="864"/>
    </row>
    <row r="184" spans="1:73" ht="30.75" hidden="1" customHeight="1" thickBot="1">
      <c r="A184" s="1484"/>
      <c r="B184" s="1487" t="s">
        <v>336</v>
      </c>
      <c r="C184" s="311" t="s">
        <v>98</v>
      </c>
      <c r="D184" s="422" t="s">
        <v>428</v>
      </c>
      <c r="E184" s="294">
        <v>69</v>
      </c>
      <c r="F184" s="295">
        <f t="shared" ref="F184:F190" si="24">3600/E184</f>
        <v>52.173913043478258</v>
      </c>
      <c r="G184" s="295">
        <v>1</v>
      </c>
      <c r="H184" s="295">
        <f>BY19</f>
        <v>100</v>
      </c>
      <c r="I184" s="480">
        <v>0</v>
      </c>
      <c r="J184" s="297">
        <v>468</v>
      </c>
      <c r="K184" s="295">
        <f>I184-H184</f>
        <v>-100</v>
      </c>
      <c r="L184" s="378">
        <f t="shared" si="21"/>
        <v>1.9166666666666667</v>
      </c>
      <c r="M184" s="298">
        <f t="shared" si="22"/>
        <v>0</v>
      </c>
      <c r="N184" s="493">
        <f>M184*2</f>
        <v>0</v>
      </c>
      <c r="O184" s="299">
        <f t="shared" si="23"/>
        <v>41578</v>
      </c>
      <c r="P184" s="47"/>
      <c r="Q184" s="48"/>
      <c r="R184" s="49"/>
      <c r="S184" s="49"/>
      <c r="T184" s="50"/>
      <c r="U184" s="50"/>
      <c r="V184" s="50"/>
      <c r="W184" s="68"/>
      <c r="X184" s="68">
        <v>1</v>
      </c>
      <c r="Y184" s="67">
        <v>1</v>
      </c>
      <c r="Z184" s="569"/>
      <c r="AA184" s="570"/>
      <c r="AB184" s="571"/>
      <c r="AC184" s="569"/>
      <c r="AD184" s="570"/>
      <c r="AE184" s="571"/>
      <c r="AF184" s="569"/>
      <c r="AG184" s="570"/>
      <c r="AH184" s="571"/>
      <c r="AI184" s="13"/>
      <c r="AJ184" s="11"/>
      <c r="AK184" s="12"/>
      <c r="AL184" s="13"/>
      <c r="AM184" s="11"/>
      <c r="AN184" s="12"/>
      <c r="AO184" s="30"/>
      <c r="AP184" s="31"/>
      <c r="AQ184" s="32"/>
      <c r="AR184" s="30"/>
      <c r="AS184" s="31"/>
      <c r="AT184" s="32"/>
      <c r="AU184" s="30"/>
      <c r="AV184" s="31"/>
      <c r="AW184" s="32"/>
      <c r="AX184" s="30"/>
      <c r="AY184" s="31"/>
      <c r="AZ184" s="32"/>
      <c r="BA184" s="30"/>
      <c r="BB184" s="31"/>
      <c r="BC184" s="32"/>
      <c r="BD184" s="30"/>
      <c r="BE184" s="31"/>
      <c r="BF184" s="32"/>
      <c r="BG184" s="30"/>
      <c r="BH184" s="31"/>
      <c r="BI184" s="32"/>
      <c r="BT184" s="864"/>
      <c r="BU184" s="864"/>
    </row>
    <row r="185" spans="1:73" ht="30.75" hidden="1" customHeight="1" thickBot="1">
      <c r="A185" s="1485"/>
      <c r="B185" s="1487"/>
      <c r="C185" s="311" t="s">
        <v>99</v>
      </c>
      <c r="D185" s="422" t="s">
        <v>429</v>
      </c>
      <c r="E185" s="294">
        <v>69</v>
      </c>
      <c r="F185" s="295">
        <f t="shared" si="24"/>
        <v>52.173913043478258</v>
      </c>
      <c r="G185" s="295">
        <v>1</v>
      </c>
      <c r="H185" s="295">
        <v>4</v>
      </c>
      <c r="I185" s="480">
        <v>0</v>
      </c>
      <c r="J185" s="297">
        <v>234</v>
      </c>
      <c r="K185" s="295">
        <f>I185-H185</f>
        <v>-4</v>
      </c>
      <c r="L185" s="378">
        <f t="shared" si="21"/>
        <v>7.6666666666666661E-2</v>
      </c>
      <c r="M185" s="298">
        <f t="shared" si="22"/>
        <v>0</v>
      </c>
      <c r="N185" s="493">
        <f>M185*2</f>
        <v>0</v>
      </c>
      <c r="O185" s="299">
        <f t="shared" si="23"/>
        <v>41578</v>
      </c>
      <c r="P185" s="35"/>
      <c r="Q185" s="36"/>
      <c r="R185" s="40"/>
      <c r="S185" s="40"/>
      <c r="T185" s="39"/>
      <c r="U185" s="39"/>
      <c r="V185" s="39"/>
      <c r="W185" s="64">
        <v>1</v>
      </c>
      <c r="X185" s="39"/>
      <c r="Y185" s="40"/>
      <c r="Z185" s="504"/>
      <c r="AA185" s="505"/>
      <c r="AB185" s="544"/>
      <c r="AC185" s="504"/>
      <c r="AD185" s="505"/>
      <c r="AE185" s="544"/>
      <c r="AF185" s="504"/>
      <c r="AG185" s="505"/>
      <c r="AH185" s="544"/>
      <c r="AI185" s="531"/>
      <c r="AJ185" s="533"/>
      <c r="AK185" s="535"/>
      <c r="AL185" s="531"/>
      <c r="AM185" s="533"/>
      <c r="AN185" s="535"/>
      <c r="AO185" s="537"/>
      <c r="AP185" s="539"/>
      <c r="AQ185" s="541"/>
      <c r="AR185" s="537"/>
      <c r="AS185" s="539"/>
      <c r="AT185" s="541"/>
      <c r="AU185" s="537"/>
      <c r="AV185" s="539"/>
      <c r="AW185" s="541"/>
      <c r="AX185" s="537"/>
      <c r="AY185" s="539"/>
      <c r="AZ185" s="541"/>
      <c r="BA185" s="537"/>
      <c r="BB185" s="539"/>
      <c r="BC185" s="541"/>
      <c r="BD185" s="537"/>
      <c r="BE185" s="539"/>
      <c r="BF185" s="541"/>
      <c r="BG185" s="537"/>
      <c r="BH185" s="539"/>
      <c r="BI185" s="541"/>
      <c r="BT185" s="864"/>
      <c r="BU185" s="864"/>
    </row>
    <row r="186" spans="1:73" ht="30.75" hidden="1" customHeight="1" thickBot="1">
      <c r="A186" s="1485"/>
      <c r="B186" s="1487" t="s">
        <v>337</v>
      </c>
      <c r="C186" s="311" t="s">
        <v>100</v>
      </c>
      <c r="D186" s="422" t="s">
        <v>430</v>
      </c>
      <c r="E186" s="294">
        <v>65</v>
      </c>
      <c r="F186" s="295">
        <f t="shared" si="24"/>
        <v>55.384615384615387</v>
      </c>
      <c r="G186" s="295">
        <v>1</v>
      </c>
      <c r="H186" s="295">
        <f>BY19</f>
        <v>100</v>
      </c>
      <c r="I186" s="480">
        <v>0</v>
      </c>
      <c r="J186" s="297">
        <v>468</v>
      </c>
      <c r="K186" s="295">
        <f>I186-H186</f>
        <v>-100</v>
      </c>
      <c r="L186" s="378">
        <f t="shared" si="21"/>
        <v>1.8055555555555556</v>
      </c>
      <c r="M186" s="298">
        <f t="shared" si="22"/>
        <v>0</v>
      </c>
      <c r="N186" s="493">
        <f>M186*2</f>
        <v>0</v>
      </c>
      <c r="O186" s="299">
        <f t="shared" si="23"/>
        <v>41578</v>
      </c>
      <c r="P186" s="35"/>
      <c r="Q186" s="36"/>
      <c r="R186" s="40"/>
      <c r="S186" s="40"/>
      <c r="T186" s="64"/>
      <c r="U186" s="64">
        <v>1</v>
      </c>
      <c r="V186" s="64">
        <v>1</v>
      </c>
      <c r="W186" s="39"/>
      <c r="X186" s="39"/>
      <c r="Y186" s="40"/>
      <c r="Z186" s="504"/>
      <c r="AA186" s="505"/>
      <c r="AB186" s="544"/>
      <c r="AC186" s="504"/>
      <c r="AD186" s="505"/>
      <c r="AE186" s="544"/>
      <c r="AF186" s="504"/>
      <c r="AG186" s="505"/>
      <c r="AH186" s="544"/>
      <c r="AI186" s="531"/>
      <c r="AJ186" s="533"/>
      <c r="AK186" s="535"/>
      <c r="AL186" s="531"/>
      <c r="AM186" s="533"/>
      <c r="AN186" s="535"/>
      <c r="AO186" s="537"/>
      <c r="AP186" s="539"/>
      <c r="AQ186" s="541"/>
      <c r="AR186" s="537"/>
      <c r="AS186" s="539"/>
      <c r="AT186" s="541"/>
      <c r="AU186" s="537"/>
      <c r="AV186" s="539"/>
      <c r="AW186" s="541"/>
      <c r="AX186" s="537"/>
      <c r="AY186" s="539"/>
      <c r="AZ186" s="541"/>
      <c r="BA186" s="537"/>
      <c r="BB186" s="539"/>
      <c r="BC186" s="541"/>
      <c r="BD186" s="537"/>
      <c r="BE186" s="539"/>
      <c r="BF186" s="541"/>
      <c r="BG186" s="537"/>
      <c r="BH186" s="539"/>
      <c r="BI186" s="541"/>
      <c r="BT186" s="864"/>
      <c r="BU186" s="864"/>
    </row>
    <row r="187" spans="1:73" ht="30.75" hidden="1" customHeight="1" thickBot="1">
      <c r="A187" s="1486"/>
      <c r="B187" s="1488"/>
      <c r="C187" s="357" t="s">
        <v>101</v>
      </c>
      <c r="D187" s="425" t="s">
        <v>431</v>
      </c>
      <c r="E187" s="338">
        <v>65</v>
      </c>
      <c r="F187" s="339">
        <f t="shared" si="24"/>
        <v>55.384615384615387</v>
      </c>
      <c r="G187" s="339">
        <v>1</v>
      </c>
      <c r="H187" s="295">
        <v>4</v>
      </c>
      <c r="I187" s="480">
        <v>0</v>
      </c>
      <c r="J187" s="340">
        <v>234</v>
      </c>
      <c r="K187" s="339">
        <f>I187-H187</f>
        <v>-4</v>
      </c>
      <c r="L187" s="378">
        <f t="shared" si="21"/>
        <v>7.2222222222222215E-2</v>
      </c>
      <c r="M187" s="330">
        <f t="shared" si="22"/>
        <v>0</v>
      </c>
      <c r="N187" s="493">
        <f>M187*2</f>
        <v>0</v>
      </c>
      <c r="O187" s="341">
        <f t="shared" si="23"/>
        <v>41578</v>
      </c>
      <c r="P187" s="35"/>
      <c r="Q187" s="36"/>
      <c r="R187" s="40"/>
      <c r="S187" s="40"/>
      <c r="T187" s="64">
        <v>1</v>
      </c>
      <c r="U187" s="39"/>
      <c r="V187" s="39"/>
      <c r="W187" s="39"/>
      <c r="X187" s="39"/>
      <c r="Y187" s="40"/>
      <c r="Z187" s="504"/>
      <c r="AA187" s="505"/>
      <c r="AB187" s="544"/>
      <c r="AC187" s="504"/>
      <c r="AD187" s="505"/>
      <c r="AE187" s="544"/>
      <c r="AF187" s="504"/>
      <c r="AG187" s="505"/>
      <c r="AH187" s="544"/>
      <c r="AI187" s="531"/>
      <c r="AJ187" s="533"/>
      <c r="AK187" s="535"/>
      <c r="AL187" s="531"/>
      <c r="AM187" s="533"/>
      <c r="AN187" s="535"/>
      <c r="AO187" s="537"/>
      <c r="AP187" s="539"/>
      <c r="AQ187" s="541"/>
      <c r="AR187" s="537"/>
      <c r="AS187" s="539"/>
      <c r="AT187" s="541"/>
      <c r="AU187" s="537"/>
      <c r="AV187" s="539"/>
      <c r="AW187" s="541"/>
      <c r="AX187" s="537"/>
      <c r="AY187" s="539"/>
      <c r="AZ187" s="541"/>
      <c r="BA187" s="537"/>
      <c r="BB187" s="539"/>
      <c r="BC187" s="541"/>
      <c r="BD187" s="537"/>
      <c r="BE187" s="539"/>
      <c r="BF187" s="541"/>
      <c r="BG187" s="537"/>
      <c r="BH187" s="539"/>
      <c r="BI187" s="541"/>
      <c r="BT187" s="864"/>
      <c r="BU187" s="864"/>
    </row>
    <row r="188" spans="1:73" ht="38.25" customHeight="1" thickBot="1">
      <c r="A188" s="1501" t="s">
        <v>104</v>
      </c>
      <c r="B188" s="1504" t="s">
        <v>313</v>
      </c>
      <c r="C188" s="628" t="s">
        <v>63</v>
      </c>
      <c r="D188" s="629" t="s">
        <v>432</v>
      </c>
      <c r="E188" s="630">
        <v>47</v>
      </c>
      <c r="F188" s="630">
        <f t="shared" si="24"/>
        <v>76.59574468085107</v>
      </c>
      <c r="G188" s="631">
        <v>1</v>
      </c>
      <c r="H188" s="639">
        <f>BY17</f>
        <v>300</v>
      </c>
      <c r="I188" s="480">
        <v>0</v>
      </c>
      <c r="J188" s="632" t="s">
        <v>252</v>
      </c>
      <c r="K188" s="631">
        <v>1</v>
      </c>
      <c r="L188" s="378">
        <f t="shared" si="21"/>
        <v>3.9166666666666665</v>
      </c>
      <c r="M188" s="633">
        <f t="shared" si="22"/>
        <v>0</v>
      </c>
      <c r="N188" s="634">
        <f>M188</f>
        <v>0</v>
      </c>
      <c r="O188" s="635">
        <f t="shared" si="23"/>
        <v>41578</v>
      </c>
      <c r="P188" s="47"/>
      <c r="Q188" s="48"/>
      <c r="R188" s="49"/>
      <c r="S188" s="50"/>
      <c r="T188" s="1537"/>
      <c r="U188" s="1537">
        <v>1</v>
      </c>
      <c r="V188" s="1537">
        <v>1</v>
      </c>
      <c r="W188" s="1537">
        <v>1</v>
      </c>
      <c r="X188" s="1537">
        <v>1</v>
      </c>
      <c r="Y188" s="1538"/>
      <c r="Z188" s="1508"/>
      <c r="AA188" s="1510"/>
      <c r="AB188" s="1511"/>
      <c r="AC188" s="1508"/>
      <c r="AD188" s="1510"/>
      <c r="AE188" s="1511"/>
      <c r="AF188" s="1508"/>
      <c r="AG188" s="1510"/>
      <c r="AH188" s="1511"/>
      <c r="AI188" s="1508"/>
      <c r="AJ188" s="1510"/>
      <c r="AK188" s="1511"/>
      <c r="AL188" s="1508"/>
      <c r="AM188" s="1510"/>
      <c r="AN188" s="1511"/>
      <c r="AO188" s="1512"/>
      <c r="AP188" s="1513"/>
      <c r="AQ188" s="1533"/>
      <c r="AR188" s="1531"/>
      <c r="AS188" s="1532"/>
      <c r="AT188" s="1509"/>
      <c r="AU188" s="1531"/>
      <c r="AV188" s="1532"/>
      <c r="AW188" s="1509"/>
      <c r="AX188" s="1531"/>
      <c r="AY188" s="1532"/>
      <c r="AZ188" s="1509"/>
      <c r="BA188" s="1531"/>
      <c r="BB188" s="1532"/>
      <c r="BC188" s="1509"/>
      <c r="BD188" s="1531"/>
      <c r="BE188" s="1532"/>
      <c r="BF188" s="1509"/>
      <c r="BG188" s="1531"/>
      <c r="BH188" s="1532"/>
      <c r="BI188" s="1509"/>
      <c r="BP188" s="283">
        <v>3344</v>
      </c>
      <c r="BT188" s="1534">
        <v>2</v>
      </c>
      <c r="BU188" s="1546">
        <f>L188+L190+L191+L192+BT188</f>
        <v>17.695833333333333</v>
      </c>
    </row>
    <row r="189" spans="1:73" ht="46.5" customHeight="1" thickBot="1">
      <c r="A189" s="1502"/>
      <c r="B189" s="1505"/>
      <c r="C189" s="636" t="s">
        <v>64</v>
      </c>
      <c r="D189" s="637" t="s">
        <v>433</v>
      </c>
      <c r="E189" s="638">
        <v>47</v>
      </c>
      <c r="F189" s="638">
        <f t="shared" si="24"/>
        <v>76.59574468085107</v>
      </c>
      <c r="G189" s="639">
        <v>1</v>
      </c>
      <c r="H189" s="639">
        <f>BY17</f>
        <v>300</v>
      </c>
      <c r="I189" s="480">
        <v>0</v>
      </c>
      <c r="J189" s="640" t="s">
        <v>252</v>
      </c>
      <c r="K189" s="639">
        <v>1</v>
      </c>
      <c r="L189" s="378">
        <f t="shared" si="21"/>
        <v>3.9166666666666665</v>
      </c>
      <c r="M189" s="641">
        <f t="shared" si="22"/>
        <v>0</v>
      </c>
      <c r="N189" s="634">
        <f>M189</f>
        <v>0</v>
      </c>
      <c r="O189" s="642">
        <f t="shared" si="23"/>
        <v>41578</v>
      </c>
      <c r="P189" s="35"/>
      <c r="Q189" s="36"/>
      <c r="R189" s="40"/>
      <c r="S189" s="39"/>
      <c r="T189" s="1456"/>
      <c r="U189" s="1456">
        <v>1</v>
      </c>
      <c r="V189" s="1456">
        <v>1</v>
      </c>
      <c r="W189" s="1456">
        <v>1</v>
      </c>
      <c r="X189" s="1456">
        <v>1</v>
      </c>
      <c r="Y189" s="1457"/>
      <c r="Z189" s="1440"/>
      <c r="AA189" s="1441"/>
      <c r="AB189" s="1442"/>
      <c r="AC189" s="1440"/>
      <c r="AD189" s="1441"/>
      <c r="AE189" s="1442"/>
      <c r="AF189" s="1440"/>
      <c r="AG189" s="1441"/>
      <c r="AH189" s="1442"/>
      <c r="AI189" s="1440"/>
      <c r="AJ189" s="1441"/>
      <c r="AK189" s="1442"/>
      <c r="AL189" s="1440"/>
      <c r="AM189" s="1441"/>
      <c r="AN189" s="1442"/>
      <c r="AO189" s="1443"/>
      <c r="AP189" s="1444"/>
      <c r="AQ189" s="1464"/>
      <c r="AR189" s="1448"/>
      <c r="AS189" s="1450"/>
      <c r="AT189" s="1446"/>
      <c r="AU189" s="1448"/>
      <c r="AV189" s="1450"/>
      <c r="AW189" s="1446"/>
      <c r="AX189" s="1448"/>
      <c r="AY189" s="1450"/>
      <c r="AZ189" s="1446"/>
      <c r="BA189" s="1448"/>
      <c r="BB189" s="1450"/>
      <c r="BC189" s="1446"/>
      <c r="BD189" s="1448"/>
      <c r="BE189" s="1450"/>
      <c r="BF189" s="1446"/>
      <c r="BG189" s="1448"/>
      <c r="BH189" s="1450"/>
      <c r="BI189" s="1446"/>
      <c r="BP189" s="284">
        <v>3349</v>
      </c>
      <c r="BT189" s="1535"/>
      <c r="BU189" s="1547"/>
    </row>
    <row r="190" spans="1:73" ht="45" customHeight="1" thickBot="1">
      <c r="A190" s="1502"/>
      <c r="B190" s="643" t="s">
        <v>314</v>
      </c>
      <c r="C190" s="636" t="s">
        <v>65</v>
      </c>
      <c r="D190" s="637" t="s">
        <v>434</v>
      </c>
      <c r="E190" s="639">
        <v>55</v>
      </c>
      <c r="F190" s="639">
        <f t="shared" si="24"/>
        <v>65.454545454545453</v>
      </c>
      <c r="G190" s="639">
        <v>1</v>
      </c>
      <c r="H190" s="639">
        <f>BY17</f>
        <v>300</v>
      </c>
      <c r="I190" s="480">
        <v>0</v>
      </c>
      <c r="J190" s="640" t="s">
        <v>252</v>
      </c>
      <c r="K190" s="639">
        <v>1</v>
      </c>
      <c r="L190" s="378">
        <f t="shared" si="21"/>
        <v>4.583333333333333</v>
      </c>
      <c r="M190" s="641">
        <f t="shared" si="22"/>
        <v>0</v>
      </c>
      <c r="N190" s="634">
        <f>M190</f>
        <v>0</v>
      </c>
      <c r="O190" s="642">
        <f t="shared" si="23"/>
        <v>41578</v>
      </c>
      <c r="P190" s="35"/>
      <c r="Q190" s="36"/>
      <c r="R190" s="40"/>
      <c r="S190" s="39"/>
      <c r="T190" s="39"/>
      <c r="U190" s="39"/>
      <c r="V190" s="39"/>
      <c r="W190" s="39"/>
      <c r="X190" s="39"/>
      <c r="Y190" s="40"/>
      <c r="Z190" s="504"/>
      <c r="AA190" s="505"/>
      <c r="AB190" s="544"/>
      <c r="AC190" s="504"/>
      <c r="AD190" s="505">
        <v>20</v>
      </c>
      <c r="AE190" s="525"/>
      <c r="AF190" s="527"/>
      <c r="AG190" s="529"/>
      <c r="AH190" s="525"/>
      <c r="AI190" s="504"/>
      <c r="AJ190" s="505"/>
      <c r="AK190" s="544"/>
      <c r="AL190" s="504"/>
      <c r="AM190" s="505"/>
      <c r="AN190" s="544"/>
      <c r="AO190" s="545"/>
      <c r="AP190" s="546"/>
      <c r="AQ190" s="547"/>
      <c r="AR190" s="545"/>
      <c r="AS190" s="546"/>
      <c r="AT190" s="547"/>
      <c r="AU190" s="545"/>
      <c r="AV190" s="546"/>
      <c r="AW190" s="547"/>
      <c r="AX190" s="545"/>
      <c r="AY190" s="546"/>
      <c r="AZ190" s="547"/>
      <c r="BA190" s="545"/>
      <c r="BB190" s="546"/>
      <c r="BC190" s="547"/>
      <c r="BD190" s="545"/>
      <c r="BE190" s="546"/>
      <c r="BF190" s="547"/>
      <c r="BG190" s="545"/>
      <c r="BH190" s="546"/>
      <c r="BI190" s="547"/>
      <c r="BP190" s="284">
        <v>3714</v>
      </c>
      <c r="BT190" s="1535"/>
      <c r="BU190" s="1547"/>
    </row>
    <row r="191" spans="1:73" ht="37.5" customHeight="1" thickBot="1">
      <c r="A191" s="1502"/>
      <c r="B191" s="643" t="s">
        <v>315</v>
      </c>
      <c r="C191" s="636" t="s">
        <v>66</v>
      </c>
      <c r="D191" s="644" t="s">
        <v>435</v>
      </c>
      <c r="E191" s="638">
        <v>60.1</v>
      </c>
      <c r="F191" s="639">
        <f>3600/E191</f>
        <v>59.900166389351078</v>
      </c>
      <c r="G191" s="639">
        <v>1</v>
      </c>
      <c r="H191" s="639">
        <f>BY17</f>
        <v>300</v>
      </c>
      <c r="I191" s="480">
        <v>0</v>
      </c>
      <c r="J191" s="640">
        <v>1694</v>
      </c>
      <c r="K191" s="639">
        <v>1</v>
      </c>
      <c r="L191" s="378">
        <f t="shared" si="21"/>
        <v>5.0083333333333337</v>
      </c>
      <c r="M191" s="641">
        <f t="shared" si="22"/>
        <v>0</v>
      </c>
      <c r="N191" s="645">
        <f>M191*1.5</f>
        <v>0</v>
      </c>
      <c r="O191" s="642">
        <f t="shared" si="23"/>
        <v>41578</v>
      </c>
      <c r="P191" s="35"/>
      <c r="Q191" s="36"/>
      <c r="R191" s="40"/>
      <c r="S191" s="40"/>
      <c r="T191" s="39"/>
      <c r="U191" s="39"/>
      <c r="V191" s="39"/>
      <c r="W191" s="39"/>
      <c r="X191" s="39"/>
      <c r="Y191" s="40"/>
      <c r="Z191" s="504"/>
      <c r="AA191" s="505"/>
      <c r="AB191" s="525">
        <v>22</v>
      </c>
      <c r="AC191" s="527"/>
      <c r="AD191" s="529"/>
      <c r="AE191" s="544"/>
      <c r="AF191" s="504"/>
      <c r="AG191" s="505"/>
      <c r="AH191" s="544"/>
      <c r="AI191" s="527"/>
      <c r="AJ191" s="505"/>
      <c r="AK191" s="544"/>
      <c r="AL191" s="504"/>
      <c r="AM191" s="505"/>
      <c r="AN191" s="8"/>
      <c r="AO191" s="545"/>
      <c r="AP191" s="546"/>
      <c r="AQ191" s="547"/>
      <c r="AR191" s="545"/>
      <c r="AS191" s="546"/>
      <c r="AT191" s="547"/>
      <c r="AU191" s="545"/>
      <c r="AV191" s="546"/>
      <c r="AW191" s="547"/>
      <c r="AX191" s="545"/>
      <c r="AY191" s="546"/>
      <c r="AZ191" s="547"/>
      <c r="BA191" s="545"/>
      <c r="BB191" s="546"/>
      <c r="BC191" s="547"/>
      <c r="BD191" s="545"/>
      <c r="BE191" s="546"/>
      <c r="BF191" s="547"/>
      <c r="BG191" s="545"/>
      <c r="BH191" s="546"/>
      <c r="BI191" s="547"/>
      <c r="BP191" s="283">
        <v>433</v>
      </c>
      <c r="BT191" s="1535"/>
      <c r="BU191" s="1547"/>
    </row>
    <row r="192" spans="1:73" ht="44.25" customHeight="1" thickBot="1">
      <c r="A192" s="1502"/>
      <c r="B192" s="1506" t="s">
        <v>311</v>
      </c>
      <c r="C192" s="646" t="s">
        <v>58</v>
      </c>
      <c r="D192" s="644" t="s">
        <v>436</v>
      </c>
      <c r="E192" s="638">
        <v>52.5</v>
      </c>
      <c r="F192" s="638">
        <f>3600/E192*2</f>
        <v>137.14285714285714</v>
      </c>
      <c r="G192" s="639">
        <v>1</v>
      </c>
      <c r="H192" s="639">
        <f>BY17</f>
        <v>300</v>
      </c>
      <c r="I192" s="480">
        <v>0</v>
      </c>
      <c r="J192" s="640">
        <f>1692</f>
        <v>1692</v>
      </c>
      <c r="K192" s="639">
        <v>2</v>
      </c>
      <c r="L192" s="378">
        <f>((H192*E192)/3600)/K192</f>
        <v>2.1875</v>
      </c>
      <c r="M192" s="641">
        <f t="shared" si="22"/>
        <v>0</v>
      </c>
      <c r="N192" s="645">
        <f>M192*1.5</f>
        <v>0</v>
      </c>
      <c r="O192" s="642">
        <f t="shared" si="23"/>
        <v>41578</v>
      </c>
      <c r="P192" s="35"/>
      <c r="Q192" s="36"/>
      <c r="R192" s="40"/>
      <c r="S192" s="39"/>
      <c r="T192" s="39"/>
      <c r="U192" s="39"/>
      <c r="V192" s="39"/>
      <c r="W192" s="39"/>
      <c r="X192" s="39"/>
      <c r="Y192" s="40">
        <v>1</v>
      </c>
      <c r="Z192" s="1419"/>
      <c r="AA192" s="1394"/>
      <c r="AB192" s="1396"/>
      <c r="AC192" s="1392"/>
      <c r="AD192" s="1394"/>
      <c r="AE192" s="1396"/>
      <c r="AF192" s="1392"/>
      <c r="AG192" s="1394"/>
      <c r="AH192" s="1396"/>
      <c r="AI192" s="1398"/>
      <c r="AJ192" s="1400"/>
      <c r="AK192" s="1404"/>
      <c r="AL192" s="1398"/>
      <c r="AM192" s="1400"/>
      <c r="AN192" s="1404"/>
      <c r="AO192" s="1406"/>
      <c r="AP192" s="1408"/>
      <c r="AQ192" s="1410"/>
      <c r="AR192" s="1406"/>
      <c r="AS192" s="520"/>
      <c r="AT192" s="522"/>
      <c r="AU192" s="518"/>
      <c r="AV192" s="520"/>
      <c r="AW192" s="522"/>
      <c r="AX192" s="518"/>
      <c r="AY192" s="520"/>
      <c r="AZ192" s="522"/>
      <c r="BA192" s="518"/>
      <c r="BB192" s="520"/>
      <c r="BC192" s="522"/>
      <c r="BD192" s="518"/>
      <c r="BE192" s="520"/>
      <c r="BF192" s="522"/>
      <c r="BG192" s="518"/>
      <c r="BH192" s="520"/>
      <c r="BI192" s="522"/>
      <c r="BP192" s="284">
        <v>3781</v>
      </c>
      <c r="BT192" s="1535"/>
      <c r="BU192" s="1547"/>
    </row>
    <row r="193" spans="1:73" ht="39.75" customHeight="1" thickBot="1">
      <c r="A193" s="1502"/>
      <c r="B193" s="1505"/>
      <c r="C193" s="646" t="s">
        <v>59</v>
      </c>
      <c r="D193" s="644" t="s">
        <v>437</v>
      </c>
      <c r="E193" s="638">
        <v>52.5</v>
      </c>
      <c r="F193" s="638">
        <f>3600/E193*2</f>
        <v>137.14285714285714</v>
      </c>
      <c r="G193" s="639">
        <v>1</v>
      </c>
      <c r="H193" s="639">
        <f>H192</f>
        <v>300</v>
      </c>
      <c r="I193" s="480">
        <v>0</v>
      </c>
      <c r="J193" s="640">
        <v>1140</v>
      </c>
      <c r="K193" s="639">
        <v>2</v>
      </c>
      <c r="L193" s="378">
        <f>((H193*E193)/3600)/K193</f>
        <v>2.1875</v>
      </c>
      <c r="M193" s="641">
        <f t="shared" si="22"/>
        <v>0</v>
      </c>
      <c r="N193" s="645">
        <f>M193*1.5</f>
        <v>0</v>
      </c>
      <c r="O193" s="642">
        <f t="shared" si="23"/>
        <v>41578</v>
      </c>
      <c r="P193" s="35"/>
      <c r="Q193" s="36"/>
      <c r="R193" s="40"/>
      <c r="S193" s="39"/>
      <c r="T193" s="39"/>
      <c r="U193" s="39"/>
      <c r="V193" s="39"/>
      <c r="W193" s="39"/>
      <c r="X193" s="39"/>
      <c r="Y193" s="40">
        <v>1</v>
      </c>
      <c r="Z193" s="1479"/>
      <c r="AA193" s="1471"/>
      <c r="AB193" s="1472"/>
      <c r="AC193" s="1470"/>
      <c r="AD193" s="1471"/>
      <c r="AE193" s="1472"/>
      <c r="AF193" s="1470"/>
      <c r="AG193" s="1471"/>
      <c r="AH193" s="1472"/>
      <c r="AI193" s="1524"/>
      <c r="AJ193" s="1525"/>
      <c r="AK193" s="1480"/>
      <c r="AL193" s="1524"/>
      <c r="AM193" s="1525"/>
      <c r="AN193" s="1480"/>
      <c r="AO193" s="1481"/>
      <c r="AP193" s="1482"/>
      <c r="AQ193" s="1483"/>
      <c r="AR193" s="1481"/>
      <c r="AS193" s="561"/>
      <c r="AT193" s="562"/>
      <c r="AU193" s="560"/>
      <c r="AV193" s="561"/>
      <c r="AW193" s="562"/>
      <c r="AX193" s="560"/>
      <c r="AY193" s="561"/>
      <c r="AZ193" s="562"/>
      <c r="BA193" s="560"/>
      <c r="BB193" s="561"/>
      <c r="BC193" s="562"/>
      <c r="BD193" s="560"/>
      <c r="BE193" s="561"/>
      <c r="BF193" s="562"/>
      <c r="BG193" s="560"/>
      <c r="BH193" s="561"/>
      <c r="BI193" s="562"/>
      <c r="BP193" s="283">
        <v>2355</v>
      </c>
      <c r="BT193" s="1535"/>
      <c r="BU193" s="1547"/>
    </row>
    <row r="194" spans="1:73" ht="39" customHeight="1" thickBot="1">
      <c r="A194" s="1503"/>
      <c r="B194" s="1507"/>
      <c r="C194" s="647" t="s">
        <v>64</v>
      </c>
      <c r="D194" s="648" t="s">
        <v>114</v>
      </c>
      <c r="E194" s="649">
        <v>52.5</v>
      </c>
      <c r="F194" s="649">
        <f>3600/E194*2</f>
        <v>137.14285714285714</v>
      </c>
      <c r="G194" s="650"/>
      <c r="H194" s="639">
        <f>H189</f>
        <v>300</v>
      </c>
      <c r="I194" s="480">
        <v>0</v>
      </c>
      <c r="J194" s="651">
        <v>1140</v>
      </c>
      <c r="K194" s="650">
        <v>2</v>
      </c>
      <c r="L194" s="378">
        <f>((H194*E194)/3600)/K194</f>
        <v>2.1875</v>
      </c>
      <c r="M194" s="652">
        <f t="shared" si="22"/>
        <v>0</v>
      </c>
      <c r="N194" s="653">
        <f>M194</f>
        <v>0</v>
      </c>
      <c r="O194" s="654">
        <f t="shared" si="23"/>
        <v>41578</v>
      </c>
      <c r="P194" s="35"/>
      <c r="Q194" s="36"/>
      <c r="R194" s="40"/>
      <c r="S194" s="39"/>
      <c r="T194" s="39"/>
      <c r="U194" s="39"/>
      <c r="V194" s="39"/>
      <c r="W194" s="39"/>
      <c r="X194" s="39"/>
      <c r="Y194" s="40">
        <v>1</v>
      </c>
      <c r="Z194" s="1438"/>
      <c r="AA194" s="1395"/>
      <c r="AB194" s="1397"/>
      <c r="AC194" s="1393"/>
      <c r="AD194" s="1395"/>
      <c r="AE194" s="1397"/>
      <c r="AF194" s="1393"/>
      <c r="AG194" s="1395"/>
      <c r="AH194" s="1397"/>
      <c r="AI194" s="1399"/>
      <c r="AJ194" s="1401"/>
      <c r="AK194" s="1405"/>
      <c r="AL194" s="1399"/>
      <c r="AM194" s="1401"/>
      <c r="AN194" s="1405"/>
      <c r="AO194" s="1407"/>
      <c r="AP194" s="1409"/>
      <c r="AQ194" s="1411"/>
      <c r="AR194" s="1407"/>
      <c r="AS194" s="521"/>
      <c r="AT194" s="523"/>
      <c r="AU194" s="519"/>
      <c r="AV194" s="521"/>
      <c r="AW194" s="523"/>
      <c r="AX194" s="519"/>
      <c r="AY194" s="521"/>
      <c r="AZ194" s="523"/>
      <c r="BA194" s="519"/>
      <c r="BB194" s="521"/>
      <c r="BC194" s="523"/>
      <c r="BD194" s="519"/>
      <c r="BE194" s="521"/>
      <c r="BF194" s="523"/>
      <c r="BG194" s="519"/>
      <c r="BH194" s="521"/>
      <c r="BI194" s="523"/>
      <c r="BP194" s="284">
        <v>3349</v>
      </c>
      <c r="BT194" s="1536"/>
      <c r="BU194" s="1548"/>
    </row>
    <row r="195" spans="1:73" ht="39" customHeight="1">
      <c r="A195" s="727"/>
      <c r="B195" s="728"/>
      <c r="C195" s="729"/>
      <c r="D195" s="730"/>
      <c r="E195" s="731"/>
      <c r="F195" s="731"/>
      <c r="G195" s="732"/>
      <c r="H195" s="732"/>
      <c r="I195" s="733"/>
      <c r="J195" s="732"/>
      <c r="K195" s="732"/>
      <c r="L195" s="732"/>
      <c r="M195" s="734"/>
      <c r="N195" s="735"/>
      <c r="O195" s="736"/>
      <c r="Z195" s="737"/>
      <c r="AA195" s="738"/>
      <c r="AB195" s="738"/>
      <c r="AC195" s="738"/>
      <c r="AD195" s="738"/>
      <c r="AE195" s="738"/>
      <c r="AF195" s="738"/>
      <c r="AG195" s="738"/>
      <c r="AH195" s="738"/>
      <c r="AI195" s="739"/>
      <c r="AJ195" s="739"/>
      <c r="AK195" s="739"/>
      <c r="AL195" s="739"/>
      <c r="AM195" s="739"/>
      <c r="AN195" s="739"/>
      <c r="AO195" s="740"/>
      <c r="AP195" s="740"/>
      <c r="AQ195" s="740"/>
      <c r="AR195" s="740"/>
      <c r="AS195" s="740"/>
      <c r="AT195" s="740"/>
      <c r="AU195" s="740"/>
      <c r="AV195" s="740"/>
      <c r="AW195" s="740"/>
      <c r="AX195" s="740"/>
      <c r="AY195" s="740"/>
      <c r="AZ195" s="740"/>
      <c r="BA195" s="740"/>
      <c r="BB195" s="740"/>
      <c r="BC195" s="740"/>
      <c r="BD195" s="740"/>
      <c r="BE195" s="740"/>
      <c r="BF195" s="740"/>
      <c r="BG195" s="740"/>
      <c r="BH195" s="740"/>
      <c r="BI195" s="740"/>
      <c r="BP195" s="741"/>
      <c r="BT195" s="26" t="s">
        <v>479</v>
      </c>
      <c r="BU195" s="742" t="s">
        <v>480</v>
      </c>
    </row>
    <row r="196" spans="1:73" s="16" customFormat="1">
      <c r="D196" s="207" t="s">
        <v>478</v>
      </c>
      <c r="E196" s="17"/>
      <c r="F196" s="17"/>
      <c r="I196" s="212"/>
      <c r="O196" s="20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T196" s="743">
        <f>BT188+BT104+BT102+BT85+BT64+BT45+BT22+BT14</f>
        <v>18</v>
      </c>
      <c r="BU196" s="743">
        <f>BU188+BU104+BU102+BU85+BU64+BU45+BU22+BU14</f>
        <v>140.43577777777779</v>
      </c>
    </row>
    <row r="197" spans="1:73" s="16" customFormat="1">
      <c r="E197" s="17"/>
      <c r="F197" s="17"/>
      <c r="I197" s="212"/>
      <c r="O197" s="20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</row>
    <row r="198" spans="1:73" s="16" customFormat="1">
      <c r="E198" s="17"/>
      <c r="F198" s="17"/>
      <c r="I198" s="212"/>
      <c r="O198" s="20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</row>
    <row r="199" spans="1:73" s="16" customFormat="1">
      <c r="E199" s="17"/>
      <c r="F199" s="17"/>
      <c r="I199" s="212"/>
      <c r="O199" s="20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</row>
    <row r="200" spans="1:73" s="16" customFormat="1">
      <c r="E200" s="17"/>
      <c r="F200" s="17"/>
      <c r="I200" s="212"/>
      <c r="O200" s="20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</row>
    <row r="201" spans="1:73" s="16" customFormat="1">
      <c r="E201" s="17"/>
      <c r="F201" s="17"/>
      <c r="I201" s="212"/>
      <c r="O201" s="20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</row>
    <row r="202" spans="1:73" s="16" customFormat="1">
      <c r="E202" s="17"/>
      <c r="F202" s="17"/>
      <c r="I202" s="212"/>
      <c r="O202" s="20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</row>
    <row r="203" spans="1:73" s="16" customFormat="1">
      <c r="E203" s="17"/>
      <c r="F203" s="17"/>
      <c r="I203" s="212"/>
      <c r="O203" s="20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</row>
    <row r="204" spans="1:73" s="16" customFormat="1">
      <c r="E204" s="17"/>
      <c r="F204" s="17"/>
      <c r="I204" s="212"/>
      <c r="O204" s="20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</row>
    <row r="205" spans="1:73" s="16" customFormat="1">
      <c r="E205" s="17"/>
      <c r="F205" s="17"/>
      <c r="I205" s="212"/>
      <c r="O205" s="20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</row>
    <row r="206" spans="1:73" s="16" customFormat="1">
      <c r="E206" s="17"/>
      <c r="F206" s="17"/>
      <c r="I206" s="212"/>
      <c r="O206" s="20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</row>
    <row r="207" spans="1:73" s="16" customFormat="1">
      <c r="E207" s="17"/>
      <c r="F207" s="17"/>
      <c r="I207" s="212"/>
      <c r="O207" s="20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</row>
    <row r="208" spans="1:73" s="16" customFormat="1">
      <c r="E208" s="17"/>
      <c r="F208" s="17"/>
      <c r="I208" s="212"/>
      <c r="O208" s="20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</row>
    <row r="209" spans="5:55" s="16" customFormat="1">
      <c r="E209" s="17"/>
      <c r="F209" s="17"/>
      <c r="I209" s="212"/>
      <c r="O209" s="20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</row>
    <row r="210" spans="5:55" s="16" customFormat="1">
      <c r="E210" s="17"/>
      <c r="F210" s="17"/>
      <c r="I210" s="212"/>
      <c r="O210" s="20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</row>
    <row r="211" spans="5:55" s="16" customFormat="1">
      <c r="E211" s="17"/>
      <c r="F211" s="17"/>
      <c r="I211" s="212"/>
      <c r="O211" s="20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</row>
    <row r="212" spans="5:55" s="16" customFormat="1">
      <c r="E212" s="17"/>
      <c r="F212" s="17"/>
      <c r="I212" s="212"/>
      <c r="O212" s="20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</row>
    <row r="213" spans="5:55" s="16" customFormat="1">
      <c r="E213" s="17"/>
      <c r="F213" s="17"/>
      <c r="I213" s="212"/>
      <c r="O213" s="20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</row>
    <row r="214" spans="5:55" s="16" customFormat="1">
      <c r="E214" s="17"/>
      <c r="F214" s="17"/>
      <c r="I214" s="212"/>
      <c r="O214" s="20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</row>
    <row r="215" spans="5:55" s="16" customFormat="1">
      <c r="E215" s="17"/>
      <c r="F215" s="17"/>
      <c r="I215" s="212"/>
      <c r="O215" s="20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</row>
    <row r="216" spans="5:55" s="16" customFormat="1">
      <c r="E216" s="17"/>
      <c r="F216" s="17"/>
      <c r="I216" s="212"/>
      <c r="O216" s="20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</row>
    <row r="217" spans="5:55" s="16" customFormat="1">
      <c r="E217" s="17"/>
      <c r="F217" s="17"/>
      <c r="I217" s="212"/>
      <c r="O217" s="20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</row>
    <row r="218" spans="5:55" s="16" customFormat="1">
      <c r="E218" s="17"/>
      <c r="F218" s="17"/>
      <c r="I218" s="212"/>
      <c r="O218" s="20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</row>
    <row r="219" spans="5:55" s="16" customFormat="1">
      <c r="E219" s="17"/>
      <c r="F219" s="17"/>
      <c r="I219" s="212"/>
      <c r="O219" s="20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</row>
    <row r="220" spans="5:55" s="16" customFormat="1">
      <c r="E220" s="17"/>
      <c r="F220" s="17"/>
      <c r="I220" s="212"/>
      <c r="O220" s="20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</row>
    <row r="221" spans="5:55" s="16" customFormat="1">
      <c r="E221" s="17"/>
      <c r="F221" s="17"/>
      <c r="I221" s="212"/>
      <c r="O221" s="20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</row>
    <row r="222" spans="5:55" s="16" customFormat="1">
      <c r="E222" s="17"/>
      <c r="F222" s="17"/>
      <c r="I222" s="212"/>
      <c r="O222" s="20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</row>
    <row r="223" spans="5:55" s="16" customFormat="1">
      <c r="E223" s="17"/>
      <c r="F223" s="17"/>
      <c r="I223" s="212"/>
      <c r="O223" s="20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</row>
    <row r="224" spans="5:55" s="16" customFormat="1">
      <c r="E224" s="17"/>
      <c r="F224" s="17"/>
      <c r="I224" s="212"/>
      <c r="O224" s="20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</row>
    <row r="225" spans="5:55" s="16" customFormat="1">
      <c r="E225" s="17"/>
      <c r="F225" s="17"/>
      <c r="I225" s="212"/>
      <c r="O225" s="20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</row>
    <row r="226" spans="5:55" s="16" customFormat="1">
      <c r="E226" s="17"/>
      <c r="F226" s="17"/>
      <c r="I226" s="212"/>
      <c r="O226" s="20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</row>
    <row r="227" spans="5:55" s="16" customFormat="1">
      <c r="E227" s="17"/>
      <c r="F227" s="17"/>
      <c r="I227" s="212"/>
      <c r="O227" s="20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</row>
    <row r="228" spans="5:55" s="16" customFormat="1">
      <c r="E228" s="17"/>
      <c r="F228" s="17"/>
      <c r="I228" s="212"/>
      <c r="O228" s="20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</row>
    <row r="229" spans="5:55" s="16" customFormat="1">
      <c r="E229" s="17"/>
      <c r="F229" s="17"/>
      <c r="I229" s="212"/>
      <c r="O229" s="20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</row>
    <row r="230" spans="5:55" s="16" customFormat="1">
      <c r="E230" s="17"/>
      <c r="F230" s="17"/>
      <c r="I230" s="212"/>
      <c r="O230" s="20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</row>
    <row r="231" spans="5:55" s="16" customFormat="1">
      <c r="E231" s="17"/>
      <c r="F231" s="17"/>
      <c r="I231" s="212"/>
      <c r="O231" s="20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</row>
    <row r="232" spans="5:55" s="16" customFormat="1">
      <c r="E232" s="17"/>
      <c r="F232" s="17"/>
      <c r="I232" s="212"/>
      <c r="O232" s="20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</row>
    <row r="233" spans="5:55" s="16" customFormat="1">
      <c r="E233" s="17"/>
      <c r="F233" s="17"/>
      <c r="I233" s="212"/>
      <c r="O233" s="20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</row>
    <row r="234" spans="5:55" s="16" customFormat="1">
      <c r="E234" s="17"/>
      <c r="F234" s="17"/>
      <c r="I234" s="212"/>
      <c r="O234" s="20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</row>
    <row r="235" spans="5:55" s="16" customFormat="1">
      <c r="E235" s="17"/>
      <c r="F235" s="17"/>
      <c r="I235" s="212"/>
      <c r="O235" s="20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</row>
    <row r="236" spans="5:55" s="16" customFormat="1">
      <c r="E236" s="17"/>
      <c r="F236" s="17"/>
      <c r="I236" s="212"/>
      <c r="O236" s="20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</row>
    <row r="237" spans="5:55" s="16" customFormat="1">
      <c r="E237" s="17"/>
      <c r="F237" s="17"/>
      <c r="I237" s="212"/>
      <c r="O237" s="20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</row>
    <row r="238" spans="5:55" s="16" customFormat="1">
      <c r="E238" s="17"/>
      <c r="F238" s="17"/>
      <c r="I238" s="212"/>
      <c r="O238" s="20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</row>
    <row r="239" spans="5:55" s="16" customFormat="1">
      <c r="E239" s="17"/>
      <c r="F239" s="17"/>
      <c r="I239" s="212"/>
      <c r="O239" s="20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</row>
    <row r="240" spans="5:55" s="16" customFormat="1">
      <c r="E240" s="17"/>
      <c r="F240" s="17"/>
      <c r="I240" s="212"/>
      <c r="O240" s="20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</row>
    <row r="241" spans="5:55" s="16" customFormat="1">
      <c r="E241" s="17"/>
      <c r="F241" s="17"/>
      <c r="I241" s="212"/>
      <c r="O241" s="20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</row>
    <row r="242" spans="5:55" s="16" customFormat="1">
      <c r="E242" s="17"/>
      <c r="F242" s="17"/>
      <c r="I242" s="212"/>
      <c r="O242" s="20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</row>
    <row r="243" spans="5:55" s="16" customFormat="1">
      <c r="E243" s="17"/>
      <c r="F243" s="17"/>
      <c r="I243" s="212"/>
      <c r="O243" s="20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</row>
    <row r="244" spans="5:55" s="16" customFormat="1">
      <c r="E244" s="17"/>
      <c r="F244" s="17"/>
      <c r="I244" s="212"/>
      <c r="O244" s="20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</row>
    <row r="245" spans="5:55" s="16" customFormat="1">
      <c r="E245" s="17"/>
      <c r="F245" s="17"/>
      <c r="I245" s="212"/>
      <c r="O245" s="20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</row>
    <row r="246" spans="5:55" s="16" customFormat="1">
      <c r="E246" s="17"/>
      <c r="F246" s="17"/>
      <c r="I246" s="212"/>
      <c r="O246" s="20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</row>
    <row r="247" spans="5:55" s="16" customFormat="1">
      <c r="E247" s="17"/>
      <c r="F247" s="17"/>
      <c r="I247" s="212"/>
      <c r="O247" s="20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</row>
    <row r="248" spans="5:55" s="16" customFormat="1">
      <c r="E248" s="17"/>
      <c r="F248" s="17"/>
      <c r="I248" s="212"/>
      <c r="O248" s="20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</row>
    <row r="249" spans="5:55" s="16" customFormat="1">
      <c r="E249" s="17"/>
      <c r="F249" s="17"/>
      <c r="I249" s="212"/>
      <c r="O249" s="20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</row>
    <row r="250" spans="5:55" s="16" customFormat="1">
      <c r="E250" s="17"/>
      <c r="F250" s="17"/>
      <c r="I250" s="212"/>
      <c r="O250" s="20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</row>
    <row r="251" spans="5:55" s="16" customFormat="1">
      <c r="E251" s="17"/>
      <c r="F251" s="17"/>
      <c r="I251" s="212"/>
      <c r="O251" s="20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</row>
    <row r="252" spans="5:55" s="16" customFormat="1">
      <c r="E252" s="17"/>
      <c r="F252" s="17"/>
      <c r="I252" s="212"/>
      <c r="O252" s="20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</row>
    <row r="253" spans="5:55" s="16" customFormat="1">
      <c r="E253" s="17"/>
      <c r="F253" s="17"/>
      <c r="I253" s="212"/>
      <c r="O253" s="20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</row>
    <row r="254" spans="5:55" s="16" customFormat="1">
      <c r="E254" s="17"/>
      <c r="F254" s="17"/>
      <c r="I254" s="212"/>
      <c r="O254" s="20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</row>
    <row r="255" spans="5:55" s="16" customFormat="1">
      <c r="E255" s="17"/>
      <c r="F255" s="17"/>
      <c r="I255" s="212"/>
      <c r="O255" s="20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</row>
    <row r="256" spans="5:55" s="16" customFormat="1">
      <c r="E256" s="17"/>
      <c r="F256" s="17"/>
      <c r="I256" s="212"/>
      <c r="O256" s="20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</row>
    <row r="257" spans="5:55" s="16" customFormat="1">
      <c r="E257" s="17"/>
      <c r="F257" s="17"/>
      <c r="I257" s="212"/>
      <c r="O257" s="20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</row>
    <row r="258" spans="5:55" s="16" customFormat="1">
      <c r="E258" s="17"/>
      <c r="F258" s="17"/>
      <c r="I258" s="212"/>
      <c r="O258" s="20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</row>
    <row r="259" spans="5:55" s="16" customFormat="1">
      <c r="E259" s="17"/>
      <c r="F259" s="17"/>
      <c r="I259" s="212"/>
      <c r="O259" s="20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</row>
  </sheetData>
  <mergeCells count="1021">
    <mergeCell ref="Y9:Y10"/>
    <mergeCell ref="U9:U10"/>
    <mergeCell ref="T9:T10"/>
    <mergeCell ref="X188:X189"/>
    <mergeCell ref="Y188:Y189"/>
    <mergeCell ref="T117:T118"/>
    <mergeCell ref="C1:BU4"/>
    <mergeCell ref="A7:A12"/>
    <mergeCell ref="W38:W39"/>
    <mergeCell ref="V38:V39"/>
    <mergeCell ref="U38:U39"/>
    <mergeCell ref="T38:T39"/>
    <mergeCell ref="BU5:BU6"/>
    <mergeCell ref="BU14:BU21"/>
    <mergeCell ref="BU22:BU36"/>
    <mergeCell ref="BT5:BT6"/>
    <mergeCell ref="BU45:BU63"/>
    <mergeCell ref="BU64:BU84"/>
    <mergeCell ref="BU85:BU100"/>
    <mergeCell ref="BT22:BT36"/>
    <mergeCell ref="BT45:BT63"/>
    <mergeCell ref="BT85:BT100"/>
    <mergeCell ref="BT64:BT84"/>
    <mergeCell ref="BU104:BU113"/>
    <mergeCell ref="BT104:BT113"/>
    <mergeCell ref="BU188:BU194"/>
    <mergeCell ref="B60:B61"/>
    <mergeCell ref="B62:B63"/>
    <mergeCell ref="B46:B48"/>
    <mergeCell ref="B49:B51"/>
    <mergeCell ref="BU102:BU103"/>
    <mergeCell ref="BT102:BT103"/>
    <mergeCell ref="BT188:BT194"/>
    <mergeCell ref="AM40:AM42"/>
    <mergeCell ref="AL40:AL42"/>
    <mergeCell ref="AA38:AA39"/>
    <mergeCell ref="Z38:Z39"/>
    <mergeCell ref="Y38:Y39"/>
    <mergeCell ref="X38:X39"/>
    <mergeCell ref="AF40:AF42"/>
    <mergeCell ref="AK40:AK42"/>
    <mergeCell ref="AB38:AB39"/>
    <mergeCell ref="AC38:AC39"/>
    <mergeCell ref="T188:T189"/>
    <mergeCell ref="U188:U189"/>
    <mergeCell ref="V188:V189"/>
    <mergeCell ref="W188:W189"/>
    <mergeCell ref="BT14:BT21"/>
    <mergeCell ref="AL192:AL194"/>
    <mergeCell ref="AM192:AM194"/>
    <mergeCell ref="AN192:AN194"/>
    <mergeCell ref="AO192:AO194"/>
    <mergeCell ref="AP192:AP194"/>
    <mergeCell ref="AQ192:AQ194"/>
    <mergeCell ref="BD188:BD189"/>
    <mergeCell ref="BE188:BE189"/>
    <mergeCell ref="BH188:BH189"/>
    <mergeCell ref="AR192:AR194"/>
    <mergeCell ref="AG188:AG189"/>
    <mergeCell ref="AH188:AH189"/>
    <mergeCell ref="AI188:AI189"/>
    <mergeCell ref="AJ188:AJ189"/>
    <mergeCell ref="AK188:AK189"/>
    <mergeCell ref="AV188:AV189"/>
    <mergeCell ref="BI188:BI189"/>
    <mergeCell ref="AX188:AX189"/>
    <mergeCell ref="AY188:AY189"/>
    <mergeCell ref="AZ188:AZ189"/>
    <mergeCell ref="BA188:BA189"/>
    <mergeCell ref="BB188:BB189"/>
    <mergeCell ref="BC188:BC189"/>
    <mergeCell ref="AB192:AB194"/>
    <mergeCell ref="AC192:AC194"/>
    <mergeCell ref="AD192:AD194"/>
    <mergeCell ref="AE192:AE194"/>
    <mergeCell ref="BF188:BF189"/>
    <mergeCell ref="BG188:BG189"/>
    <mergeCell ref="AR188:AR189"/>
    <mergeCell ref="AS188:AS189"/>
    <mergeCell ref="AT188:AT189"/>
    <mergeCell ref="AU188:AU189"/>
    <mergeCell ref="AB188:AB189"/>
    <mergeCell ref="AC188:AC189"/>
    <mergeCell ref="AD188:AD189"/>
    <mergeCell ref="AE188:AE189"/>
    <mergeCell ref="AF188:AF189"/>
    <mergeCell ref="AQ188:AQ189"/>
    <mergeCell ref="A45:A63"/>
    <mergeCell ref="AF192:AF194"/>
    <mergeCell ref="AG192:AG194"/>
    <mergeCell ref="AH192:AH194"/>
    <mergeCell ref="AI192:AI194"/>
    <mergeCell ref="AJ192:AJ194"/>
    <mergeCell ref="AK192:AK194"/>
    <mergeCell ref="Z192:Z194"/>
    <mergeCell ref="AA192:AA194"/>
    <mergeCell ref="AA188:AA189"/>
    <mergeCell ref="B98:B100"/>
    <mergeCell ref="J98:J100"/>
    <mergeCell ref="AJ75:AJ76"/>
    <mergeCell ref="AK75:AK76"/>
    <mergeCell ref="Z49:Z50"/>
    <mergeCell ref="AA49:AA50"/>
    <mergeCell ref="AB49:AB50"/>
    <mergeCell ref="AC49:AC50"/>
    <mergeCell ref="AD49:AD50"/>
    <mergeCell ref="AE49:AE50"/>
    <mergeCell ref="AF49:AF50"/>
    <mergeCell ref="AG49:AG50"/>
    <mergeCell ref="BI117:BI118"/>
    <mergeCell ref="B118:B119"/>
    <mergeCell ref="C122:C123"/>
    <mergeCell ref="C124:C133"/>
    <mergeCell ref="C134:C143"/>
    <mergeCell ref="C144:C145"/>
    <mergeCell ref="E144:E145"/>
    <mergeCell ref="F144:F145"/>
    <mergeCell ref="C146:C147"/>
    <mergeCell ref="E146:E147"/>
    <mergeCell ref="F146:F147"/>
    <mergeCell ref="AJ117:AJ118"/>
    <mergeCell ref="AK117:AK118"/>
    <mergeCell ref="AL117:AL118"/>
    <mergeCell ref="AM117:AM118"/>
    <mergeCell ref="AN117:AN118"/>
    <mergeCell ref="AO117:AO118"/>
    <mergeCell ref="AV117:AV118"/>
    <mergeCell ref="AW117:AW118"/>
    <mergeCell ref="AX117:AX118"/>
    <mergeCell ref="AY117:AY118"/>
    <mergeCell ref="AZ117:AZ118"/>
    <mergeCell ref="A188:A194"/>
    <mergeCell ref="B188:B189"/>
    <mergeCell ref="B192:B194"/>
    <mergeCell ref="Z188:Z189"/>
    <mergeCell ref="BA117:BA118"/>
    <mergeCell ref="BB117:BB118"/>
    <mergeCell ref="BC117:BC118"/>
    <mergeCell ref="BD117:BD118"/>
    <mergeCell ref="BE117:BE118"/>
    <mergeCell ref="BF117:BF118"/>
    <mergeCell ref="BG117:BG118"/>
    <mergeCell ref="BH117:BH118"/>
    <mergeCell ref="AW188:AW189"/>
    <mergeCell ref="AL188:AL189"/>
    <mergeCell ref="AM188:AM189"/>
    <mergeCell ref="AN188:AN189"/>
    <mergeCell ref="AO188:AO189"/>
    <mergeCell ref="AP188:AP189"/>
    <mergeCell ref="C148:C149"/>
    <mergeCell ref="C150:C151"/>
    <mergeCell ref="C154:C155"/>
    <mergeCell ref="E154:E155"/>
    <mergeCell ref="F154:F155"/>
    <mergeCell ref="C157:C158"/>
    <mergeCell ref="C159:C168"/>
    <mergeCell ref="C169:C178"/>
    <mergeCell ref="C179:C180"/>
    <mergeCell ref="C181:C182"/>
    <mergeCell ref="AF117:AF118"/>
    <mergeCell ref="AG117:AG118"/>
    <mergeCell ref="AH117:AH118"/>
    <mergeCell ref="AI117:AI118"/>
    <mergeCell ref="AP117:AP118"/>
    <mergeCell ref="AQ117:AQ118"/>
    <mergeCell ref="AR117:AR118"/>
    <mergeCell ref="AS117:AS118"/>
    <mergeCell ref="AT117:AT118"/>
    <mergeCell ref="AU117:AU118"/>
    <mergeCell ref="AP115:AP116"/>
    <mergeCell ref="AQ115:AQ116"/>
    <mergeCell ref="BE115:BE116"/>
    <mergeCell ref="BF115:BF116"/>
    <mergeCell ref="BG115:BG116"/>
    <mergeCell ref="BH115:BH116"/>
    <mergeCell ref="A184:A187"/>
    <mergeCell ref="B184:B185"/>
    <mergeCell ref="B186:B187"/>
    <mergeCell ref="AI115:AI116"/>
    <mergeCell ref="AJ115:AJ116"/>
    <mergeCell ref="AK115:AK116"/>
    <mergeCell ref="AU115:AU116"/>
    <mergeCell ref="AV115:AV116"/>
    <mergeCell ref="AW115:AW116"/>
    <mergeCell ref="AL115:AL116"/>
    <mergeCell ref="AM115:AM116"/>
    <mergeCell ref="AN115:AN116"/>
    <mergeCell ref="AO115:AO116"/>
    <mergeCell ref="BI115:BI116"/>
    <mergeCell ref="AX115:AX116"/>
    <mergeCell ref="AY115:AY116"/>
    <mergeCell ref="AZ115:AZ116"/>
    <mergeCell ref="BA115:BA116"/>
    <mergeCell ref="BB115:BB116"/>
    <mergeCell ref="U117:U118"/>
    <mergeCell ref="V117:V118"/>
    <mergeCell ref="W117:W118"/>
    <mergeCell ref="X117:X118"/>
    <mergeCell ref="Y117:Y118"/>
    <mergeCell ref="BD115:BD116"/>
    <mergeCell ref="BC115:BC116"/>
    <mergeCell ref="AR115:AR116"/>
    <mergeCell ref="AS115:AS116"/>
    <mergeCell ref="AT115:AT116"/>
    <mergeCell ref="Z117:Z118"/>
    <mergeCell ref="AA117:AA118"/>
    <mergeCell ref="AB117:AB118"/>
    <mergeCell ref="AC117:AC118"/>
    <mergeCell ref="AD117:AD118"/>
    <mergeCell ref="AE117:AE118"/>
    <mergeCell ref="AT110:AT113"/>
    <mergeCell ref="AU110:AU113"/>
    <mergeCell ref="AV110:AV113"/>
    <mergeCell ref="AW110:AW113"/>
    <mergeCell ref="AX110:AX113"/>
    <mergeCell ref="AY110:AY113"/>
    <mergeCell ref="AZ110:AZ113"/>
    <mergeCell ref="BA110:BA113"/>
    <mergeCell ref="BB110:BB113"/>
    <mergeCell ref="BC110:BC113"/>
    <mergeCell ref="BD110:BD113"/>
    <mergeCell ref="BE110:BE113"/>
    <mergeCell ref="BF110:BF113"/>
    <mergeCell ref="BG110:BG113"/>
    <mergeCell ref="BH110:BH113"/>
    <mergeCell ref="BI110:BI113"/>
    <mergeCell ref="B115:B116"/>
    <mergeCell ref="T115:T116"/>
    <mergeCell ref="U115:U116"/>
    <mergeCell ref="V115:V116"/>
    <mergeCell ref="W115:W116"/>
    <mergeCell ref="X115:X116"/>
    <mergeCell ref="Y115:Y116"/>
    <mergeCell ref="Z115:Z116"/>
    <mergeCell ref="AA115:AA116"/>
    <mergeCell ref="AB115:AB116"/>
    <mergeCell ref="AC115:AC116"/>
    <mergeCell ref="AD115:AD116"/>
    <mergeCell ref="AE115:AE116"/>
    <mergeCell ref="AF115:AF116"/>
    <mergeCell ref="AG115:AG116"/>
    <mergeCell ref="AH115:AH116"/>
    <mergeCell ref="BA108:BA109"/>
    <mergeCell ref="BB108:BB109"/>
    <mergeCell ref="BC108:BC109"/>
    <mergeCell ref="BD108:BD109"/>
    <mergeCell ref="BE108:BE109"/>
    <mergeCell ref="BF108:BF109"/>
    <mergeCell ref="BG108:BG109"/>
    <mergeCell ref="BH108:BH109"/>
    <mergeCell ref="BI108:BI109"/>
    <mergeCell ref="W110:W113"/>
    <mergeCell ref="X110:X113"/>
    <mergeCell ref="Y110:Y113"/>
    <mergeCell ref="Z110:Z113"/>
    <mergeCell ref="AA110:AA113"/>
    <mergeCell ref="AB110:AB113"/>
    <mergeCell ref="AC110:AC113"/>
    <mergeCell ref="AD110:AD113"/>
    <mergeCell ref="AE110:AE113"/>
    <mergeCell ref="AF110:AF113"/>
    <mergeCell ref="AG110:AG113"/>
    <mergeCell ref="AH110:AH113"/>
    <mergeCell ref="AI110:AI113"/>
    <mergeCell ref="AJ110:AJ113"/>
    <mergeCell ref="AK110:AK113"/>
    <mergeCell ref="AL110:AL113"/>
    <mergeCell ref="AM110:AM113"/>
    <mergeCell ref="AN110:AN113"/>
    <mergeCell ref="AO110:AO113"/>
    <mergeCell ref="AP110:AP113"/>
    <mergeCell ref="AQ110:AQ113"/>
    <mergeCell ref="AR110:AR113"/>
    <mergeCell ref="AS110:AS113"/>
    <mergeCell ref="AJ108:AJ109"/>
    <mergeCell ref="AK108:AK109"/>
    <mergeCell ref="AL108:AL109"/>
    <mergeCell ref="AM108:AM109"/>
    <mergeCell ref="AN108:AN109"/>
    <mergeCell ref="AO108:AO109"/>
    <mergeCell ref="AP108:AP109"/>
    <mergeCell ref="AQ108:AQ109"/>
    <mergeCell ref="AR108:AR109"/>
    <mergeCell ref="AS108:AS109"/>
    <mergeCell ref="AT108:AT109"/>
    <mergeCell ref="AU108:AU109"/>
    <mergeCell ref="AV108:AV109"/>
    <mergeCell ref="AW108:AW109"/>
    <mergeCell ref="AX108:AX109"/>
    <mergeCell ref="AY108:AY109"/>
    <mergeCell ref="AZ108:AZ109"/>
    <mergeCell ref="B108:B109"/>
    <mergeCell ref="T108:T109"/>
    <mergeCell ref="U108:U109"/>
    <mergeCell ref="V108:V109"/>
    <mergeCell ref="W108:W109"/>
    <mergeCell ref="X108:X109"/>
    <mergeCell ref="Y108:Y109"/>
    <mergeCell ref="Z108:Z109"/>
    <mergeCell ref="AA108:AA109"/>
    <mergeCell ref="AB108:AB109"/>
    <mergeCell ref="AC108:AC109"/>
    <mergeCell ref="AD108:AD109"/>
    <mergeCell ref="AE108:AE109"/>
    <mergeCell ref="AF108:AF109"/>
    <mergeCell ref="AG108:AG109"/>
    <mergeCell ref="AH108:AH109"/>
    <mergeCell ref="AI108:AI109"/>
    <mergeCell ref="AS106:AS107"/>
    <mergeCell ref="AT106:AT107"/>
    <mergeCell ref="AU106:AU107"/>
    <mergeCell ref="AV106:AV107"/>
    <mergeCell ref="AW106:AW107"/>
    <mergeCell ref="AX106:AX107"/>
    <mergeCell ref="AY106:AY107"/>
    <mergeCell ref="AZ106:AZ107"/>
    <mergeCell ref="BA106:BA107"/>
    <mergeCell ref="BB106:BB107"/>
    <mergeCell ref="BC106:BC107"/>
    <mergeCell ref="BD106:BD107"/>
    <mergeCell ref="BE106:BE107"/>
    <mergeCell ref="BF106:BF107"/>
    <mergeCell ref="BG106:BG107"/>
    <mergeCell ref="BH106:BH107"/>
    <mergeCell ref="BI106:BI107"/>
    <mergeCell ref="BC91:BC92"/>
    <mergeCell ref="A102:A103"/>
    <mergeCell ref="A104:A113"/>
    <mergeCell ref="B106:B107"/>
    <mergeCell ref="T106:T107"/>
    <mergeCell ref="U106:U107"/>
    <mergeCell ref="V106:V107"/>
    <mergeCell ref="T110:T113"/>
    <mergeCell ref="U110:U113"/>
    <mergeCell ref="V110:V113"/>
    <mergeCell ref="W106:W107"/>
    <mergeCell ref="X106:X107"/>
    <mergeCell ref="Y106:Y107"/>
    <mergeCell ref="Z106:Z107"/>
    <mergeCell ref="AA106:AA107"/>
    <mergeCell ref="AB106:AB107"/>
    <mergeCell ref="AC106:AC107"/>
    <mergeCell ref="AD106:AD107"/>
    <mergeCell ref="AE106:AE107"/>
    <mergeCell ref="AF106:AF107"/>
    <mergeCell ref="AG106:AG107"/>
    <mergeCell ref="AH106:AH107"/>
    <mergeCell ref="AI106:AI107"/>
    <mergeCell ref="AJ106:AJ107"/>
    <mergeCell ref="AK106:AK107"/>
    <mergeCell ref="AL106:AL107"/>
    <mergeCell ref="AM106:AM107"/>
    <mergeCell ref="AN106:AN107"/>
    <mergeCell ref="AO106:AO107"/>
    <mergeCell ref="AP106:AP107"/>
    <mergeCell ref="AQ106:AQ107"/>
    <mergeCell ref="AR106:AR107"/>
    <mergeCell ref="BG88:BG89"/>
    <mergeCell ref="BH88:BH89"/>
    <mergeCell ref="BI88:BI89"/>
    <mergeCell ref="Z91:Z92"/>
    <mergeCell ref="AA91:AA92"/>
    <mergeCell ref="AB91:AB92"/>
    <mergeCell ref="AC91:AC92"/>
    <mergeCell ref="AD91:AD92"/>
    <mergeCell ref="AE91:AE92"/>
    <mergeCell ref="AF91:AF92"/>
    <mergeCell ref="AG91:AG92"/>
    <mergeCell ref="AH91:AH92"/>
    <mergeCell ref="AI91:AI92"/>
    <mergeCell ref="AJ91:AJ92"/>
    <mergeCell ref="AK91:AK92"/>
    <mergeCell ref="AR91:AR92"/>
    <mergeCell ref="AS91:AS92"/>
    <mergeCell ref="BD91:BD92"/>
    <mergeCell ref="BE91:BE92"/>
    <mergeCell ref="AT91:AT92"/>
    <mergeCell ref="AU91:AU92"/>
    <mergeCell ref="AV91:AV92"/>
    <mergeCell ref="AW91:AW92"/>
    <mergeCell ref="AX91:AX92"/>
    <mergeCell ref="AY91:AY92"/>
    <mergeCell ref="BF91:BF92"/>
    <mergeCell ref="BG91:BG92"/>
    <mergeCell ref="BH91:BH92"/>
    <mergeCell ref="BI91:BI92"/>
    <mergeCell ref="AZ91:AZ92"/>
    <mergeCell ref="BA91:BA92"/>
    <mergeCell ref="BB91:BB92"/>
    <mergeCell ref="BH77:BH78"/>
    <mergeCell ref="BI77:BI78"/>
    <mergeCell ref="B81:B83"/>
    <mergeCell ref="J81:J83"/>
    <mergeCell ref="A85:A100"/>
    <mergeCell ref="Z88:Z89"/>
    <mergeCell ref="AA88:AA89"/>
    <mergeCell ref="AB88:AB89"/>
    <mergeCell ref="AC88:AC89"/>
    <mergeCell ref="AD88:AD89"/>
    <mergeCell ref="AE88:AE89"/>
    <mergeCell ref="AF88:AF89"/>
    <mergeCell ref="AG88:AG89"/>
    <mergeCell ref="AH88:AH89"/>
    <mergeCell ref="AI88:AI89"/>
    <mergeCell ref="AJ88:AJ89"/>
    <mergeCell ref="AK88:AK89"/>
    <mergeCell ref="AR88:AR89"/>
    <mergeCell ref="AS88:AS89"/>
    <mergeCell ref="AT88:AT89"/>
    <mergeCell ref="AU88:AU89"/>
    <mergeCell ref="AV88:AV89"/>
    <mergeCell ref="AW88:AW89"/>
    <mergeCell ref="AX88:AX89"/>
    <mergeCell ref="AY88:AY89"/>
    <mergeCell ref="AZ88:AZ89"/>
    <mergeCell ref="BA88:BA89"/>
    <mergeCell ref="BB88:BB89"/>
    <mergeCell ref="BC88:BC89"/>
    <mergeCell ref="BD88:BD89"/>
    <mergeCell ref="BE88:BE89"/>
    <mergeCell ref="BF88:BF89"/>
    <mergeCell ref="AQ77:AQ78"/>
    <mergeCell ref="AR77:AR78"/>
    <mergeCell ref="AS77:AS78"/>
    <mergeCell ref="AT77:AT78"/>
    <mergeCell ref="AU77:AU78"/>
    <mergeCell ref="AV77:AV78"/>
    <mergeCell ref="AW77:AW78"/>
    <mergeCell ref="AX77:AX78"/>
    <mergeCell ref="AY77:AY78"/>
    <mergeCell ref="AZ77:AZ78"/>
    <mergeCell ref="BA77:BA78"/>
    <mergeCell ref="BB77:BB78"/>
    <mergeCell ref="BC77:BC78"/>
    <mergeCell ref="BD77:BD78"/>
    <mergeCell ref="BE77:BE78"/>
    <mergeCell ref="BF77:BF78"/>
    <mergeCell ref="BG77:BG78"/>
    <mergeCell ref="BA75:BA76"/>
    <mergeCell ref="BB75:BB76"/>
    <mergeCell ref="BC75:BC76"/>
    <mergeCell ref="BD75:BD76"/>
    <mergeCell ref="BE75:BE76"/>
    <mergeCell ref="BF75:BF76"/>
    <mergeCell ref="BG75:BG76"/>
    <mergeCell ref="BH75:BH76"/>
    <mergeCell ref="BI75:BI76"/>
    <mergeCell ref="T77:T78"/>
    <mergeCell ref="U77:U78"/>
    <mergeCell ref="V77:V78"/>
    <mergeCell ref="W77:W78"/>
    <mergeCell ref="X77:X78"/>
    <mergeCell ref="Y77:Y78"/>
    <mergeCell ref="Z77:Z78"/>
    <mergeCell ref="AA77:AA78"/>
    <mergeCell ref="AB77:AB78"/>
    <mergeCell ref="AC77:AC78"/>
    <mergeCell ref="AD77:AD78"/>
    <mergeCell ref="AE77:AE78"/>
    <mergeCell ref="AF77:AF78"/>
    <mergeCell ref="AG77:AG78"/>
    <mergeCell ref="AH77:AH78"/>
    <mergeCell ref="AI77:AI78"/>
    <mergeCell ref="AJ77:AJ78"/>
    <mergeCell ref="AK77:AK78"/>
    <mergeCell ref="AL77:AL78"/>
    <mergeCell ref="AM77:AM78"/>
    <mergeCell ref="AN77:AN78"/>
    <mergeCell ref="AO77:AO78"/>
    <mergeCell ref="AP77:AP78"/>
    <mergeCell ref="AN75:AN76"/>
    <mergeCell ref="AO75:AO76"/>
    <mergeCell ref="AP75:AP76"/>
    <mergeCell ref="AQ75:AQ76"/>
    <mergeCell ref="AR75:AR76"/>
    <mergeCell ref="AS75:AS76"/>
    <mergeCell ref="AT75:AT76"/>
    <mergeCell ref="AU75:AU76"/>
    <mergeCell ref="AV75:AV76"/>
    <mergeCell ref="AW75:AW76"/>
    <mergeCell ref="AX75:AX76"/>
    <mergeCell ref="AY75:AY76"/>
    <mergeCell ref="AZ75:AZ76"/>
    <mergeCell ref="AT68:AT69"/>
    <mergeCell ref="AU68:AU69"/>
    <mergeCell ref="AV68:AV69"/>
    <mergeCell ref="AW68:AW69"/>
    <mergeCell ref="AX68:AX69"/>
    <mergeCell ref="AY68:AY69"/>
    <mergeCell ref="AZ68:AZ69"/>
    <mergeCell ref="AO68:AO69"/>
    <mergeCell ref="AP68:AP69"/>
    <mergeCell ref="AQ68:AQ69"/>
    <mergeCell ref="AR68:AR69"/>
    <mergeCell ref="AS68:AS69"/>
    <mergeCell ref="BA68:BA69"/>
    <mergeCell ref="BB68:BB69"/>
    <mergeCell ref="BC68:BC69"/>
    <mergeCell ref="BD68:BD69"/>
    <mergeCell ref="BE68:BE69"/>
    <mergeCell ref="BF68:BF69"/>
    <mergeCell ref="BG68:BG69"/>
    <mergeCell ref="BH68:BH69"/>
    <mergeCell ref="BI68:BI69"/>
    <mergeCell ref="T75:T76"/>
    <mergeCell ref="U75:U76"/>
    <mergeCell ref="V75:V76"/>
    <mergeCell ref="W75:W76"/>
    <mergeCell ref="X75:X76"/>
    <mergeCell ref="Y75:Y76"/>
    <mergeCell ref="Z75:Z76"/>
    <mergeCell ref="AA75:AA76"/>
    <mergeCell ref="AB75:AB76"/>
    <mergeCell ref="AC75:AC76"/>
    <mergeCell ref="AD75:AD76"/>
    <mergeCell ref="AE75:AE76"/>
    <mergeCell ref="AF75:AF76"/>
    <mergeCell ref="AG75:AG76"/>
    <mergeCell ref="AH75:AH76"/>
    <mergeCell ref="AI75:AI76"/>
    <mergeCell ref="AL75:AL76"/>
    <mergeCell ref="AM75:AM76"/>
    <mergeCell ref="AZ65:AZ66"/>
    <mergeCell ref="BA65:BA66"/>
    <mergeCell ref="BB65:BB66"/>
    <mergeCell ref="BC65:BC66"/>
    <mergeCell ref="BD65:BD66"/>
    <mergeCell ref="BE65:BE66"/>
    <mergeCell ref="BF65:BF66"/>
    <mergeCell ref="BG65:BG66"/>
    <mergeCell ref="BH65:BH66"/>
    <mergeCell ref="BI65:BI66"/>
    <mergeCell ref="B68:B69"/>
    <mergeCell ref="T68:T69"/>
    <mergeCell ref="U68:U69"/>
    <mergeCell ref="V68:V69"/>
    <mergeCell ref="W68:W69"/>
    <mergeCell ref="X68:X69"/>
    <mergeCell ref="Y68:Y69"/>
    <mergeCell ref="Z68:Z69"/>
    <mergeCell ref="AA68:AA69"/>
    <mergeCell ref="AB68:AB69"/>
    <mergeCell ref="AC68:AC69"/>
    <mergeCell ref="AD68:AD69"/>
    <mergeCell ref="AE68:AE69"/>
    <mergeCell ref="AF68:AF69"/>
    <mergeCell ref="AG68:AG69"/>
    <mergeCell ref="AH68:AH69"/>
    <mergeCell ref="AI68:AI69"/>
    <mergeCell ref="AJ68:AJ69"/>
    <mergeCell ref="AK68:AK69"/>
    <mergeCell ref="AL68:AL69"/>
    <mergeCell ref="AM68:AM69"/>
    <mergeCell ref="AN68:AN69"/>
    <mergeCell ref="AI65:AI66"/>
    <mergeCell ref="AJ65:AJ66"/>
    <mergeCell ref="AK65:AK66"/>
    <mergeCell ref="AL65:AL66"/>
    <mergeCell ref="AM65:AM66"/>
    <mergeCell ref="AN65:AN66"/>
    <mergeCell ref="AO65:AO66"/>
    <mergeCell ref="AP65:AP66"/>
    <mergeCell ref="AQ65:AQ66"/>
    <mergeCell ref="AR65:AR66"/>
    <mergeCell ref="AS65:AS66"/>
    <mergeCell ref="AT65:AT66"/>
    <mergeCell ref="AU65:AU66"/>
    <mergeCell ref="AV65:AV66"/>
    <mergeCell ref="AW65:AW66"/>
    <mergeCell ref="AX65:AX66"/>
    <mergeCell ref="AY65:AY66"/>
    <mergeCell ref="A64:A84"/>
    <mergeCell ref="B65:B66"/>
    <mergeCell ref="T65:T66"/>
    <mergeCell ref="U65:U66"/>
    <mergeCell ref="V65:V66"/>
    <mergeCell ref="W65:W66"/>
    <mergeCell ref="X65:X66"/>
    <mergeCell ref="Y65:Y66"/>
    <mergeCell ref="Z65:Z66"/>
    <mergeCell ref="AA65:AA66"/>
    <mergeCell ref="AB65:AB66"/>
    <mergeCell ref="AC65:AC66"/>
    <mergeCell ref="AD65:AD66"/>
    <mergeCell ref="AE65:AE66"/>
    <mergeCell ref="AF65:AF66"/>
    <mergeCell ref="AG65:AG66"/>
    <mergeCell ref="AH65:AH66"/>
    <mergeCell ref="AY49:AY50"/>
    <mergeCell ref="AQ46:AQ47"/>
    <mergeCell ref="AR46:AR47"/>
    <mergeCell ref="AS46:AS47"/>
    <mergeCell ref="AT46:AT47"/>
    <mergeCell ref="AU46:AU47"/>
    <mergeCell ref="AV46:AV47"/>
    <mergeCell ref="BF49:BF50"/>
    <mergeCell ref="BG49:BG50"/>
    <mergeCell ref="BH49:BH50"/>
    <mergeCell ref="BI49:BI50"/>
    <mergeCell ref="AZ49:AZ50"/>
    <mergeCell ref="BA49:BA50"/>
    <mergeCell ref="BB49:BB50"/>
    <mergeCell ref="BC49:BC50"/>
    <mergeCell ref="BD49:BD50"/>
    <mergeCell ref="BE49:BE50"/>
    <mergeCell ref="AH49:AH50"/>
    <mergeCell ref="AI49:AI50"/>
    <mergeCell ref="AJ49:AJ50"/>
    <mergeCell ref="AK49:AK50"/>
    <mergeCell ref="AL49:AL50"/>
    <mergeCell ref="AM49:AM50"/>
    <mergeCell ref="AN49:AN50"/>
    <mergeCell ref="AO49:AO50"/>
    <mergeCell ref="AP49:AP50"/>
    <mergeCell ref="AQ49:AQ50"/>
    <mergeCell ref="AR49:AR50"/>
    <mergeCell ref="AS49:AS50"/>
    <mergeCell ref="AT49:AT50"/>
    <mergeCell ref="AU49:AU50"/>
    <mergeCell ref="AV49:AV50"/>
    <mergeCell ref="AW49:AW50"/>
    <mergeCell ref="AX49:AX50"/>
    <mergeCell ref="BE46:BE47"/>
    <mergeCell ref="BF46:BF47"/>
    <mergeCell ref="BG46:BG47"/>
    <mergeCell ref="BH46:BH47"/>
    <mergeCell ref="AW46:AW47"/>
    <mergeCell ref="AX46:AX47"/>
    <mergeCell ref="AY46:AY47"/>
    <mergeCell ref="AZ46:AZ47"/>
    <mergeCell ref="BA46:BA47"/>
    <mergeCell ref="BI46:BI47"/>
    <mergeCell ref="BI38:BI39"/>
    <mergeCell ref="Z40:Z42"/>
    <mergeCell ref="AA40:AA42"/>
    <mergeCell ref="AB40:AB42"/>
    <mergeCell ref="AC40:AC42"/>
    <mergeCell ref="AD40:AD42"/>
    <mergeCell ref="AE40:AE42"/>
    <mergeCell ref="AG46:AG47"/>
    <mergeCell ref="AH46:AH47"/>
    <mergeCell ref="AN40:AN42"/>
    <mergeCell ref="AO40:AO42"/>
    <mergeCell ref="AP40:AP42"/>
    <mergeCell ref="AQ40:AQ42"/>
    <mergeCell ref="AG40:AG42"/>
    <mergeCell ref="AH40:AH42"/>
    <mergeCell ref="AI40:AI42"/>
    <mergeCell ref="AJ40:AJ42"/>
    <mergeCell ref="Z46:Z47"/>
    <mergeCell ref="AA46:AA47"/>
    <mergeCell ref="AB46:AB47"/>
    <mergeCell ref="AC46:AC47"/>
    <mergeCell ref="BC46:BC47"/>
    <mergeCell ref="AD46:AD47"/>
    <mergeCell ref="AF46:AF47"/>
    <mergeCell ref="AI46:AI47"/>
    <mergeCell ref="AJ46:AJ47"/>
    <mergeCell ref="AK46:AK47"/>
    <mergeCell ref="AL46:AL47"/>
    <mergeCell ref="AM46:AM47"/>
    <mergeCell ref="AN46:AN47"/>
    <mergeCell ref="AO46:AO47"/>
    <mergeCell ref="AP46:AP47"/>
    <mergeCell ref="BB46:BB47"/>
    <mergeCell ref="BI27:BI28"/>
    <mergeCell ref="BB27:BB28"/>
    <mergeCell ref="BC27:BC28"/>
    <mergeCell ref="BD27:BD28"/>
    <mergeCell ref="BE27:BE28"/>
    <mergeCell ref="AH38:AH39"/>
    <mergeCell ref="AI38:AI39"/>
    <mergeCell ref="AJ38:AJ39"/>
    <mergeCell ref="AK38:AK39"/>
    <mergeCell ref="AL38:AL39"/>
    <mergeCell ref="AM38:AM39"/>
    <mergeCell ref="BE38:BE39"/>
    <mergeCell ref="AT38:AT39"/>
    <mergeCell ref="AU38:AU39"/>
    <mergeCell ref="AV38:AV39"/>
    <mergeCell ref="AW38:AW39"/>
    <mergeCell ref="AX38:AX39"/>
    <mergeCell ref="AY38:AY39"/>
    <mergeCell ref="AZ38:AZ39"/>
    <mergeCell ref="BA38:BA39"/>
    <mergeCell ref="BD46:BD47"/>
    <mergeCell ref="BI24:BI26"/>
    <mergeCell ref="B27:B28"/>
    <mergeCell ref="T27:T28"/>
    <mergeCell ref="U27:U28"/>
    <mergeCell ref="V27:V28"/>
    <mergeCell ref="W27:W28"/>
    <mergeCell ref="X27:X28"/>
    <mergeCell ref="Y27:Y28"/>
    <mergeCell ref="Z27:Z28"/>
    <mergeCell ref="AA27:AA28"/>
    <mergeCell ref="AB27:AB28"/>
    <mergeCell ref="AC27:AC28"/>
    <mergeCell ref="AD27:AD28"/>
    <mergeCell ref="AE27:AE28"/>
    <mergeCell ref="AF27:AF28"/>
    <mergeCell ref="AG27:AG28"/>
    <mergeCell ref="AH27:AH28"/>
    <mergeCell ref="AI27:AI28"/>
    <mergeCell ref="AJ27:AJ28"/>
    <mergeCell ref="AK27:AK28"/>
    <mergeCell ref="AL27:AL28"/>
    <mergeCell ref="AR27:AR28"/>
    <mergeCell ref="AS27:AS28"/>
    <mergeCell ref="AT27:AT28"/>
    <mergeCell ref="AU27:AU28"/>
    <mergeCell ref="BF27:BF28"/>
    <mergeCell ref="BG27:BG28"/>
    <mergeCell ref="AV27:AV28"/>
    <mergeCell ref="AW27:AW28"/>
    <mergeCell ref="AX27:AX28"/>
    <mergeCell ref="AY27:AY28"/>
    <mergeCell ref="AZ27:AZ28"/>
    <mergeCell ref="AQ24:AQ26"/>
    <mergeCell ref="AR24:AR26"/>
    <mergeCell ref="AS24:AS26"/>
    <mergeCell ref="AT24:AT26"/>
    <mergeCell ref="AU24:AU26"/>
    <mergeCell ref="AV24:AV26"/>
    <mergeCell ref="AW24:AW26"/>
    <mergeCell ref="AD38:AD39"/>
    <mergeCell ref="AE38:AE39"/>
    <mergeCell ref="AF38:AF39"/>
    <mergeCell ref="AG38:AG39"/>
    <mergeCell ref="BH27:BH28"/>
    <mergeCell ref="BC24:BC26"/>
    <mergeCell ref="BD24:BD26"/>
    <mergeCell ref="BE24:BE26"/>
    <mergeCell ref="BF24:BF26"/>
    <mergeCell ref="BG24:BG26"/>
    <mergeCell ref="BH24:BH26"/>
    <mergeCell ref="BB38:BB39"/>
    <mergeCell ref="BC38:BC39"/>
    <mergeCell ref="BD38:BD39"/>
    <mergeCell ref="AN38:AN39"/>
    <mergeCell ref="AO38:AO39"/>
    <mergeCell ref="AP38:AP39"/>
    <mergeCell ref="AQ38:AQ39"/>
    <mergeCell ref="AR38:AR39"/>
    <mergeCell ref="AS38:AS39"/>
    <mergeCell ref="BF38:BF39"/>
    <mergeCell ref="BG38:BG39"/>
    <mergeCell ref="BH38:BH39"/>
    <mergeCell ref="BA27:BA28"/>
    <mergeCell ref="AV22:AV23"/>
    <mergeCell ref="AW22:AW23"/>
    <mergeCell ref="AX22:AX23"/>
    <mergeCell ref="AY22:AY23"/>
    <mergeCell ref="AZ22:AZ23"/>
    <mergeCell ref="BA22:BA23"/>
    <mergeCell ref="BB22:BB23"/>
    <mergeCell ref="AM27:AM28"/>
    <mergeCell ref="AN27:AN28"/>
    <mergeCell ref="AO27:AO28"/>
    <mergeCell ref="AP27:AP28"/>
    <mergeCell ref="AQ27:AQ28"/>
    <mergeCell ref="BH22:BH23"/>
    <mergeCell ref="BI22:BI23"/>
    <mergeCell ref="B24:B26"/>
    <mergeCell ref="Z24:Z26"/>
    <mergeCell ref="AA24:AA26"/>
    <mergeCell ref="AB24:AB26"/>
    <mergeCell ref="AC24:AC26"/>
    <mergeCell ref="AD24:AD26"/>
    <mergeCell ref="AE24:AE26"/>
    <mergeCell ref="AF24:AF26"/>
    <mergeCell ref="AG24:AG26"/>
    <mergeCell ref="AH24:AH26"/>
    <mergeCell ref="AI24:AI26"/>
    <mergeCell ref="AJ24:AJ26"/>
    <mergeCell ref="AK24:AK26"/>
    <mergeCell ref="AL24:AL26"/>
    <mergeCell ref="AM24:AM26"/>
    <mergeCell ref="AN24:AN26"/>
    <mergeCell ref="AO24:AO26"/>
    <mergeCell ref="AP24:AP26"/>
    <mergeCell ref="BH19:BH20"/>
    <mergeCell ref="BI19:BI20"/>
    <mergeCell ref="A22:A36"/>
    <mergeCell ref="B22:B23"/>
    <mergeCell ref="T22:T23"/>
    <mergeCell ref="U22:U23"/>
    <mergeCell ref="V22:V23"/>
    <mergeCell ref="W22:W23"/>
    <mergeCell ref="X22:X23"/>
    <mergeCell ref="Y22:Y23"/>
    <mergeCell ref="Z22:Z23"/>
    <mergeCell ref="AA22:AA23"/>
    <mergeCell ref="AB22:AB23"/>
    <mergeCell ref="AC22:AC23"/>
    <mergeCell ref="AD22:AD23"/>
    <mergeCell ref="AE22:AE23"/>
    <mergeCell ref="AF22:AF23"/>
    <mergeCell ref="AG22:AG23"/>
    <mergeCell ref="AH22:AH23"/>
    <mergeCell ref="AI22:AI23"/>
    <mergeCell ref="AJ22:AJ23"/>
    <mergeCell ref="AK22:AK23"/>
    <mergeCell ref="AX24:AX26"/>
    <mergeCell ref="AY24:AY26"/>
    <mergeCell ref="AZ24:AZ26"/>
    <mergeCell ref="BA24:BA26"/>
    <mergeCell ref="BB24:BB26"/>
    <mergeCell ref="AQ22:AQ23"/>
    <mergeCell ref="AR22:AR23"/>
    <mergeCell ref="AS22:AS23"/>
    <mergeCell ref="AT22:AT23"/>
    <mergeCell ref="AU22:AU23"/>
    <mergeCell ref="BD16:BD17"/>
    <mergeCell ref="BE16:BE17"/>
    <mergeCell ref="BF16:BF17"/>
    <mergeCell ref="BG16:BG17"/>
    <mergeCell ref="BH16:BH17"/>
    <mergeCell ref="AL22:AL23"/>
    <mergeCell ref="AM22:AM23"/>
    <mergeCell ref="AN22:AN23"/>
    <mergeCell ref="AO22:AO23"/>
    <mergeCell ref="AP22:AP23"/>
    <mergeCell ref="AL19:AL20"/>
    <mergeCell ref="AM19:AM20"/>
    <mergeCell ref="AN19:AN20"/>
    <mergeCell ref="AO19:AO20"/>
    <mergeCell ref="AP19:AP20"/>
    <mergeCell ref="AQ19:AQ20"/>
    <mergeCell ref="AR19:AR20"/>
    <mergeCell ref="AS19:AS20"/>
    <mergeCell ref="AT19:AT20"/>
    <mergeCell ref="AU19:AU20"/>
    <mergeCell ref="AV19:AV20"/>
    <mergeCell ref="AW19:AW20"/>
    <mergeCell ref="BC22:BC23"/>
    <mergeCell ref="BD22:BD23"/>
    <mergeCell ref="BE22:BE23"/>
    <mergeCell ref="BF22:BF23"/>
    <mergeCell ref="BG22:BG23"/>
    <mergeCell ref="BC19:BC20"/>
    <mergeCell ref="BD19:BD20"/>
    <mergeCell ref="BE19:BE20"/>
    <mergeCell ref="BF19:BF20"/>
    <mergeCell ref="BG19:BG20"/>
    <mergeCell ref="BI16:BI17"/>
    <mergeCell ref="B19:B20"/>
    <mergeCell ref="T19:T20"/>
    <mergeCell ref="U19:U20"/>
    <mergeCell ref="V19:V20"/>
    <mergeCell ref="W19:W20"/>
    <mergeCell ref="X19:X20"/>
    <mergeCell ref="Y19:Y20"/>
    <mergeCell ref="Z19:Z20"/>
    <mergeCell ref="AA19:AA20"/>
    <mergeCell ref="AB19:AB20"/>
    <mergeCell ref="AC19:AC20"/>
    <mergeCell ref="AD19:AD20"/>
    <mergeCell ref="AE19:AE20"/>
    <mergeCell ref="AF19:AF20"/>
    <mergeCell ref="AG19:AG20"/>
    <mergeCell ref="AH19:AH20"/>
    <mergeCell ref="AI19:AI20"/>
    <mergeCell ref="AJ19:AJ20"/>
    <mergeCell ref="AK19:AK20"/>
    <mergeCell ref="AX19:AX20"/>
    <mergeCell ref="AY19:AY20"/>
    <mergeCell ref="AZ19:AZ20"/>
    <mergeCell ref="BA19:BA20"/>
    <mergeCell ref="BB19:BB20"/>
    <mergeCell ref="AW16:AW17"/>
    <mergeCell ref="AX16:AX17"/>
    <mergeCell ref="AY16:AY17"/>
    <mergeCell ref="AZ16:AZ17"/>
    <mergeCell ref="BA16:BA17"/>
    <mergeCell ref="BB16:BB17"/>
    <mergeCell ref="BC16:BC17"/>
    <mergeCell ref="BH11:BH12"/>
    <mergeCell ref="BI11:BI12"/>
    <mergeCell ref="A14:A21"/>
    <mergeCell ref="B14:B15"/>
    <mergeCell ref="B16:B17"/>
    <mergeCell ref="T16:T17"/>
    <mergeCell ref="U16:U17"/>
    <mergeCell ref="V16:V17"/>
    <mergeCell ref="Y16:Y17"/>
    <mergeCell ref="Z16:Z17"/>
    <mergeCell ref="AA16:AA17"/>
    <mergeCell ref="AB16:AB17"/>
    <mergeCell ref="AC16:AC17"/>
    <mergeCell ref="AD16:AD17"/>
    <mergeCell ref="AE16:AE17"/>
    <mergeCell ref="AF16:AF17"/>
    <mergeCell ref="AG16:AG17"/>
    <mergeCell ref="AH16:AH17"/>
    <mergeCell ref="AI16:AI17"/>
    <mergeCell ref="AJ16:AJ17"/>
    <mergeCell ref="AK16:AK17"/>
    <mergeCell ref="AL16:AL17"/>
    <mergeCell ref="AM16:AM17"/>
    <mergeCell ref="AN16:AN17"/>
    <mergeCell ref="AO16:AO17"/>
    <mergeCell ref="AP16:AP17"/>
    <mergeCell ref="AQ16:AQ17"/>
    <mergeCell ref="AR16:AR17"/>
    <mergeCell ref="AS16:AS17"/>
    <mergeCell ref="AT16:AT17"/>
    <mergeCell ref="AU16:AU17"/>
    <mergeCell ref="AV16:AV17"/>
    <mergeCell ref="AQ11:AQ12"/>
    <mergeCell ref="AR11:AR12"/>
    <mergeCell ref="AS11:AS12"/>
    <mergeCell ref="AT11:AT12"/>
    <mergeCell ref="AU11:AU12"/>
    <mergeCell ref="AV11:AV12"/>
    <mergeCell ref="AW11:AW12"/>
    <mergeCell ref="AX11:AX12"/>
    <mergeCell ref="AY11:AY12"/>
    <mergeCell ref="AZ11:AZ12"/>
    <mergeCell ref="BA11:BA12"/>
    <mergeCell ref="BB11:BB12"/>
    <mergeCell ref="BC11:BC12"/>
    <mergeCell ref="BD11:BD12"/>
    <mergeCell ref="BE11:BE12"/>
    <mergeCell ref="BF11:BF12"/>
    <mergeCell ref="BG11:BG12"/>
    <mergeCell ref="BA9:BA10"/>
    <mergeCell ref="BB9:BB10"/>
    <mergeCell ref="BC9:BC10"/>
    <mergeCell ref="BD9:BD10"/>
    <mergeCell ref="BE9:BE10"/>
    <mergeCell ref="BF9:BF10"/>
    <mergeCell ref="BG9:BG10"/>
    <mergeCell ref="BH9:BH10"/>
    <mergeCell ref="BI9:BI10"/>
    <mergeCell ref="T11:T12"/>
    <mergeCell ref="U11:U12"/>
    <mergeCell ref="V11:V12"/>
    <mergeCell ref="W11:W12"/>
    <mergeCell ref="X11:X12"/>
    <mergeCell ref="Y11:Y12"/>
    <mergeCell ref="Z11:Z12"/>
    <mergeCell ref="AA11:AA12"/>
    <mergeCell ref="AB11:AB12"/>
    <mergeCell ref="AC11:AC12"/>
    <mergeCell ref="AD11:AD12"/>
    <mergeCell ref="AE11:AE12"/>
    <mergeCell ref="AF11:AF12"/>
    <mergeCell ref="AG11:AG12"/>
    <mergeCell ref="AH11:AH12"/>
    <mergeCell ref="AI11:AI12"/>
    <mergeCell ref="AJ11:AJ12"/>
    <mergeCell ref="AK11:AK12"/>
    <mergeCell ref="AL11:AL12"/>
    <mergeCell ref="AM11:AM12"/>
    <mergeCell ref="AN11:AN12"/>
    <mergeCell ref="AO11:AO12"/>
    <mergeCell ref="AP11:AP12"/>
    <mergeCell ref="AO5:AQ5"/>
    <mergeCell ref="AR5:AT5"/>
    <mergeCell ref="AU5:AW5"/>
    <mergeCell ref="AX5:AZ5"/>
    <mergeCell ref="Z9:Z10"/>
    <mergeCell ref="AA9:AA10"/>
    <mergeCell ref="AB9:AB10"/>
    <mergeCell ref="AC9:AC10"/>
    <mergeCell ref="AD9:AD10"/>
    <mergeCell ref="AE9:AE10"/>
    <mergeCell ref="AF9:AF10"/>
    <mergeCell ref="AG9:AG10"/>
    <mergeCell ref="AH9:AH10"/>
    <mergeCell ref="AI9:AI10"/>
    <mergeCell ref="AJ9:AJ10"/>
    <mergeCell ref="AK9:AK10"/>
    <mergeCell ref="AL9:AL10"/>
    <mergeCell ref="AM9:AM10"/>
    <mergeCell ref="AN9:AN10"/>
    <mergeCell ref="AO9:AO10"/>
    <mergeCell ref="AP9:AP10"/>
    <mergeCell ref="AQ9:AQ10"/>
    <mergeCell ref="AR9:AR10"/>
    <mergeCell ref="AS9:AS10"/>
    <mergeCell ref="AT9:AT10"/>
    <mergeCell ref="AU9:AU10"/>
    <mergeCell ref="AV9:AV10"/>
    <mergeCell ref="AW9:AW10"/>
    <mergeCell ref="AX9:AX10"/>
    <mergeCell ref="AY9:AY10"/>
    <mergeCell ref="AZ9:AZ10"/>
    <mergeCell ref="A1:B4"/>
    <mergeCell ref="BV16:BX16"/>
    <mergeCell ref="BV17:BX17"/>
    <mergeCell ref="BV18:BX18"/>
    <mergeCell ref="BV19:BX19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R5"/>
    <mergeCell ref="S5:S6"/>
    <mergeCell ref="T5:V5"/>
    <mergeCell ref="W5:Y5"/>
    <mergeCell ref="Z5:AB5"/>
    <mergeCell ref="AC5:AE5"/>
    <mergeCell ref="AF5:AH5"/>
    <mergeCell ref="BA5:BC5"/>
    <mergeCell ref="BD5:BF5"/>
    <mergeCell ref="BG5:BI5"/>
    <mergeCell ref="AI5:AK5"/>
    <mergeCell ref="AL5:AN5"/>
  </mergeCells>
  <conditionalFormatting sqref="L7:L13">
    <cfRule type="cellIs" dxfId="20" priority="20" stopIfTrue="1" operator="greaterThanOrEqual">
      <formula>0</formula>
    </cfRule>
  </conditionalFormatting>
  <conditionalFormatting sqref="T7">
    <cfRule type="cellIs" dxfId="19" priority="19" stopIfTrue="1" operator="between">
      <formula>$M$7</formula>
      <formula>$M$8</formula>
    </cfRule>
  </conditionalFormatting>
  <conditionalFormatting sqref="AA8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{4883E686-4F35-465E-A0CC-8C6E7C41E238}</x14:id>
        </ext>
      </extLst>
    </cfRule>
  </conditionalFormatting>
  <conditionalFormatting sqref="L14:L194">
    <cfRule type="cellIs" dxfId="18" priority="7" stopIfTrue="1" operator="greaterThanOrEqual">
      <formula>0</formula>
    </cfRule>
  </conditionalFormatting>
  <printOptions horizontalCentered="1" verticalCentered="1"/>
  <pageMargins left="0" right="0" top="0" bottom="0" header="0" footer="0"/>
  <pageSetup paperSize="9" scale="23" orientation="portrait" r:id="rId1"/>
  <headerFooter alignWithMargins="0">
    <oddHeader>&amp;L&amp;BVisteon Confidentiel&amp;B&amp;C&amp;D&amp;RPage &amp;P</oddHeader>
    <oddFooter>&amp;L&amp;D&amp;C&amp;F&amp;RPage &amp;P
&amp;T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83E686-4F35-465E-A0CC-8C6E7C41E238}">
            <x14:dataBar minLength="0" maxLength="100" negativeBarColorSameAsPositive="1" axisPosition="none">
              <x14:cfvo type="min"/>
              <x14:cfvo type="max"/>
            </x14:dataBar>
          </x14:cfRule>
          <xm:sqref>AA8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1"/>
  <sheetViews>
    <sheetView zoomScale="20" zoomScaleNormal="20" workbookViewId="0">
      <selection activeCell="E83" sqref="E83"/>
    </sheetView>
  </sheetViews>
  <sheetFormatPr baseColWidth="10" defaultRowHeight="12.75"/>
  <cols>
    <col min="1" max="1" width="71.140625" customWidth="1"/>
    <col min="2" max="2" width="78.7109375" customWidth="1"/>
    <col min="3" max="3" width="82.28515625" bestFit="1" customWidth="1"/>
    <col min="4" max="4" width="80.140625" customWidth="1"/>
    <col min="5" max="5" width="78" bestFit="1" customWidth="1"/>
    <col min="6" max="6" width="58" hidden="1" customWidth="1"/>
    <col min="7" max="7" width="40.85546875" hidden="1" customWidth="1"/>
    <col min="8" max="8" width="43" hidden="1" customWidth="1"/>
    <col min="9" max="9" width="58" hidden="1" customWidth="1"/>
    <col min="10" max="10" width="40.85546875" hidden="1" customWidth="1"/>
    <col min="11" max="11" width="43" hidden="1" customWidth="1"/>
    <col min="12" max="12" width="58" hidden="1" customWidth="1"/>
    <col min="13" max="13" width="40.85546875" hidden="1" customWidth="1"/>
    <col min="14" max="14" width="43" hidden="1" customWidth="1"/>
    <col min="15" max="15" width="58" hidden="1" customWidth="1"/>
    <col min="16" max="16" width="40.85546875" hidden="1" customWidth="1"/>
    <col min="17" max="17" width="43" hidden="1" customWidth="1"/>
    <col min="18" max="18" width="58" hidden="1" customWidth="1"/>
    <col min="19" max="19" width="40.85546875" hidden="1" customWidth="1"/>
    <col min="20" max="20" width="43" hidden="1" customWidth="1"/>
    <col min="21" max="21" width="58" hidden="1" customWidth="1"/>
    <col min="22" max="22" width="40.85546875" hidden="1" customWidth="1"/>
    <col min="23" max="23" width="79.42578125" bestFit="1" customWidth="1"/>
  </cols>
  <sheetData>
    <row r="1" spans="1:23" s="762" customFormat="1" ht="149.25" customHeight="1" thickBot="1">
      <c r="A1" s="1554" t="s">
        <v>495</v>
      </c>
      <c r="B1" s="1554"/>
      <c r="C1" s="1554"/>
      <c r="D1" s="1554"/>
      <c r="E1" s="1554"/>
      <c r="F1" s="1554"/>
      <c r="G1" s="1554"/>
      <c r="H1" s="1554"/>
      <c r="I1" s="1554"/>
      <c r="J1" s="1554"/>
      <c r="K1" s="1554"/>
      <c r="L1" s="1554"/>
      <c r="M1" s="1554"/>
      <c r="N1" s="1554"/>
      <c r="O1" s="1554"/>
      <c r="P1" s="1554"/>
      <c r="Q1" s="1554"/>
      <c r="R1" s="1554"/>
      <c r="S1" s="1554"/>
      <c r="T1" s="1554"/>
      <c r="U1" s="1554"/>
      <c r="V1" s="1554"/>
      <c r="W1" s="1554"/>
    </row>
    <row r="2" spans="1:23" s="763" customFormat="1" ht="237" customHeight="1" thickBot="1">
      <c r="A2" s="758" t="s">
        <v>108</v>
      </c>
      <c r="B2" s="787" t="s">
        <v>491</v>
      </c>
      <c r="C2" s="759" t="s">
        <v>492</v>
      </c>
      <c r="D2" s="759" t="s">
        <v>493</v>
      </c>
      <c r="E2" s="759" t="s">
        <v>494</v>
      </c>
      <c r="F2" s="759" t="s">
        <v>161</v>
      </c>
      <c r="G2" s="759" t="s">
        <v>160</v>
      </c>
      <c r="H2" s="759" t="s">
        <v>159</v>
      </c>
      <c r="I2" s="759" t="s">
        <v>161</v>
      </c>
      <c r="J2" s="759" t="s">
        <v>160</v>
      </c>
      <c r="K2" s="759" t="s">
        <v>159</v>
      </c>
      <c r="L2" s="759" t="s">
        <v>161</v>
      </c>
      <c r="M2" s="759" t="s">
        <v>160</v>
      </c>
      <c r="N2" s="759" t="s">
        <v>159</v>
      </c>
      <c r="O2" s="759" t="s">
        <v>161</v>
      </c>
      <c r="P2" s="759" t="s">
        <v>160</v>
      </c>
      <c r="Q2" s="759" t="s">
        <v>159</v>
      </c>
      <c r="R2" s="759" t="s">
        <v>161</v>
      </c>
      <c r="S2" s="759" t="s">
        <v>160</v>
      </c>
      <c r="T2" s="759" t="s">
        <v>159</v>
      </c>
      <c r="U2" s="759" t="s">
        <v>161</v>
      </c>
      <c r="V2" s="759" t="s">
        <v>160</v>
      </c>
      <c r="W2" s="759" t="s">
        <v>489</v>
      </c>
    </row>
    <row r="3" spans="1:23" s="762" customFormat="1" ht="114.75" customHeight="1" thickTop="1" thickBot="1">
      <c r="A3" s="760" t="s">
        <v>363</v>
      </c>
      <c r="B3" s="866">
        <f>Capacité!BU14</f>
        <v>11.396888888888888</v>
      </c>
      <c r="C3" s="786">
        <v>8</v>
      </c>
      <c r="D3" s="786">
        <v>8</v>
      </c>
      <c r="E3" s="786">
        <v>0</v>
      </c>
      <c r="F3" s="761"/>
      <c r="G3" s="761"/>
      <c r="H3" s="761"/>
      <c r="I3" s="761"/>
      <c r="J3" s="761"/>
      <c r="K3" s="761"/>
      <c r="L3" s="761"/>
      <c r="M3" s="761"/>
      <c r="N3" s="761"/>
      <c r="O3" s="761"/>
      <c r="P3" s="764"/>
      <c r="Q3" s="764"/>
      <c r="R3" s="764"/>
      <c r="S3" s="764"/>
      <c r="T3" s="764"/>
      <c r="U3" s="764"/>
      <c r="V3" s="764"/>
      <c r="W3" s="788">
        <v>2</v>
      </c>
    </row>
    <row r="4" spans="1:23" s="762" customFormat="1" ht="93.75" thickTop="1" thickBot="1">
      <c r="A4" s="760" t="s">
        <v>364</v>
      </c>
      <c r="B4" s="866">
        <f>Capacité!BU22</f>
        <v>15.473888888888887</v>
      </c>
      <c r="C4" s="786">
        <v>8</v>
      </c>
      <c r="D4" s="786">
        <v>8</v>
      </c>
      <c r="E4" s="786">
        <v>0</v>
      </c>
      <c r="F4" s="761"/>
      <c r="G4" s="761"/>
      <c r="H4" s="761"/>
      <c r="I4" s="761"/>
      <c r="J4" s="761"/>
      <c r="K4" s="761"/>
      <c r="L4" s="761"/>
      <c r="M4" s="761"/>
      <c r="N4" s="761"/>
      <c r="O4" s="761"/>
      <c r="P4" s="764"/>
      <c r="Q4" s="764"/>
      <c r="R4" s="764"/>
      <c r="S4" s="764"/>
      <c r="T4" s="764"/>
      <c r="U4" s="764"/>
      <c r="V4" s="764"/>
      <c r="W4" s="786">
        <v>2</v>
      </c>
    </row>
    <row r="5" spans="1:23" s="762" customFormat="1" ht="93.75" thickTop="1" thickBot="1">
      <c r="A5" s="760" t="s">
        <v>484</v>
      </c>
      <c r="B5" s="866">
        <f>Capacité!BU104</f>
        <v>15.173888888888889</v>
      </c>
      <c r="C5" s="786">
        <v>8</v>
      </c>
      <c r="D5" s="786">
        <v>8</v>
      </c>
      <c r="E5" s="786">
        <v>0</v>
      </c>
      <c r="F5" s="765"/>
      <c r="G5" s="765"/>
      <c r="H5" s="761"/>
      <c r="I5" s="761"/>
      <c r="J5" s="761"/>
      <c r="K5" s="765"/>
      <c r="L5" s="765"/>
      <c r="M5" s="765"/>
      <c r="N5" s="761"/>
      <c r="O5" s="761"/>
      <c r="P5" s="761"/>
      <c r="Q5" s="764"/>
      <c r="R5" s="764"/>
      <c r="S5" s="764"/>
      <c r="T5" s="764"/>
      <c r="U5" s="764"/>
      <c r="V5" s="764"/>
      <c r="W5" s="786">
        <v>2</v>
      </c>
    </row>
    <row r="6" spans="1:23" s="762" customFormat="1" ht="93.75" thickTop="1" thickBot="1">
      <c r="A6" s="760" t="s">
        <v>485</v>
      </c>
      <c r="B6" s="866">
        <f>Capacité!BU188</f>
        <v>17.695833333333333</v>
      </c>
      <c r="C6" s="786">
        <v>8</v>
      </c>
      <c r="D6" s="786">
        <v>8</v>
      </c>
      <c r="E6" s="786" t="s">
        <v>488</v>
      </c>
      <c r="F6" s="765"/>
      <c r="G6" s="765"/>
      <c r="H6" s="761"/>
      <c r="I6" s="761"/>
      <c r="J6" s="761"/>
      <c r="K6" s="765"/>
      <c r="L6" s="765"/>
      <c r="M6" s="765"/>
      <c r="N6" s="761"/>
      <c r="O6" s="761"/>
      <c r="P6" s="761"/>
      <c r="Q6" s="764"/>
      <c r="R6" s="764"/>
      <c r="S6" s="764"/>
      <c r="T6" s="764"/>
      <c r="U6" s="764"/>
      <c r="V6" s="764"/>
      <c r="W6" s="786">
        <v>2.5</v>
      </c>
    </row>
    <row r="7" spans="1:23" s="762" customFormat="1" ht="93.75" thickTop="1" thickBot="1">
      <c r="A7" s="760" t="s">
        <v>481</v>
      </c>
      <c r="B7" s="866">
        <f>Capacité!BU45</f>
        <v>19.782777777777778</v>
      </c>
      <c r="C7" s="786">
        <v>8</v>
      </c>
      <c r="D7" s="786">
        <v>8</v>
      </c>
      <c r="E7" s="786" t="s">
        <v>486</v>
      </c>
      <c r="F7" s="761"/>
      <c r="G7" s="761"/>
      <c r="H7" s="761"/>
      <c r="I7" s="761"/>
      <c r="J7" s="761"/>
      <c r="K7" s="761"/>
      <c r="L7" s="761"/>
      <c r="M7" s="761"/>
      <c r="N7" s="761"/>
      <c r="O7" s="761"/>
      <c r="P7" s="761"/>
      <c r="Q7" s="761"/>
      <c r="R7" s="761"/>
      <c r="S7" s="761"/>
      <c r="T7" s="764"/>
      <c r="U7" s="764"/>
      <c r="V7" s="764"/>
      <c r="W7" s="786">
        <v>2.5</v>
      </c>
    </row>
    <row r="8" spans="1:23" s="762" customFormat="1" ht="133.5" customHeight="1" thickTop="1" thickBot="1">
      <c r="A8" s="760" t="s">
        <v>483</v>
      </c>
      <c r="B8" s="866">
        <f>Capacité!BU85</f>
        <v>20.766666666666666</v>
      </c>
      <c r="C8" s="786">
        <v>8</v>
      </c>
      <c r="D8" s="786">
        <v>8</v>
      </c>
      <c r="E8" s="786" t="s">
        <v>487</v>
      </c>
      <c r="F8" s="761"/>
      <c r="G8" s="761"/>
      <c r="H8" s="761"/>
      <c r="I8" s="761"/>
      <c r="J8" s="761"/>
      <c r="K8" s="761"/>
      <c r="L8" s="761"/>
      <c r="M8" s="761"/>
      <c r="N8" s="761"/>
      <c r="O8" s="761"/>
      <c r="P8" s="761"/>
      <c r="Q8" s="761"/>
      <c r="R8" s="761"/>
      <c r="S8" s="761"/>
      <c r="T8" s="764"/>
      <c r="U8" s="764"/>
      <c r="V8" s="764"/>
      <c r="W8" s="786">
        <v>2.7</v>
      </c>
    </row>
    <row r="9" spans="1:23" s="762" customFormat="1" ht="107.25" customHeight="1" thickTop="1" thickBot="1">
      <c r="A9" s="760" t="s">
        <v>394</v>
      </c>
      <c r="B9" s="866">
        <f>Capacité!BU102</f>
        <v>18.5625</v>
      </c>
      <c r="C9" s="789">
        <v>8</v>
      </c>
      <c r="D9" s="789">
        <v>8</v>
      </c>
      <c r="E9" s="789" t="s">
        <v>488</v>
      </c>
      <c r="F9" s="761"/>
      <c r="G9" s="761"/>
      <c r="H9" s="761"/>
      <c r="I9" s="761"/>
      <c r="J9" s="761"/>
      <c r="K9" s="761"/>
      <c r="L9" s="761"/>
      <c r="M9" s="761"/>
      <c r="N9" s="761"/>
      <c r="O9" s="761"/>
      <c r="P9" s="761"/>
      <c r="Q9" s="761"/>
      <c r="R9" s="761"/>
      <c r="S9" s="764"/>
      <c r="T9" s="764"/>
      <c r="U9" s="764"/>
      <c r="V9" s="764"/>
      <c r="W9" s="786">
        <v>2.2999999999999998</v>
      </c>
    </row>
    <row r="10" spans="1:23" s="762" customFormat="1" ht="88.5" customHeight="1" thickTop="1" thickBot="1">
      <c r="A10" s="792" t="s">
        <v>482</v>
      </c>
      <c r="B10" s="866">
        <f>Capacité!BU64</f>
        <v>21.583333333333336</v>
      </c>
      <c r="C10" s="791">
        <v>8</v>
      </c>
      <c r="D10" s="791">
        <v>8</v>
      </c>
      <c r="E10" s="791">
        <v>8</v>
      </c>
      <c r="F10" s="790"/>
      <c r="G10" s="761"/>
      <c r="H10" s="761"/>
      <c r="I10" s="761"/>
      <c r="J10" s="761"/>
      <c r="K10" s="761"/>
      <c r="L10" s="761"/>
      <c r="M10" s="761"/>
      <c r="N10" s="761"/>
      <c r="O10" s="761"/>
      <c r="P10" s="761"/>
      <c r="Q10" s="764"/>
      <c r="R10" s="764"/>
      <c r="S10" s="764"/>
      <c r="T10" s="764"/>
      <c r="U10" s="764"/>
      <c r="V10" s="764"/>
      <c r="W10" s="786">
        <v>3</v>
      </c>
    </row>
    <row r="11" spans="1:23" ht="93.75" thickTop="1" thickBot="1">
      <c r="A11" s="793" t="s">
        <v>490</v>
      </c>
      <c r="B11" s="866">
        <f>SUM(B3:B10)</f>
        <v>140.43577777777779</v>
      </c>
      <c r="C11" s="794">
        <f>SUM(C3:C10)</f>
        <v>64</v>
      </c>
      <c r="D11" s="794">
        <f>SUM(D3:D10)</f>
        <v>64</v>
      </c>
      <c r="E11" s="794">
        <f>16+5</f>
        <v>21</v>
      </c>
      <c r="F11" s="795"/>
      <c r="G11" s="795"/>
      <c r="H11" s="795"/>
      <c r="I11" s="795"/>
      <c r="J11" s="795"/>
      <c r="K11" s="795"/>
      <c r="L11" s="795"/>
      <c r="M11" s="795"/>
      <c r="N11" s="795"/>
      <c r="O11" s="795"/>
      <c r="P11" s="795"/>
      <c r="Q11" s="795"/>
      <c r="R11" s="795"/>
      <c r="S11" s="795"/>
      <c r="T11" s="795"/>
      <c r="U11" s="795"/>
      <c r="V11" s="795"/>
      <c r="W11" s="796">
        <f>W3+W4+W7+W10+W8+W9+W5+W6</f>
        <v>19</v>
      </c>
    </row>
  </sheetData>
  <mergeCells count="1">
    <mergeCell ref="A1:W1"/>
  </mergeCells>
  <pageMargins left="0.7" right="0.7" top="0.75" bottom="0.75" header="0.3" footer="0.3"/>
  <pageSetup scale="18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"/>
  <sheetViews>
    <sheetView workbookViewId="0">
      <selection activeCell="E83" sqref="E83"/>
    </sheetView>
  </sheetViews>
  <sheetFormatPr baseColWidth="10" defaultRowHeight="12.75"/>
  <cols>
    <col min="1" max="1" width="19.7109375" customWidth="1"/>
    <col min="2" max="2" width="16.28515625" customWidth="1"/>
  </cols>
  <sheetData>
    <row r="3" spans="1:6">
      <c r="A3" t="s">
        <v>469</v>
      </c>
    </row>
    <row r="5" spans="1:6">
      <c r="A5" s="674"/>
      <c r="B5" s="675">
        <v>41579</v>
      </c>
      <c r="C5" s="675">
        <v>41580</v>
      </c>
      <c r="D5" s="675">
        <v>41581</v>
      </c>
      <c r="E5" s="675">
        <v>41582</v>
      </c>
      <c r="F5" s="675">
        <v>41583</v>
      </c>
    </row>
    <row r="6" spans="1:6">
      <c r="A6" s="674" t="s">
        <v>464</v>
      </c>
      <c r="B6" s="674" t="s">
        <v>465</v>
      </c>
      <c r="C6" s="674">
        <v>0</v>
      </c>
      <c r="D6" s="674">
        <v>0</v>
      </c>
      <c r="E6" s="674">
        <v>1</v>
      </c>
      <c r="F6" s="674"/>
    </row>
    <row r="7" spans="1:6">
      <c r="A7" s="674" t="s">
        <v>466</v>
      </c>
      <c r="B7" s="674">
        <v>32</v>
      </c>
      <c r="C7" s="674"/>
      <c r="D7" s="674"/>
      <c r="E7" s="674"/>
      <c r="F7" s="674">
        <v>24</v>
      </c>
    </row>
    <row r="8" spans="1:6">
      <c r="A8" s="674" t="s">
        <v>467</v>
      </c>
      <c r="B8" s="674">
        <v>12</v>
      </c>
      <c r="C8" s="674"/>
      <c r="D8" s="674"/>
      <c r="E8" s="674">
        <v>20</v>
      </c>
      <c r="F8" s="674"/>
    </row>
    <row r="9" spans="1:6">
      <c r="A9" s="674" t="s">
        <v>468</v>
      </c>
      <c r="B9" s="674">
        <v>0</v>
      </c>
      <c r="C9" s="674"/>
      <c r="D9" s="674"/>
      <c r="E9" s="674"/>
      <c r="F9" s="674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"/>
  <sheetViews>
    <sheetView topLeftCell="B2" zoomScale="150" zoomScaleNormal="150" workbookViewId="0">
      <selection activeCell="E83" sqref="E83"/>
    </sheetView>
  </sheetViews>
  <sheetFormatPr baseColWidth="10" defaultRowHeight="12.75"/>
  <cols>
    <col min="1" max="1" width="0" hidden="1" customWidth="1"/>
    <col min="2" max="2" width="16.5703125" customWidth="1"/>
    <col min="4" max="4" width="0" hidden="1" customWidth="1"/>
  </cols>
  <sheetData>
    <row r="1" spans="1:11" hidden="1"/>
    <row r="2" spans="1:11" ht="33" customHeight="1" thickBot="1">
      <c r="F2" s="1561" t="s">
        <v>476</v>
      </c>
      <c r="G2" s="1561"/>
      <c r="H2" s="1561"/>
      <c r="I2" s="1561"/>
      <c r="J2" s="1561"/>
    </row>
    <row r="3" spans="1:11" ht="16.5" customHeight="1" thickBot="1">
      <c r="A3" s="602"/>
      <c r="B3" s="85"/>
      <c r="C3" s="85"/>
      <c r="D3" s="1570">
        <v>41579</v>
      </c>
      <c r="E3" s="1558">
        <v>41587</v>
      </c>
      <c r="F3" s="1559"/>
      <c r="G3" s="1560"/>
      <c r="H3" s="1555">
        <v>41588</v>
      </c>
      <c r="I3" s="1557">
        <v>41589</v>
      </c>
      <c r="J3" s="1332"/>
      <c r="K3" s="1332"/>
    </row>
    <row r="4" spans="1:11" ht="13.5" thickBot="1">
      <c r="A4" s="112"/>
      <c r="B4" s="85"/>
      <c r="C4" s="85"/>
      <c r="D4" s="1571"/>
      <c r="E4" s="617" t="s">
        <v>159</v>
      </c>
      <c r="F4" s="618" t="s">
        <v>161</v>
      </c>
      <c r="G4" s="619" t="s">
        <v>160</v>
      </c>
      <c r="H4" s="1556"/>
      <c r="I4" s="678" t="s">
        <v>159</v>
      </c>
      <c r="J4" s="618" t="s">
        <v>161</v>
      </c>
      <c r="K4" s="619" t="s">
        <v>160</v>
      </c>
    </row>
    <row r="5" spans="1:11" ht="13.5" hidden="1" thickBot="1">
      <c r="A5" s="1329" t="s">
        <v>454</v>
      </c>
      <c r="B5" s="1562" t="s">
        <v>456</v>
      </c>
      <c r="C5" s="692" t="s">
        <v>453</v>
      </c>
      <c r="D5" s="599">
        <v>1</v>
      </c>
      <c r="E5" s="600">
        <v>0</v>
      </c>
      <c r="F5" s="600">
        <v>0</v>
      </c>
      <c r="G5" s="600">
        <v>0</v>
      </c>
      <c r="H5" s="600">
        <v>0</v>
      </c>
      <c r="I5" s="620">
        <v>0</v>
      </c>
      <c r="J5" s="598">
        <v>0</v>
      </c>
      <c r="K5" s="621">
        <v>0</v>
      </c>
    </row>
    <row r="6" spans="1:11" ht="13.5" hidden="1" thickBot="1">
      <c r="A6" s="1330"/>
      <c r="B6" s="1328"/>
      <c r="C6" s="466" t="s">
        <v>162</v>
      </c>
      <c r="D6" s="578">
        <v>1</v>
      </c>
      <c r="E6" s="579">
        <v>0</v>
      </c>
      <c r="F6" s="579">
        <v>0</v>
      </c>
      <c r="G6" s="579">
        <v>0</v>
      </c>
      <c r="H6" s="579">
        <v>0</v>
      </c>
      <c r="I6" s="622">
        <v>1</v>
      </c>
      <c r="J6" s="590">
        <v>1</v>
      </c>
      <c r="K6" s="584">
        <v>1</v>
      </c>
    </row>
    <row r="7" spans="1:11" ht="13.5" hidden="1" thickBot="1">
      <c r="A7" s="1331"/>
      <c r="B7" s="601" t="s">
        <v>450</v>
      </c>
      <c r="C7" s="677" t="s">
        <v>162</v>
      </c>
      <c r="D7" s="586">
        <v>1</v>
      </c>
      <c r="E7" s="592">
        <v>1</v>
      </c>
      <c r="F7" s="592">
        <v>1</v>
      </c>
      <c r="G7" s="592">
        <v>1</v>
      </c>
      <c r="H7" s="593">
        <v>0</v>
      </c>
      <c r="I7" s="679">
        <v>1</v>
      </c>
      <c r="J7" s="594">
        <v>1</v>
      </c>
      <c r="K7" s="595">
        <v>1</v>
      </c>
    </row>
    <row r="8" spans="1:11" ht="13.5" thickBot="1">
      <c r="A8" s="672"/>
      <c r="B8" s="1567" t="s">
        <v>470</v>
      </c>
      <c r="C8" s="693" t="s">
        <v>467</v>
      </c>
      <c r="D8" s="676"/>
      <c r="E8" s="688">
        <v>0</v>
      </c>
      <c r="F8" s="689">
        <v>0</v>
      </c>
      <c r="G8" s="689">
        <v>0</v>
      </c>
      <c r="H8" s="689">
        <v>0</v>
      </c>
      <c r="I8" s="689">
        <v>0</v>
      </c>
      <c r="J8" s="690">
        <v>1</v>
      </c>
      <c r="K8" s="690">
        <v>1</v>
      </c>
    </row>
    <row r="9" spans="1:11" ht="15" customHeight="1" thickBot="1">
      <c r="A9" s="1319" t="s">
        <v>455</v>
      </c>
      <c r="B9" s="1568"/>
      <c r="C9" s="694" t="s">
        <v>471</v>
      </c>
      <c r="D9" s="685">
        <v>1</v>
      </c>
      <c r="E9" s="691">
        <v>0</v>
      </c>
      <c r="F9" s="580">
        <v>0</v>
      </c>
      <c r="G9" s="580">
        <v>0</v>
      </c>
      <c r="H9" s="580">
        <v>0</v>
      </c>
      <c r="I9" s="604">
        <v>1</v>
      </c>
      <c r="J9" s="580">
        <v>0</v>
      </c>
      <c r="K9" s="580">
        <v>0</v>
      </c>
    </row>
    <row r="10" spans="1:11" ht="13.5" thickBot="1">
      <c r="A10" s="1320"/>
      <c r="B10" s="1569"/>
      <c r="C10" s="695" t="s">
        <v>472</v>
      </c>
      <c r="D10" s="686">
        <v>1</v>
      </c>
      <c r="E10" s="622">
        <v>1</v>
      </c>
      <c r="F10" s="688">
        <v>0</v>
      </c>
      <c r="G10" s="689">
        <v>0</v>
      </c>
      <c r="H10" s="689">
        <v>0</v>
      </c>
      <c r="I10" s="597">
        <v>1</v>
      </c>
      <c r="J10" s="578">
        <v>1</v>
      </c>
      <c r="K10" s="578">
        <v>1</v>
      </c>
    </row>
    <row r="11" spans="1:11" ht="13.5" thickBot="1">
      <c r="A11" s="1320"/>
      <c r="B11" s="1563" t="s">
        <v>457</v>
      </c>
      <c r="C11" s="1564"/>
      <c r="D11" s="687">
        <v>1</v>
      </c>
      <c r="E11" s="623">
        <v>1</v>
      </c>
      <c r="F11" s="689">
        <v>0</v>
      </c>
      <c r="G11" s="689">
        <v>0</v>
      </c>
      <c r="H11" s="689">
        <v>0</v>
      </c>
      <c r="I11" s="604">
        <v>1</v>
      </c>
      <c r="J11" s="604">
        <v>1</v>
      </c>
      <c r="K11" s="604">
        <v>1</v>
      </c>
    </row>
    <row r="12" spans="1:11" ht="13.5" hidden="1" thickBot="1">
      <c r="A12" s="1321"/>
      <c r="B12" s="1565" t="s">
        <v>458</v>
      </c>
      <c r="C12" s="1566"/>
      <c r="D12" s="586">
        <v>1</v>
      </c>
      <c r="E12" s="680">
        <v>0</v>
      </c>
      <c r="F12" s="680">
        <v>0</v>
      </c>
      <c r="G12" s="681">
        <v>0</v>
      </c>
      <c r="H12" s="681">
        <v>0</v>
      </c>
      <c r="I12" s="682">
        <v>0</v>
      </c>
      <c r="J12" s="683">
        <v>1</v>
      </c>
      <c r="K12" s="684">
        <v>1</v>
      </c>
    </row>
    <row r="15" spans="1:11" ht="13.5" thickBot="1">
      <c r="C15" s="191"/>
    </row>
    <row r="16" spans="1:11">
      <c r="C16" s="688">
        <v>0</v>
      </c>
      <c r="E16" s="191" t="s">
        <v>473</v>
      </c>
    </row>
    <row r="17" spans="3:5">
      <c r="C17" s="622">
        <v>1</v>
      </c>
      <c r="E17" s="191" t="s">
        <v>477</v>
      </c>
    </row>
  </sheetData>
  <mergeCells count="11">
    <mergeCell ref="A9:A12"/>
    <mergeCell ref="B11:C11"/>
    <mergeCell ref="B12:C12"/>
    <mergeCell ref="B8:B10"/>
    <mergeCell ref="D3:D4"/>
    <mergeCell ref="H3:H4"/>
    <mergeCell ref="I3:K3"/>
    <mergeCell ref="E3:G3"/>
    <mergeCell ref="F2:J2"/>
    <mergeCell ref="A5:A7"/>
    <mergeCell ref="B5:B6"/>
  </mergeCells>
  <pageMargins left="0.7" right="0.7" top="0.75" bottom="0.75" header="0.3" footer="0.3"/>
  <pageSetup scale="9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E83" sqref="E83"/>
    </sheetView>
  </sheetViews>
  <sheetFormatPr baseColWidth="10" defaultRowHeight="12.75"/>
  <cols>
    <col min="2" max="2" width="38.5703125" bestFit="1" customWidth="1"/>
  </cols>
  <sheetData>
    <row r="1" spans="1:10">
      <c r="A1" s="887" t="s">
        <v>168</v>
      </c>
      <c r="B1" s="887" t="s">
        <v>169</v>
      </c>
      <c r="C1" s="888">
        <v>41627</v>
      </c>
      <c r="D1" s="888">
        <v>41647</v>
      </c>
      <c r="E1" s="888">
        <v>41648</v>
      </c>
      <c r="F1" s="888">
        <v>41649</v>
      </c>
      <c r="G1" s="888">
        <v>41650</v>
      </c>
      <c r="H1" s="888">
        <v>41653</v>
      </c>
      <c r="I1" s="888" t="s">
        <v>300</v>
      </c>
    </row>
    <row r="2" spans="1:10">
      <c r="A2" s="892" t="s">
        <v>124</v>
      </c>
      <c r="B2" s="893" t="s">
        <v>125</v>
      </c>
      <c r="C2" s="894">
        <v>8</v>
      </c>
      <c r="D2" s="894">
        <v>3</v>
      </c>
      <c r="E2" s="894">
        <v>22</v>
      </c>
      <c r="F2" s="894">
        <v>6</v>
      </c>
      <c r="G2" s="894">
        <v>9</v>
      </c>
      <c r="H2" s="894"/>
      <c r="I2" s="894">
        <v>48</v>
      </c>
      <c r="J2" s="191" t="s">
        <v>543</v>
      </c>
    </row>
    <row r="3" spans="1:10">
      <c r="A3" s="892" t="s">
        <v>120</v>
      </c>
      <c r="B3" s="893" t="s">
        <v>121</v>
      </c>
      <c r="C3" s="894"/>
      <c r="D3" s="894">
        <v>1</v>
      </c>
      <c r="E3" s="894">
        <v>1</v>
      </c>
      <c r="F3" s="894">
        <v>1</v>
      </c>
      <c r="G3" s="894">
        <v>3</v>
      </c>
      <c r="H3" s="894"/>
      <c r="I3" s="894">
        <v>6</v>
      </c>
      <c r="J3" s="191" t="s">
        <v>546</v>
      </c>
    </row>
    <row r="4" spans="1:10">
      <c r="A4" s="892" t="s">
        <v>126</v>
      </c>
      <c r="B4" s="893" t="s">
        <v>127</v>
      </c>
      <c r="C4" s="894">
        <v>29</v>
      </c>
      <c r="D4" s="894">
        <v>18</v>
      </c>
      <c r="E4" s="894">
        <v>113</v>
      </c>
      <c r="F4" s="894">
        <v>88</v>
      </c>
      <c r="G4" s="894">
        <v>100</v>
      </c>
      <c r="H4" s="894">
        <v>5</v>
      </c>
      <c r="I4" s="894">
        <v>353</v>
      </c>
      <c r="J4" s="191" t="s">
        <v>543</v>
      </c>
    </row>
    <row r="5" spans="1:10">
      <c r="A5" s="892" t="s">
        <v>118</v>
      </c>
      <c r="B5" s="893" t="s">
        <v>119</v>
      </c>
      <c r="C5" s="894">
        <v>9</v>
      </c>
      <c r="D5" s="894">
        <v>7</v>
      </c>
      <c r="E5" s="894">
        <v>66</v>
      </c>
      <c r="F5" s="894">
        <v>129</v>
      </c>
      <c r="G5" s="894">
        <v>10</v>
      </c>
      <c r="H5" s="894"/>
      <c r="I5" s="894">
        <v>221</v>
      </c>
      <c r="J5" s="191" t="s">
        <v>544</v>
      </c>
    </row>
    <row r="6" spans="1:10">
      <c r="A6" s="892" t="s">
        <v>116</v>
      </c>
      <c r="B6" s="893" t="s">
        <v>117</v>
      </c>
      <c r="C6" s="894">
        <v>9</v>
      </c>
      <c r="D6" s="894">
        <v>3</v>
      </c>
      <c r="E6" s="894">
        <v>15</v>
      </c>
      <c r="F6" s="894">
        <v>5</v>
      </c>
      <c r="G6" s="894">
        <v>14</v>
      </c>
      <c r="H6" s="894">
        <v>1</v>
      </c>
      <c r="I6" s="894">
        <v>47</v>
      </c>
      <c r="J6" s="191" t="s">
        <v>545</v>
      </c>
    </row>
    <row r="7" spans="1:10">
      <c r="A7" s="892" t="s">
        <v>122</v>
      </c>
      <c r="B7" s="893" t="s">
        <v>123</v>
      </c>
      <c r="C7" s="894">
        <v>3</v>
      </c>
      <c r="D7" s="894">
        <v>19</v>
      </c>
      <c r="E7" s="894">
        <v>152</v>
      </c>
      <c r="F7" s="894">
        <v>26</v>
      </c>
      <c r="G7" s="894">
        <v>160</v>
      </c>
      <c r="H7" s="894">
        <v>3</v>
      </c>
      <c r="I7" s="894">
        <v>363</v>
      </c>
      <c r="J7" s="191" t="s">
        <v>543</v>
      </c>
    </row>
    <row r="8" spans="1:10">
      <c r="A8" s="890" t="s">
        <v>300</v>
      </c>
      <c r="B8" s="890"/>
      <c r="C8" s="891">
        <v>58</v>
      </c>
      <c r="D8" s="891">
        <v>51</v>
      </c>
      <c r="E8" s="891">
        <v>369</v>
      </c>
      <c r="F8" s="891">
        <v>255</v>
      </c>
      <c r="G8" s="891">
        <v>296</v>
      </c>
      <c r="H8" s="891">
        <v>9</v>
      </c>
      <c r="I8" s="891">
        <v>1038</v>
      </c>
    </row>
    <row r="12" spans="1:10">
      <c r="E12">
        <f>135/369</f>
        <v>0.36585365853658536</v>
      </c>
      <c r="F12">
        <f>94/255</f>
        <v>0.36862745098039218</v>
      </c>
      <c r="G12">
        <f>109/296</f>
        <v>0.36824324324324326</v>
      </c>
    </row>
    <row r="13" spans="1:10">
      <c r="G13">
        <f>100/296</f>
        <v>0.33783783783783783</v>
      </c>
    </row>
    <row r="14" spans="1:10">
      <c r="A14" s="889"/>
    </row>
    <row r="15" spans="1:10">
      <c r="A15" s="889"/>
    </row>
    <row r="16" spans="1:10">
      <c r="A16" s="88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83" sqref="E83"/>
    </sheetView>
  </sheetViews>
  <sheetFormatPr baseColWidth="10" defaultRowHeight="12.7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83" sqref="E83"/>
    </sheetView>
  </sheetViews>
  <sheetFormatPr baseColWidth="10" defaultRowHeight="12.7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255"/>
  <sheetViews>
    <sheetView showGridLines="0" zoomScale="40" zoomScaleNormal="40" zoomScaleSheetLayoutView="75" workbookViewId="0">
      <selection activeCell="E83" sqref="E83"/>
    </sheetView>
  </sheetViews>
  <sheetFormatPr baseColWidth="10" defaultColWidth="12.28515625" defaultRowHeight="27"/>
  <cols>
    <col min="1" max="1" width="23.140625" style="16" customWidth="1"/>
    <col min="2" max="2" width="15.140625" style="16" hidden="1" customWidth="1"/>
    <col min="3" max="4" width="15.140625" style="16" customWidth="1"/>
    <col min="5" max="5" width="30.7109375" style="16" customWidth="1"/>
    <col min="6" max="6" width="57.5703125" style="16" customWidth="1"/>
    <col min="7" max="7" width="13.5703125" style="17" customWidth="1"/>
    <col min="8" max="8" width="15" style="17" customWidth="1"/>
    <col min="9" max="9" width="12.28515625" style="16" hidden="1" customWidth="1"/>
    <col min="10" max="10" width="12" style="16" customWidth="1"/>
    <col min="11" max="11" width="13.140625" style="212" customWidth="1"/>
    <col min="12" max="12" width="13.28515625" style="16" customWidth="1"/>
    <col min="13" max="13" width="14.42578125" style="16" customWidth="1"/>
    <col min="14" max="14" width="13.140625" style="16" customWidth="1"/>
    <col min="15" max="16" width="17.28515625" style="16" customWidth="1"/>
    <col min="17" max="17" width="22" style="207" bestFit="1" customWidth="1"/>
    <col min="18" max="19" width="12.28515625" style="14" hidden="1" customWidth="1"/>
    <col min="20" max="32" width="12.28515625" style="15" hidden="1" customWidth="1"/>
    <col min="33" max="33" width="14.42578125" style="15" hidden="1" customWidth="1"/>
    <col min="34" max="35" width="12.28515625" style="15" hidden="1" customWidth="1"/>
    <col min="36" max="36" width="14.140625" style="15" hidden="1" customWidth="1"/>
    <col min="37" max="38" width="12.28515625" style="15" hidden="1" customWidth="1"/>
    <col min="39" max="39" width="15.5703125" style="15" hidden="1" customWidth="1"/>
    <col min="40" max="44" width="12.28515625" style="15" hidden="1" customWidth="1"/>
    <col min="45" max="45" width="13.7109375" style="15" hidden="1" customWidth="1"/>
    <col min="46" max="48" width="12.28515625" style="15" hidden="1" customWidth="1"/>
    <col min="49" max="57" width="11.7109375" style="15" hidden="1" customWidth="1"/>
    <col min="58" max="62" width="11.7109375" style="14" hidden="1" customWidth="1"/>
    <col min="63" max="68" width="0" style="14" hidden="1" customWidth="1"/>
    <col min="69" max="69" width="23.42578125" style="14" hidden="1" customWidth="1"/>
    <col min="70" max="70" width="38.7109375" style="14" hidden="1" customWidth="1"/>
    <col min="71" max="73" width="0" style="14" hidden="1" customWidth="1"/>
    <col min="74" max="16384" width="12.28515625" style="14"/>
  </cols>
  <sheetData>
    <row r="1" spans="1:134" ht="31.5" customHeight="1">
      <c r="A1" s="1339"/>
      <c r="B1" s="1584"/>
      <c r="C1" s="1584"/>
      <c r="D1" s="1340"/>
      <c r="E1" s="1577" t="s">
        <v>536</v>
      </c>
      <c r="F1" s="1578"/>
      <c r="G1" s="1578"/>
      <c r="H1" s="1578"/>
      <c r="I1" s="1578"/>
      <c r="J1" s="1578"/>
      <c r="K1" s="1578"/>
      <c r="L1" s="1578"/>
      <c r="M1" s="1579"/>
      <c r="N1" s="1345" t="s">
        <v>442</v>
      </c>
      <c r="O1" s="1346"/>
      <c r="P1" s="1347"/>
      <c r="Q1" s="477">
        <v>530</v>
      </c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</row>
    <row r="2" spans="1:134" ht="31.5" customHeight="1">
      <c r="A2" s="1341"/>
      <c r="B2" s="1585"/>
      <c r="C2" s="1585"/>
      <c r="D2" s="1342"/>
      <c r="E2" s="1539"/>
      <c r="F2" s="1540"/>
      <c r="G2" s="1540"/>
      <c r="H2" s="1540"/>
      <c r="I2" s="1540"/>
      <c r="J2" s="1540"/>
      <c r="K2" s="1540"/>
      <c r="L2" s="1540"/>
      <c r="M2" s="1580"/>
      <c r="N2" s="1348" t="s">
        <v>443</v>
      </c>
      <c r="O2" s="1349"/>
      <c r="P2" s="1350"/>
      <c r="Q2" s="478">
        <v>320</v>
      </c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</row>
    <row r="3" spans="1:134" ht="24" customHeight="1">
      <c r="A3" s="1341"/>
      <c r="B3" s="1585"/>
      <c r="C3" s="1585"/>
      <c r="D3" s="1342"/>
      <c r="E3" s="1539"/>
      <c r="F3" s="1540"/>
      <c r="G3" s="1540"/>
      <c r="H3" s="1540"/>
      <c r="I3" s="1540"/>
      <c r="J3" s="1540"/>
      <c r="K3" s="1540"/>
      <c r="L3" s="1540"/>
      <c r="M3" s="1580"/>
      <c r="N3" s="1348" t="s">
        <v>444</v>
      </c>
      <c r="O3" s="1349"/>
      <c r="P3" s="1350"/>
      <c r="Q3" s="478">
        <v>214</v>
      </c>
      <c r="R3" s="476"/>
      <c r="S3" s="476"/>
      <c r="T3" s="476"/>
      <c r="U3" s="476"/>
      <c r="V3" s="476"/>
      <c r="W3" s="476"/>
      <c r="X3" s="476"/>
      <c r="Y3" s="476"/>
      <c r="Z3" s="476"/>
      <c r="AA3" s="476"/>
      <c r="AB3" s="476"/>
      <c r="AC3" s="476"/>
      <c r="AD3" s="476"/>
      <c r="AE3" s="476"/>
      <c r="AF3" s="476"/>
      <c r="AG3" s="476"/>
      <c r="AH3" s="476"/>
      <c r="AI3" s="476"/>
      <c r="AJ3" s="476"/>
      <c r="AK3" s="476"/>
      <c r="AL3" s="476"/>
      <c r="AM3" s="476"/>
      <c r="AN3" s="476"/>
      <c r="AO3" s="476"/>
      <c r="AP3" s="476"/>
    </row>
    <row r="4" spans="1:134" ht="28.5" customHeight="1" thickBot="1">
      <c r="A4" s="1343"/>
      <c r="B4" s="1586"/>
      <c r="C4" s="1586"/>
      <c r="D4" s="1344"/>
      <c r="E4" s="1581"/>
      <c r="F4" s="1582"/>
      <c r="G4" s="1582"/>
      <c r="H4" s="1582"/>
      <c r="I4" s="1582"/>
      <c r="J4" s="1582"/>
      <c r="K4" s="1582"/>
      <c r="L4" s="1582"/>
      <c r="M4" s="1583"/>
      <c r="N4" s="1351" t="s">
        <v>445</v>
      </c>
      <c r="O4" s="1352"/>
      <c r="P4" s="1353"/>
      <c r="Q4" s="479">
        <v>108</v>
      </c>
      <c r="R4" s="476"/>
      <c r="S4" s="476"/>
      <c r="T4" s="476"/>
      <c r="U4" s="476"/>
      <c r="V4" s="476"/>
      <c r="W4" s="476"/>
      <c r="X4" s="476"/>
      <c r="Y4" s="476"/>
      <c r="Z4" s="476"/>
      <c r="AA4" s="476"/>
      <c r="AB4" s="476"/>
      <c r="AC4" s="476"/>
      <c r="AD4" s="476"/>
      <c r="AE4" s="476"/>
      <c r="AF4" s="476"/>
      <c r="AG4" s="476"/>
      <c r="AH4" s="476"/>
      <c r="AI4" s="476"/>
      <c r="AJ4" s="476"/>
      <c r="AK4" s="476"/>
      <c r="AL4" s="476"/>
      <c r="AM4" s="476"/>
      <c r="AN4" s="476"/>
      <c r="AO4" s="476"/>
      <c r="AP4" s="476"/>
    </row>
    <row r="5" spans="1:134" s="19" customFormat="1" ht="23.25" customHeight="1">
      <c r="A5" s="1354" t="s">
        <v>108</v>
      </c>
      <c r="B5" s="1356" t="s">
        <v>496</v>
      </c>
      <c r="C5" s="1356" t="s">
        <v>504</v>
      </c>
      <c r="D5" s="1356" t="s">
        <v>307</v>
      </c>
      <c r="E5" s="1358" t="s">
        <v>439</v>
      </c>
      <c r="F5" s="1358" t="s">
        <v>107</v>
      </c>
      <c r="G5" s="1360" t="s">
        <v>166</v>
      </c>
      <c r="H5" s="1362" t="s">
        <v>167</v>
      </c>
      <c r="I5" s="1360" t="s">
        <v>1</v>
      </c>
      <c r="J5" s="1648" t="s">
        <v>2</v>
      </c>
      <c r="K5" s="1650" t="s">
        <v>0</v>
      </c>
      <c r="L5" s="1368" t="s">
        <v>253</v>
      </c>
      <c r="M5" s="1544" t="s">
        <v>165</v>
      </c>
      <c r="N5" s="1576" t="s">
        <v>164</v>
      </c>
      <c r="O5" s="1376" t="s">
        <v>254</v>
      </c>
      <c r="P5" s="1376" t="s">
        <v>447</v>
      </c>
      <c r="Q5" s="1378">
        <f ca="1">TODAY()</f>
        <v>41758</v>
      </c>
      <c r="R5" s="1380" t="s">
        <v>156</v>
      </c>
      <c r="S5" s="1381"/>
      <c r="T5" s="1381"/>
      <c r="U5" s="1382"/>
      <c r="V5" s="1384" t="s">
        <v>157</v>
      </c>
      <c r="W5" s="1385"/>
      <c r="X5" s="1380"/>
      <c r="Y5" s="1381" t="s">
        <v>158</v>
      </c>
      <c r="Z5" s="1381"/>
      <c r="AA5" s="1384"/>
      <c r="AB5" s="1386" t="s">
        <v>171</v>
      </c>
      <c r="AC5" s="1387"/>
      <c r="AD5" s="1388"/>
      <c r="AE5" s="1386" t="s">
        <v>115</v>
      </c>
      <c r="AF5" s="1387"/>
      <c r="AG5" s="1388"/>
      <c r="AH5" s="1386" t="s">
        <v>172</v>
      </c>
      <c r="AI5" s="1387"/>
      <c r="AJ5" s="1388"/>
      <c r="AK5" s="1386" t="s">
        <v>173</v>
      </c>
      <c r="AL5" s="1387"/>
      <c r="AM5" s="1388"/>
      <c r="AN5" s="1386" t="s">
        <v>181</v>
      </c>
      <c r="AO5" s="1387"/>
      <c r="AP5" s="1388"/>
      <c r="AQ5" s="1389" t="s">
        <v>183</v>
      </c>
      <c r="AR5" s="1390"/>
      <c r="AS5" s="1391"/>
      <c r="AT5" s="1389" t="s">
        <v>184</v>
      </c>
      <c r="AU5" s="1390"/>
      <c r="AV5" s="1391"/>
      <c r="AW5" s="1389" t="s">
        <v>185</v>
      </c>
      <c r="AX5" s="1390"/>
      <c r="AY5" s="1391"/>
      <c r="AZ5" s="1389" t="s">
        <v>186</v>
      </c>
      <c r="BA5" s="1390"/>
      <c r="BB5" s="1391"/>
      <c r="BC5" s="1389" t="s">
        <v>187</v>
      </c>
      <c r="BD5" s="1390"/>
      <c r="BE5" s="1391"/>
      <c r="BF5" s="1389" t="s">
        <v>188</v>
      </c>
      <c r="BG5" s="1390"/>
      <c r="BH5" s="1391"/>
      <c r="BI5" s="1389" t="s">
        <v>182</v>
      </c>
      <c r="BJ5" s="1390"/>
      <c r="BK5" s="1391"/>
    </row>
    <row r="6" spans="1:134" s="26" customFormat="1" ht="19.5" customHeight="1" thickBot="1">
      <c r="A6" s="1355"/>
      <c r="B6" s="1357"/>
      <c r="C6" s="1357"/>
      <c r="D6" s="1357"/>
      <c r="E6" s="1359"/>
      <c r="F6" s="1359"/>
      <c r="G6" s="1361"/>
      <c r="H6" s="1363"/>
      <c r="I6" s="1361"/>
      <c r="J6" s="1649"/>
      <c r="K6" s="1651"/>
      <c r="L6" s="1369"/>
      <c r="M6" s="1545"/>
      <c r="N6" s="1361"/>
      <c r="O6" s="1377"/>
      <c r="P6" s="1377"/>
      <c r="Q6" s="1379"/>
      <c r="R6" s="20" t="s">
        <v>159</v>
      </c>
      <c r="S6" s="21" t="s">
        <v>161</v>
      </c>
      <c r="T6" s="22" t="s">
        <v>159</v>
      </c>
      <c r="U6" s="1383"/>
      <c r="V6" s="22" t="s">
        <v>163</v>
      </c>
      <c r="W6" s="22" t="s">
        <v>160</v>
      </c>
      <c r="X6" s="22" t="s">
        <v>159</v>
      </c>
      <c r="Y6" s="22" t="s">
        <v>163</v>
      </c>
      <c r="Z6" s="22" t="s">
        <v>160</v>
      </c>
      <c r="AA6" s="23" t="s">
        <v>159</v>
      </c>
      <c r="AB6" s="24" t="s">
        <v>163</v>
      </c>
      <c r="AC6" s="22" t="s">
        <v>160</v>
      </c>
      <c r="AD6" s="25" t="s">
        <v>159</v>
      </c>
      <c r="AE6" s="24" t="s">
        <v>163</v>
      </c>
      <c r="AF6" s="22" t="s">
        <v>160</v>
      </c>
      <c r="AG6" s="25" t="s">
        <v>159</v>
      </c>
      <c r="AH6" s="24" t="s">
        <v>163</v>
      </c>
      <c r="AI6" s="22" t="s">
        <v>160</v>
      </c>
      <c r="AJ6" s="25" t="s">
        <v>159</v>
      </c>
      <c r="AK6" s="24" t="s">
        <v>163</v>
      </c>
      <c r="AL6" s="22" t="s">
        <v>160</v>
      </c>
      <c r="AM6" s="25" t="s">
        <v>159</v>
      </c>
      <c r="AN6" s="24" t="s">
        <v>159</v>
      </c>
      <c r="AO6" s="22" t="s">
        <v>163</v>
      </c>
      <c r="AP6" s="25" t="s">
        <v>160</v>
      </c>
      <c r="AQ6" s="24" t="s">
        <v>159</v>
      </c>
      <c r="AR6" s="22" t="s">
        <v>163</v>
      </c>
      <c r="AS6" s="25" t="s">
        <v>160</v>
      </c>
      <c r="AT6" s="24" t="s">
        <v>159</v>
      </c>
      <c r="AU6" s="22" t="s">
        <v>163</v>
      </c>
      <c r="AV6" s="25" t="s">
        <v>160</v>
      </c>
      <c r="AW6" s="24" t="s">
        <v>159</v>
      </c>
      <c r="AX6" s="22" t="s">
        <v>163</v>
      </c>
      <c r="AY6" s="25" t="s">
        <v>160</v>
      </c>
      <c r="AZ6" s="24" t="s">
        <v>159</v>
      </c>
      <c r="BA6" s="22" t="s">
        <v>163</v>
      </c>
      <c r="BB6" s="25" t="s">
        <v>160</v>
      </c>
      <c r="BC6" s="24" t="s">
        <v>159</v>
      </c>
      <c r="BD6" s="22" t="s">
        <v>163</v>
      </c>
      <c r="BE6" s="25" t="s">
        <v>160</v>
      </c>
      <c r="BF6" s="24" t="s">
        <v>159</v>
      </c>
      <c r="BG6" s="22" t="s">
        <v>163</v>
      </c>
      <c r="BH6" s="25" t="s">
        <v>160</v>
      </c>
      <c r="BI6" s="22" t="s">
        <v>163</v>
      </c>
      <c r="BJ6" s="22" t="s">
        <v>160</v>
      </c>
      <c r="BK6" s="22" t="s">
        <v>159</v>
      </c>
    </row>
    <row r="7" spans="1:134" s="34" customFormat="1" ht="24" hidden="1" customHeight="1" thickBot="1">
      <c r="A7" s="1573" t="s">
        <v>102</v>
      </c>
      <c r="B7" s="195"/>
      <c r="C7" s="195"/>
      <c r="D7" s="195"/>
      <c r="E7" s="467"/>
      <c r="F7" s="468" t="s">
        <v>110</v>
      </c>
      <c r="G7" s="469">
        <v>50</v>
      </c>
      <c r="H7" s="469">
        <f>3600/G7*4</f>
        <v>288</v>
      </c>
      <c r="I7" s="470"/>
      <c r="J7" s="471">
        <v>400</v>
      </c>
      <c r="K7" s="472">
        <v>4200</v>
      </c>
      <c r="L7" s="473">
        <v>5000</v>
      </c>
      <c r="M7" s="469">
        <f>K7-J7</f>
        <v>3800</v>
      </c>
      <c r="N7" s="474">
        <f t="shared" ref="N7:N24" si="0">((M7*G7)/3600)*-1</f>
        <v>-52.777777777777779</v>
      </c>
      <c r="O7" s="474">
        <f t="shared" ref="O7:O24" si="1">K7/J7</f>
        <v>10.5</v>
      </c>
      <c r="P7" s="484"/>
      <c r="Q7" s="475">
        <f ca="1">+$Q$5+O7</f>
        <v>41768.5</v>
      </c>
      <c r="R7" s="100">
        <f ca="1">+$Q$5+Q7</f>
        <v>83526.5</v>
      </c>
      <c r="S7" s="28" t="e">
        <f ca="1">+$Q$5+#REF!</f>
        <v>#REF!</v>
      </c>
      <c r="T7" s="28">
        <f ca="1">+$Q$5+R7</f>
        <v>125284.5</v>
      </c>
      <c r="U7" s="27"/>
      <c r="V7" s="253">
        <v>3</v>
      </c>
      <c r="W7" s="253">
        <v>4</v>
      </c>
      <c r="X7" s="253"/>
      <c r="Y7" s="253"/>
      <c r="Z7" s="253"/>
      <c r="AA7" s="29"/>
      <c r="AB7" s="1"/>
      <c r="AC7" s="2"/>
      <c r="AD7" s="3"/>
      <c r="AE7" s="257"/>
      <c r="AF7" s="259"/>
      <c r="AG7" s="261"/>
      <c r="AH7" s="257"/>
      <c r="AI7" s="259"/>
      <c r="AJ7" s="261">
        <v>23</v>
      </c>
      <c r="AK7" s="5"/>
      <c r="AL7" s="11"/>
      <c r="AM7" s="12"/>
      <c r="AN7" s="13"/>
      <c r="AO7" s="11"/>
      <c r="AP7" s="12"/>
      <c r="AQ7" s="30"/>
      <c r="AR7" s="31"/>
      <c r="AS7" s="32"/>
      <c r="AT7" s="30"/>
      <c r="AU7" s="31"/>
      <c r="AV7" s="32"/>
      <c r="AW7" s="30"/>
      <c r="AX7" s="31"/>
      <c r="AY7" s="32"/>
      <c r="AZ7" s="30"/>
      <c r="BA7" s="31"/>
      <c r="BB7" s="32"/>
      <c r="BC7" s="30"/>
      <c r="BD7" s="31"/>
      <c r="BE7" s="32"/>
      <c r="BF7" s="30"/>
      <c r="BG7" s="31"/>
      <c r="BH7" s="32"/>
      <c r="BI7" s="30"/>
      <c r="BJ7" s="31"/>
      <c r="BK7" s="32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</row>
    <row r="8" spans="1:134" ht="24" hidden="1" customHeight="1" thickBot="1">
      <c r="A8" s="1574"/>
      <c r="B8" s="797"/>
      <c r="C8" s="797"/>
      <c r="D8" s="196"/>
      <c r="E8" s="197" t="s">
        <v>45</v>
      </c>
      <c r="F8" s="198" t="s">
        <v>3</v>
      </c>
      <c r="G8" s="99">
        <v>60</v>
      </c>
      <c r="H8" s="105">
        <f>3600/G8*2</f>
        <v>120</v>
      </c>
      <c r="I8" s="105">
        <v>1</v>
      </c>
      <c r="J8" s="106">
        <v>440</v>
      </c>
      <c r="K8" s="214">
        <v>3883</v>
      </c>
      <c r="L8" s="107" t="s">
        <v>252</v>
      </c>
      <c r="M8" s="105">
        <f>K8-J8</f>
        <v>3443</v>
      </c>
      <c r="N8" s="108">
        <f t="shared" si="0"/>
        <v>-57.383333333333333</v>
      </c>
      <c r="O8" s="108">
        <f t="shared" si="1"/>
        <v>8.8249999999999993</v>
      </c>
      <c r="P8" s="485"/>
      <c r="Q8" s="209">
        <f ca="1">+$Q$5+O8</f>
        <v>41766.824999999997</v>
      </c>
      <c r="R8" s="35"/>
      <c r="S8" s="36"/>
      <c r="T8" s="37">
        <v>1</v>
      </c>
      <c r="U8" s="38"/>
      <c r="V8" s="254"/>
      <c r="W8" s="39"/>
      <c r="X8" s="39"/>
      <c r="Y8" s="39"/>
      <c r="Z8" s="39"/>
      <c r="AA8" s="37">
        <v>1</v>
      </c>
      <c r="AB8" s="273"/>
      <c r="AC8" s="276"/>
      <c r="AD8" s="262"/>
      <c r="AE8" s="258"/>
      <c r="AF8" s="260"/>
      <c r="AG8" s="262"/>
      <c r="AH8" s="258"/>
      <c r="AI8" s="260"/>
      <c r="AJ8" s="262"/>
      <c r="AK8" s="266"/>
      <c r="AL8" s="267"/>
      <c r="AM8" s="268"/>
      <c r="AN8" s="266"/>
      <c r="AO8" s="267"/>
      <c r="AP8" s="268"/>
      <c r="AQ8" s="263"/>
      <c r="AR8" s="264"/>
      <c r="AS8" s="265"/>
      <c r="AT8" s="263"/>
      <c r="AU8" s="264"/>
      <c r="AV8" s="265"/>
      <c r="AW8" s="263"/>
      <c r="AX8" s="264"/>
      <c r="AY8" s="265"/>
      <c r="AZ8" s="263"/>
      <c r="BA8" s="264"/>
      <c r="BB8" s="265"/>
      <c r="BC8" s="263"/>
      <c r="BD8" s="264"/>
      <c r="BE8" s="265"/>
      <c r="BF8" s="263"/>
      <c r="BG8" s="264"/>
      <c r="BH8" s="265"/>
      <c r="BI8" s="263"/>
      <c r="BJ8" s="264"/>
      <c r="BK8" s="265"/>
      <c r="BR8" s="286">
        <v>11375</v>
      </c>
    </row>
    <row r="9" spans="1:134" ht="23.25" hidden="1" customHeight="1">
      <c r="A9" s="1574"/>
      <c r="B9" s="785"/>
      <c r="C9" s="869"/>
      <c r="D9" s="199"/>
      <c r="E9" s="200" t="s">
        <v>46</v>
      </c>
      <c r="F9" s="201" t="s">
        <v>4</v>
      </c>
      <c r="G9" s="103">
        <v>60</v>
      </c>
      <c r="H9" s="93">
        <f>3600/G9</f>
        <v>60</v>
      </c>
      <c r="I9" s="93">
        <v>1</v>
      </c>
      <c r="J9" s="94">
        <v>360</v>
      </c>
      <c r="K9" s="215">
        <v>3983</v>
      </c>
      <c r="L9" s="104" t="s">
        <v>252</v>
      </c>
      <c r="M9" s="93">
        <f>K9-J9</f>
        <v>3623</v>
      </c>
      <c r="N9" s="95">
        <f t="shared" si="0"/>
        <v>-60.383333333333333</v>
      </c>
      <c r="O9" s="95">
        <f t="shared" si="1"/>
        <v>11.063888888888888</v>
      </c>
      <c r="P9" s="486"/>
      <c r="Q9" s="210">
        <v>41485</v>
      </c>
      <c r="R9" s="35"/>
      <c r="S9" s="36"/>
      <c r="T9" s="40"/>
      <c r="U9" s="41"/>
      <c r="V9" s="1456"/>
      <c r="W9" s="1456">
        <v>1</v>
      </c>
      <c r="X9" s="1456">
        <v>1</v>
      </c>
      <c r="Y9" s="1456">
        <v>1</v>
      </c>
      <c r="Z9" s="1456">
        <v>1</v>
      </c>
      <c r="AA9" s="1457"/>
      <c r="AB9" s="1440"/>
      <c r="AC9" s="1441"/>
      <c r="AD9" s="1396"/>
      <c r="AE9" s="1440"/>
      <c r="AF9" s="1441"/>
      <c r="AG9" s="1396"/>
      <c r="AH9" s="1392"/>
      <c r="AI9" s="1394"/>
      <c r="AJ9" s="1396"/>
      <c r="AK9" s="1398"/>
      <c r="AL9" s="1400"/>
      <c r="AM9" s="1402">
        <v>2</v>
      </c>
      <c r="AN9" s="1398"/>
      <c r="AO9" s="1400"/>
      <c r="AP9" s="1404"/>
      <c r="AQ9" s="1406"/>
      <c r="AR9" s="1408"/>
      <c r="AS9" s="1410"/>
      <c r="AT9" s="1406"/>
      <c r="AU9" s="1408"/>
      <c r="AV9" s="1410"/>
      <c r="AW9" s="1406"/>
      <c r="AX9" s="1408"/>
      <c r="AY9" s="1410"/>
      <c r="AZ9" s="1406"/>
      <c r="BA9" s="1408"/>
      <c r="BB9" s="1410"/>
      <c r="BC9" s="1406"/>
      <c r="BD9" s="1408"/>
      <c r="BE9" s="1410"/>
      <c r="BF9" s="1406"/>
      <c r="BG9" s="1408"/>
      <c r="BH9" s="1410"/>
      <c r="BI9" s="1406"/>
      <c r="BJ9" s="1408"/>
      <c r="BK9" s="1410"/>
    </row>
    <row r="10" spans="1:134" ht="23.25" hidden="1" customHeight="1">
      <c r="A10" s="1574"/>
      <c r="B10" s="785"/>
      <c r="C10" s="869"/>
      <c r="D10" s="199"/>
      <c r="E10" s="200" t="s">
        <v>47</v>
      </c>
      <c r="F10" s="202" t="s">
        <v>5</v>
      </c>
      <c r="G10" s="102">
        <v>60</v>
      </c>
      <c r="H10" s="73">
        <f>3600/G10</f>
        <v>60</v>
      </c>
      <c r="I10" s="73">
        <v>1</v>
      </c>
      <c r="J10" s="74">
        <v>360</v>
      </c>
      <c r="K10" s="216">
        <v>4463</v>
      </c>
      <c r="L10" s="101" t="s">
        <v>252</v>
      </c>
      <c r="M10" s="73">
        <f>K10-J10</f>
        <v>4103</v>
      </c>
      <c r="N10" s="75">
        <f t="shared" si="0"/>
        <v>-68.38333333333334</v>
      </c>
      <c r="O10" s="75">
        <f t="shared" si="1"/>
        <v>12.397222222222222</v>
      </c>
      <c r="P10" s="487"/>
      <c r="Q10" s="211">
        <v>41485</v>
      </c>
      <c r="R10" s="35"/>
      <c r="S10" s="36"/>
      <c r="T10" s="40"/>
      <c r="U10" s="42"/>
      <c r="V10" s="1456"/>
      <c r="W10" s="1456">
        <v>1</v>
      </c>
      <c r="X10" s="1456">
        <v>1</v>
      </c>
      <c r="Y10" s="1456">
        <v>1</v>
      </c>
      <c r="Z10" s="1456">
        <v>1</v>
      </c>
      <c r="AA10" s="1457"/>
      <c r="AB10" s="1440"/>
      <c r="AC10" s="1441"/>
      <c r="AD10" s="1397"/>
      <c r="AE10" s="1440"/>
      <c r="AF10" s="1441"/>
      <c r="AG10" s="1397"/>
      <c r="AH10" s="1393"/>
      <c r="AI10" s="1395"/>
      <c r="AJ10" s="1397"/>
      <c r="AK10" s="1399"/>
      <c r="AL10" s="1401"/>
      <c r="AM10" s="1403"/>
      <c r="AN10" s="1399"/>
      <c r="AO10" s="1401"/>
      <c r="AP10" s="1405"/>
      <c r="AQ10" s="1407"/>
      <c r="AR10" s="1409"/>
      <c r="AS10" s="1411"/>
      <c r="AT10" s="1407"/>
      <c r="AU10" s="1409"/>
      <c r="AV10" s="1411"/>
      <c r="AW10" s="1407"/>
      <c r="AX10" s="1409"/>
      <c r="AY10" s="1411"/>
      <c r="AZ10" s="1407"/>
      <c r="BA10" s="1409"/>
      <c r="BB10" s="1411"/>
      <c r="BC10" s="1407"/>
      <c r="BD10" s="1409"/>
      <c r="BE10" s="1411"/>
      <c r="BF10" s="1407"/>
      <c r="BG10" s="1409"/>
      <c r="BH10" s="1411"/>
      <c r="BI10" s="1407"/>
      <c r="BJ10" s="1409"/>
      <c r="BK10" s="1411"/>
    </row>
    <row r="11" spans="1:134" ht="23.25" hidden="1" customHeight="1">
      <c r="A11" s="1574"/>
      <c r="B11" s="785"/>
      <c r="C11" s="869"/>
      <c r="D11" s="199"/>
      <c r="E11" s="200" t="s">
        <v>48</v>
      </c>
      <c r="F11" s="202" t="s">
        <v>6</v>
      </c>
      <c r="G11" s="102">
        <v>60</v>
      </c>
      <c r="H11" s="73">
        <f>3600/G11</f>
        <v>60</v>
      </c>
      <c r="I11" s="73">
        <v>1</v>
      </c>
      <c r="J11" s="74">
        <v>0</v>
      </c>
      <c r="K11" s="216">
        <v>3980</v>
      </c>
      <c r="L11" s="101" t="s">
        <v>252</v>
      </c>
      <c r="M11" s="73">
        <f t="shared" ref="M11:M119" si="2">K11-J11</f>
        <v>3980</v>
      </c>
      <c r="N11" s="75">
        <f t="shared" si="0"/>
        <v>-66.333333333333329</v>
      </c>
      <c r="O11" s="75" t="e">
        <f t="shared" si="1"/>
        <v>#DIV/0!</v>
      </c>
      <c r="P11" s="487"/>
      <c r="Q11" s="211">
        <v>41488</v>
      </c>
      <c r="R11" s="35"/>
      <c r="S11" s="36"/>
      <c r="T11" s="40"/>
      <c r="U11" s="39"/>
      <c r="V11" s="1456"/>
      <c r="W11" s="1456"/>
      <c r="X11" s="1456"/>
      <c r="Y11" s="1456"/>
      <c r="Z11" s="1456"/>
      <c r="AA11" s="1457"/>
      <c r="AB11" s="1440"/>
      <c r="AC11" s="1394">
        <v>19</v>
      </c>
      <c r="AD11" s="1458"/>
      <c r="AE11" s="1459"/>
      <c r="AF11" s="1642"/>
      <c r="AG11" s="1458"/>
      <c r="AH11" s="1459"/>
      <c r="AI11" s="1642"/>
      <c r="AJ11" s="1458"/>
      <c r="AK11" s="1631"/>
      <c r="AL11" s="1632"/>
      <c r="AM11" s="1630"/>
      <c r="AN11" s="1631"/>
      <c r="AO11" s="1632"/>
      <c r="AP11" s="1630"/>
      <c r="AQ11" s="1633"/>
      <c r="AR11" s="1634"/>
      <c r="AS11" s="1629"/>
      <c r="AT11" s="1406"/>
      <c r="AU11" s="1408"/>
      <c r="AV11" s="1410"/>
      <c r="AW11" s="1406"/>
      <c r="AX11" s="1408"/>
      <c r="AY11" s="1410"/>
      <c r="AZ11" s="1398"/>
      <c r="BA11" s="1408"/>
      <c r="BB11" s="1410"/>
      <c r="BC11" s="1406"/>
      <c r="BD11" s="1408"/>
      <c r="BE11" s="1410"/>
      <c r="BF11" s="1406"/>
      <c r="BG11" s="1408"/>
      <c r="BH11" s="1410"/>
      <c r="BI11" s="1406"/>
      <c r="BJ11" s="1408"/>
      <c r="BK11" s="1410"/>
    </row>
    <row r="12" spans="1:134" ht="24" hidden="1" customHeight="1" thickBot="1">
      <c r="A12" s="1575"/>
      <c r="B12" s="798"/>
      <c r="C12" s="798"/>
      <c r="D12" s="199"/>
      <c r="E12" s="200" t="s">
        <v>49</v>
      </c>
      <c r="F12" s="202" t="s">
        <v>7</v>
      </c>
      <c r="G12" s="102">
        <v>60</v>
      </c>
      <c r="H12" s="73">
        <f>3600/G12</f>
        <v>60</v>
      </c>
      <c r="I12" s="73">
        <v>1</v>
      </c>
      <c r="J12" s="74">
        <v>360</v>
      </c>
      <c r="K12" s="216">
        <v>3920</v>
      </c>
      <c r="L12" s="101" t="s">
        <v>252</v>
      </c>
      <c r="M12" s="73">
        <f t="shared" si="2"/>
        <v>3560</v>
      </c>
      <c r="N12" s="75">
        <f t="shared" si="0"/>
        <v>-59.333333333333336</v>
      </c>
      <c r="O12" s="75">
        <f t="shared" si="1"/>
        <v>10.888888888888889</v>
      </c>
      <c r="P12" s="487"/>
      <c r="Q12" s="211">
        <v>41488</v>
      </c>
      <c r="R12" s="43"/>
      <c r="S12" s="44"/>
      <c r="T12" s="45"/>
      <c r="U12" s="46"/>
      <c r="V12" s="1646"/>
      <c r="W12" s="1646"/>
      <c r="X12" s="1646"/>
      <c r="Y12" s="1646"/>
      <c r="Z12" s="1646"/>
      <c r="AA12" s="1647"/>
      <c r="AB12" s="1645"/>
      <c r="AC12" s="1417"/>
      <c r="AD12" s="1644"/>
      <c r="AE12" s="1641"/>
      <c r="AF12" s="1643"/>
      <c r="AG12" s="1644"/>
      <c r="AH12" s="1641"/>
      <c r="AI12" s="1643"/>
      <c r="AJ12" s="1644"/>
      <c r="AK12" s="1635"/>
      <c r="AL12" s="1636"/>
      <c r="AM12" s="1637"/>
      <c r="AN12" s="1635"/>
      <c r="AO12" s="1636"/>
      <c r="AP12" s="1637"/>
      <c r="AQ12" s="1638"/>
      <c r="AR12" s="1639"/>
      <c r="AS12" s="1640"/>
      <c r="AT12" s="1426"/>
      <c r="AU12" s="1427"/>
      <c r="AV12" s="1428"/>
      <c r="AW12" s="1426"/>
      <c r="AX12" s="1427"/>
      <c r="AY12" s="1428"/>
      <c r="AZ12" s="1423"/>
      <c r="BA12" s="1427"/>
      <c r="BB12" s="1428"/>
      <c r="BC12" s="1426"/>
      <c r="BD12" s="1427"/>
      <c r="BE12" s="1428"/>
      <c r="BF12" s="1426"/>
      <c r="BG12" s="1427"/>
      <c r="BH12" s="1428"/>
      <c r="BI12" s="1426"/>
      <c r="BJ12" s="1427"/>
      <c r="BK12" s="1428"/>
    </row>
    <row r="13" spans="1:134" ht="24" hidden="1" customHeight="1" thickBot="1">
      <c r="A13" s="203" t="s">
        <v>103</v>
      </c>
      <c r="B13" s="799"/>
      <c r="C13" s="799"/>
      <c r="D13" s="204"/>
      <c r="E13" s="205" t="s">
        <v>50</v>
      </c>
      <c r="F13" s="206" t="s">
        <v>112</v>
      </c>
      <c r="G13" s="77">
        <v>63</v>
      </c>
      <c r="H13" s="194">
        <f>3600/G13*2</f>
        <v>114.28571428571429</v>
      </c>
      <c r="I13" s="194">
        <v>1</v>
      </c>
      <c r="J13" s="76">
        <f>165+110+110</f>
        <v>385</v>
      </c>
      <c r="K13" s="213"/>
      <c r="L13" s="109" t="s">
        <v>252</v>
      </c>
      <c r="M13" s="194">
        <f t="shared" si="2"/>
        <v>-385</v>
      </c>
      <c r="N13" s="78">
        <f t="shared" si="0"/>
        <v>6.7374999999999998</v>
      </c>
      <c r="O13" s="78">
        <f t="shared" si="1"/>
        <v>0</v>
      </c>
      <c r="P13" s="488"/>
      <c r="Q13" s="208">
        <f t="shared" ref="Q13:Q29" ca="1" si="3">+$Q$5+O13</f>
        <v>41758</v>
      </c>
      <c r="R13" s="47"/>
      <c r="S13" s="48"/>
      <c r="T13" s="49"/>
      <c r="U13" s="50"/>
      <c r="V13" s="50"/>
      <c r="W13" s="50"/>
      <c r="X13" s="50"/>
      <c r="Y13" s="50"/>
      <c r="Z13" s="50"/>
      <c r="AA13" s="49"/>
      <c r="AB13" s="257"/>
      <c r="AC13" s="259"/>
      <c r="AD13" s="261"/>
      <c r="AE13" s="257"/>
      <c r="AF13" s="6">
        <v>14</v>
      </c>
      <c r="AG13" s="7"/>
      <c r="AH13" s="5"/>
      <c r="AI13" s="6"/>
      <c r="AJ13" s="261"/>
      <c r="AK13" s="257"/>
      <c r="AL13" s="259"/>
      <c r="AM13" s="261"/>
      <c r="AN13" s="257"/>
      <c r="AO13" s="259"/>
      <c r="AP13" s="261"/>
      <c r="AQ13" s="251"/>
      <c r="AR13" s="253"/>
      <c r="AS13" s="255"/>
      <c r="AT13" s="251"/>
      <c r="AU13" s="253"/>
      <c r="AV13" s="255"/>
      <c r="AW13" s="251"/>
      <c r="AX13" s="253"/>
      <c r="AY13" s="255"/>
      <c r="AZ13" s="251"/>
      <c r="BA13" s="253"/>
      <c r="BB13" s="255"/>
      <c r="BC13" s="251"/>
      <c r="BD13" s="253"/>
      <c r="BE13" s="255"/>
      <c r="BF13" s="251"/>
      <c r="BG13" s="253"/>
      <c r="BH13" s="255"/>
      <c r="BI13" s="251"/>
      <c r="BJ13" s="253"/>
      <c r="BK13" s="255"/>
    </row>
    <row r="14" spans="1:134" ht="34.5" customHeight="1" thickBot="1">
      <c r="A14" s="1429" t="s">
        <v>363</v>
      </c>
      <c r="B14" s="1434"/>
      <c r="C14" s="1432"/>
      <c r="D14" s="1432" t="s">
        <v>328</v>
      </c>
      <c r="E14" s="373" t="s">
        <v>84</v>
      </c>
      <c r="F14" s="417" t="s">
        <v>400</v>
      </c>
      <c r="G14" s="374">
        <v>52</v>
      </c>
      <c r="H14" s="374">
        <f t="shared" ref="H14:H34" si="4">3600/G14</f>
        <v>69.230769230769226</v>
      </c>
      <c r="I14" s="375">
        <v>1</v>
      </c>
      <c r="J14" s="376">
        <f>Q4</f>
        <v>108</v>
      </c>
      <c r="K14" s="449">
        <v>460</v>
      </c>
      <c r="L14" s="377">
        <v>935</v>
      </c>
      <c r="M14" s="375">
        <f t="shared" si="2"/>
        <v>352</v>
      </c>
      <c r="N14" s="378">
        <f t="shared" si="0"/>
        <v>-5.0844444444444443</v>
      </c>
      <c r="O14" s="378">
        <f t="shared" si="1"/>
        <v>4.2592592592592595</v>
      </c>
      <c r="P14" s="489">
        <f>O14*2</f>
        <v>8.518518518518519</v>
      </c>
      <c r="Q14" s="379">
        <f t="shared" ca="1" si="3"/>
        <v>41762.259259259263</v>
      </c>
      <c r="R14" s="35"/>
      <c r="S14" s="36"/>
      <c r="T14" s="40"/>
      <c r="U14" s="41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6"/>
      <c r="BG14" s="16"/>
      <c r="BH14" s="16"/>
      <c r="BI14" s="16"/>
      <c r="BJ14" s="16"/>
      <c r="BK14" s="16"/>
    </row>
    <row r="15" spans="1:134" ht="40.5" customHeight="1">
      <c r="A15" s="1430"/>
      <c r="B15" s="1435"/>
      <c r="C15" s="1433"/>
      <c r="D15" s="1433"/>
      <c r="E15" s="380" t="s">
        <v>85</v>
      </c>
      <c r="F15" s="418" t="s">
        <v>401</v>
      </c>
      <c r="G15" s="381">
        <v>52</v>
      </c>
      <c r="H15" s="381">
        <f t="shared" si="4"/>
        <v>69.230769230769226</v>
      </c>
      <c r="I15" s="382">
        <v>1</v>
      </c>
      <c r="J15" s="383">
        <f>Q4</f>
        <v>108</v>
      </c>
      <c r="K15" s="450">
        <v>400</v>
      </c>
      <c r="L15" s="384">
        <v>935</v>
      </c>
      <c r="M15" s="382">
        <f t="shared" si="2"/>
        <v>292</v>
      </c>
      <c r="N15" s="385">
        <f t="shared" si="0"/>
        <v>-4.2177777777777781</v>
      </c>
      <c r="O15" s="385">
        <f t="shared" si="1"/>
        <v>3.7037037037037037</v>
      </c>
      <c r="P15" s="489">
        <f>O15*2</f>
        <v>7.4074074074074074</v>
      </c>
      <c r="Q15" s="386">
        <f t="shared" ca="1" si="3"/>
        <v>41761.703703703701</v>
      </c>
      <c r="R15" s="35"/>
      <c r="S15" s="36"/>
      <c r="T15" s="40"/>
      <c r="U15" s="42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6"/>
      <c r="BG15" s="16"/>
      <c r="BH15" s="16"/>
      <c r="BI15" s="16"/>
      <c r="BJ15" s="16"/>
      <c r="BK15" s="16"/>
    </row>
    <row r="16" spans="1:134" ht="39.75" customHeight="1">
      <c r="A16" s="1430"/>
      <c r="B16" s="1434"/>
      <c r="C16" s="1434" t="s">
        <v>513</v>
      </c>
      <c r="D16" s="1434" t="s">
        <v>319</v>
      </c>
      <c r="E16" s="380" t="s">
        <v>70</v>
      </c>
      <c r="F16" s="419" t="s">
        <v>402</v>
      </c>
      <c r="G16" s="382">
        <v>49.6</v>
      </c>
      <c r="H16" s="382">
        <f t="shared" si="4"/>
        <v>72.58064516129032</v>
      </c>
      <c r="I16" s="382">
        <v>1</v>
      </c>
      <c r="J16" s="383">
        <f>0.8*Q2</f>
        <v>256</v>
      </c>
      <c r="K16" s="450">
        <f>47+484+232</f>
        <v>763</v>
      </c>
      <c r="L16" s="384">
        <v>1080</v>
      </c>
      <c r="M16" s="382">
        <f>K16-J16</f>
        <v>507</v>
      </c>
      <c r="N16" s="385">
        <f t="shared" si="0"/>
        <v>-6.9853333333333332</v>
      </c>
      <c r="O16" s="385">
        <f t="shared" si="1"/>
        <v>2.98046875</v>
      </c>
      <c r="P16" s="490">
        <f>O16*1.5</f>
        <v>4.470703125</v>
      </c>
      <c r="Q16" s="386">
        <f t="shared" ca="1" si="3"/>
        <v>41760.98046875</v>
      </c>
      <c r="R16" s="35"/>
      <c r="S16" s="36"/>
      <c r="T16" s="40"/>
      <c r="U16" s="41"/>
      <c r="V16" s="1412"/>
      <c r="W16" s="1412"/>
      <c r="X16" s="1412"/>
      <c r="Y16" s="60">
        <v>1</v>
      </c>
      <c r="Z16" s="60">
        <v>1</v>
      </c>
      <c r="AA16" s="1414">
        <v>1</v>
      </c>
      <c r="AB16" s="1419"/>
      <c r="AC16" s="1394"/>
      <c r="AD16" s="1396"/>
      <c r="AE16" s="1392"/>
      <c r="AF16" s="1394"/>
      <c r="AG16" s="1396"/>
      <c r="AH16" s="1392"/>
      <c r="AI16" s="1394"/>
      <c r="AJ16" s="1396"/>
      <c r="AK16" s="1398"/>
      <c r="AL16" s="1400"/>
      <c r="AM16" s="1404"/>
      <c r="AN16" s="1398"/>
      <c r="AO16" s="1400"/>
      <c r="AP16" s="1404"/>
      <c r="AQ16" s="1406"/>
      <c r="AR16" s="1408"/>
      <c r="AS16" s="1410"/>
      <c r="AT16" s="1406"/>
      <c r="AU16" s="1408"/>
      <c r="AV16" s="1410"/>
      <c r="AW16" s="1406"/>
      <c r="AX16" s="1408"/>
      <c r="AY16" s="1410"/>
      <c r="AZ16" s="1406"/>
      <c r="BA16" s="1408"/>
      <c r="BB16" s="1410"/>
      <c r="BC16" s="1406"/>
      <c r="BD16" s="1408"/>
      <c r="BE16" s="1410"/>
      <c r="BF16" s="1406"/>
      <c r="BG16" s="1408"/>
      <c r="BH16" s="1410"/>
      <c r="BI16" s="1406"/>
      <c r="BJ16" s="1408"/>
      <c r="BK16" s="1410"/>
      <c r="BR16" s="283">
        <v>285</v>
      </c>
    </row>
    <row r="17" spans="1:70" ht="43.5" customHeight="1">
      <c r="A17" s="1430"/>
      <c r="B17" s="1435"/>
      <c r="C17" s="1435"/>
      <c r="D17" s="1435"/>
      <c r="E17" s="380" t="s">
        <v>71</v>
      </c>
      <c r="F17" s="419" t="s">
        <v>403</v>
      </c>
      <c r="G17" s="382">
        <v>49.6</v>
      </c>
      <c r="H17" s="382">
        <f t="shared" si="4"/>
        <v>72.58064516129032</v>
      </c>
      <c r="I17" s="382">
        <v>1</v>
      </c>
      <c r="J17" s="383">
        <f>J16</f>
        <v>256</v>
      </c>
      <c r="K17" s="450">
        <f>531+215</f>
        <v>746</v>
      </c>
      <c r="L17" s="384">
        <v>1080</v>
      </c>
      <c r="M17" s="382">
        <f>K17-J17</f>
        <v>490</v>
      </c>
      <c r="N17" s="385">
        <f t="shared" si="0"/>
        <v>-6.7511111111111113</v>
      </c>
      <c r="O17" s="385">
        <f t="shared" si="1"/>
        <v>2.9140625</v>
      </c>
      <c r="P17" s="490">
        <f>O17*1.5</f>
        <v>4.37109375</v>
      </c>
      <c r="Q17" s="386">
        <f t="shared" ca="1" si="3"/>
        <v>41760.9140625</v>
      </c>
      <c r="R17" s="35"/>
      <c r="S17" s="36"/>
      <c r="T17" s="40"/>
      <c r="U17" s="42"/>
      <c r="V17" s="1436"/>
      <c r="W17" s="1436"/>
      <c r="X17" s="1436"/>
      <c r="Y17" s="65">
        <v>1</v>
      </c>
      <c r="Z17" s="65">
        <v>1</v>
      </c>
      <c r="AA17" s="1437">
        <v>1</v>
      </c>
      <c r="AB17" s="1438"/>
      <c r="AC17" s="1395"/>
      <c r="AD17" s="1397"/>
      <c r="AE17" s="1393"/>
      <c r="AF17" s="1395"/>
      <c r="AG17" s="1397"/>
      <c r="AH17" s="1393"/>
      <c r="AI17" s="1395"/>
      <c r="AJ17" s="1397"/>
      <c r="AK17" s="1399"/>
      <c r="AL17" s="1401"/>
      <c r="AM17" s="1405"/>
      <c r="AN17" s="1399"/>
      <c r="AO17" s="1401"/>
      <c r="AP17" s="1405"/>
      <c r="AQ17" s="1407"/>
      <c r="AR17" s="1409"/>
      <c r="AS17" s="1411"/>
      <c r="AT17" s="1407"/>
      <c r="AU17" s="1409"/>
      <c r="AV17" s="1411"/>
      <c r="AW17" s="1407"/>
      <c r="AX17" s="1409"/>
      <c r="AY17" s="1411"/>
      <c r="AZ17" s="1407"/>
      <c r="BA17" s="1409"/>
      <c r="BB17" s="1411"/>
      <c r="BC17" s="1407"/>
      <c r="BD17" s="1409"/>
      <c r="BE17" s="1411"/>
      <c r="BF17" s="1407"/>
      <c r="BG17" s="1409"/>
      <c r="BH17" s="1411"/>
      <c r="BI17" s="1407"/>
      <c r="BJ17" s="1409"/>
      <c r="BK17" s="1411"/>
      <c r="BR17" s="283">
        <v>285</v>
      </c>
    </row>
    <row r="18" spans="1:70" ht="37.5" customHeight="1">
      <c r="A18" s="1430"/>
      <c r="B18" s="776"/>
      <c r="C18" s="870" t="s">
        <v>506</v>
      </c>
      <c r="D18" s="388" t="s">
        <v>323</v>
      </c>
      <c r="E18" s="380" t="s">
        <v>77</v>
      </c>
      <c r="F18" s="418" t="s">
        <v>404</v>
      </c>
      <c r="G18" s="382">
        <v>41.64</v>
      </c>
      <c r="H18" s="382">
        <f t="shared" si="4"/>
        <v>86.455331412103746</v>
      </c>
      <c r="I18" s="382">
        <v>1</v>
      </c>
      <c r="J18" s="383">
        <v>144</v>
      </c>
      <c r="K18" s="450">
        <v>288</v>
      </c>
      <c r="L18" s="384" t="s">
        <v>252</v>
      </c>
      <c r="M18" s="382">
        <f t="shared" si="2"/>
        <v>144</v>
      </c>
      <c r="N18" s="385">
        <f t="shared" si="0"/>
        <v>-1.6656</v>
      </c>
      <c r="O18" s="385">
        <f t="shared" si="1"/>
        <v>2</v>
      </c>
      <c r="P18" s="490">
        <f>O18</f>
        <v>2</v>
      </c>
      <c r="Q18" s="386">
        <f t="shared" ca="1" si="3"/>
        <v>41760</v>
      </c>
      <c r="R18" s="35"/>
      <c r="S18" s="36"/>
      <c r="T18" s="37">
        <v>1</v>
      </c>
      <c r="U18" s="37"/>
      <c r="V18" s="64">
        <v>1</v>
      </c>
      <c r="W18" s="39"/>
      <c r="X18" s="39"/>
      <c r="Y18" s="39"/>
      <c r="Z18" s="39"/>
      <c r="AA18" s="40"/>
      <c r="AB18" s="258"/>
      <c r="AC18" s="260"/>
      <c r="AD18" s="262"/>
      <c r="AE18" s="258"/>
      <c r="AF18" s="260"/>
      <c r="AG18" s="262"/>
      <c r="AH18" s="258"/>
      <c r="AI18" s="260"/>
      <c r="AJ18" s="262"/>
      <c r="AK18" s="258"/>
      <c r="AL18" s="260"/>
      <c r="AM18" s="262"/>
      <c r="AN18" s="258"/>
      <c r="AO18" s="260"/>
      <c r="AP18" s="262"/>
      <c r="AQ18" s="252"/>
      <c r="AR18" s="254"/>
      <c r="AS18" s="256"/>
      <c r="AT18" s="252"/>
      <c r="AU18" s="254"/>
      <c r="AV18" s="256"/>
      <c r="AW18" s="252"/>
      <c r="AX18" s="254"/>
      <c r="AY18" s="256"/>
      <c r="AZ18" s="252"/>
      <c r="BA18" s="254"/>
      <c r="BB18" s="256"/>
      <c r="BC18" s="252"/>
      <c r="BD18" s="254"/>
      <c r="BE18" s="256"/>
      <c r="BF18" s="252"/>
      <c r="BG18" s="254"/>
      <c r="BH18" s="256"/>
      <c r="BI18" s="252"/>
      <c r="BJ18" s="254"/>
      <c r="BK18" s="256"/>
    </row>
    <row r="19" spans="1:70" ht="37.5" customHeight="1">
      <c r="A19" s="1430"/>
      <c r="B19" s="1439"/>
      <c r="C19" s="1439" t="s">
        <v>513</v>
      </c>
      <c r="D19" s="1439" t="s">
        <v>322</v>
      </c>
      <c r="E19" s="380" t="s">
        <v>75</v>
      </c>
      <c r="F19" s="419" t="s">
        <v>405</v>
      </c>
      <c r="G19" s="382">
        <v>48.12</v>
      </c>
      <c r="H19" s="382">
        <f t="shared" si="4"/>
        <v>74.812967581047388</v>
      </c>
      <c r="I19" s="382">
        <v>1</v>
      </c>
      <c r="J19" s="383">
        <f>0.8*Q4</f>
        <v>86.4</v>
      </c>
      <c r="K19" s="450">
        <f>331+131+144</f>
        <v>606</v>
      </c>
      <c r="L19" s="384">
        <v>576</v>
      </c>
      <c r="M19" s="382">
        <f>K19-J19</f>
        <v>519.6</v>
      </c>
      <c r="N19" s="385">
        <f t="shared" si="0"/>
        <v>-6.9453199999999997</v>
      </c>
      <c r="O19" s="385">
        <f t="shared" si="1"/>
        <v>7.0138888888888884</v>
      </c>
      <c r="P19" s="490">
        <f>O19*1.5</f>
        <v>10.520833333333332</v>
      </c>
      <c r="Q19" s="386">
        <f t="shared" ca="1" si="3"/>
        <v>41765.013888888891</v>
      </c>
      <c r="R19" s="35"/>
      <c r="S19" s="36"/>
      <c r="T19" s="40"/>
      <c r="U19" s="41"/>
      <c r="V19" s="1412"/>
      <c r="W19" s="1412"/>
      <c r="X19" s="1412"/>
      <c r="Y19" s="1412"/>
      <c r="Z19" s="1412"/>
      <c r="AA19" s="1414"/>
      <c r="AB19" s="1392"/>
      <c r="AC19" s="1394"/>
      <c r="AD19" s="1396"/>
      <c r="AE19" s="1392"/>
      <c r="AF19" s="1394"/>
      <c r="AG19" s="1396"/>
      <c r="AH19" s="1392"/>
      <c r="AI19" s="1394"/>
      <c r="AJ19" s="1396"/>
      <c r="AK19" s="1398"/>
      <c r="AL19" s="1400">
        <v>20</v>
      </c>
      <c r="AM19" s="1402"/>
      <c r="AN19" s="1398"/>
      <c r="AO19" s="1400"/>
      <c r="AP19" s="1404"/>
      <c r="AQ19" s="1406"/>
      <c r="AR19" s="1408"/>
      <c r="AS19" s="1410"/>
      <c r="AT19" s="1406"/>
      <c r="AU19" s="1408"/>
      <c r="AV19" s="1410"/>
      <c r="AW19" s="1406"/>
      <c r="AX19" s="1408"/>
      <c r="AY19" s="1410"/>
      <c r="AZ19" s="1406"/>
      <c r="BA19" s="1408"/>
      <c r="BB19" s="1410"/>
      <c r="BC19" s="1406"/>
      <c r="BD19" s="1408"/>
      <c r="BE19" s="1410"/>
      <c r="BF19" s="1406"/>
      <c r="BG19" s="1408"/>
      <c r="BH19" s="1410"/>
      <c r="BI19" s="1406"/>
      <c r="BJ19" s="1408"/>
      <c r="BK19" s="1410"/>
      <c r="BR19" s="284">
        <v>179</v>
      </c>
    </row>
    <row r="20" spans="1:70" ht="36.75" customHeight="1" thickBot="1">
      <c r="A20" s="1430"/>
      <c r="B20" s="1439"/>
      <c r="C20" s="1439"/>
      <c r="D20" s="1439"/>
      <c r="E20" s="380" t="s">
        <v>76</v>
      </c>
      <c r="F20" s="419" t="s">
        <v>406</v>
      </c>
      <c r="G20" s="382">
        <v>48</v>
      </c>
      <c r="H20" s="382">
        <f t="shared" si="4"/>
        <v>75</v>
      </c>
      <c r="I20" s="382">
        <v>1</v>
      </c>
      <c r="J20" s="383">
        <f>J19</f>
        <v>86.4</v>
      </c>
      <c r="K20" s="450">
        <f>389+131+144</f>
        <v>664</v>
      </c>
      <c r="L20" s="384">
        <v>576</v>
      </c>
      <c r="M20" s="382">
        <f>K20-J20</f>
        <v>577.6</v>
      </c>
      <c r="N20" s="385">
        <f t="shared" si="0"/>
        <v>-7.7013333333333343</v>
      </c>
      <c r="O20" s="385">
        <f t="shared" si="1"/>
        <v>7.6851851851851851</v>
      </c>
      <c r="P20" s="490">
        <f>O20*1.5</f>
        <v>11.527777777777779</v>
      </c>
      <c r="Q20" s="386">
        <f t="shared" ca="1" si="3"/>
        <v>41765.685185185182</v>
      </c>
      <c r="R20" s="35"/>
      <c r="S20" s="36"/>
      <c r="T20" s="40"/>
      <c r="U20" s="42"/>
      <c r="V20" s="1436"/>
      <c r="W20" s="1436"/>
      <c r="X20" s="1436"/>
      <c r="Y20" s="1436"/>
      <c r="Z20" s="1436"/>
      <c r="AA20" s="1437"/>
      <c r="AB20" s="1393"/>
      <c r="AC20" s="1395"/>
      <c r="AD20" s="1397"/>
      <c r="AE20" s="1393"/>
      <c r="AF20" s="1395"/>
      <c r="AG20" s="1397"/>
      <c r="AH20" s="1393"/>
      <c r="AI20" s="1395"/>
      <c r="AJ20" s="1397"/>
      <c r="AK20" s="1399"/>
      <c r="AL20" s="1401"/>
      <c r="AM20" s="1403"/>
      <c r="AN20" s="1399"/>
      <c r="AO20" s="1401"/>
      <c r="AP20" s="1405"/>
      <c r="AQ20" s="1407"/>
      <c r="AR20" s="1409"/>
      <c r="AS20" s="1411"/>
      <c r="AT20" s="1407"/>
      <c r="AU20" s="1409"/>
      <c r="AV20" s="1411"/>
      <c r="AW20" s="1407"/>
      <c r="AX20" s="1409"/>
      <c r="AY20" s="1411"/>
      <c r="AZ20" s="1407"/>
      <c r="BA20" s="1409"/>
      <c r="BB20" s="1411"/>
      <c r="BC20" s="1407"/>
      <c r="BD20" s="1409"/>
      <c r="BE20" s="1411"/>
      <c r="BF20" s="1407"/>
      <c r="BG20" s="1409"/>
      <c r="BH20" s="1411"/>
      <c r="BI20" s="1407"/>
      <c r="BJ20" s="1409"/>
      <c r="BK20" s="1411"/>
    </row>
    <row r="21" spans="1:70" ht="50.25" customHeight="1" thickBot="1">
      <c r="A21" s="1431"/>
      <c r="B21" s="777"/>
      <c r="C21" s="872" t="s">
        <v>511</v>
      </c>
      <c r="D21" s="389" t="s">
        <v>317</v>
      </c>
      <c r="E21" s="390" t="s">
        <v>86</v>
      </c>
      <c r="F21" s="420" t="s">
        <v>111</v>
      </c>
      <c r="G21" s="382">
        <v>54.7</v>
      </c>
      <c r="H21" s="391">
        <f t="shared" si="4"/>
        <v>65.813528336380259</v>
      </c>
      <c r="I21" s="391">
        <v>1</v>
      </c>
      <c r="J21" s="392">
        <f>96+80</f>
        <v>176</v>
      </c>
      <c r="K21" s="451">
        <v>1181</v>
      </c>
      <c r="L21" s="393" t="s">
        <v>252</v>
      </c>
      <c r="M21" s="391">
        <f>K21-J21</f>
        <v>1005</v>
      </c>
      <c r="N21" s="394">
        <f t="shared" si="0"/>
        <v>-15.270416666666666</v>
      </c>
      <c r="O21" s="394">
        <f t="shared" si="1"/>
        <v>6.7102272727272725</v>
      </c>
      <c r="P21" s="491">
        <f>O21</f>
        <v>6.7102272727272725</v>
      </c>
      <c r="Q21" s="395">
        <f t="shared" ca="1" si="3"/>
        <v>41764.710227272728</v>
      </c>
      <c r="R21" s="47"/>
      <c r="S21" s="48"/>
      <c r="T21" s="49"/>
      <c r="U21" s="49"/>
      <c r="V21" s="50"/>
      <c r="W21" s="50"/>
      <c r="X21" s="50"/>
      <c r="Y21" s="50"/>
      <c r="Z21" s="50"/>
      <c r="AA21" s="49"/>
      <c r="AB21" s="257"/>
      <c r="AC21" s="259"/>
      <c r="AD21" s="261"/>
      <c r="AE21" s="257"/>
      <c r="AF21" s="259"/>
      <c r="AG21" s="261"/>
      <c r="AH21" s="257"/>
      <c r="AI21" s="259"/>
      <c r="AJ21" s="261"/>
      <c r="AK21" s="13"/>
      <c r="AL21" s="11"/>
      <c r="AM21" s="12"/>
      <c r="AN21" s="13"/>
      <c r="AO21" s="11"/>
      <c r="AP21" s="12"/>
      <c r="AQ21" s="30"/>
      <c r="AR21" s="31"/>
      <c r="AS21" s="32"/>
      <c r="AT21" s="30"/>
      <c r="AU21" s="31"/>
      <c r="AV21" s="32"/>
      <c r="AW21" s="30"/>
      <c r="AX21" s="31"/>
      <c r="AY21" s="32"/>
      <c r="AZ21" s="30"/>
      <c r="BA21" s="31"/>
      <c r="BB21" s="32"/>
      <c r="BC21" s="30"/>
      <c r="BD21" s="31"/>
      <c r="BE21" s="32"/>
      <c r="BF21" s="30"/>
      <c r="BG21" s="31"/>
      <c r="BH21" s="32"/>
      <c r="BI21" s="30"/>
      <c r="BJ21" s="31"/>
      <c r="BK21" s="32"/>
    </row>
    <row r="22" spans="1:70" ht="30.75" customHeight="1">
      <c r="A22" s="1451" t="s">
        <v>364</v>
      </c>
      <c r="B22" s="1454"/>
      <c r="C22" s="1454" t="s">
        <v>507</v>
      </c>
      <c r="D22" s="1454" t="s">
        <v>308</v>
      </c>
      <c r="E22" s="310" t="s">
        <v>51</v>
      </c>
      <c r="F22" s="421" t="s">
        <v>407</v>
      </c>
      <c r="G22" s="639">
        <v>47.3</v>
      </c>
      <c r="H22" s="288">
        <f t="shared" si="4"/>
        <v>76.109936575052856</v>
      </c>
      <c r="I22" s="288">
        <v>1</v>
      </c>
      <c r="J22" s="289">
        <f>Q2*0.8</f>
        <v>256</v>
      </c>
      <c r="K22" s="449">
        <v>1778</v>
      </c>
      <c r="L22" s="290">
        <v>750</v>
      </c>
      <c r="M22" s="288">
        <f t="shared" si="2"/>
        <v>1522</v>
      </c>
      <c r="N22" s="291">
        <f t="shared" si="0"/>
        <v>-19.997388888888885</v>
      </c>
      <c r="O22" s="291">
        <f t="shared" si="1"/>
        <v>6.9453125</v>
      </c>
      <c r="P22" s="492">
        <f>O22*2</f>
        <v>13.890625</v>
      </c>
      <c r="Q22" s="292">
        <f t="shared" ca="1" si="3"/>
        <v>41764.9453125</v>
      </c>
      <c r="R22" s="35"/>
      <c r="S22" s="36"/>
      <c r="T22" s="40"/>
      <c r="U22" s="39"/>
      <c r="V22" s="1456"/>
      <c r="W22" s="1456"/>
      <c r="X22" s="1456"/>
      <c r="Y22" s="1456"/>
      <c r="Z22" s="1456"/>
      <c r="AA22" s="1457"/>
      <c r="AB22" s="1440"/>
      <c r="AC22" s="1441">
        <v>18</v>
      </c>
      <c r="AD22" s="1458"/>
      <c r="AE22" s="1459"/>
      <c r="AF22" s="1441"/>
      <c r="AG22" s="1442"/>
      <c r="AH22" s="1440"/>
      <c r="AI22" s="1441"/>
      <c r="AJ22" s="1442"/>
      <c r="AK22" s="1440"/>
      <c r="AL22" s="1441"/>
      <c r="AM22" s="1460">
        <v>22</v>
      </c>
      <c r="AN22" s="1440"/>
      <c r="AO22" s="1441"/>
      <c r="AP22" s="1442"/>
      <c r="AQ22" s="1443"/>
      <c r="AR22" s="1444"/>
      <c r="AS22" s="1464"/>
      <c r="AT22" s="1447"/>
      <c r="AU22" s="1449"/>
      <c r="AV22" s="1445"/>
      <c r="AW22" s="1447"/>
      <c r="AX22" s="1449"/>
      <c r="AY22" s="1445"/>
      <c r="AZ22" s="1447"/>
      <c r="BA22" s="1449"/>
      <c r="BB22" s="1445"/>
      <c r="BC22" s="1447"/>
      <c r="BD22" s="1449"/>
      <c r="BE22" s="1445"/>
      <c r="BF22" s="1447"/>
      <c r="BG22" s="1449"/>
      <c r="BH22" s="1445"/>
      <c r="BI22" s="1447"/>
      <c r="BJ22" s="1449"/>
      <c r="BK22" s="1445"/>
      <c r="BR22" s="285">
        <v>1372</v>
      </c>
    </row>
    <row r="23" spans="1:70" ht="34.5" customHeight="1">
      <c r="A23" s="1452"/>
      <c r="B23" s="1455"/>
      <c r="C23" s="1455"/>
      <c r="D23" s="1455"/>
      <c r="E23" s="311" t="s">
        <v>52</v>
      </c>
      <c r="F23" s="422" t="s">
        <v>408</v>
      </c>
      <c r="G23" s="639">
        <v>47.3</v>
      </c>
      <c r="H23" s="295">
        <f t="shared" si="4"/>
        <v>76.109936575052856</v>
      </c>
      <c r="I23" s="295">
        <v>1</v>
      </c>
      <c r="J23" s="296">
        <f>Q2*0.8</f>
        <v>256</v>
      </c>
      <c r="K23" s="450">
        <v>693</v>
      </c>
      <c r="L23" s="297">
        <v>750</v>
      </c>
      <c r="M23" s="295">
        <f t="shared" si="2"/>
        <v>437</v>
      </c>
      <c r="N23" s="298">
        <f t="shared" si="0"/>
        <v>-5.7416944444444438</v>
      </c>
      <c r="O23" s="298">
        <f t="shared" si="1"/>
        <v>2.70703125</v>
      </c>
      <c r="P23" s="493">
        <f>O23*2</f>
        <v>5.4140625</v>
      </c>
      <c r="Q23" s="299">
        <f t="shared" ca="1" si="3"/>
        <v>41760.70703125</v>
      </c>
      <c r="R23" s="35"/>
      <c r="S23" s="36"/>
      <c r="T23" s="40"/>
      <c r="U23" s="39"/>
      <c r="V23" s="1456"/>
      <c r="W23" s="1456"/>
      <c r="X23" s="1456"/>
      <c r="Y23" s="1456"/>
      <c r="Z23" s="1456"/>
      <c r="AA23" s="1457"/>
      <c r="AB23" s="1440"/>
      <c r="AC23" s="1441"/>
      <c r="AD23" s="1458"/>
      <c r="AE23" s="1459"/>
      <c r="AF23" s="1441"/>
      <c r="AG23" s="1442"/>
      <c r="AH23" s="1440"/>
      <c r="AI23" s="1441"/>
      <c r="AJ23" s="1442"/>
      <c r="AK23" s="1440"/>
      <c r="AL23" s="1441"/>
      <c r="AM23" s="1460"/>
      <c r="AN23" s="1440"/>
      <c r="AO23" s="1441"/>
      <c r="AP23" s="1442"/>
      <c r="AQ23" s="1443"/>
      <c r="AR23" s="1444"/>
      <c r="AS23" s="1464"/>
      <c r="AT23" s="1448"/>
      <c r="AU23" s="1450"/>
      <c r="AV23" s="1446"/>
      <c r="AW23" s="1448"/>
      <c r="AX23" s="1450"/>
      <c r="AY23" s="1446"/>
      <c r="AZ23" s="1448"/>
      <c r="BA23" s="1450"/>
      <c r="BB23" s="1446"/>
      <c r="BC23" s="1448"/>
      <c r="BD23" s="1450"/>
      <c r="BE23" s="1446"/>
      <c r="BF23" s="1448"/>
      <c r="BG23" s="1450"/>
      <c r="BH23" s="1446"/>
      <c r="BI23" s="1448"/>
      <c r="BJ23" s="1450"/>
      <c r="BK23" s="1446"/>
      <c r="BR23" s="283">
        <v>981</v>
      </c>
    </row>
    <row r="24" spans="1:70" ht="34.5" customHeight="1">
      <c r="A24" s="1452"/>
      <c r="B24" s="1469"/>
      <c r="C24" s="1469" t="s">
        <v>514</v>
      </c>
      <c r="D24" s="1469" t="s">
        <v>309</v>
      </c>
      <c r="E24" s="293" t="s">
        <v>53</v>
      </c>
      <c r="F24" s="422" t="s">
        <v>10</v>
      </c>
      <c r="G24" s="639">
        <v>39.200000000000003</v>
      </c>
      <c r="H24" s="295">
        <f t="shared" si="4"/>
        <v>91.836734693877546</v>
      </c>
      <c r="I24" s="295">
        <v>1</v>
      </c>
      <c r="J24" s="296">
        <f>Q2</f>
        <v>320</v>
      </c>
      <c r="K24" s="450">
        <f>360+511+330</f>
        <v>1201</v>
      </c>
      <c r="L24" s="297">
        <v>1504</v>
      </c>
      <c r="M24" s="295">
        <f t="shared" si="2"/>
        <v>881</v>
      </c>
      <c r="N24" s="298">
        <f t="shared" si="0"/>
        <v>-9.5931111111111118</v>
      </c>
      <c r="O24" s="298">
        <f t="shared" si="1"/>
        <v>3.7531249999999998</v>
      </c>
      <c r="P24" s="493">
        <f>O24*1.5</f>
        <v>5.6296874999999993</v>
      </c>
      <c r="Q24" s="299">
        <f t="shared" ca="1" si="3"/>
        <v>41761.753125000003</v>
      </c>
      <c r="R24" s="35"/>
      <c r="S24" s="36"/>
      <c r="T24" s="40"/>
      <c r="U24" s="39"/>
      <c r="V24" s="39"/>
      <c r="W24" s="39"/>
      <c r="X24" s="39"/>
      <c r="Y24" s="39"/>
      <c r="Z24" s="39"/>
      <c r="AA24" s="40"/>
      <c r="AB24" s="1392"/>
      <c r="AC24" s="1394"/>
      <c r="AD24" s="1396"/>
      <c r="AE24" s="1392"/>
      <c r="AF24" s="1394"/>
      <c r="AG24" s="1396"/>
      <c r="AH24" s="1392"/>
      <c r="AI24" s="1394"/>
      <c r="AJ24" s="1396"/>
      <c r="AK24" s="1392"/>
      <c r="AL24" s="1394"/>
      <c r="AM24" s="1396"/>
      <c r="AN24" s="1392"/>
      <c r="AO24" s="1394"/>
      <c r="AP24" s="1396"/>
      <c r="AQ24" s="1447"/>
      <c r="AR24" s="1394"/>
      <c r="AS24" s="1445"/>
      <c r="AT24" s="1447"/>
      <c r="AU24" s="1449"/>
      <c r="AV24" s="1445"/>
      <c r="AW24" s="1447"/>
      <c r="AX24" s="1449"/>
      <c r="AY24" s="1445"/>
      <c r="AZ24" s="1447"/>
      <c r="BA24" s="1449"/>
      <c r="BB24" s="1445"/>
      <c r="BC24" s="1447"/>
      <c r="BD24" s="1449"/>
      <c r="BE24" s="1445"/>
      <c r="BF24" s="1447"/>
      <c r="BG24" s="1449"/>
      <c r="BH24" s="1445"/>
      <c r="BI24" s="1447"/>
      <c r="BJ24" s="1449"/>
      <c r="BK24" s="1445"/>
      <c r="BR24" s="283">
        <v>1075</v>
      </c>
    </row>
    <row r="25" spans="1:70" ht="39.75" customHeight="1">
      <c r="A25" s="1452"/>
      <c r="B25" s="1455"/>
      <c r="C25" s="1455"/>
      <c r="D25" s="1455"/>
      <c r="E25" s="293" t="s">
        <v>54</v>
      </c>
      <c r="F25" s="422" t="s">
        <v>11</v>
      </c>
      <c r="G25" s="639">
        <v>39.200000000000003</v>
      </c>
      <c r="H25" s="295">
        <f t="shared" si="4"/>
        <v>91.836734693877546</v>
      </c>
      <c r="I25" s="295">
        <v>1</v>
      </c>
      <c r="J25" s="296">
        <f>Q2</f>
        <v>320</v>
      </c>
      <c r="K25" s="450">
        <f>553+511+143</f>
        <v>1207</v>
      </c>
      <c r="L25" s="297">
        <v>1504</v>
      </c>
      <c r="M25" s="295">
        <f t="shared" si="2"/>
        <v>887</v>
      </c>
      <c r="N25" s="298">
        <f>((M25*G24/3600)*-1)</f>
        <v>-9.6584444444444451</v>
      </c>
      <c r="O25" s="298">
        <f>K25/J24</f>
        <v>3.7718750000000001</v>
      </c>
      <c r="P25" s="493">
        <f>O25*1.5</f>
        <v>5.6578125000000004</v>
      </c>
      <c r="Q25" s="299">
        <f t="shared" ca="1" si="3"/>
        <v>41761.771874999999</v>
      </c>
      <c r="R25" s="35"/>
      <c r="S25" s="36"/>
      <c r="T25" s="40"/>
      <c r="U25" s="39"/>
      <c r="V25" s="39"/>
      <c r="W25" s="39"/>
      <c r="X25" s="39"/>
      <c r="Y25" s="39"/>
      <c r="Z25" s="39"/>
      <c r="AA25" s="40"/>
      <c r="AB25" s="1470"/>
      <c r="AC25" s="1471"/>
      <c r="AD25" s="1472"/>
      <c r="AE25" s="1470"/>
      <c r="AF25" s="1471"/>
      <c r="AG25" s="1472"/>
      <c r="AH25" s="1470"/>
      <c r="AI25" s="1471"/>
      <c r="AJ25" s="1472"/>
      <c r="AK25" s="1470"/>
      <c r="AL25" s="1471"/>
      <c r="AM25" s="1472"/>
      <c r="AN25" s="1470"/>
      <c r="AO25" s="1471"/>
      <c r="AP25" s="1472"/>
      <c r="AQ25" s="1461"/>
      <c r="AR25" s="1471"/>
      <c r="AS25" s="1463"/>
      <c r="AT25" s="1461"/>
      <c r="AU25" s="1462"/>
      <c r="AV25" s="1463"/>
      <c r="AW25" s="1461"/>
      <c r="AX25" s="1462"/>
      <c r="AY25" s="1463"/>
      <c r="AZ25" s="1461"/>
      <c r="BA25" s="1462"/>
      <c r="BB25" s="1463"/>
      <c r="BC25" s="1461"/>
      <c r="BD25" s="1462"/>
      <c r="BE25" s="1463"/>
      <c r="BF25" s="1461"/>
      <c r="BG25" s="1462"/>
      <c r="BH25" s="1463"/>
      <c r="BI25" s="1461"/>
      <c r="BJ25" s="1462"/>
      <c r="BK25" s="1463"/>
      <c r="BR25" s="284">
        <v>859</v>
      </c>
    </row>
    <row r="26" spans="1:70" ht="35.25" customHeight="1">
      <c r="A26" s="1452"/>
      <c r="B26" s="1455"/>
      <c r="C26" s="1455"/>
      <c r="D26" s="1455"/>
      <c r="E26" s="293" t="s">
        <v>55</v>
      </c>
      <c r="F26" s="422" t="s">
        <v>438</v>
      </c>
      <c r="G26" s="639">
        <v>39.200000000000003</v>
      </c>
      <c r="H26" s="295">
        <f t="shared" si="4"/>
        <v>91.836734693877546</v>
      </c>
      <c r="I26" s="295">
        <v>1</v>
      </c>
      <c r="J26" s="296">
        <f>Q2</f>
        <v>320</v>
      </c>
      <c r="K26" s="450">
        <f>851+351+143</f>
        <v>1345</v>
      </c>
      <c r="L26" s="297">
        <v>1504</v>
      </c>
      <c r="M26" s="295">
        <f t="shared" si="2"/>
        <v>1025</v>
      </c>
      <c r="N26" s="298">
        <f>((M26*G24/3600)*-1)</f>
        <v>-11.161111111111111</v>
      </c>
      <c r="O26" s="298">
        <f>K26/J24</f>
        <v>4.203125</v>
      </c>
      <c r="P26" s="493">
        <f>O26*1.5</f>
        <v>6.3046875</v>
      </c>
      <c r="Q26" s="299">
        <f t="shared" ca="1" si="3"/>
        <v>41762.203125</v>
      </c>
      <c r="R26" s="35"/>
      <c r="S26" s="36"/>
      <c r="T26" s="40"/>
      <c r="U26" s="39"/>
      <c r="V26" s="39"/>
      <c r="W26" s="39"/>
      <c r="X26" s="39"/>
      <c r="Y26" s="39"/>
      <c r="Z26" s="39"/>
      <c r="AA26" s="40"/>
      <c r="AB26" s="1393"/>
      <c r="AC26" s="1395"/>
      <c r="AD26" s="1397"/>
      <c r="AE26" s="1393"/>
      <c r="AF26" s="1395"/>
      <c r="AG26" s="1397"/>
      <c r="AH26" s="1393"/>
      <c r="AI26" s="1395"/>
      <c r="AJ26" s="1397"/>
      <c r="AK26" s="1393"/>
      <c r="AL26" s="1395"/>
      <c r="AM26" s="1397"/>
      <c r="AN26" s="1393"/>
      <c r="AO26" s="1395"/>
      <c r="AP26" s="1397"/>
      <c r="AQ26" s="1448"/>
      <c r="AR26" s="1395"/>
      <c r="AS26" s="1446"/>
      <c r="AT26" s="1448"/>
      <c r="AU26" s="1450"/>
      <c r="AV26" s="1446"/>
      <c r="AW26" s="1448"/>
      <c r="AX26" s="1450"/>
      <c r="AY26" s="1446"/>
      <c r="AZ26" s="1448"/>
      <c r="BA26" s="1450"/>
      <c r="BB26" s="1446"/>
      <c r="BC26" s="1448"/>
      <c r="BD26" s="1450"/>
      <c r="BE26" s="1446"/>
      <c r="BF26" s="1448"/>
      <c r="BG26" s="1450"/>
      <c r="BH26" s="1446"/>
      <c r="BI26" s="1448"/>
      <c r="BJ26" s="1450"/>
      <c r="BK26" s="1446"/>
      <c r="BR26" s="283">
        <v>1371</v>
      </c>
    </row>
    <row r="27" spans="1:70" ht="39.75" customHeight="1">
      <c r="A27" s="1452"/>
      <c r="B27" s="1469"/>
      <c r="C27" s="1469"/>
      <c r="D27" s="1469" t="s">
        <v>316</v>
      </c>
      <c r="E27" s="293" t="s">
        <v>67</v>
      </c>
      <c r="F27" s="422" t="s">
        <v>409</v>
      </c>
      <c r="G27" s="639">
        <v>49</v>
      </c>
      <c r="H27" s="295">
        <f>3600/G27*2</f>
        <v>146.9387755102041</v>
      </c>
      <c r="I27" s="295">
        <v>1</v>
      </c>
      <c r="J27" s="296">
        <f>Q2</f>
        <v>320</v>
      </c>
      <c r="K27" s="450">
        <f>275+90+855</f>
        <v>1220</v>
      </c>
      <c r="L27" s="297">
        <v>1600</v>
      </c>
      <c r="M27" s="295">
        <f t="shared" si="2"/>
        <v>900</v>
      </c>
      <c r="N27" s="298">
        <f>((M27*G27)/3600)*-1</f>
        <v>-12.25</v>
      </c>
      <c r="O27" s="298">
        <f>K27/J27</f>
        <v>3.8125</v>
      </c>
      <c r="P27" s="493">
        <f>O27*2</f>
        <v>7.625</v>
      </c>
      <c r="Q27" s="299">
        <f t="shared" ca="1" si="3"/>
        <v>41761.8125</v>
      </c>
      <c r="R27" s="35"/>
      <c r="S27" s="36"/>
      <c r="T27" s="37">
        <v>1</v>
      </c>
      <c r="U27" s="61"/>
      <c r="V27" s="1412">
        <v>1</v>
      </c>
      <c r="W27" s="1412"/>
      <c r="X27" s="1412"/>
      <c r="Y27" s="1412"/>
      <c r="Z27" s="1412"/>
      <c r="AA27" s="1473">
        <v>1</v>
      </c>
      <c r="AB27" s="1419"/>
      <c r="AC27" s="1421"/>
      <c r="AD27" s="1396"/>
      <c r="AE27" s="1392"/>
      <c r="AF27" s="1394"/>
      <c r="AG27" s="1396"/>
      <c r="AH27" s="1392"/>
      <c r="AI27" s="1394"/>
      <c r="AJ27" s="1475">
        <v>0</v>
      </c>
      <c r="AK27" s="1392"/>
      <c r="AL27" s="1421">
        <v>16</v>
      </c>
      <c r="AM27" s="1402"/>
      <c r="AN27" s="1392"/>
      <c r="AO27" s="1394"/>
      <c r="AP27" s="1396"/>
      <c r="AQ27" s="1447"/>
      <c r="AR27" s="1449"/>
      <c r="AS27" s="1445"/>
      <c r="AT27" s="1447"/>
      <c r="AU27" s="1449"/>
      <c r="AV27" s="1445"/>
      <c r="AW27" s="1447"/>
      <c r="AX27" s="1449"/>
      <c r="AY27" s="1445"/>
      <c r="AZ27" s="1447"/>
      <c r="BA27" s="1449"/>
      <c r="BB27" s="1445"/>
      <c r="BC27" s="1447"/>
      <c r="BD27" s="1449"/>
      <c r="BE27" s="1445"/>
      <c r="BF27" s="1447"/>
      <c r="BG27" s="1449"/>
      <c r="BH27" s="1445"/>
      <c r="BI27" s="1447"/>
      <c r="BJ27" s="1449"/>
      <c r="BK27" s="1445"/>
      <c r="BR27" s="283">
        <v>7889</v>
      </c>
    </row>
    <row r="28" spans="1:70" ht="37.5" customHeight="1" thickBot="1">
      <c r="A28" s="1452"/>
      <c r="B28" s="1469"/>
      <c r="C28" s="1469"/>
      <c r="D28" s="1469"/>
      <c r="E28" s="311" t="s">
        <v>68</v>
      </c>
      <c r="F28" s="422" t="s">
        <v>410</v>
      </c>
      <c r="G28" s="639">
        <v>49</v>
      </c>
      <c r="H28" s="295">
        <f>3600/G28*2</f>
        <v>146.9387755102041</v>
      </c>
      <c r="I28" s="295">
        <v>1</v>
      </c>
      <c r="J28" s="296">
        <f>Q2</f>
        <v>320</v>
      </c>
      <c r="K28" s="450">
        <f>1150+120</f>
        <v>1270</v>
      </c>
      <c r="L28" s="297">
        <v>1600</v>
      </c>
      <c r="M28" s="295">
        <f t="shared" si="2"/>
        <v>950</v>
      </c>
      <c r="N28" s="298">
        <f>((M28*G28)/3600)*-1</f>
        <v>-12.930555555555555</v>
      </c>
      <c r="O28" s="298">
        <f>K28/J28</f>
        <v>3.96875</v>
      </c>
      <c r="P28" s="493">
        <f>O28*2</f>
        <v>7.9375</v>
      </c>
      <c r="Q28" s="299">
        <f t="shared" ca="1" si="3"/>
        <v>41761.96875</v>
      </c>
      <c r="R28" s="43"/>
      <c r="S28" s="44"/>
      <c r="T28" s="62">
        <v>1</v>
      </c>
      <c r="U28" s="63"/>
      <c r="V28" s="1413">
        <v>1</v>
      </c>
      <c r="W28" s="1413"/>
      <c r="X28" s="1413"/>
      <c r="Y28" s="1413"/>
      <c r="Z28" s="1413"/>
      <c r="AA28" s="1474">
        <v>1</v>
      </c>
      <c r="AB28" s="1420"/>
      <c r="AC28" s="1422"/>
      <c r="AD28" s="1465"/>
      <c r="AE28" s="1416"/>
      <c r="AF28" s="1417"/>
      <c r="AG28" s="1465"/>
      <c r="AH28" s="1416"/>
      <c r="AI28" s="1417"/>
      <c r="AJ28" s="1465"/>
      <c r="AK28" s="1416"/>
      <c r="AL28" s="1422"/>
      <c r="AM28" s="1418"/>
      <c r="AN28" s="1416"/>
      <c r="AO28" s="1417"/>
      <c r="AP28" s="1465"/>
      <c r="AQ28" s="1466"/>
      <c r="AR28" s="1467"/>
      <c r="AS28" s="1468"/>
      <c r="AT28" s="1466"/>
      <c r="AU28" s="1467"/>
      <c r="AV28" s="1468"/>
      <c r="AW28" s="1466"/>
      <c r="AX28" s="1467"/>
      <c r="AY28" s="1468"/>
      <c r="AZ28" s="1466"/>
      <c r="BA28" s="1467"/>
      <c r="BB28" s="1468"/>
      <c r="BC28" s="1466"/>
      <c r="BD28" s="1467"/>
      <c r="BE28" s="1468"/>
      <c r="BF28" s="1466"/>
      <c r="BG28" s="1467"/>
      <c r="BH28" s="1468"/>
      <c r="BI28" s="1466"/>
      <c r="BJ28" s="1467"/>
      <c r="BK28" s="1468"/>
      <c r="BR28" s="284">
        <v>6480</v>
      </c>
    </row>
    <row r="29" spans="1:70" ht="36.75" customHeight="1">
      <c r="A29" s="1452"/>
      <c r="B29" s="301"/>
      <c r="C29" s="301"/>
      <c r="D29" s="301" t="s">
        <v>310</v>
      </c>
      <c r="E29" s="293" t="s">
        <v>56</v>
      </c>
      <c r="F29" s="422" t="s">
        <v>411</v>
      </c>
      <c r="G29" s="639">
        <v>45</v>
      </c>
      <c r="H29" s="295">
        <f t="shared" si="4"/>
        <v>80</v>
      </c>
      <c r="I29" s="295">
        <v>1</v>
      </c>
      <c r="J29" s="296">
        <f>0.4*Q3</f>
        <v>85.600000000000009</v>
      </c>
      <c r="K29" s="450">
        <f>408+267</f>
        <v>675</v>
      </c>
      <c r="L29" s="297">
        <v>1536</v>
      </c>
      <c r="M29" s="295">
        <f t="shared" si="2"/>
        <v>589.4</v>
      </c>
      <c r="N29" s="298">
        <f>((M29*G29)/3600)*-1</f>
        <v>-7.3674999999999997</v>
      </c>
      <c r="O29" s="298">
        <f>K29/J29</f>
        <v>7.8855140186915884</v>
      </c>
      <c r="P29" s="493">
        <f>O29*1.5</f>
        <v>11.828271028037383</v>
      </c>
      <c r="Q29" s="299">
        <f t="shared" ca="1" si="3"/>
        <v>41765.885514018693</v>
      </c>
      <c r="R29" s="35"/>
      <c r="S29" s="36"/>
      <c r="T29" s="40"/>
      <c r="U29" s="39"/>
      <c r="V29" s="39"/>
      <c r="W29" s="39"/>
      <c r="X29" s="39"/>
      <c r="Y29" s="39"/>
      <c r="Z29" s="39"/>
      <c r="AA29" s="40"/>
      <c r="AB29" s="258"/>
      <c r="AC29" s="260"/>
      <c r="AD29" s="262"/>
      <c r="AE29" s="258"/>
      <c r="AF29" s="260"/>
      <c r="AG29" s="262"/>
      <c r="AH29" s="258"/>
      <c r="AI29" s="260"/>
      <c r="AJ29" s="262"/>
      <c r="AK29" s="258"/>
      <c r="AL29" s="260"/>
      <c r="AM29" s="262"/>
      <c r="AN29" s="258"/>
      <c r="AO29" s="260" t="s">
        <v>189</v>
      </c>
      <c r="AP29" s="262"/>
      <c r="AQ29" s="252"/>
      <c r="AR29" s="254"/>
      <c r="AS29" s="256"/>
      <c r="AT29" s="252"/>
      <c r="AU29" s="254"/>
      <c r="AV29" s="256"/>
      <c r="AW29" s="252"/>
      <c r="AX29" s="254"/>
      <c r="AY29" s="256"/>
      <c r="AZ29" s="252"/>
      <c r="BA29" s="254"/>
      <c r="BB29" s="256"/>
      <c r="BC29" s="252"/>
      <c r="BD29" s="254"/>
      <c r="BE29" s="256"/>
      <c r="BF29" s="252"/>
      <c r="BG29" s="254"/>
      <c r="BH29" s="256"/>
      <c r="BI29" s="252"/>
      <c r="BJ29" s="254"/>
      <c r="BK29" s="256"/>
    </row>
    <row r="30" spans="1:70" ht="24" hidden="1" customHeight="1" thickBot="1">
      <c r="A30" s="1452"/>
      <c r="B30" s="301"/>
      <c r="C30" s="301"/>
      <c r="D30" s="301"/>
      <c r="E30" s="293" t="s">
        <v>57</v>
      </c>
      <c r="F30" s="422" t="s">
        <v>14</v>
      </c>
      <c r="G30" s="877"/>
      <c r="H30" s="300"/>
      <c r="I30" s="300"/>
      <c r="J30" s="313"/>
      <c r="K30" s="452"/>
      <c r="L30" s="314"/>
      <c r="M30" s="300"/>
      <c r="N30" s="300"/>
      <c r="O30" s="300"/>
      <c r="P30" s="494"/>
      <c r="Q30" s="315"/>
      <c r="R30" s="35"/>
      <c r="S30" s="36"/>
      <c r="T30" s="40"/>
      <c r="U30" s="39"/>
      <c r="V30" s="39"/>
      <c r="W30" s="39"/>
      <c r="X30" s="39"/>
      <c r="Y30" s="39"/>
      <c r="Z30" s="39"/>
      <c r="AA30" s="40"/>
      <c r="AB30" s="258"/>
      <c r="AC30" s="260"/>
      <c r="AD30" s="262"/>
      <c r="AE30" s="258"/>
      <c r="AF30" s="260"/>
      <c r="AG30" s="262"/>
      <c r="AH30" s="258"/>
      <c r="AI30" s="260"/>
      <c r="AJ30" s="272">
        <v>22</v>
      </c>
      <c r="AK30" s="273"/>
      <c r="AL30" s="276"/>
      <c r="AM30" s="8"/>
      <c r="AN30" s="258"/>
      <c r="AO30" s="260"/>
      <c r="AP30" s="262"/>
      <c r="AQ30" s="252"/>
      <c r="AR30" s="254"/>
      <c r="AS30" s="256"/>
      <c r="AT30" s="252"/>
      <c r="AU30" s="254"/>
      <c r="AV30" s="256"/>
      <c r="AW30" s="252"/>
      <c r="AX30" s="254"/>
      <c r="AY30" s="256"/>
      <c r="AZ30" s="252"/>
      <c r="BA30" s="254"/>
      <c r="BB30" s="256"/>
      <c r="BC30" s="252"/>
      <c r="BD30" s="254"/>
      <c r="BE30" s="256"/>
      <c r="BF30" s="252"/>
      <c r="BG30" s="254"/>
      <c r="BH30" s="256"/>
      <c r="BI30" s="252"/>
      <c r="BJ30" s="254"/>
      <c r="BK30" s="256"/>
    </row>
    <row r="31" spans="1:70" ht="24" hidden="1" customHeight="1" thickBot="1">
      <c r="A31" s="1452"/>
      <c r="B31" s="301"/>
      <c r="C31" s="301"/>
      <c r="D31" s="301"/>
      <c r="E31" s="311" t="s">
        <v>61</v>
      </c>
      <c r="F31" s="422" t="s">
        <v>18</v>
      </c>
      <c r="G31" s="877"/>
      <c r="H31" s="300"/>
      <c r="I31" s="300"/>
      <c r="J31" s="313"/>
      <c r="K31" s="452"/>
      <c r="L31" s="314"/>
      <c r="M31" s="300"/>
      <c r="N31" s="300"/>
      <c r="O31" s="300"/>
      <c r="P31" s="494"/>
      <c r="Q31" s="315"/>
      <c r="R31" s="35"/>
      <c r="S31" s="36"/>
      <c r="T31" s="40"/>
      <c r="U31" s="39"/>
      <c r="V31" s="39"/>
      <c r="W31" s="39"/>
      <c r="X31" s="39"/>
      <c r="Y31" s="39"/>
      <c r="Z31" s="39"/>
      <c r="AA31" s="40"/>
      <c r="AB31" s="258"/>
      <c r="AC31" s="260"/>
      <c r="AD31" s="262"/>
      <c r="AE31" s="258"/>
      <c r="AF31" s="260"/>
      <c r="AG31" s="262"/>
      <c r="AH31" s="258"/>
      <c r="AI31" s="260"/>
      <c r="AJ31" s="262"/>
      <c r="AK31" s="258"/>
      <c r="AL31" s="260"/>
      <c r="AM31" s="262"/>
      <c r="AN31" s="258"/>
      <c r="AO31" s="260"/>
      <c r="AP31" s="262"/>
      <c r="AQ31" s="252"/>
      <c r="AR31" s="254"/>
      <c r="AS31" s="256"/>
      <c r="AT31" s="252"/>
      <c r="AU31" s="254"/>
      <c r="AV31" s="256"/>
      <c r="AW31" s="252"/>
      <c r="AX31" s="254"/>
      <c r="AY31" s="256"/>
      <c r="AZ31" s="252"/>
      <c r="BA31" s="254"/>
      <c r="BB31" s="256"/>
      <c r="BC31" s="252"/>
      <c r="BD31" s="254"/>
      <c r="BE31" s="256"/>
      <c r="BF31" s="252"/>
      <c r="BG31" s="254"/>
      <c r="BH31" s="256"/>
      <c r="BI31" s="252"/>
      <c r="BJ31" s="254"/>
      <c r="BK31" s="256"/>
    </row>
    <row r="32" spans="1:70" ht="24" hidden="1" customHeight="1" thickBot="1">
      <c r="A32" s="1452"/>
      <c r="B32" s="301"/>
      <c r="C32" s="301"/>
      <c r="D32" s="301"/>
      <c r="E32" s="311" t="s">
        <v>62</v>
      </c>
      <c r="F32" s="422" t="s">
        <v>19</v>
      </c>
      <c r="G32" s="877"/>
      <c r="H32" s="300"/>
      <c r="I32" s="300"/>
      <c r="J32" s="313"/>
      <c r="K32" s="452"/>
      <c r="L32" s="314"/>
      <c r="M32" s="300"/>
      <c r="N32" s="300"/>
      <c r="O32" s="300"/>
      <c r="P32" s="494"/>
      <c r="Q32" s="315"/>
      <c r="R32" s="35"/>
      <c r="S32" s="36"/>
      <c r="T32" s="40"/>
      <c r="U32" s="39"/>
      <c r="V32" s="39"/>
      <c r="W32" s="39"/>
      <c r="X32" s="39"/>
      <c r="Y32" s="39"/>
      <c r="Z32" s="39"/>
      <c r="AA32" s="40"/>
      <c r="AB32" s="273"/>
      <c r="AC32" s="276"/>
      <c r="AD32" s="262"/>
      <c r="AE32" s="258"/>
      <c r="AF32" s="260"/>
      <c r="AG32" s="262"/>
      <c r="AH32" s="258"/>
      <c r="AI32" s="260"/>
      <c r="AJ32" s="262"/>
      <c r="AK32" s="258"/>
      <c r="AL32" s="260"/>
      <c r="AM32" s="262"/>
      <c r="AN32" s="258"/>
      <c r="AO32" s="260"/>
      <c r="AP32" s="262"/>
      <c r="AQ32" s="252"/>
      <c r="AR32" s="254"/>
      <c r="AS32" s="256"/>
      <c r="AT32" s="252"/>
      <c r="AU32" s="254"/>
      <c r="AV32" s="256"/>
      <c r="AW32" s="252"/>
      <c r="AX32" s="254"/>
      <c r="AY32" s="256"/>
      <c r="AZ32" s="252"/>
      <c r="BA32" s="254"/>
      <c r="BB32" s="256"/>
      <c r="BC32" s="252"/>
      <c r="BD32" s="254"/>
      <c r="BE32" s="256"/>
      <c r="BF32" s="252"/>
      <c r="BG32" s="254"/>
      <c r="BH32" s="256"/>
      <c r="BI32" s="252"/>
      <c r="BJ32" s="254"/>
      <c r="BK32" s="256"/>
    </row>
    <row r="33" spans="1:72" ht="24" hidden="1" customHeight="1" thickBot="1">
      <c r="A33" s="1452"/>
      <c r="B33" s="301"/>
      <c r="C33" s="301"/>
      <c r="D33" s="301"/>
      <c r="E33" s="293" t="s">
        <v>60</v>
      </c>
      <c r="F33" s="422" t="s">
        <v>17</v>
      </c>
      <c r="G33" s="877"/>
      <c r="H33" s="300"/>
      <c r="I33" s="300"/>
      <c r="J33" s="313"/>
      <c r="K33" s="452"/>
      <c r="L33" s="314"/>
      <c r="M33" s="300"/>
      <c r="N33" s="300"/>
      <c r="O33" s="300"/>
      <c r="P33" s="494"/>
      <c r="Q33" s="315"/>
      <c r="R33" s="43"/>
      <c r="S33" s="44"/>
      <c r="T33" s="45"/>
      <c r="U33" s="46"/>
      <c r="V33" s="46"/>
      <c r="W33" s="46"/>
      <c r="X33" s="46"/>
      <c r="Y33" s="46"/>
      <c r="Z33" s="46"/>
      <c r="AA33" s="45"/>
      <c r="AB33" s="281"/>
      <c r="AC33" s="10"/>
      <c r="AD33" s="9"/>
      <c r="AE33" s="281"/>
      <c r="AF33" s="10"/>
      <c r="AG33" s="9"/>
      <c r="AH33" s="281"/>
      <c r="AI33" s="10"/>
      <c r="AJ33" s="9"/>
      <c r="AK33" s="281"/>
      <c r="AL33" s="10"/>
      <c r="AM33" s="9"/>
      <c r="AN33" s="281"/>
      <c r="AO33" s="10"/>
      <c r="AP33" s="9"/>
      <c r="AQ33" s="51"/>
      <c r="AR33" s="52"/>
      <c r="AS33" s="53"/>
      <c r="AT33" s="51"/>
      <c r="AU33" s="52"/>
      <c r="AV33" s="53"/>
      <c r="AW33" s="51"/>
      <c r="AX33" s="52"/>
      <c r="AY33" s="53"/>
      <c r="AZ33" s="51"/>
      <c r="BA33" s="52"/>
      <c r="BB33" s="53"/>
      <c r="BC33" s="51"/>
      <c r="BD33" s="52"/>
      <c r="BE33" s="53"/>
      <c r="BF33" s="51"/>
      <c r="BG33" s="52"/>
      <c r="BH33" s="53"/>
      <c r="BI33" s="51"/>
      <c r="BJ33" s="52"/>
      <c r="BK33" s="53"/>
    </row>
    <row r="34" spans="1:72" ht="3" hidden="1" customHeight="1">
      <c r="A34" s="1452"/>
      <c r="B34" s="301"/>
      <c r="C34" s="301"/>
      <c r="D34" s="301"/>
      <c r="E34" s="293" t="s">
        <v>57</v>
      </c>
      <c r="F34" s="422" t="s">
        <v>14</v>
      </c>
      <c r="G34" s="639">
        <v>53</v>
      </c>
      <c r="H34" s="295">
        <f t="shared" si="4"/>
        <v>67.924528301886795</v>
      </c>
      <c r="I34" s="295">
        <v>1</v>
      </c>
      <c r="J34" s="296">
        <f>162*2</f>
        <v>324</v>
      </c>
      <c r="K34" s="450">
        <f>324+3622</f>
        <v>3946</v>
      </c>
      <c r="L34" s="297" t="s">
        <v>252</v>
      </c>
      <c r="M34" s="295">
        <f t="shared" si="2"/>
        <v>3622</v>
      </c>
      <c r="N34" s="298">
        <f t="shared" ref="N34:N119" si="5">((M34*G34)/3600)*-1</f>
        <v>-53.323888888888888</v>
      </c>
      <c r="O34" s="298">
        <f>K34/J34</f>
        <v>12.179012345679013</v>
      </c>
      <c r="P34" s="493"/>
      <c r="Q34" s="299">
        <f ca="1">+$Q$5+O34</f>
        <v>41770.179012345681</v>
      </c>
      <c r="R34" s="47"/>
      <c r="S34" s="48"/>
      <c r="T34" s="49"/>
      <c r="U34" s="50"/>
      <c r="V34" s="50"/>
      <c r="W34" s="50"/>
      <c r="X34" s="50"/>
      <c r="Y34" s="50"/>
      <c r="Z34" s="50"/>
      <c r="AA34" s="49"/>
      <c r="AB34" s="257"/>
      <c r="AC34" s="259"/>
      <c r="AD34" s="261"/>
      <c r="AE34" s="257"/>
      <c r="AF34" s="259"/>
      <c r="AG34" s="261"/>
      <c r="AH34" s="257"/>
      <c r="AI34" s="259"/>
      <c r="AJ34" s="261"/>
      <c r="AK34" s="13"/>
      <c r="AL34" s="11"/>
      <c r="AM34" s="12"/>
      <c r="AN34" s="13"/>
      <c r="AO34" s="11"/>
      <c r="AP34" s="12"/>
      <c r="AQ34" s="30"/>
      <c r="AR34" s="31"/>
      <c r="AS34" s="32"/>
      <c r="AT34" s="30"/>
      <c r="AU34" s="31"/>
      <c r="AV34" s="32"/>
      <c r="AW34" s="30"/>
      <c r="AX34" s="31"/>
      <c r="AY34" s="32"/>
      <c r="AZ34" s="30"/>
      <c r="BA34" s="31"/>
      <c r="BB34" s="32"/>
      <c r="BC34" s="30"/>
      <c r="BD34" s="31"/>
      <c r="BE34" s="32"/>
      <c r="BF34" s="30"/>
      <c r="BG34" s="31"/>
      <c r="BH34" s="32"/>
      <c r="BI34" s="30"/>
      <c r="BJ34" s="31"/>
      <c r="BK34" s="32"/>
      <c r="BR34" s="14">
        <v>973</v>
      </c>
    </row>
    <row r="35" spans="1:72" ht="23.25" hidden="1" customHeight="1">
      <c r="A35" s="1452"/>
      <c r="B35" s="301"/>
      <c r="C35" s="301"/>
      <c r="D35" s="301"/>
      <c r="E35" s="293" t="s">
        <v>60</v>
      </c>
      <c r="F35" s="422" t="s">
        <v>17</v>
      </c>
      <c r="G35" s="639">
        <v>48</v>
      </c>
      <c r="H35" s="295">
        <f>3600/G35</f>
        <v>75</v>
      </c>
      <c r="I35" s="295">
        <v>1</v>
      </c>
      <c r="J35" s="296">
        <f>192+216</f>
        <v>408</v>
      </c>
      <c r="K35" s="450">
        <f>1367+70+21+50+75+400+430+415+580+586+720+691+784+696</f>
        <v>6885</v>
      </c>
      <c r="L35" s="297" t="s">
        <v>252</v>
      </c>
      <c r="M35" s="295">
        <f t="shared" si="2"/>
        <v>6477</v>
      </c>
      <c r="N35" s="298">
        <f t="shared" si="5"/>
        <v>-86.36</v>
      </c>
      <c r="O35" s="298">
        <f>K35/J35</f>
        <v>16.875</v>
      </c>
      <c r="P35" s="493"/>
      <c r="Q35" s="299">
        <f ca="1">+$Q$5+O35</f>
        <v>41774.875</v>
      </c>
      <c r="R35" s="35"/>
      <c r="S35" s="36"/>
      <c r="T35" s="40"/>
      <c r="U35" s="39"/>
      <c r="V35" s="39"/>
      <c r="W35" s="39"/>
      <c r="X35" s="39"/>
      <c r="Y35" s="39"/>
      <c r="Z35" s="39"/>
      <c r="AA35" s="40"/>
      <c r="AB35" s="258"/>
      <c r="AC35" s="260"/>
      <c r="AD35" s="262"/>
      <c r="AE35" s="258"/>
      <c r="AF35" s="260"/>
      <c r="AG35" s="262"/>
      <c r="AH35" s="258"/>
      <c r="AI35" s="260"/>
      <c r="AJ35" s="262"/>
      <c r="AK35" s="266"/>
      <c r="AL35" s="267"/>
      <c r="AM35" s="268"/>
      <c r="AN35" s="266"/>
      <c r="AO35" s="267"/>
      <c r="AP35" s="268"/>
      <c r="AQ35" s="263"/>
      <c r="AR35" s="264"/>
      <c r="AS35" s="265"/>
      <c r="AT35" s="263"/>
      <c r="AU35" s="264"/>
      <c r="AV35" s="265"/>
      <c r="AW35" s="263"/>
      <c r="AX35" s="264"/>
      <c r="AY35" s="265"/>
      <c r="AZ35" s="263"/>
      <c r="BA35" s="264"/>
      <c r="BB35" s="265"/>
      <c r="BC35" s="263"/>
      <c r="BD35" s="264"/>
      <c r="BE35" s="265"/>
      <c r="BF35" s="263"/>
      <c r="BG35" s="264"/>
      <c r="BH35" s="265"/>
      <c r="BI35" s="263"/>
      <c r="BJ35" s="264"/>
      <c r="BK35" s="265"/>
      <c r="BL35" s="33"/>
      <c r="BR35" s="283">
        <v>4787</v>
      </c>
    </row>
    <row r="36" spans="1:72" ht="33.75" customHeight="1" thickBot="1">
      <c r="A36" s="1453"/>
      <c r="B36" s="302"/>
      <c r="C36" s="302" t="s">
        <v>506</v>
      </c>
      <c r="D36" s="302" t="s">
        <v>312</v>
      </c>
      <c r="E36" s="303" t="s">
        <v>61</v>
      </c>
      <c r="F36" s="423" t="s">
        <v>412</v>
      </c>
      <c r="G36" s="650">
        <v>53</v>
      </c>
      <c r="H36" s="305">
        <f>3600/G36*2</f>
        <v>135.84905660377359</v>
      </c>
      <c r="I36" s="305">
        <v>1</v>
      </c>
      <c r="J36" s="306">
        <v>70</v>
      </c>
      <c r="K36" s="451">
        <v>90</v>
      </c>
      <c r="L36" s="307">
        <v>960</v>
      </c>
      <c r="M36" s="305">
        <f t="shared" si="2"/>
        <v>20</v>
      </c>
      <c r="N36" s="308">
        <f t="shared" si="5"/>
        <v>-0.29444444444444445</v>
      </c>
      <c r="O36" s="308">
        <f>K36/J36</f>
        <v>1.2857142857142858</v>
      </c>
      <c r="P36" s="495">
        <f>O36*2</f>
        <v>2.5714285714285716</v>
      </c>
      <c r="Q36" s="309">
        <f ca="1">+$Q$5+O36</f>
        <v>41759.285714285717</v>
      </c>
      <c r="R36" s="35"/>
      <c r="S36" s="54"/>
      <c r="T36" s="55"/>
      <c r="U36" s="39"/>
      <c r="V36" s="39"/>
      <c r="W36" s="39"/>
      <c r="X36" s="39"/>
      <c r="Y36" s="39"/>
      <c r="Z36" s="39"/>
      <c r="AA36" s="40"/>
      <c r="AB36" s="258"/>
      <c r="AC36" s="260"/>
      <c r="AD36" s="262"/>
      <c r="AE36" s="258"/>
      <c r="AF36" s="260"/>
      <c r="AG36" s="262">
        <v>2</v>
      </c>
      <c r="AH36" s="273">
        <v>10</v>
      </c>
      <c r="AI36" s="276"/>
      <c r="AJ36" s="272"/>
      <c r="AK36" s="266"/>
      <c r="AL36" s="267"/>
      <c r="AM36" s="268"/>
      <c r="AN36" s="266"/>
      <c r="AO36" s="267"/>
      <c r="AP36" s="268"/>
      <c r="AQ36" s="263"/>
      <c r="AR36" s="264"/>
      <c r="AS36" s="265"/>
      <c r="AT36" s="263"/>
      <c r="AU36" s="264"/>
      <c r="AV36" s="265"/>
      <c r="AW36" s="263"/>
      <c r="AX36" s="264"/>
      <c r="AY36" s="265"/>
      <c r="AZ36" s="263"/>
      <c r="BA36" s="264"/>
      <c r="BB36" s="265"/>
      <c r="BC36" s="263"/>
      <c r="BD36" s="264"/>
      <c r="BE36" s="265"/>
      <c r="BF36" s="263"/>
      <c r="BG36" s="264"/>
      <c r="BH36" s="265"/>
      <c r="BI36" s="263"/>
      <c r="BJ36" s="264"/>
      <c r="BK36" s="265"/>
      <c r="BL36" s="33"/>
      <c r="BR36" s="283">
        <v>2426</v>
      </c>
    </row>
    <row r="37" spans="1:72" ht="24" hidden="1" customHeight="1" thickBot="1">
      <c r="A37" s="439"/>
      <c r="B37" s="316"/>
      <c r="C37" s="316"/>
      <c r="D37" s="316"/>
      <c r="E37" s="317" t="s">
        <v>62</v>
      </c>
      <c r="F37" s="424" t="s">
        <v>19</v>
      </c>
      <c r="G37" s="878">
        <v>60</v>
      </c>
      <c r="H37" s="319">
        <f>3600/G37</f>
        <v>60</v>
      </c>
      <c r="I37" s="319">
        <v>1</v>
      </c>
      <c r="J37" s="320">
        <v>200</v>
      </c>
      <c r="K37" s="453">
        <v>7540</v>
      </c>
      <c r="L37" s="321" t="s">
        <v>252</v>
      </c>
      <c r="M37" s="319">
        <f>K37-J37</f>
        <v>7340</v>
      </c>
      <c r="N37" s="322">
        <f t="shared" si="5"/>
        <v>-122.33333333333333</v>
      </c>
      <c r="O37" s="322">
        <f>K37/J37</f>
        <v>37.700000000000003</v>
      </c>
      <c r="P37" s="496"/>
      <c r="Q37" s="323">
        <f ca="1">+$Q$5+O37</f>
        <v>41795.699999999997</v>
      </c>
      <c r="R37" s="43"/>
      <c r="S37" s="44"/>
      <c r="T37" s="56"/>
      <c r="U37" s="39"/>
      <c r="V37" s="39"/>
      <c r="W37" s="39"/>
      <c r="X37" s="39"/>
      <c r="Y37" s="39"/>
      <c r="Z37" s="39"/>
      <c r="AA37" s="40"/>
      <c r="AB37" s="258"/>
      <c r="AC37" s="260"/>
      <c r="AD37" s="262"/>
      <c r="AE37" s="258"/>
      <c r="AF37" s="260"/>
      <c r="AG37" s="262"/>
      <c r="AH37" s="258"/>
      <c r="AI37" s="260"/>
      <c r="AJ37" s="262"/>
      <c r="AK37" s="266"/>
      <c r="AL37" s="267"/>
      <c r="AM37" s="268"/>
      <c r="AN37" s="266"/>
      <c r="AO37" s="267"/>
      <c r="AP37" s="268"/>
      <c r="AQ37" s="263"/>
      <c r="AR37" s="264"/>
      <c r="AS37" s="265"/>
      <c r="AT37" s="263"/>
      <c r="AU37" s="264"/>
      <c r="AV37" s="265"/>
      <c r="AW37" s="263"/>
      <c r="AX37" s="264"/>
      <c r="AY37" s="265"/>
      <c r="AZ37" s="263"/>
      <c r="BA37" s="264"/>
      <c r="BB37" s="265"/>
      <c r="BC37" s="263"/>
      <c r="BD37" s="264"/>
      <c r="BE37" s="265"/>
      <c r="BF37" s="263"/>
      <c r="BG37" s="264"/>
      <c r="BH37" s="265"/>
      <c r="BI37" s="263"/>
      <c r="BJ37" s="264"/>
      <c r="BK37" s="265"/>
      <c r="BL37" s="33"/>
    </row>
    <row r="38" spans="1:72" ht="24" hidden="1" customHeight="1" thickBot="1">
      <c r="A38" s="440"/>
      <c r="B38" s="301"/>
      <c r="C38" s="301"/>
      <c r="D38" s="301"/>
      <c r="E38" s="311" t="s">
        <v>51</v>
      </c>
      <c r="F38" s="422" t="s">
        <v>8</v>
      </c>
      <c r="G38" s="877"/>
      <c r="H38" s="300"/>
      <c r="I38" s="300"/>
      <c r="J38" s="313"/>
      <c r="K38" s="452"/>
      <c r="L38" s="314"/>
      <c r="M38" s="300"/>
      <c r="N38" s="298">
        <f t="shared" si="5"/>
        <v>0</v>
      </c>
      <c r="O38" s="300"/>
      <c r="P38" s="494"/>
      <c r="Q38" s="315"/>
      <c r="R38" s="57"/>
      <c r="S38" s="58"/>
      <c r="T38" s="59"/>
      <c r="U38" s="39"/>
      <c r="V38" s="1456"/>
      <c r="W38" s="1456"/>
      <c r="X38" s="1456"/>
      <c r="Y38" s="1456"/>
      <c r="Z38" s="1456"/>
      <c r="AA38" s="1457"/>
      <c r="AB38" s="1440"/>
      <c r="AC38" s="1441"/>
      <c r="AD38" s="1442"/>
      <c r="AE38" s="1440"/>
      <c r="AF38" s="1441"/>
      <c r="AG38" s="1442"/>
      <c r="AH38" s="1440"/>
      <c r="AI38" s="1441"/>
      <c r="AJ38" s="1442"/>
      <c r="AK38" s="1631"/>
      <c r="AL38" s="1632"/>
      <c r="AM38" s="1630">
        <v>4</v>
      </c>
      <c r="AN38" s="1631"/>
      <c r="AO38" s="1632"/>
      <c r="AP38" s="1630"/>
      <c r="AQ38" s="1633"/>
      <c r="AR38" s="1634"/>
      <c r="AS38" s="1629"/>
      <c r="AT38" s="1406"/>
      <c r="AU38" s="1408"/>
      <c r="AV38" s="1410"/>
      <c r="AW38" s="1406"/>
      <c r="AX38" s="1408"/>
      <c r="AY38" s="1410"/>
      <c r="AZ38" s="1406"/>
      <c r="BA38" s="1408"/>
      <c r="BB38" s="1410"/>
      <c r="BC38" s="1406"/>
      <c r="BD38" s="1408"/>
      <c r="BE38" s="1410"/>
      <c r="BF38" s="1406"/>
      <c r="BG38" s="1408"/>
      <c r="BH38" s="1410"/>
      <c r="BI38" s="1406"/>
      <c r="BJ38" s="1408"/>
      <c r="BK38" s="1410"/>
      <c r="BL38" s="33"/>
    </row>
    <row r="39" spans="1:72" ht="24" hidden="1" customHeight="1" thickBot="1">
      <c r="A39" s="440"/>
      <c r="B39" s="301"/>
      <c r="C39" s="301"/>
      <c r="D39" s="301"/>
      <c r="E39" s="311" t="s">
        <v>52</v>
      </c>
      <c r="F39" s="422" t="s">
        <v>9</v>
      </c>
      <c r="G39" s="877"/>
      <c r="H39" s="300"/>
      <c r="I39" s="300"/>
      <c r="J39" s="313"/>
      <c r="K39" s="452"/>
      <c r="L39" s="314"/>
      <c r="M39" s="300"/>
      <c r="N39" s="298">
        <f t="shared" si="5"/>
        <v>0</v>
      </c>
      <c r="O39" s="300"/>
      <c r="P39" s="494"/>
      <c r="Q39" s="315"/>
      <c r="R39" s="57"/>
      <c r="S39" s="58"/>
      <c r="T39" s="59"/>
      <c r="U39" s="39"/>
      <c r="V39" s="1456"/>
      <c r="W39" s="1456"/>
      <c r="X39" s="1456"/>
      <c r="Y39" s="1456"/>
      <c r="Z39" s="1456"/>
      <c r="AA39" s="1457"/>
      <c r="AB39" s="1440"/>
      <c r="AC39" s="1441"/>
      <c r="AD39" s="1442"/>
      <c r="AE39" s="1440"/>
      <c r="AF39" s="1441"/>
      <c r="AG39" s="1442"/>
      <c r="AH39" s="1440"/>
      <c r="AI39" s="1441"/>
      <c r="AJ39" s="1442"/>
      <c r="AK39" s="1631"/>
      <c r="AL39" s="1632"/>
      <c r="AM39" s="1630"/>
      <c r="AN39" s="1631"/>
      <c r="AO39" s="1632"/>
      <c r="AP39" s="1630"/>
      <c r="AQ39" s="1633"/>
      <c r="AR39" s="1634"/>
      <c r="AS39" s="1629"/>
      <c r="AT39" s="1407"/>
      <c r="AU39" s="1409"/>
      <c r="AV39" s="1411"/>
      <c r="AW39" s="1407"/>
      <c r="AX39" s="1409"/>
      <c r="AY39" s="1411"/>
      <c r="AZ39" s="1407"/>
      <c r="BA39" s="1409"/>
      <c r="BB39" s="1411"/>
      <c r="BC39" s="1407"/>
      <c r="BD39" s="1409"/>
      <c r="BE39" s="1411"/>
      <c r="BF39" s="1407"/>
      <c r="BG39" s="1409"/>
      <c r="BH39" s="1411"/>
      <c r="BI39" s="1407"/>
      <c r="BJ39" s="1409"/>
      <c r="BK39" s="1411"/>
      <c r="BL39" s="33"/>
    </row>
    <row r="40" spans="1:72" ht="24" hidden="1" customHeight="1" thickBot="1">
      <c r="A40" s="440"/>
      <c r="B40" s="301"/>
      <c r="C40" s="301"/>
      <c r="D40" s="301"/>
      <c r="E40" s="293" t="s">
        <v>53</v>
      </c>
      <c r="F40" s="422" t="s">
        <v>10</v>
      </c>
      <c r="G40" s="877"/>
      <c r="H40" s="300"/>
      <c r="I40" s="300"/>
      <c r="J40" s="313"/>
      <c r="K40" s="452"/>
      <c r="L40" s="314"/>
      <c r="M40" s="300"/>
      <c r="N40" s="298">
        <f t="shared" si="5"/>
        <v>0</v>
      </c>
      <c r="O40" s="300"/>
      <c r="P40" s="494"/>
      <c r="Q40" s="315"/>
      <c r="R40" s="57"/>
      <c r="S40" s="58"/>
      <c r="T40" s="59"/>
      <c r="U40" s="39"/>
      <c r="V40" s="39"/>
      <c r="W40" s="39"/>
      <c r="X40" s="39"/>
      <c r="Y40" s="39"/>
      <c r="Z40" s="39"/>
      <c r="AA40" s="40"/>
      <c r="AB40" s="1392"/>
      <c r="AC40" s="1421">
        <v>15</v>
      </c>
      <c r="AD40" s="1402"/>
      <c r="AE40" s="1419"/>
      <c r="AF40" s="1394"/>
      <c r="AG40" s="1396"/>
      <c r="AH40" s="1392"/>
      <c r="AI40" s="1394"/>
      <c r="AJ40" s="1396">
        <v>3</v>
      </c>
      <c r="AK40" s="1419"/>
      <c r="AL40" s="1421"/>
      <c r="AM40" s="1402"/>
      <c r="AN40" s="1398"/>
      <c r="AO40" s="1400"/>
      <c r="AP40" s="1404"/>
      <c r="AQ40" s="1406"/>
      <c r="AR40" s="1408"/>
      <c r="AS40" s="1410"/>
      <c r="AT40" s="223"/>
      <c r="AU40" s="219"/>
      <c r="AV40" s="221"/>
      <c r="AW40" s="223"/>
      <c r="AX40" s="219"/>
      <c r="AY40" s="221"/>
      <c r="AZ40" s="223"/>
      <c r="BA40" s="219"/>
      <c r="BB40" s="221"/>
      <c r="BC40" s="223"/>
      <c r="BD40" s="219"/>
      <c r="BE40" s="221"/>
      <c r="BF40" s="223"/>
      <c r="BG40" s="219"/>
      <c r="BH40" s="221"/>
      <c r="BI40" s="223"/>
      <c r="BJ40" s="219"/>
      <c r="BK40" s="221"/>
      <c r="BL40" s="33"/>
    </row>
    <row r="41" spans="1:72" ht="24" hidden="1" customHeight="1" thickBot="1">
      <c r="A41" s="440"/>
      <c r="B41" s="301"/>
      <c r="C41" s="301"/>
      <c r="D41" s="301"/>
      <c r="E41" s="293" t="s">
        <v>54</v>
      </c>
      <c r="F41" s="422" t="s">
        <v>11</v>
      </c>
      <c r="G41" s="877"/>
      <c r="H41" s="300"/>
      <c r="I41" s="300"/>
      <c r="J41" s="313"/>
      <c r="K41" s="452"/>
      <c r="L41" s="314"/>
      <c r="M41" s="300"/>
      <c r="N41" s="298">
        <f t="shared" si="5"/>
        <v>0</v>
      </c>
      <c r="O41" s="300"/>
      <c r="P41" s="494"/>
      <c r="Q41" s="315"/>
      <c r="R41" s="57"/>
      <c r="S41" s="58"/>
      <c r="T41" s="59"/>
      <c r="U41" s="39"/>
      <c r="V41" s="39"/>
      <c r="W41" s="39"/>
      <c r="X41" s="39"/>
      <c r="Y41" s="39"/>
      <c r="Z41" s="39"/>
      <c r="AA41" s="40"/>
      <c r="AB41" s="1470"/>
      <c r="AC41" s="1476"/>
      <c r="AD41" s="1478"/>
      <c r="AE41" s="1479"/>
      <c r="AF41" s="1471"/>
      <c r="AG41" s="1472"/>
      <c r="AH41" s="1470"/>
      <c r="AI41" s="1471"/>
      <c r="AJ41" s="1472"/>
      <c r="AK41" s="1479"/>
      <c r="AL41" s="1476"/>
      <c r="AM41" s="1478"/>
      <c r="AN41" s="1524"/>
      <c r="AO41" s="1525"/>
      <c r="AP41" s="1480"/>
      <c r="AQ41" s="1481"/>
      <c r="AR41" s="1482"/>
      <c r="AS41" s="1483"/>
      <c r="AT41" s="238"/>
      <c r="AU41" s="241"/>
      <c r="AV41" s="237"/>
      <c r="AW41" s="238"/>
      <c r="AX41" s="241"/>
      <c r="AY41" s="237"/>
      <c r="AZ41" s="238"/>
      <c r="BA41" s="241"/>
      <c r="BB41" s="237"/>
      <c r="BC41" s="238"/>
      <c r="BD41" s="241"/>
      <c r="BE41" s="237"/>
      <c r="BF41" s="238"/>
      <c r="BG41" s="241"/>
      <c r="BH41" s="237"/>
      <c r="BI41" s="238"/>
      <c r="BJ41" s="241"/>
      <c r="BK41" s="237"/>
    </row>
    <row r="42" spans="1:72" ht="24" hidden="1" customHeight="1" thickBot="1">
      <c r="A42" s="440"/>
      <c r="B42" s="301"/>
      <c r="C42" s="301"/>
      <c r="D42" s="301"/>
      <c r="E42" s="293" t="s">
        <v>55</v>
      </c>
      <c r="F42" s="422" t="s">
        <v>12</v>
      </c>
      <c r="G42" s="877"/>
      <c r="H42" s="300"/>
      <c r="I42" s="300"/>
      <c r="J42" s="313"/>
      <c r="K42" s="452"/>
      <c r="L42" s="314"/>
      <c r="M42" s="300"/>
      <c r="N42" s="298">
        <f t="shared" si="5"/>
        <v>0</v>
      </c>
      <c r="O42" s="300"/>
      <c r="P42" s="494"/>
      <c r="Q42" s="315"/>
      <c r="R42" s="57"/>
      <c r="S42" s="58"/>
      <c r="T42" s="59"/>
      <c r="U42" s="60"/>
      <c r="V42" s="60"/>
      <c r="W42" s="60"/>
      <c r="X42" s="60"/>
      <c r="Y42" s="60"/>
      <c r="Z42" s="60"/>
      <c r="AA42" s="41"/>
      <c r="AB42" s="1470"/>
      <c r="AC42" s="1477"/>
      <c r="AD42" s="1478"/>
      <c r="AE42" s="1479"/>
      <c r="AF42" s="1471"/>
      <c r="AG42" s="1472"/>
      <c r="AH42" s="1470"/>
      <c r="AI42" s="1471"/>
      <c r="AJ42" s="1472"/>
      <c r="AK42" s="1479"/>
      <c r="AL42" s="1476"/>
      <c r="AM42" s="1478"/>
      <c r="AN42" s="1524"/>
      <c r="AO42" s="1525"/>
      <c r="AP42" s="1480"/>
      <c r="AQ42" s="1481"/>
      <c r="AR42" s="1482"/>
      <c r="AS42" s="1483"/>
      <c r="AT42" s="238"/>
      <c r="AU42" s="241"/>
      <c r="AV42" s="237"/>
      <c r="AW42" s="238"/>
      <c r="AX42" s="241"/>
      <c r="AY42" s="237"/>
      <c r="AZ42" s="238"/>
      <c r="BA42" s="241"/>
      <c r="BB42" s="237"/>
      <c r="BC42" s="238"/>
      <c r="BD42" s="241"/>
      <c r="BE42" s="237"/>
      <c r="BF42" s="238"/>
      <c r="BG42" s="241"/>
      <c r="BH42" s="237"/>
      <c r="BI42" s="238"/>
      <c r="BJ42" s="241"/>
      <c r="BK42" s="237"/>
    </row>
    <row r="43" spans="1:72" ht="24" hidden="1" customHeight="1" thickBot="1">
      <c r="A43" s="440"/>
      <c r="B43" s="301"/>
      <c r="C43" s="301"/>
      <c r="D43" s="301"/>
      <c r="E43" s="293" t="s">
        <v>65</v>
      </c>
      <c r="F43" s="422" t="s">
        <v>109</v>
      </c>
      <c r="G43" s="877"/>
      <c r="H43" s="300"/>
      <c r="I43" s="300"/>
      <c r="J43" s="313"/>
      <c r="K43" s="452"/>
      <c r="L43" s="314"/>
      <c r="M43" s="300"/>
      <c r="N43" s="298">
        <f t="shared" si="5"/>
        <v>0</v>
      </c>
      <c r="O43" s="300"/>
      <c r="P43" s="494"/>
      <c r="Q43" s="315"/>
      <c r="R43" s="35"/>
      <c r="S43" s="36"/>
      <c r="T43" s="39"/>
      <c r="U43" s="39"/>
      <c r="V43" s="39"/>
      <c r="W43" s="39"/>
      <c r="X43" s="39"/>
      <c r="Y43" s="39"/>
      <c r="Z43" s="39"/>
      <c r="AA43" s="40"/>
      <c r="AB43" s="258"/>
      <c r="AC43" s="260"/>
      <c r="AD43" s="262"/>
      <c r="AE43" s="258"/>
      <c r="AF43" s="260"/>
      <c r="AG43" s="262"/>
      <c r="AH43" s="258"/>
      <c r="AI43" s="260"/>
      <c r="AJ43" s="262"/>
      <c r="AK43" s="266"/>
      <c r="AL43" s="267"/>
      <c r="AM43" s="268"/>
      <c r="AN43" s="266"/>
      <c r="AO43" s="267"/>
      <c r="AP43" s="268"/>
      <c r="AQ43" s="263"/>
      <c r="AR43" s="264"/>
      <c r="AS43" s="265"/>
      <c r="AT43" s="263"/>
      <c r="AU43" s="264"/>
      <c r="AV43" s="265"/>
      <c r="AW43" s="263"/>
      <c r="AX43" s="264"/>
      <c r="AY43" s="265"/>
      <c r="AZ43" s="263"/>
      <c r="BA43" s="264"/>
      <c r="BB43" s="265"/>
      <c r="BC43" s="263"/>
      <c r="BD43" s="264"/>
      <c r="BE43" s="265"/>
      <c r="BF43" s="263"/>
      <c r="BG43" s="264"/>
      <c r="BH43" s="265"/>
      <c r="BI43" s="263"/>
      <c r="BJ43" s="264"/>
      <c r="BK43" s="265"/>
    </row>
    <row r="44" spans="1:72" ht="24" hidden="1" customHeight="1" thickBot="1">
      <c r="A44" s="441"/>
      <c r="B44" s="324"/>
      <c r="C44" s="324"/>
      <c r="D44" s="324"/>
      <c r="E44" s="325" t="s">
        <v>56</v>
      </c>
      <c r="F44" s="425" t="s">
        <v>13</v>
      </c>
      <c r="G44" s="879"/>
      <c r="H44" s="326"/>
      <c r="I44" s="326"/>
      <c r="J44" s="328"/>
      <c r="K44" s="454"/>
      <c r="L44" s="329"/>
      <c r="M44" s="326"/>
      <c r="N44" s="330">
        <f t="shared" si="5"/>
        <v>0</v>
      </c>
      <c r="O44" s="326"/>
      <c r="P44" s="497"/>
      <c r="Q44" s="331"/>
      <c r="R44" s="43"/>
      <c r="S44" s="44"/>
      <c r="T44" s="46"/>
      <c r="U44" s="46"/>
      <c r="V44" s="46"/>
      <c r="W44" s="46"/>
      <c r="X44" s="46"/>
      <c r="Y44" s="46"/>
      <c r="Z44" s="46"/>
      <c r="AA44" s="45"/>
      <c r="AB44" s="281"/>
      <c r="AC44" s="10"/>
      <c r="AD44" s="9"/>
      <c r="AE44" s="281">
        <v>10</v>
      </c>
      <c r="AF44" s="277"/>
      <c r="AG44" s="278"/>
      <c r="AH44" s="281"/>
      <c r="AI44" s="10"/>
      <c r="AJ44" s="9"/>
      <c r="AK44" s="279"/>
      <c r="AL44" s="274"/>
      <c r="AM44" s="275"/>
      <c r="AN44" s="279"/>
      <c r="AO44" s="274"/>
      <c r="AP44" s="275"/>
      <c r="AQ44" s="269"/>
      <c r="AR44" s="270"/>
      <c r="AS44" s="271"/>
      <c r="AT44" s="269"/>
      <c r="AU44" s="270"/>
      <c r="AV44" s="271"/>
      <c r="AW44" s="269"/>
      <c r="AX44" s="270"/>
      <c r="AY44" s="271"/>
      <c r="AZ44" s="269"/>
      <c r="BA44" s="270"/>
      <c r="BB44" s="271"/>
      <c r="BC44" s="269"/>
      <c r="BD44" s="270"/>
      <c r="BE44" s="271"/>
      <c r="BF44" s="269"/>
      <c r="BG44" s="270"/>
      <c r="BH44" s="271"/>
      <c r="BI44" s="269"/>
      <c r="BJ44" s="270"/>
      <c r="BK44" s="271"/>
    </row>
    <row r="45" spans="1:72" ht="34.5" customHeight="1">
      <c r="A45" s="1521" t="s">
        <v>106</v>
      </c>
      <c r="B45" s="774"/>
      <c r="C45" s="873" t="s">
        <v>513</v>
      </c>
      <c r="D45" s="396" t="s">
        <v>332</v>
      </c>
      <c r="E45" s="373" t="s">
        <v>88</v>
      </c>
      <c r="F45" s="426" t="s">
        <v>413</v>
      </c>
      <c r="G45" s="374">
        <v>61</v>
      </c>
      <c r="H45" s="375">
        <f>3600/G45</f>
        <v>59.016393442622949</v>
      </c>
      <c r="I45" s="375"/>
      <c r="J45" s="376">
        <f>Q4</f>
        <v>108</v>
      </c>
      <c r="K45" s="449">
        <v>501</v>
      </c>
      <c r="L45" s="408">
        <v>480</v>
      </c>
      <c r="M45" s="375">
        <f>K45-J45</f>
        <v>393</v>
      </c>
      <c r="N45" s="378">
        <f>((M45*G45)/3600)*-1</f>
        <v>-6.6591666666666667</v>
      </c>
      <c r="O45" s="378">
        <f t="shared" ref="O45:O80" si="6">K45/J45</f>
        <v>4.6388888888888893</v>
      </c>
      <c r="P45" s="489">
        <f>O45*1.5</f>
        <v>6.9583333333333339</v>
      </c>
      <c r="Q45" s="379">
        <f ca="1">+$Q$5+O45</f>
        <v>41762.638888888891</v>
      </c>
      <c r="R45" s="35"/>
      <c r="S45" s="36"/>
      <c r="T45" s="40"/>
      <c r="U45" s="40"/>
      <c r="V45" s="39"/>
      <c r="W45" s="39"/>
      <c r="X45" s="39"/>
      <c r="Y45" s="39"/>
      <c r="Z45" s="39"/>
      <c r="AA45" s="40"/>
      <c r="AB45" s="258"/>
      <c r="AC45" s="260"/>
      <c r="AD45" s="262"/>
      <c r="AE45" s="258">
        <v>11</v>
      </c>
      <c r="AF45" s="276"/>
      <c r="AG45" s="272"/>
      <c r="AH45" s="258">
        <v>12</v>
      </c>
      <c r="AI45" s="276"/>
      <c r="AJ45" s="262"/>
      <c r="AK45" s="266"/>
      <c r="AL45" s="267"/>
      <c r="AM45" s="268"/>
      <c r="AN45" s="264"/>
      <c r="AO45" s="264"/>
      <c r="AP45" s="264"/>
      <c r="AQ45" s="264"/>
      <c r="AR45" s="264"/>
      <c r="AS45" s="264"/>
      <c r="AT45" s="263"/>
      <c r="AU45" s="264"/>
      <c r="AV45" s="265"/>
      <c r="AW45" s="263"/>
      <c r="AX45" s="264"/>
      <c r="AY45" s="265"/>
      <c r="AZ45" s="263"/>
      <c r="BA45" s="264"/>
      <c r="BB45" s="265"/>
      <c r="BC45" s="263"/>
      <c r="BD45" s="264"/>
      <c r="BE45" s="265"/>
      <c r="BF45" s="263"/>
      <c r="BG45" s="264"/>
      <c r="BH45" s="265"/>
      <c r="BI45" s="263"/>
      <c r="BJ45" s="264"/>
      <c r="BK45" s="265"/>
    </row>
    <row r="46" spans="1:72" ht="33" customHeight="1">
      <c r="A46" s="1522"/>
      <c r="B46" s="1439"/>
      <c r="C46" s="1439" t="s">
        <v>505</v>
      </c>
      <c r="D46" s="1439" t="s">
        <v>334</v>
      </c>
      <c r="E46" s="397" t="s">
        <v>92</v>
      </c>
      <c r="F46" s="419" t="s">
        <v>414</v>
      </c>
      <c r="G46" s="381">
        <v>60.8</v>
      </c>
      <c r="H46" s="382">
        <f t="shared" ref="H46:H51" si="7">3600/G46</f>
        <v>59.21052631578948</v>
      </c>
      <c r="I46" s="382">
        <v>1</v>
      </c>
      <c r="J46" s="383">
        <f>Q2</f>
        <v>320</v>
      </c>
      <c r="K46" s="450">
        <v>672</v>
      </c>
      <c r="L46" s="384">
        <f>468+234</f>
        <v>702</v>
      </c>
      <c r="M46" s="382">
        <f t="shared" ref="M46:M51" si="8">K46-J46</f>
        <v>352</v>
      </c>
      <c r="N46" s="385">
        <f t="shared" si="5"/>
        <v>-5.9448888888888884</v>
      </c>
      <c r="O46" s="385">
        <f t="shared" si="6"/>
        <v>2.1</v>
      </c>
      <c r="P46" s="490">
        <f t="shared" ref="P46:P51" si="9">O46*2</f>
        <v>4.2</v>
      </c>
      <c r="Q46" s="386">
        <f t="shared" ref="Q46:Q115" ca="1" si="10">+$Q$5+O46</f>
        <v>41760.1</v>
      </c>
      <c r="R46" s="35"/>
      <c r="S46" s="36"/>
      <c r="T46" s="40"/>
      <c r="U46" s="40"/>
      <c r="V46" s="39"/>
      <c r="W46" s="64">
        <v>1</v>
      </c>
      <c r="X46" s="64">
        <v>1</v>
      </c>
      <c r="Y46" s="64">
        <v>1</v>
      </c>
      <c r="Z46" s="39"/>
      <c r="AA46" s="40"/>
      <c r="AB46" s="1392"/>
      <c r="AC46" s="1394"/>
      <c r="AD46" s="1396"/>
      <c r="AE46" s="1392"/>
      <c r="AF46" s="1394">
        <v>16</v>
      </c>
      <c r="AG46" s="70"/>
      <c r="AH46" s="1402"/>
      <c r="AI46" s="1394">
        <v>20</v>
      </c>
      <c r="AJ46" s="1402"/>
      <c r="AK46" s="1392"/>
      <c r="AL46" s="1394"/>
      <c r="AM46" s="1396"/>
      <c r="AN46" s="1392"/>
      <c r="AO46" s="1394"/>
      <c r="AP46" s="1396"/>
      <c r="AQ46" s="1447"/>
      <c r="AR46" s="1449"/>
      <c r="AS46" s="1445"/>
      <c r="AT46" s="1447"/>
      <c r="AU46" s="1449"/>
      <c r="AV46" s="1445"/>
      <c r="AW46" s="1447"/>
      <c r="AX46" s="1449"/>
      <c r="AY46" s="1445"/>
      <c r="AZ46" s="1447"/>
      <c r="BA46" s="1449"/>
      <c r="BB46" s="1445"/>
      <c r="BC46" s="1447"/>
      <c r="BD46" s="1449"/>
      <c r="BE46" s="1445"/>
      <c r="BF46" s="1447"/>
      <c r="BG46" s="1449"/>
      <c r="BH46" s="1445"/>
      <c r="BI46" s="1447"/>
      <c r="BJ46" s="1449"/>
      <c r="BK46" s="1445"/>
    </row>
    <row r="47" spans="1:72" ht="33.75" customHeight="1" thickBot="1">
      <c r="A47" s="1522"/>
      <c r="B47" s="1439"/>
      <c r="C47" s="1439"/>
      <c r="D47" s="1439"/>
      <c r="E47" s="397" t="s">
        <v>94</v>
      </c>
      <c r="F47" s="419" t="s">
        <v>415</v>
      </c>
      <c r="G47" s="381">
        <v>60.8</v>
      </c>
      <c r="H47" s="382">
        <f t="shared" si="7"/>
        <v>59.21052631578948</v>
      </c>
      <c r="I47" s="382">
        <v>1</v>
      </c>
      <c r="J47" s="383">
        <f>J46+J48</f>
        <v>340</v>
      </c>
      <c r="K47" s="450">
        <f>K46+K48</f>
        <v>794</v>
      </c>
      <c r="L47" s="384">
        <v>702</v>
      </c>
      <c r="M47" s="382">
        <f t="shared" si="8"/>
        <v>454</v>
      </c>
      <c r="N47" s="385">
        <f>((M47*G47)/3600)*-1</f>
        <v>-7.6675555555555546</v>
      </c>
      <c r="O47" s="385">
        <f t="shared" si="6"/>
        <v>2.335294117647059</v>
      </c>
      <c r="P47" s="490">
        <f t="shared" si="9"/>
        <v>4.6705882352941179</v>
      </c>
      <c r="Q47" s="386">
        <f t="shared" ca="1" si="10"/>
        <v>41760.335294117649</v>
      </c>
      <c r="R47" s="35"/>
      <c r="S47" s="36"/>
      <c r="T47" s="40"/>
      <c r="U47" s="40"/>
      <c r="V47" s="39"/>
      <c r="W47" s="39"/>
      <c r="X47" s="39"/>
      <c r="Y47" s="39"/>
      <c r="Z47" s="39"/>
      <c r="AA47" s="40"/>
      <c r="AB47" s="1393"/>
      <c r="AC47" s="1395"/>
      <c r="AD47" s="1397"/>
      <c r="AE47" s="1393"/>
      <c r="AF47" s="1395"/>
      <c r="AG47" s="70"/>
      <c r="AH47" s="1403"/>
      <c r="AI47" s="1395"/>
      <c r="AJ47" s="1403"/>
      <c r="AK47" s="1393"/>
      <c r="AL47" s="1395"/>
      <c r="AM47" s="1397"/>
      <c r="AN47" s="1393"/>
      <c r="AO47" s="1395"/>
      <c r="AP47" s="1397"/>
      <c r="AQ47" s="1448"/>
      <c r="AR47" s="1450"/>
      <c r="AS47" s="1446"/>
      <c r="AT47" s="1448"/>
      <c r="AU47" s="1450"/>
      <c r="AV47" s="1446"/>
      <c r="AW47" s="1448"/>
      <c r="AX47" s="1450"/>
      <c r="AY47" s="1446"/>
      <c r="AZ47" s="1448"/>
      <c r="BA47" s="1450"/>
      <c r="BB47" s="1446"/>
      <c r="BC47" s="1448"/>
      <c r="BD47" s="1450"/>
      <c r="BE47" s="1446"/>
      <c r="BF47" s="1448"/>
      <c r="BG47" s="1450"/>
      <c r="BH47" s="1446"/>
      <c r="BI47" s="1448"/>
      <c r="BJ47" s="1450"/>
      <c r="BK47" s="1446"/>
    </row>
    <row r="48" spans="1:72" ht="37.5" customHeight="1" thickBot="1">
      <c r="A48" s="1522"/>
      <c r="B48" s="1439"/>
      <c r="C48" s="1439"/>
      <c r="D48" s="1439"/>
      <c r="E48" s="397" t="s">
        <v>93</v>
      </c>
      <c r="F48" s="419" t="s">
        <v>416</v>
      </c>
      <c r="G48" s="381">
        <v>60.8</v>
      </c>
      <c r="H48" s="382">
        <f t="shared" si="7"/>
        <v>59.21052631578948</v>
      </c>
      <c r="I48" s="382">
        <v>1</v>
      </c>
      <c r="J48" s="383">
        <v>20</v>
      </c>
      <c r="K48" s="450">
        <f>32+90</f>
        <v>122</v>
      </c>
      <c r="L48" s="384">
        <v>234</v>
      </c>
      <c r="M48" s="382">
        <f t="shared" si="8"/>
        <v>102</v>
      </c>
      <c r="N48" s="385">
        <f>((M48*G48)/3600)*-1</f>
        <v>-1.7226666666666666</v>
      </c>
      <c r="O48" s="385">
        <f t="shared" si="6"/>
        <v>6.1</v>
      </c>
      <c r="P48" s="490">
        <f t="shared" si="9"/>
        <v>12.2</v>
      </c>
      <c r="Q48" s="386">
        <f t="shared" ca="1" si="10"/>
        <v>41764.1</v>
      </c>
      <c r="R48" s="35"/>
      <c r="S48" s="36"/>
      <c r="T48" s="40"/>
      <c r="U48" s="40"/>
      <c r="V48" s="39"/>
      <c r="W48" s="39"/>
      <c r="X48" s="39"/>
      <c r="Y48" s="39"/>
      <c r="Z48" s="39"/>
      <c r="AA48" s="40"/>
      <c r="AB48" s="258"/>
      <c r="AC48" s="260"/>
      <c r="AD48" s="262"/>
      <c r="AE48" s="258"/>
      <c r="AF48" s="260"/>
      <c r="AG48" s="262"/>
      <c r="AH48" s="258"/>
      <c r="AI48" s="260"/>
      <c r="AJ48" s="262"/>
      <c r="AK48" s="258"/>
      <c r="AL48" s="260"/>
      <c r="AM48" s="262"/>
      <c r="AN48" s="258"/>
      <c r="AO48" s="260"/>
      <c r="AP48" s="262"/>
      <c r="AQ48" s="252"/>
      <c r="AR48" s="254"/>
      <c r="AS48" s="256"/>
      <c r="AT48" s="252"/>
      <c r="AU48" s="254"/>
      <c r="AV48" s="256"/>
      <c r="AW48" s="252"/>
      <c r="AX48" s="254"/>
      <c r="AY48" s="256"/>
      <c r="AZ48" s="252"/>
      <c r="BA48" s="254"/>
      <c r="BB48" s="256"/>
      <c r="BC48" s="252"/>
      <c r="BD48" s="254"/>
      <c r="BE48" s="256"/>
      <c r="BF48" s="252"/>
      <c r="BG48" s="254"/>
      <c r="BH48" s="256"/>
      <c r="BI48" s="252"/>
      <c r="BJ48" s="254"/>
      <c r="BK48" s="256"/>
      <c r="BT48" s="170"/>
    </row>
    <row r="49" spans="1:70" ht="35.25" customHeight="1">
      <c r="A49" s="1522"/>
      <c r="B49" s="1439"/>
      <c r="C49" s="1439" t="s">
        <v>505</v>
      </c>
      <c r="D49" s="1439" t="s">
        <v>335</v>
      </c>
      <c r="E49" s="397" t="s">
        <v>95</v>
      </c>
      <c r="F49" s="419" t="s">
        <v>417</v>
      </c>
      <c r="G49" s="382">
        <v>67</v>
      </c>
      <c r="H49" s="382">
        <f t="shared" si="7"/>
        <v>53.731343283582092</v>
      </c>
      <c r="I49" s="382">
        <v>1</v>
      </c>
      <c r="J49" s="383">
        <f>Q2</f>
        <v>320</v>
      </c>
      <c r="K49" s="450">
        <f>252+289+105</f>
        <v>646</v>
      </c>
      <c r="L49" s="384">
        <f>468+234</f>
        <v>702</v>
      </c>
      <c r="M49" s="382">
        <f t="shared" si="8"/>
        <v>326</v>
      </c>
      <c r="N49" s="385">
        <f>((M49*G49)/3600)*-1</f>
        <v>-6.0672222222222221</v>
      </c>
      <c r="O49" s="385">
        <f t="shared" si="6"/>
        <v>2.0187499999999998</v>
      </c>
      <c r="P49" s="490">
        <f t="shared" si="9"/>
        <v>4.0374999999999996</v>
      </c>
      <c r="Q49" s="386">
        <f t="shared" ca="1" si="10"/>
        <v>41760.018750000003</v>
      </c>
      <c r="R49" s="35"/>
      <c r="S49" s="36"/>
      <c r="T49" s="37">
        <v>1</v>
      </c>
      <c r="U49" s="37"/>
      <c r="V49" s="64">
        <v>1</v>
      </c>
      <c r="W49" s="39"/>
      <c r="X49" s="39"/>
      <c r="Y49" s="39"/>
      <c r="Z49" s="64">
        <v>1</v>
      </c>
      <c r="AA49" s="37">
        <v>1</v>
      </c>
      <c r="AB49" s="1392"/>
      <c r="AC49" s="1394"/>
      <c r="AD49" s="1396"/>
      <c r="AE49" s="1392"/>
      <c r="AF49" s="1394"/>
      <c r="AG49" s="1396"/>
      <c r="AH49" s="1392">
        <v>4</v>
      </c>
      <c r="AI49" s="1421"/>
      <c r="AJ49" s="1396"/>
      <c r="AK49" s="1392"/>
      <c r="AL49" s="1394"/>
      <c r="AM49" s="1396"/>
      <c r="AN49" s="1392"/>
      <c r="AO49" s="1394"/>
      <c r="AP49" s="1396"/>
      <c r="AQ49" s="1447"/>
      <c r="AR49" s="1449"/>
      <c r="AS49" s="1445"/>
      <c r="AT49" s="1447"/>
      <c r="AU49" s="1449"/>
      <c r="AV49" s="1445"/>
      <c r="AW49" s="1447"/>
      <c r="AX49" s="1449"/>
      <c r="AY49" s="1445"/>
      <c r="AZ49" s="1447"/>
      <c r="BA49" s="1449"/>
      <c r="BB49" s="1445"/>
      <c r="BC49" s="1447"/>
      <c r="BD49" s="1449"/>
      <c r="BE49" s="1445"/>
      <c r="BF49" s="1447"/>
      <c r="BG49" s="1449"/>
      <c r="BH49" s="1445"/>
      <c r="BI49" s="1447"/>
      <c r="BJ49" s="1449"/>
      <c r="BK49" s="1445"/>
    </row>
    <row r="50" spans="1:70" ht="31.5" customHeight="1">
      <c r="A50" s="1522"/>
      <c r="B50" s="1439"/>
      <c r="C50" s="1439"/>
      <c r="D50" s="1439"/>
      <c r="E50" s="397" t="s">
        <v>97</v>
      </c>
      <c r="F50" s="419" t="s">
        <v>418</v>
      </c>
      <c r="G50" s="382">
        <v>67</v>
      </c>
      <c r="H50" s="382">
        <f t="shared" si="7"/>
        <v>53.731343283582092</v>
      </c>
      <c r="I50" s="382">
        <v>1</v>
      </c>
      <c r="J50" s="383">
        <f>J49+J51</f>
        <v>340</v>
      </c>
      <c r="K50" s="450">
        <f>K51+K49</f>
        <v>772</v>
      </c>
      <c r="L50" s="384">
        <v>468</v>
      </c>
      <c r="M50" s="382">
        <f t="shared" si="8"/>
        <v>432</v>
      </c>
      <c r="N50" s="385">
        <f>((M50*G50)/3600)*-1</f>
        <v>-8.0399999999999991</v>
      </c>
      <c r="O50" s="385">
        <f t="shared" si="6"/>
        <v>2.2705882352941176</v>
      </c>
      <c r="P50" s="490">
        <f t="shared" si="9"/>
        <v>4.5411764705882351</v>
      </c>
      <c r="Q50" s="386">
        <f t="shared" ca="1" si="10"/>
        <v>41760.270588235297</v>
      </c>
      <c r="R50" s="35"/>
      <c r="S50" s="36"/>
      <c r="T50" s="40"/>
      <c r="U50" s="40"/>
      <c r="V50" s="39"/>
      <c r="W50" s="39"/>
      <c r="X50" s="39"/>
      <c r="Y50" s="39"/>
      <c r="Z50" s="39"/>
      <c r="AA50" s="40"/>
      <c r="AB50" s="1393"/>
      <c r="AC50" s="1395"/>
      <c r="AD50" s="1397"/>
      <c r="AE50" s="1393"/>
      <c r="AF50" s="1395"/>
      <c r="AG50" s="1397"/>
      <c r="AH50" s="1393"/>
      <c r="AI50" s="1477"/>
      <c r="AJ50" s="1397"/>
      <c r="AK50" s="1393"/>
      <c r="AL50" s="1395"/>
      <c r="AM50" s="1397"/>
      <c r="AN50" s="1393"/>
      <c r="AO50" s="1395"/>
      <c r="AP50" s="1397"/>
      <c r="AQ50" s="1448"/>
      <c r="AR50" s="1450"/>
      <c r="AS50" s="1446"/>
      <c r="AT50" s="1448"/>
      <c r="AU50" s="1450"/>
      <c r="AV50" s="1446"/>
      <c r="AW50" s="1448"/>
      <c r="AX50" s="1450"/>
      <c r="AY50" s="1446"/>
      <c r="AZ50" s="1448"/>
      <c r="BA50" s="1450"/>
      <c r="BB50" s="1446"/>
      <c r="BC50" s="1448"/>
      <c r="BD50" s="1450"/>
      <c r="BE50" s="1446"/>
      <c r="BF50" s="1448"/>
      <c r="BG50" s="1450"/>
      <c r="BH50" s="1446"/>
      <c r="BI50" s="1448"/>
      <c r="BJ50" s="1450"/>
      <c r="BK50" s="1446"/>
    </row>
    <row r="51" spans="1:70" ht="32.25" customHeight="1" thickBot="1">
      <c r="A51" s="1522"/>
      <c r="B51" s="1439"/>
      <c r="C51" s="1439"/>
      <c r="D51" s="1439"/>
      <c r="E51" s="397" t="s">
        <v>96</v>
      </c>
      <c r="F51" s="419" t="s">
        <v>419</v>
      </c>
      <c r="G51" s="382">
        <v>67</v>
      </c>
      <c r="H51" s="382">
        <f t="shared" si="7"/>
        <v>53.731343283582092</v>
      </c>
      <c r="I51" s="382">
        <v>1</v>
      </c>
      <c r="J51" s="383">
        <v>20</v>
      </c>
      <c r="K51" s="450">
        <v>126</v>
      </c>
      <c r="L51" s="384">
        <v>234</v>
      </c>
      <c r="M51" s="382">
        <f t="shared" si="8"/>
        <v>106</v>
      </c>
      <c r="N51" s="385">
        <f>((M51*G51)/3600)*-1</f>
        <v>-1.9727777777777777</v>
      </c>
      <c r="O51" s="385">
        <f t="shared" si="6"/>
        <v>6.3</v>
      </c>
      <c r="P51" s="490">
        <f t="shared" si="9"/>
        <v>12.6</v>
      </c>
      <c r="Q51" s="386">
        <f t="shared" ca="1" si="10"/>
        <v>41764.300000000003</v>
      </c>
      <c r="R51" s="35"/>
      <c r="S51" s="36"/>
      <c r="T51" s="40"/>
      <c r="U51" s="40"/>
      <c r="V51" s="39"/>
      <c r="W51" s="39"/>
      <c r="X51" s="39"/>
      <c r="Y51" s="39"/>
      <c r="Z51" s="39"/>
      <c r="AA51" s="40"/>
      <c r="AB51" s="273">
        <v>6</v>
      </c>
      <c r="AC51" s="260"/>
      <c r="AD51" s="262"/>
      <c r="AE51" s="258"/>
      <c r="AF51" s="260"/>
      <c r="AG51" s="262"/>
      <c r="AH51" s="258"/>
      <c r="AI51" s="260"/>
      <c r="AJ51" s="262"/>
      <c r="AK51" s="258"/>
      <c r="AL51" s="260"/>
      <c r="AM51" s="262"/>
      <c r="AN51" s="258"/>
      <c r="AO51" s="260"/>
      <c r="AP51" s="262"/>
      <c r="AQ51" s="252"/>
      <c r="AR51" s="254"/>
      <c r="AS51" s="256"/>
      <c r="AT51" s="252"/>
      <c r="AU51" s="254"/>
      <c r="AV51" s="256"/>
      <c r="AW51" s="252"/>
      <c r="AX51" s="254"/>
      <c r="AY51" s="256"/>
      <c r="AZ51" s="252"/>
      <c r="BA51" s="254"/>
      <c r="BB51" s="256"/>
      <c r="BC51" s="252"/>
      <c r="BD51" s="254"/>
      <c r="BE51" s="256"/>
      <c r="BF51" s="252"/>
      <c r="BG51" s="254"/>
      <c r="BH51" s="256"/>
      <c r="BI51" s="252"/>
      <c r="BJ51" s="254"/>
      <c r="BK51" s="256"/>
    </row>
    <row r="52" spans="1:70" ht="24" hidden="1" customHeight="1">
      <c r="A52" s="1522"/>
      <c r="B52" s="776"/>
      <c r="C52" s="870"/>
      <c r="D52" s="388"/>
      <c r="E52" s="398" t="s">
        <v>98</v>
      </c>
      <c r="F52" s="419" t="s">
        <v>41</v>
      </c>
      <c r="G52" s="382"/>
      <c r="H52" s="387"/>
      <c r="I52" s="387"/>
      <c r="J52" s="400"/>
      <c r="K52" s="452"/>
      <c r="L52" s="401"/>
      <c r="M52" s="387"/>
      <c r="N52" s="387"/>
      <c r="O52" s="385" t="e">
        <f t="shared" si="6"/>
        <v>#DIV/0!</v>
      </c>
      <c r="P52" s="490"/>
      <c r="Q52" s="386" t="e">
        <f t="shared" ca="1" si="10"/>
        <v>#DIV/0!</v>
      </c>
      <c r="R52" s="35"/>
      <c r="S52" s="36"/>
      <c r="T52" s="40"/>
      <c r="U52" s="40"/>
      <c r="V52" s="39"/>
      <c r="W52" s="39"/>
      <c r="X52" s="39"/>
      <c r="Y52" s="39"/>
      <c r="Z52" s="39"/>
      <c r="AA52" s="40"/>
      <c r="AB52" s="258">
        <v>12</v>
      </c>
      <c r="AC52" s="276"/>
      <c r="AD52" s="272"/>
      <c r="AE52" s="258"/>
      <c r="AF52" s="260"/>
      <c r="AG52" s="262"/>
      <c r="AH52" s="258"/>
      <c r="AI52" s="260"/>
      <c r="AJ52" s="262"/>
      <c r="AK52" s="258"/>
      <c r="AL52" s="260"/>
      <c r="AM52" s="262"/>
      <c r="AN52" s="258"/>
      <c r="AO52" s="260"/>
      <c r="AP52" s="262"/>
      <c r="AQ52" s="252"/>
      <c r="AR52" s="254"/>
      <c r="AS52" s="256"/>
      <c r="AT52" s="252"/>
      <c r="AU52" s="254"/>
      <c r="AV52" s="256"/>
      <c r="AW52" s="252"/>
      <c r="AX52" s="254"/>
      <c r="AY52" s="256"/>
      <c r="AZ52" s="252"/>
      <c r="BA52" s="254"/>
      <c r="BB52" s="256"/>
      <c r="BC52" s="252"/>
      <c r="BD52" s="254"/>
      <c r="BE52" s="256"/>
      <c r="BF52" s="252"/>
      <c r="BG52" s="254"/>
      <c r="BH52" s="256"/>
      <c r="BI52" s="252"/>
      <c r="BJ52" s="254"/>
      <c r="BK52" s="256"/>
    </row>
    <row r="53" spans="1:70" ht="24" hidden="1" customHeight="1">
      <c r="A53" s="1522"/>
      <c r="B53" s="776"/>
      <c r="C53" s="870"/>
      <c r="D53" s="388"/>
      <c r="E53" s="398" t="s">
        <v>99</v>
      </c>
      <c r="F53" s="419" t="s">
        <v>42</v>
      </c>
      <c r="G53" s="382"/>
      <c r="H53" s="387"/>
      <c r="I53" s="387"/>
      <c r="J53" s="400"/>
      <c r="K53" s="452"/>
      <c r="L53" s="401"/>
      <c r="M53" s="387"/>
      <c r="N53" s="387"/>
      <c r="O53" s="385" t="e">
        <f t="shared" si="6"/>
        <v>#DIV/0!</v>
      </c>
      <c r="P53" s="490"/>
      <c r="Q53" s="386" t="e">
        <f t="shared" ca="1" si="10"/>
        <v>#DIV/0!</v>
      </c>
      <c r="R53" s="35"/>
      <c r="S53" s="36"/>
      <c r="T53" s="40"/>
      <c r="U53" s="40"/>
      <c r="V53" s="39"/>
      <c r="W53" s="39"/>
      <c r="X53" s="39"/>
      <c r="Y53" s="39"/>
      <c r="Z53" s="39"/>
      <c r="AA53" s="40"/>
      <c r="AB53" s="258"/>
      <c r="AC53" s="260"/>
      <c r="AD53" s="262"/>
      <c r="AE53" s="258"/>
      <c r="AF53" s="260"/>
      <c r="AG53" s="262"/>
      <c r="AH53" s="258"/>
      <c r="AI53" s="260"/>
      <c r="AJ53" s="262"/>
      <c r="AK53" s="258"/>
      <c r="AL53" s="260"/>
      <c r="AM53" s="262"/>
      <c r="AN53" s="258"/>
      <c r="AO53" s="260"/>
      <c r="AP53" s="262"/>
      <c r="AQ53" s="252"/>
      <c r="AR53" s="254"/>
      <c r="AS53" s="256"/>
      <c r="AT53" s="252"/>
      <c r="AU53" s="254"/>
      <c r="AV53" s="256"/>
      <c r="AW53" s="252"/>
      <c r="AX53" s="254"/>
      <c r="AY53" s="256"/>
      <c r="AZ53" s="252"/>
      <c r="BA53" s="254"/>
      <c r="BB53" s="256"/>
      <c r="BC53" s="252"/>
      <c r="BD53" s="254"/>
      <c r="BE53" s="256"/>
      <c r="BF53" s="252"/>
      <c r="BG53" s="254"/>
      <c r="BH53" s="256"/>
      <c r="BI53" s="252"/>
      <c r="BJ53" s="254"/>
      <c r="BK53" s="256"/>
    </row>
    <row r="54" spans="1:70" ht="24" hidden="1" customHeight="1">
      <c r="A54" s="1522"/>
      <c r="B54" s="776"/>
      <c r="C54" s="870"/>
      <c r="D54" s="388"/>
      <c r="E54" s="398" t="s">
        <v>100</v>
      </c>
      <c r="F54" s="419" t="s">
        <v>43</v>
      </c>
      <c r="G54" s="382"/>
      <c r="H54" s="387"/>
      <c r="I54" s="387"/>
      <c r="J54" s="400"/>
      <c r="K54" s="452"/>
      <c r="L54" s="401"/>
      <c r="M54" s="387"/>
      <c r="N54" s="387"/>
      <c r="O54" s="385" t="e">
        <f t="shared" si="6"/>
        <v>#DIV/0!</v>
      </c>
      <c r="P54" s="490"/>
      <c r="Q54" s="386" t="e">
        <f t="shared" ca="1" si="10"/>
        <v>#DIV/0!</v>
      </c>
      <c r="R54" s="35"/>
      <c r="S54" s="36"/>
      <c r="T54" s="40"/>
      <c r="U54" s="40"/>
      <c r="V54" s="39"/>
      <c r="W54" s="39"/>
      <c r="X54" s="39"/>
      <c r="Y54" s="39"/>
      <c r="Z54" s="39"/>
      <c r="AA54" s="40"/>
      <c r="AB54" s="258"/>
      <c r="AC54" s="260"/>
      <c r="AD54" s="4">
        <v>0</v>
      </c>
      <c r="AE54" s="273"/>
      <c r="AF54" s="276"/>
      <c r="AG54" s="262"/>
      <c r="AH54" s="258"/>
      <c r="AI54" s="260"/>
      <c r="AJ54" s="262"/>
      <c r="AK54" s="258"/>
      <c r="AL54" s="260"/>
      <c r="AM54" s="262"/>
      <c r="AN54" s="258"/>
      <c r="AO54" s="260"/>
      <c r="AP54" s="262"/>
      <c r="AQ54" s="252"/>
      <c r="AR54" s="254"/>
      <c r="AS54" s="256"/>
      <c r="AT54" s="252"/>
      <c r="AU54" s="254"/>
      <c r="AV54" s="256"/>
      <c r="AW54" s="252"/>
      <c r="AX54" s="254"/>
      <c r="AY54" s="256"/>
      <c r="AZ54" s="252"/>
      <c r="BA54" s="254"/>
      <c r="BB54" s="256"/>
      <c r="BC54" s="252"/>
      <c r="BD54" s="254"/>
      <c r="BE54" s="256"/>
      <c r="BF54" s="252"/>
      <c r="BG54" s="254"/>
      <c r="BH54" s="256"/>
      <c r="BI54" s="252"/>
      <c r="BJ54" s="254"/>
      <c r="BK54" s="256"/>
    </row>
    <row r="55" spans="1:70" ht="24" hidden="1" customHeight="1">
      <c r="A55" s="1522"/>
      <c r="B55" s="776"/>
      <c r="C55" s="870"/>
      <c r="D55" s="388"/>
      <c r="E55" s="398" t="s">
        <v>101</v>
      </c>
      <c r="F55" s="419" t="s">
        <v>44</v>
      </c>
      <c r="G55" s="382"/>
      <c r="H55" s="387"/>
      <c r="I55" s="387"/>
      <c r="J55" s="400"/>
      <c r="K55" s="452"/>
      <c r="L55" s="401"/>
      <c r="M55" s="387"/>
      <c r="N55" s="387"/>
      <c r="O55" s="385" t="e">
        <f t="shared" si="6"/>
        <v>#DIV/0!</v>
      </c>
      <c r="P55" s="490"/>
      <c r="Q55" s="386" t="e">
        <f t="shared" ca="1" si="10"/>
        <v>#DIV/0!</v>
      </c>
      <c r="R55" s="43"/>
      <c r="S55" s="44"/>
      <c r="T55" s="45"/>
      <c r="U55" s="45"/>
      <c r="V55" s="46"/>
      <c r="W55" s="46"/>
      <c r="X55" s="46"/>
      <c r="Y55" s="46"/>
      <c r="Z55" s="46"/>
      <c r="AA55" s="45"/>
      <c r="AB55" s="281"/>
      <c r="AC55" s="10"/>
      <c r="AD55" s="9"/>
      <c r="AE55" s="281"/>
      <c r="AF55" s="10"/>
      <c r="AG55" s="9"/>
      <c r="AH55" s="281"/>
      <c r="AI55" s="10"/>
      <c r="AJ55" s="9"/>
      <c r="AK55" s="281"/>
      <c r="AL55" s="10"/>
      <c r="AM55" s="9"/>
      <c r="AN55" s="281"/>
      <c r="AO55" s="10"/>
      <c r="AP55" s="9"/>
      <c r="AQ55" s="51"/>
      <c r="AR55" s="52"/>
      <c r="AS55" s="53"/>
      <c r="AT55" s="51"/>
      <c r="AU55" s="52"/>
      <c r="AV55" s="53"/>
      <c r="AW55" s="51"/>
      <c r="AX55" s="52"/>
      <c r="AY55" s="53"/>
      <c r="AZ55" s="51"/>
      <c r="BA55" s="52"/>
      <c r="BB55" s="53"/>
      <c r="BC55" s="51"/>
      <c r="BD55" s="52"/>
      <c r="BE55" s="53"/>
      <c r="BF55" s="51"/>
      <c r="BG55" s="52"/>
      <c r="BH55" s="53"/>
      <c r="BI55" s="51"/>
      <c r="BJ55" s="52"/>
      <c r="BK55" s="53"/>
    </row>
    <row r="56" spans="1:70" ht="27.75" hidden="1" customHeight="1" thickBot="1">
      <c r="A56" s="1522"/>
      <c r="B56" s="1439"/>
      <c r="C56" s="1439"/>
      <c r="D56" s="1439" t="s">
        <v>336</v>
      </c>
      <c r="E56" s="397" t="s">
        <v>98</v>
      </c>
      <c r="F56" s="419" t="s">
        <v>41</v>
      </c>
      <c r="G56" s="382">
        <v>69</v>
      </c>
      <c r="H56" s="382">
        <f t="shared" ref="H56:H63" si="11">3600/G56</f>
        <v>52.173913043478258</v>
      </c>
      <c r="I56" s="382">
        <v>1</v>
      </c>
      <c r="J56" s="383">
        <v>180</v>
      </c>
      <c r="K56" s="450">
        <v>10</v>
      </c>
      <c r="L56" s="384">
        <v>468</v>
      </c>
      <c r="M56" s="382">
        <f t="shared" ref="M56:M63" si="12">K56-J56</f>
        <v>-170</v>
      </c>
      <c r="N56" s="385">
        <f t="shared" ref="N56:N63" si="13">((M56*G56)/3600)*-1</f>
        <v>3.2583333333333333</v>
      </c>
      <c r="O56" s="385">
        <f t="shared" si="6"/>
        <v>5.5555555555555552E-2</v>
      </c>
      <c r="P56" s="490"/>
      <c r="Q56" s="386">
        <f t="shared" ca="1" si="10"/>
        <v>41758.055555555555</v>
      </c>
      <c r="R56" s="47"/>
      <c r="S56" s="48"/>
      <c r="T56" s="49"/>
      <c r="U56" s="49"/>
      <c r="V56" s="50"/>
      <c r="W56" s="50"/>
      <c r="X56" s="50"/>
      <c r="Y56" s="68"/>
      <c r="Z56" s="68">
        <v>1</v>
      </c>
      <c r="AA56" s="67">
        <v>1</v>
      </c>
      <c r="AB56" s="257"/>
      <c r="AC56" s="259"/>
      <c r="AD56" s="261"/>
      <c r="AE56" s="257"/>
      <c r="AF56" s="259"/>
      <c r="AG56" s="261"/>
      <c r="AH56" s="257"/>
      <c r="AI56" s="259"/>
      <c r="AJ56" s="261"/>
      <c r="AK56" s="13"/>
      <c r="AL56" s="11"/>
      <c r="AM56" s="12"/>
      <c r="AN56" s="13"/>
      <c r="AO56" s="11"/>
      <c r="AP56" s="12"/>
      <c r="AQ56" s="30"/>
      <c r="AR56" s="31"/>
      <c r="AS56" s="32"/>
      <c r="AT56" s="30"/>
      <c r="AU56" s="31"/>
      <c r="AV56" s="32"/>
      <c r="AW56" s="30"/>
      <c r="AX56" s="31"/>
      <c r="AY56" s="32"/>
      <c r="AZ56" s="30"/>
      <c r="BA56" s="31"/>
      <c r="BB56" s="32"/>
      <c r="BC56" s="30"/>
      <c r="BD56" s="31"/>
      <c r="BE56" s="32"/>
      <c r="BF56" s="30"/>
      <c r="BG56" s="31"/>
      <c r="BH56" s="32"/>
      <c r="BI56" s="30"/>
      <c r="BJ56" s="31"/>
      <c r="BK56" s="32"/>
    </row>
    <row r="57" spans="1:70" ht="27.75" hidden="1" customHeight="1" thickBot="1">
      <c r="A57" s="1522"/>
      <c r="B57" s="1439"/>
      <c r="C57" s="1439"/>
      <c r="D57" s="1439"/>
      <c r="E57" s="397" t="s">
        <v>99</v>
      </c>
      <c r="F57" s="419" t="s">
        <v>42</v>
      </c>
      <c r="G57" s="382">
        <v>69</v>
      </c>
      <c r="H57" s="382">
        <f t="shared" si="11"/>
        <v>52.173913043478258</v>
      </c>
      <c r="I57" s="382">
        <v>1</v>
      </c>
      <c r="J57" s="383">
        <v>6</v>
      </c>
      <c r="K57" s="450">
        <v>426</v>
      </c>
      <c r="L57" s="384">
        <v>234</v>
      </c>
      <c r="M57" s="382">
        <f t="shared" si="12"/>
        <v>420</v>
      </c>
      <c r="N57" s="385">
        <f t="shared" si="13"/>
        <v>-8.0500000000000007</v>
      </c>
      <c r="O57" s="385">
        <f t="shared" si="6"/>
        <v>71</v>
      </c>
      <c r="P57" s="490"/>
      <c r="Q57" s="386">
        <f t="shared" ca="1" si="10"/>
        <v>41829</v>
      </c>
      <c r="R57" s="35"/>
      <c r="S57" s="36"/>
      <c r="T57" s="40"/>
      <c r="U57" s="40"/>
      <c r="V57" s="39"/>
      <c r="W57" s="39"/>
      <c r="X57" s="39"/>
      <c r="Y57" s="64">
        <v>1</v>
      </c>
      <c r="Z57" s="39"/>
      <c r="AA57" s="40"/>
      <c r="AB57" s="258"/>
      <c r="AC57" s="260"/>
      <c r="AD57" s="262"/>
      <c r="AE57" s="258"/>
      <c r="AF57" s="260"/>
      <c r="AG57" s="262"/>
      <c r="AH57" s="258"/>
      <c r="AI57" s="260"/>
      <c r="AJ57" s="262"/>
      <c r="AK57" s="266"/>
      <c r="AL57" s="267"/>
      <c r="AM57" s="268"/>
      <c r="AN57" s="266"/>
      <c r="AO57" s="267"/>
      <c r="AP57" s="268"/>
      <c r="AQ57" s="263"/>
      <c r="AR57" s="264"/>
      <c r="AS57" s="265"/>
      <c r="AT57" s="263"/>
      <c r="AU57" s="264"/>
      <c r="AV57" s="265"/>
      <c r="AW57" s="263"/>
      <c r="AX57" s="264"/>
      <c r="AY57" s="265"/>
      <c r="AZ57" s="263"/>
      <c r="BA57" s="264"/>
      <c r="BB57" s="265"/>
      <c r="BC57" s="263"/>
      <c r="BD57" s="264"/>
      <c r="BE57" s="265"/>
      <c r="BF57" s="263"/>
      <c r="BG57" s="264"/>
      <c r="BH57" s="265"/>
      <c r="BI57" s="263"/>
      <c r="BJ57" s="264"/>
      <c r="BK57" s="265"/>
    </row>
    <row r="58" spans="1:70" ht="27.75" hidden="1" customHeight="1" thickBot="1">
      <c r="A58" s="1522"/>
      <c r="B58" s="1439"/>
      <c r="C58" s="1439"/>
      <c r="D58" s="1439" t="s">
        <v>337</v>
      </c>
      <c r="E58" s="397" t="s">
        <v>100</v>
      </c>
      <c r="F58" s="419" t="s">
        <v>43</v>
      </c>
      <c r="G58" s="382">
        <v>65</v>
      </c>
      <c r="H58" s="382">
        <f t="shared" si="11"/>
        <v>55.384615384615387</v>
      </c>
      <c r="I58" s="382">
        <v>1</v>
      </c>
      <c r="J58" s="383">
        <v>180</v>
      </c>
      <c r="K58" s="450">
        <v>180</v>
      </c>
      <c r="L58" s="384">
        <v>468</v>
      </c>
      <c r="M58" s="382">
        <f t="shared" si="12"/>
        <v>0</v>
      </c>
      <c r="N58" s="385">
        <f t="shared" si="13"/>
        <v>0</v>
      </c>
      <c r="O58" s="385">
        <f t="shared" si="6"/>
        <v>1</v>
      </c>
      <c r="P58" s="490"/>
      <c r="Q58" s="386">
        <f t="shared" ca="1" si="10"/>
        <v>41759</v>
      </c>
      <c r="R58" s="35"/>
      <c r="S58" s="36"/>
      <c r="T58" s="40"/>
      <c r="U58" s="40"/>
      <c r="V58" s="64"/>
      <c r="W58" s="64">
        <v>1</v>
      </c>
      <c r="X58" s="64">
        <v>1</v>
      </c>
      <c r="Y58" s="39"/>
      <c r="Z58" s="39"/>
      <c r="AA58" s="40"/>
      <c r="AB58" s="258"/>
      <c r="AC58" s="260"/>
      <c r="AD58" s="262"/>
      <c r="AE58" s="258"/>
      <c r="AF58" s="260"/>
      <c r="AG58" s="262"/>
      <c r="AH58" s="258"/>
      <c r="AI58" s="260"/>
      <c r="AJ58" s="262"/>
      <c r="AK58" s="266"/>
      <c r="AL58" s="267"/>
      <c r="AM58" s="268"/>
      <c r="AN58" s="266"/>
      <c r="AO58" s="267"/>
      <c r="AP58" s="268"/>
      <c r="AQ58" s="263"/>
      <c r="AR58" s="264"/>
      <c r="AS58" s="265"/>
      <c r="AT58" s="263"/>
      <c r="AU58" s="264"/>
      <c r="AV58" s="265"/>
      <c r="AW58" s="263"/>
      <c r="AX58" s="264"/>
      <c r="AY58" s="265"/>
      <c r="AZ58" s="263"/>
      <c r="BA58" s="264"/>
      <c r="BB58" s="265"/>
      <c r="BC58" s="263"/>
      <c r="BD58" s="264"/>
      <c r="BE58" s="265"/>
      <c r="BF58" s="263"/>
      <c r="BG58" s="264"/>
      <c r="BH58" s="265"/>
      <c r="BI58" s="263"/>
      <c r="BJ58" s="264"/>
      <c r="BK58" s="265"/>
    </row>
    <row r="59" spans="1:70" ht="27.75" hidden="1" customHeight="1" thickBot="1">
      <c r="A59" s="1522"/>
      <c r="B59" s="1434"/>
      <c r="C59" s="1434"/>
      <c r="D59" s="1628"/>
      <c r="E59" s="390" t="s">
        <v>101</v>
      </c>
      <c r="F59" s="420" t="s">
        <v>44</v>
      </c>
      <c r="G59" s="382">
        <v>65</v>
      </c>
      <c r="H59" s="391">
        <f t="shared" si="11"/>
        <v>55.384615384615387</v>
      </c>
      <c r="I59" s="391">
        <v>1</v>
      </c>
      <c r="J59" s="392">
        <v>4</v>
      </c>
      <c r="K59" s="451">
        <v>10</v>
      </c>
      <c r="L59" s="393">
        <v>234</v>
      </c>
      <c r="M59" s="391">
        <f t="shared" si="12"/>
        <v>6</v>
      </c>
      <c r="N59" s="394">
        <f t="shared" si="13"/>
        <v>-0.10833333333333334</v>
      </c>
      <c r="O59" s="394">
        <f t="shared" si="6"/>
        <v>2.5</v>
      </c>
      <c r="P59" s="491"/>
      <c r="Q59" s="395">
        <f t="shared" ca="1" si="10"/>
        <v>41760.5</v>
      </c>
      <c r="R59" s="35"/>
      <c r="S59" s="36"/>
      <c r="T59" s="40"/>
      <c r="U59" s="40"/>
      <c r="V59" s="64">
        <v>1</v>
      </c>
      <c r="W59" s="39"/>
      <c r="X59" s="39"/>
      <c r="Y59" s="39"/>
      <c r="Z59" s="39"/>
      <c r="AA59" s="40"/>
      <c r="AB59" s="258"/>
      <c r="AC59" s="260"/>
      <c r="AD59" s="262"/>
      <c r="AE59" s="258"/>
      <c r="AF59" s="260"/>
      <c r="AG59" s="262"/>
      <c r="AH59" s="258"/>
      <c r="AI59" s="260"/>
      <c r="AJ59" s="262"/>
      <c r="AK59" s="266"/>
      <c r="AL59" s="267"/>
      <c r="AM59" s="268"/>
      <c r="AN59" s="266"/>
      <c r="AO59" s="267"/>
      <c r="AP59" s="268"/>
      <c r="AQ59" s="263"/>
      <c r="AR59" s="264"/>
      <c r="AS59" s="265"/>
      <c r="AT59" s="263"/>
      <c r="AU59" s="264"/>
      <c r="AV59" s="265"/>
      <c r="AW59" s="263"/>
      <c r="AX59" s="264"/>
      <c r="AY59" s="265"/>
      <c r="AZ59" s="263"/>
      <c r="BA59" s="264"/>
      <c r="BB59" s="265"/>
      <c r="BC59" s="263"/>
      <c r="BD59" s="264"/>
      <c r="BE59" s="265"/>
      <c r="BF59" s="263"/>
      <c r="BG59" s="264"/>
      <c r="BH59" s="265"/>
      <c r="BI59" s="263"/>
      <c r="BJ59" s="264"/>
      <c r="BK59" s="265"/>
    </row>
    <row r="60" spans="1:70" ht="39.75" customHeight="1">
      <c r="A60" s="1522"/>
      <c r="B60" s="1439"/>
      <c r="C60" s="1439" t="s">
        <v>505</v>
      </c>
      <c r="D60" s="1572" t="s">
        <v>336</v>
      </c>
      <c r="E60" s="397" t="s">
        <v>98</v>
      </c>
      <c r="F60" s="419" t="s">
        <v>428</v>
      </c>
      <c r="G60" s="382">
        <v>61</v>
      </c>
      <c r="H60" s="382">
        <f t="shared" si="11"/>
        <v>59.016393442622949</v>
      </c>
      <c r="I60" s="382">
        <v>1</v>
      </c>
      <c r="J60" s="383">
        <v>108</v>
      </c>
      <c r="K60" s="450">
        <f>56+403+212</f>
        <v>671</v>
      </c>
      <c r="L60" s="778">
        <v>468</v>
      </c>
      <c r="M60" s="382">
        <f t="shared" si="12"/>
        <v>563</v>
      </c>
      <c r="N60" s="385">
        <f t="shared" si="13"/>
        <v>-9.5397222222222222</v>
      </c>
      <c r="O60" s="385">
        <f t="shared" si="6"/>
        <v>6.2129629629629628</v>
      </c>
      <c r="P60" s="490">
        <f>O60*2</f>
        <v>12.425925925925926</v>
      </c>
      <c r="Q60" s="386">
        <f t="shared" ca="1" si="10"/>
        <v>41764.212962962964</v>
      </c>
      <c r="R60" s="47"/>
      <c r="S60" s="48"/>
      <c r="T60" s="49"/>
      <c r="U60" s="49"/>
      <c r="V60" s="50"/>
      <c r="W60" s="50"/>
      <c r="X60" s="50"/>
      <c r="Y60" s="68"/>
      <c r="Z60" s="68">
        <v>1</v>
      </c>
      <c r="AA60" s="67">
        <v>1</v>
      </c>
      <c r="AB60" s="782"/>
      <c r="AC60" s="783"/>
      <c r="AD60" s="784"/>
      <c r="AE60" s="782"/>
      <c r="AF60" s="783"/>
      <c r="AG60" s="784"/>
      <c r="AH60" s="782"/>
      <c r="AI60" s="783"/>
      <c r="AJ60" s="784"/>
      <c r="AK60" s="13"/>
      <c r="AL60" s="11"/>
      <c r="AM60" s="12"/>
      <c r="AN60" s="13"/>
      <c r="AO60" s="11"/>
      <c r="AP60" s="12"/>
      <c r="AQ60" s="30"/>
      <c r="AR60" s="31"/>
      <c r="AS60" s="32"/>
      <c r="AT60" s="30"/>
      <c r="AU60" s="31"/>
      <c r="AV60" s="32"/>
      <c r="AW60" s="30"/>
      <c r="AX60" s="31"/>
      <c r="AY60" s="32"/>
      <c r="AZ60" s="30"/>
      <c r="BA60" s="31"/>
      <c r="BB60" s="32"/>
      <c r="BC60" s="30"/>
      <c r="BD60" s="31"/>
      <c r="BE60" s="32"/>
      <c r="BF60" s="30"/>
      <c r="BG60" s="31"/>
      <c r="BH60" s="32"/>
      <c r="BI60" s="30"/>
      <c r="BJ60" s="31"/>
      <c r="BK60" s="32"/>
    </row>
    <row r="61" spans="1:70" ht="36.75" customHeight="1">
      <c r="A61" s="1522"/>
      <c r="B61" s="1439"/>
      <c r="C61" s="1439"/>
      <c r="D61" s="1572"/>
      <c r="E61" s="397" t="s">
        <v>99</v>
      </c>
      <c r="F61" s="419" t="s">
        <v>429</v>
      </c>
      <c r="G61" s="382">
        <v>61</v>
      </c>
      <c r="H61" s="382">
        <f t="shared" si="11"/>
        <v>59.016393442622949</v>
      </c>
      <c r="I61" s="382">
        <v>1</v>
      </c>
      <c r="J61" s="383">
        <v>4</v>
      </c>
      <c r="K61" s="450">
        <v>8</v>
      </c>
      <c r="L61" s="778">
        <v>0</v>
      </c>
      <c r="M61" s="382">
        <f t="shared" si="12"/>
        <v>4</v>
      </c>
      <c r="N61" s="385">
        <f t="shared" si="13"/>
        <v>-6.7777777777777784E-2</v>
      </c>
      <c r="O61" s="385">
        <f t="shared" si="6"/>
        <v>2</v>
      </c>
      <c r="P61" s="490">
        <f>O61*2</f>
        <v>4</v>
      </c>
      <c r="Q61" s="386">
        <f t="shared" ca="1" si="10"/>
        <v>41760</v>
      </c>
      <c r="R61" s="35"/>
      <c r="S61" s="36"/>
      <c r="T61" s="40"/>
      <c r="U61" s="40"/>
      <c r="V61" s="39"/>
      <c r="W61" s="39"/>
      <c r="X61" s="39"/>
      <c r="Y61" s="64">
        <v>1</v>
      </c>
      <c r="Z61" s="39"/>
      <c r="AA61" s="40"/>
      <c r="AB61" s="766"/>
      <c r="AC61" s="767"/>
      <c r="AD61" s="775"/>
      <c r="AE61" s="766"/>
      <c r="AF61" s="767"/>
      <c r="AG61" s="775"/>
      <c r="AH61" s="766"/>
      <c r="AI61" s="767"/>
      <c r="AJ61" s="775"/>
      <c r="AK61" s="768"/>
      <c r="AL61" s="769"/>
      <c r="AM61" s="770"/>
      <c r="AN61" s="768"/>
      <c r="AO61" s="769"/>
      <c r="AP61" s="770"/>
      <c r="AQ61" s="771"/>
      <c r="AR61" s="772"/>
      <c r="AS61" s="773"/>
      <c r="AT61" s="771"/>
      <c r="AU61" s="772"/>
      <c r="AV61" s="773"/>
      <c r="AW61" s="771"/>
      <c r="AX61" s="772"/>
      <c r="AY61" s="773"/>
      <c r="AZ61" s="771"/>
      <c r="BA61" s="772"/>
      <c r="BB61" s="773"/>
      <c r="BC61" s="771"/>
      <c r="BD61" s="772"/>
      <c r="BE61" s="773"/>
      <c r="BF61" s="771"/>
      <c r="BG61" s="772"/>
      <c r="BH61" s="773"/>
      <c r="BI61" s="771"/>
      <c r="BJ61" s="772"/>
      <c r="BK61" s="773"/>
    </row>
    <row r="62" spans="1:70" ht="35.25" customHeight="1">
      <c r="A62" s="1522"/>
      <c r="B62" s="1439"/>
      <c r="C62" s="1439" t="s">
        <v>505</v>
      </c>
      <c r="D62" s="1572" t="s">
        <v>337</v>
      </c>
      <c r="E62" s="397" t="s">
        <v>100</v>
      </c>
      <c r="F62" s="419" t="s">
        <v>430</v>
      </c>
      <c r="G62" s="382">
        <v>61</v>
      </c>
      <c r="H62" s="382">
        <f t="shared" si="11"/>
        <v>59.016393442622949</v>
      </c>
      <c r="I62" s="382">
        <v>1</v>
      </c>
      <c r="J62" s="383">
        <v>108</v>
      </c>
      <c r="K62" s="450">
        <f>18+128+185</f>
        <v>331</v>
      </c>
      <c r="L62" s="778">
        <v>468</v>
      </c>
      <c r="M62" s="382">
        <f t="shared" si="12"/>
        <v>223</v>
      </c>
      <c r="N62" s="385">
        <f t="shared" si="13"/>
        <v>-3.7786111111111111</v>
      </c>
      <c r="O62" s="385">
        <f t="shared" si="6"/>
        <v>3.0648148148148149</v>
      </c>
      <c r="P62" s="490">
        <f>O62*2</f>
        <v>6.1296296296296298</v>
      </c>
      <c r="Q62" s="386">
        <f t="shared" ca="1" si="10"/>
        <v>41761.064814814818</v>
      </c>
      <c r="R62" s="35"/>
      <c r="S62" s="36"/>
      <c r="T62" s="40"/>
      <c r="U62" s="40"/>
      <c r="V62" s="64"/>
      <c r="W62" s="64">
        <v>1</v>
      </c>
      <c r="X62" s="64">
        <v>1</v>
      </c>
      <c r="Y62" s="39"/>
      <c r="Z62" s="39"/>
      <c r="AA62" s="40"/>
      <c r="AB62" s="766"/>
      <c r="AC62" s="767"/>
      <c r="AD62" s="775"/>
      <c r="AE62" s="766"/>
      <c r="AF62" s="767"/>
      <c r="AG62" s="775"/>
      <c r="AH62" s="766"/>
      <c r="AI62" s="767"/>
      <c r="AJ62" s="775"/>
      <c r="AK62" s="768"/>
      <c r="AL62" s="769"/>
      <c r="AM62" s="770"/>
      <c r="AN62" s="768"/>
      <c r="AO62" s="769"/>
      <c r="AP62" s="770"/>
      <c r="AQ62" s="771"/>
      <c r="AR62" s="772"/>
      <c r="AS62" s="773"/>
      <c r="AT62" s="771"/>
      <c r="AU62" s="772"/>
      <c r="AV62" s="773"/>
      <c r="AW62" s="771"/>
      <c r="AX62" s="772"/>
      <c r="AY62" s="773"/>
      <c r="AZ62" s="771"/>
      <c r="BA62" s="772"/>
      <c r="BB62" s="773"/>
      <c r="BC62" s="771"/>
      <c r="BD62" s="772"/>
      <c r="BE62" s="773"/>
      <c r="BF62" s="771"/>
      <c r="BG62" s="772"/>
      <c r="BH62" s="773"/>
      <c r="BI62" s="771"/>
      <c r="BJ62" s="772"/>
      <c r="BK62" s="773"/>
    </row>
    <row r="63" spans="1:70" ht="37.5" customHeight="1" thickBot="1">
      <c r="A63" s="1523"/>
      <c r="B63" s="1439"/>
      <c r="C63" s="1439"/>
      <c r="D63" s="1526"/>
      <c r="E63" s="800" t="s">
        <v>101</v>
      </c>
      <c r="F63" s="801" t="s">
        <v>431</v>
      </c>
      <c r="G63" s="382">
        <v>61</v>
      </c>
      <c r="H63" s="658">
        <f t="shared" si="11"/>
        <v>59.016393442622949</v>
      </c>
      <c r="I63" s="658">
        <v>1</v>
      </c>
      <c r="J63" s="802">
        <v>4</v>
      </c>
      <c r="K63" s="455">
        <v>18</v>
      </c>
      <c r="L63" s="659">
        <v>0</v>
      </c>
      <c r="M63" s="658">
        <f t="shared" si="12"/>
        <v>14</v>
      </c>
      <c r="N63" s="660">
        <f t="shared" si="13"/>
        <v>-0.23722222222222222</v>
      </c>
      <c r="O63" s="660">
        <f t="shared" si="6"/>
        <v>4.5</v>
      </c>
      <c r="P63" s="490">
        <f>O63*2</f>
        <v>9</v>
      </c>
      <c r="Q63" s="661">
        <f t="shared" ca="1" si="10"/>
        <v>41762.5</v>
      </c>
      <c r="R63" s="35"/>
      <c r="S63" s="36"/>
      <c r="T63" s="40"/>
      <c r="U63" s="40"/>
      <c r="V63" s="64">
        <v>1</v>
      </c>
      <c r="W63" s="39"/>
      <c r="X63" s="39"/>
      <c r="Y63" s="39"/>
      <c r="Z63" s="39"/>
      <c r="AA63" s="40"/>
      <c r="AB63" s="766"/>
      <c r="AC63" s="767"/>
      <c r="AD63" s="775"/>
      <c r="AE63" s="766"/>
      <c r="AF63" s="767"/>
      <c r="AG63" s="775"/>
      <c r="AH63" s="766"/>
      <c r="AI63" s="767"/>
      <c r="AJ63" s="775"/>
      <c r="AK63" s="768"/>
      <c r="AL63" s="769"/>
      <c r="AM63" s="770"/>
      <c r="AN63" s="768"/>
      <c r="AO63" s="769"/>
      <c r="AP63" s="770"/>
      <c r="AQ63" s="771"/>
      <c r="AR63" s="772"/>
      <c r="AS63" s="773"/>
      <c r="AT63" s="771"/>
      <c r="AU63" s="772"/>
      <c r="AV63" s="773"/>
      <c r="AW63" s="771"/>
      <c r="AX63" s="772"/>
      <c r="AY63" s="773"/>
      <c r="AZ63" s="771"/>
      <c r="BA63" s="772"/>
      <c r="BB63" s="773"/>
      <c r="BC63" s="771"/>
      <c r="BD63" s="772"/>
      <c r="BE63" s="773"/>
      <c r="BF63" s="771"/>
      <c r="BG63" s="772"/>
      <c r="BH63" s="773"/>
      <c r="BI63" s="771"/>
      <c r="BJ63" s="772"/>
      <c r="BK63" s="773"/>
    </row>
    <row r="64" spans="1:70" ht="33" customHeight="1" thickBot="1">
      <c r="A64" s="1484" t="s">
        <v>380</v>
      </c>
      <c r="B64" s="803"/>
      <c r="C64" s="803" t="s">
        <v>515</v>
      </c>
      <c r="D64" s="334" t="s">
        <v>318</v>
      </c>
      <c r="E64" s="335" t="s">
        <v>69</v>
      </c>
      <c r="F64" s="421" t="s">
        <v>420</v>
      </c>
      <c r="G64" s="639">
        <v>49.8</v>
      </c>
      <c r="H64" s="288">
        <f t="shared" ref="H64:H69" si="14">3600/G64</f>
        <v>72.289156626506028</v>
      </c>
      <c r="I64" s="288">
        <v>1</v>
      </c>
      <c r="J64" s="289">
        <f>Q2</f>
        <v>320</v>
      </c>
      <c r="K64" s="449">
        <f>993+323</f>
        <v>1316</v>
      </c>
      <c r="L64" s="290">
        <v>1344</v>
      </c>
      <c r="M64" s="288">
        <f t="shared" si="2"/>
        <v>996</v>
      </c>
      <c r="N64" s="291">
        <f t="shared" si="5"/>
        <v>-13.777999999999999</v>
      </c>
      <c r="O64" s="291">
        <f t="shared" si="6"/>
        <v>4.1124999999999998</v>
      </c>
      <c r="P64" s="492">
        <f>O64*1.5</f>
        <v>6.1687499999999993</v>
      </c>
      <c r="Q64" s="292">
        <f t="shared" ca="1" si="10"/>
        <v>41762.112500000003</v>
      </c>
      <c r="R64" s="35"/>
      <c r="S64" s="36"/>
      <c r="T64" s="37">
        <v>1</v>
      </c>
      <c r="U64" s="37"/>
      <c r="V64" s="64">
        <v>1</v>
      </c>
      <c r="W64" s="64">
        <v>1</v>
      </c>
      <c r="X64" s="39"/>
      <c r="Y64" s="39"/>
      <c r="Z64" s="39"/>
      <c r="AA64" s="40"/>
      <c r="AB64" s="258"/>
      <c r="AC64" s="260"/>
      <c r="AD64" s="262">
        <v>5</v>
      </c>
      <c r="AE64" s="273"/>
      <c r="AF64" s="276"/>
      <c r="AG64" s="272"/>
      <c r="AH64" s="273"/>
      <c r="AI64" s="276"/>
      <c r="AJ64" s="272"/>
      <c r="AK64" s="273"/>
      <c r="AL64" s="276"/>
      <c r="AM64" s="268"/>
      <c r="AN64" s="266"/>
      <c r="AO64" s="267"/>
      <c r="AP64" s="268"/>
      <c r="AQ64" s="263"/>
      <c r="AR64" s="264"/>
      <c r="AS64" s="265"/>
      <c r="AT64" s="263"/>
      <c r="AU64" s="264"/>
      <c r="AV64" s="265"/>
      <c r="AW64" s="263"/>
      <c r="AX64" s="264"/>
      <c r="AY64" s="265"/>
      <c r="AZ64" s="263"/>
      <c r="BA64" s="264"/>
      <c r="BB64" s="265"/>
      <c r="BC64" s="263"/>
      <c r="BD64" s="264"/>
      <c r="BE64" s="265"/>
      <c r="BF64" s="263"/>
      <c r="BG64" s="264"/>
      <c r="BH64" s="265"/>
      <c r="BI64" s="263"/>
      <c r="BJ64" s="264"/>
      <c r="BK64" s="265"/>
      <c r="BR64" s="283">
        <v>4188</v>
      </c>
    </row>
    <row r="65" spans="1:70" ht="43.5" customHeight="1" thickBot="1">
      <c r="A65" s="1485"/>
      <c r="B65" s="1487"/>
      <c r="C65" s="1487" t="s">
        <v>513</v>
      </c>
      <c r="D65" s="1487" t="s">
        <v>320</v>
      </c>
      <c r="E65" s="311" t="s">
        <v>72</v>
      </c>
      <c r="F65" s="422" t="s">
        <v>421</v>
      </c>
      <c r="G65" s="638">
        <v>48</v>
      </c>
      <c r="H65" s="295">
        <f t="shared" si="14"/>
        <v>75</v>
      </c>
      <c r="I65" s="295">
        <v>1</v>
      </c>
      <c r="J65" s="296">
        <f>Q3</f>
        <v>214</v>
      </c>
      <c r="K65" s="450">
        <v>261</v>
      </c>
      <c r="L65" s="297">
        <v>520</v>
      </c>
      <c r="M65" s="295">
        <f t="shared" si="2"/>
        <v>47</v>
      </c>
      <c r="N65" s="298">
        <f t="shared" si="5"/>
        <v>-0.62666666666666671</v>
      </c>
      <c r="O65" s="298">
        <f t="shared" si="6"/>
        <v>1.219626168224299</v>
      </c>
      <c r="P65" s="492">
        <f>O65*1.5</f>
        <v>1.8294392523364484</v>
      </c>
      <c r="Q65" s="299">
        <f t="shared" ca="1" si="10"/>
        <v>41759.219626168226</v>
      </c>
      <c r="R65" s="35"/>
      <c r="S65" s="36"/>
      <c r="T65" s="40"/>
      <c r="U65" s="41"/>
      <c r="V65" s="1412"/>
      <c r="W65" s="1412"/>
      <c r="X65" s="1412"/>
      <c r="Y65" s="1412"/>
      <c r="Z65" s="1412"/>
      <c r="AA65" s="1414"/>
      <c r="AB65" s="1392">
        <v>10</v>
      </c>
      <c r="AC65" s="1421"/>
      <c r="AD65" s="1402"/>
      <c r="AE65" s="1392"/>
      <c r="AF65" s="1394"/>
      <c r="AG65" s="1396"/>
      <c r="AH65" s="1392"/>
      <c r="AI65" s="1394"/>
      <c r="AJ65" s="1396"/>
      <c r="AK65" s="1398"/>
      <c r="AL65" s="1400"/>
      <c r="AM65" s="1404"/>
      <c r="AN65" s="1398"/>
      <c r="AO65" s="1400"/>
      <c r="AP65" s="1404"/>
      <c r="AQ65" s="1406"/>
      <c r="AR65" s="1408"/>
      <c r="AS65" s="1410"/>
      <c r="AT65" s="1406"/>
      <c r="AU65" s="1408"/>
      <c r="AV65" s="1410"/>
      <c r="AW65" s="1406"/>
      <c r="AX65" s="1408"/>
      <c r="AY65" s="1410"/>
      <c r="AZ65" s="1406"/>
      <c r="BA65" s="1408"/>
      <c r="BB65" s="1410"/>
      <c r="BC65" s="1406"/>
      <c r="BD65" s="1408"/>
      <c r="BE65" s="1410"/>
      <c r="BF65" s="1406"/>
      <c r="BG65" s="1408"/>
      <c r="BH65" s="1410"/>
      <c r="BI65" s="1406"/>
      <c r="BJ65" s="1408"/>
      <c r="BK65" s="1410"/>
    </row>
    <row r="66" spans="1:70" ht="42" customHeight="1" thickBot="1">
      <c r="A66" s="1485"/>
      <c r="B66" s="1487"/>
      <c r="C66" s="1487"/>
      <c r="D66" s="1487"/>
      <c r="E66" s="311" t="s">
        <v>73</v>
      </c>
      <c r="F66" s="422" t="s">
        <v>422</v>
      </c>
      <c r="G66" s="638">
        <v>48</v>
      </c>
      <c r="H66" s="295">
        <f t="shared" si="14"/>
        <v>75</v>
      </c>
      <c r="I66" s="295">
        <v>1</v>
      </c>
      <c r="J66" s="296">
        <f>Q3</f>
        <v>214</v>
      </c>
      <c r="K66" s="450">
        <v>412</v>
      </c>
      <c r="L66" s="297">
        <v>520</v>
      </c>
      <c r="M66" s="295">
        <f t="shared" si="2"/>
        <v>198</v>
      </c>
      <c r="N66" s="298">
        <f t="shared" si="5"/>
        <v>-2.64</v>
      </c>
      <c r="O66" s="298">
        <f t="shared" si="6"/>
        <v>1.9252336448598131</v>
      </c>
      <c r="P66" s="492">
        <f>O66*1.5</f>
        <v>2.8878504672897196</v>
      </c>
      <c r="Q66" s="299">
        <f t="shared" ca="1" si="10"/>
        <v>41759.925233644863</v>
      </c>
      <c r="R66" s="35"/>
      <c r="S66" s="36"/>
      <c r="T66" s="40"/>
      <c r="U66" s="42"/>
      <c r="V66" s="1436"/>
      <c r="W66" s="1436"/>
      <c r="X66" s="1436"/>
      <c r="Y66" s="1436"/>
      <c r="Z66" s="1436"/>
      <c r="AA66" s="1437"/>
      <c r="AB66" s="1393"/>
      <c r="AC66" s="1477"/>
      <c r="AD66" s="1403"/>
      <c r="AE66" s="1393"/>
      <c r="AF66" s="1395"/>
      <c r="AG66" s="1397"/>
      <c r="AH66" s="1393"/>
      <c r="AI66" s="1395"/>
      <c r="AJ66" s="1397"/>
      <c r="AK66" s="1399"/>
      <c r="AL66" s="1401"/>
      <c r="AM66" s="1405"/>
      <c r="AN66" s="1399"/>
      <c r="AO66" s="1401"/>
      <c r="AP66" s="1405"/>
      <c r="AQ66" s="1407"/>
      <c r="AR66" s="1409"/>
      <c r="AS66" s="1411"/>
      <c r="AT66" s="1407"/>
      <c r="AU66" s="1409"/>
      <c r="AV66" s="1411"/>
      <c r="AW66" s="1407"/>
      <c r="AX66" s="1409"/>
      <c r="AY66" s="1411"/>
      <c r="AZ66" s="1407"/>
      <c r="BA66" s="1409"/>
      <c r="BB66" s="1411"/>
      <c r="BC66" s="1407"/>
      <c r="BD66" s="1409"/>
      <c r="BE66" s="1411"/>
      <c r="BF66" s="1407"/>
      <c r="BG66" s="1409"/>
      <c r="BH66" s="1411"/>
      <c r="BI66" s="1407"/>
      <c r="BJ66" s="1409"/>
      <c r="BK66" s="1411"/>
    </row>
    <row r="67" spans="1:70" ht="33" customHeight="1">
      <c r="A67" s="1485"/>
      <c r="B67" s="336"/>
      <c r="C67" s="336" t="s">
        <v>513</v>
      </c>
      <c r="D67" s="336" t="s">
        <v>321</v>
      </c>
      <c r="E67" s="293" t="s">
        <v>74</v>
      </c>
      <c r="F67" s="422" t="s">
        <v>423</v>
      </c>
      <c r="G67" s="639">
        <v>51.1</v>
      </c>
      <c r="H67" s="295">
        <f t="shared" si="14"/>
        <v>70.450097847358123</v>
      </c>
      <c r="I67" s="295">
        <v>1</v>
      </c>
      <c r="J67" s="296">
        <f>0.3*Q2</f>
        <v>96</v>
      </c>
      <c r="K67" s="450">
        <v>258</v>
      </c>
      <c r="L67" s="297">
        <v>438</v>
      </c>
      <c r="M67" s="295">
        <f t="shared" si="2"/>
        <v>162</v>
      </c>
      <c r="N67" s="298">
        <f t="shared" si="5"/>
        <v>-2.2995000000000001</v>
      </c>
      <c r="O67" s="298">
        <f t="shared" si="6"/>
        <v>2.6875</v>
      </c>
      <c r="P67" s="492">
        <f>O67*1.5</f>
        <v>4.03125</v>
      </c>
      <c r="Q67" s="299">
        <f t="shared" ca="1" si="10"/>
        <v>41760.6875</v>
      </c>
      <c r="R67" s="35"/>
      <c r="S67" s="36"/>
      <c r="T67" s="40"/>
      <c r="U67" s="40"/>
      <c r="V67" s="39"/>
      <c r="W67" s="39"/>
      <c r="X67" s="64">
        <v>1</v>
      </c>
      <c r="Y67" s="39"/>
      <c r="Z67" s="39"/>
      <c r="AA67" s="40"/>
      <c r="AB67" s="258"/>
      <c r="AC67" s="260"/>
      <c r="AD67" s="262"/>
      <c r="AE67" s="258"/>
      <c r="AF67" s="260"/>
      <c r="AG67" s="262"/>
      <c r="AH67" s="258"/>
      <c r="AI67" s="260"/>
      <c r="AJ67" s="262"/>
      <c r="AK67" s="266"/>
      <c r="AL67" s="267"/>
      <c r="AM67" s="268"/>
      <c r="AN67" s="266"/>
      <c r="AO67" s="267"/>
      <c r="AP67" s="268"/>
      <c r="AQ67" s="263"/>
      <c r="AR67" s="264"/>
      <c r="AS67" s="265"/>
      <c r="AT67" s="263"/>
      <c r="AU67" s="264"/>
      <c r="AV67" s="265"/>
      <c r="AW67" s="263"/>
      <c r="AX67" s="264"/>
      <c r="AY67" s="265"/>
      <c r="AZ67" s="263"/>
      <c r="BA67" s="264"/>
      <c r="BB67" s="265"/>
      <c r="BC67" s="263"/>
      <c r="BD67" s="264"/>
      <c r="BE67" s="265"/>
      <c r="BF67" s="263"/>
      <c r="BG67" s="264"/>
      <c r="BH67" s="265"/>
      <c r="BI67" s="263"/>
      <c r="BJ67" s="264"/>
      <c r="BK67" s="265"/>
      <c r="BR67" s="283">
        <v>236</v>
      </c>
    </row>
    <row r="68" spans="1:70" ht="23.25" hidden="1" customHeight="1">
      <c r="A68" s="1485"/>
      <c r="B68" s="1487"/>
      <c r="C68" s="1487"/>
      <c r="D68" s="1487" t="s">
        <v>322</v>
      </c>
      <c r="E68" s="293" t="s">
        <v>75</v>
      </c>
      <c r="F68" s="422" t="s">
        <v>24</v>
      </c>
      <c r="G68" s="639">
        <v>49.3</v>
      </c>
      <c r="H68" s="295">
        <f t="shared" si="14"/>
        <v>73.022312373225162</v>
      </c>
      <c r="I68" s="295">
        <v>1</v>
      </c>
      <c r="J68" s="296">
        <v>200</v>
      </c>
      <c r="K68" s="450">
        <v>565</v>
      </c>
      <c r="L68" s="297">
        <v>544</v>
      </c>
      <c r="M68" s="295">
        <f t="shared" si="2"/>
        <v>365</v>
      </c>
      <c r="N68" s="298">
        <f t="shared" si="5"/>
        <v>-4.9984722222222224</v>
      </c>
      <c r="O68" s="298">
        <f t="shared" si="6"/>
        <v>2.8250000000000002</v>
      </c>
      <c r="P68" s="493"/>
      <c r="Q68" s="299">
        <f t="shared" ca="1" si="10"/>
        <v>41760.824999999997</v>
      </c>
      <c r="R68" s="35"/>
      <c r="S68" s="36"/>
      <c r="T68" s="40"/>
      <c r="U68" s="41"/>
      <c r="V68" s="1412"/>
      <c r="W68" s="1412"/>
      <c r="X68" s="1412"/>
      <c r="Y68" s="1412"/>
      <c r="Z68" s="1412"/>
      <c r="AA68" s="1414"/>
      <c r="AB68" s="1392"/>
      <c r="AC68" s="1394"/>
      <c r="AD68" s="1396"/>
      <c r="AE68" s="1392"/>
      <c r="AF68" s="1394"/>
      <c r="AG68" s="1396"/>
      <c r="AH68" s="1392"/>
      <c r="AI68" s="1394"/>
      <c r="AJ68" s="1396"/>
      <c r="AK68" s="1398"/>
      <c r="AL68" s="1400">
        <v>20</v>
      </c>
      <c r="AM68" s="1402"/>
      <c r="AN68" s="1398"/>
      <c r="AO68" s="1400"/>
      <c r="AP68" s="1404"/>
      <c r="AQ68" s="1406"/>
      <c r="AR68" s="1408"/>
      <c r="AS68" s="1410"/>
      <c r="AT68" s="1406"/>
      <c r="AU68" s="1408"/>
      <c r="AV68" s="1410"/>
      <c r="AW68" s="1406"/>
      <c r="AX68" s="1408"/>
      <c r="AY68" s="1410"/>
      <c r="AZ68" s="1406"/>
      <c r="BA68" s="1408"/>
      <c r="BB68" s="1410"/>
      <c r="BC68" s="1406"/>
      <c r="BD68" s="1408"/>
      <c r="BE68" s="1410"/>
      <c r="BF68" s="1406"/>
      <c r="BG68" s="1408"/>
      <c r="BH68" s="1410"/>
      <c r="BI68" s="1406"/>
      <c r="BJ68" s="1408"/>
      <c r="BK68" s="1410"/>
      <c r="BR68" s="284">
        <v>179</v>
      </c>
    </row>
    <row r="69" spans="1:70" ht="23.25" hidden="1" customHeight="1">
      <c r="A69" s="1485"/>
      <c r="B69" s="1487"/>
      <c r="C69" s="1487"/>
      <c r="D69" s="1487"/>
      <c r="E69" s="293" t="s">
        <v>76</v>
      </c>
      <c r="F69" s="422" t="s">
        <v>25</v>
      </c>
      <c r="G69" s="639">
        <v>49.3</v>
      </c>
      <c r="H69" s="295">
        <f t="shared" si="14"/>
        <v>73.022312373225162</v>
      </c>
      <c r="I69" s="295">
        <v>1</v>
      </c>
      <c r="J69" s="296">
        <v>200</v>
      </c>
      <c r="K69" s="450">
        <v>565</v>
      </c>
      <c r="L69" s="297">
        <v>544</v>
      </c>
      <c r="M69" s="295">
        <f t="shared" si="2"/>
        <v>365</v>
      </c>
      <c r="N69" s="298">
        <f t="shared" si="5"/>
        <v>-4.9984722222222224</v>
      </c>
      <c r="O69" s="298">
        <f t="shared" si="6"/>
        <v>2.8250000000000002</v>
      </c>
      <c r="P69" s="493"/>
      <c r="Q69" s="299">
        <f t="shared" ca="1" si="10"/>
        <v>41760.824999999997</v>
      </c>
      <c r="R69" s="35"/>
      <c r="S69" s="36"/>
      <c r="T69" s="40"/>
      <c r="U69" s="42"/>
      <c r="V69" s="1436"/>
      <c r="W69" s="1436"/>
      <c r="X69" s="1436"/>
      <c r="Y69" s="1436"/>
      <c r="Z69" s="1436"/>
      <c r="AA69" s="1437"/>
      <c r="AB69" s="1393"/>
      <c r="AC69" s="1395"/>
      <c r="AD69" s="1397"/>
      <c r="AE69" s="1393"/>
      <c r="AF69" s="1395"/>
      <c r="AG69" s="1397"/>
      <c r="AH69" s="1393"/>
      <c r="AI69" s="1395"/>
      <c r="AJ69" s="1397"/>
      <c r="AK69" s="1399"/>
      <c r="AL69" s="1401"/>
      <c r="AM69" s="1403"/>
      <c r="AN69" s="1399"/>
      <c r="AO69" s="1401"/>
      <c r="AP69" s="1405"/>
      <c r="AQ69" s="1407"/>
      <c r="AR69" s="1409"/>
      <c r="AS69" s="1411"/>
      <c r="AT69" s="1407"/>
      <c r="AU69" s="1409"/>
      <c r="AV69" s="1411"/>
      <c r="AW69" s="1407"/>
      <c r="AX69" s="1409"/>
      <c r="AY69" s="1411"/>
      <c r="AZ69" s="1407"/>
      <c r="BA69" s="1409"/>
      <c r="BB69" s="1411"/>
      <c r="BC69" s="1407"/>
      <c r="BD69" s="1409"/>
      <c r="BE69" s="1411"/>
      <c r="BF69" s="1407"/>
      <c r="BG69" s="1409"/>
      <c r="BH69" s="1411"/>
      <c r="BI69" s="1407"/>
      <c r="BJ69" s="1409"/>
      <c r="BK69" s="1411"/>
    </row>
    <row r="70" spans="1:70" ht="24" hidden="1" customHeight="1" thickBot="1">
      <c r="A70" s="1485"/>
      <c r="B70" s="336"/>
      <c r="C70" s="336"/>
      <c r="D70" s="336"/>
      <c r="E70" s="337" t="s">
        <v>58</v>
      </c>
      <c r="F70" s="422" t="s">
        <v>15</v>
      </c>
      <c r="G70" s="639"/>
      <c r="H70" s="300"/>
      <c r="I70" s="300"/>
      <c r="J70" s="313"/>
      <c r="K70" s="452"/>
      <c r="L70" s="314"/>
      <c r="M70" s="295">
        <f t="shared" si="2"/>
        <v>0</v>
      </c>
      <c r="N70" s="298">
        <f t="shared" si="5"/>
        <v>0</v>
      </c>
      <c r="O70" s="298" t="e">
        <f t="shared" si="6"/>
        <v>#DIV/0!</v>
      </c>
      <c r="P70" s="493"/>
      <c r="Q70" s="299" t="e">
        <f t="shared" ca="1" si="10"/>
        <v>#DIV/0!</v>
      </c>
      <c r="R70" s="35"/>
      <c r="S70" s="36"/>
      <c r="T70" s="40"/>
      <c r="U70" s="41"/>
      <c r="V70" s="60"/>
      <c r="W70" s="60"/>
      <c r="X70" s="60"/>
      <c r="Y70" s="60"/>
      <c r="Z70" s="60"/>
      <c r="AA70" s="41"/>
      <c r="AB70" s="235"/>
      <c r="AC70" s="229"/>
      <c r="AD70" s="231"/>
      <c r="AE70" s="235"/>
      <c r="AF70" s="229"/>
      <c r="AG70" s="231"/>
      <c r="AH70" s="235"/>
      <c r="AI70" s="229"/>
      <c r="AJ70" s="231"/>
      <c r="AK70" s="233"/>
      <c r="AL70" s="225"/>
      <c r="AM70" s="227"/>
      <c r="AN70" s="233"/>
      <c r="AO70" s="225"/>
      <c r="AP70" s="227"/>
      <c r="AQ70" s="223"/>
      <c r="AR70" s="219"/>
      <c r="AS70" s="221"/>
      <c r="AT70" s="223"/>
      <c r="AU70" s="219"/>
      <c r="AV70" s="221"/>
      <c r="AW70" s="223"/>
      <c r="AX70" s="219"/>
      <c r="AY70" s="221"/>
      <c r="AZ70" s="223"/>
      <c r="BA70" s="219"/>
      <c r="BB70" s="221"/>
      <c r="BC70" s="223"/>
      <c r="BD70" s="219"/>
      <c r="BE70" s="221"/>
      <c r="BF70" s="223"/>
      <c r="BG70" s="219"/>
      <c r="BH70" s="221"/>
      <c r="BI70" s="223"/>
      <c r="BJ70" s="219"/>
      <c r="BK70" s="221"/>
    </row>
    <row r="71" spans="1:70" ht="24" hidden="1" customHeight="1" thickBot="1">
      <c r="A71" s="1485"/>
      <c r="B71" s="336"/>
      <c r="C71" s="336"/>
      <c r="D71" s="336"/>
      <c r="E71" s="337" t="s">
        <v>59</v>
      </c>
      <c r="F71" s="422" t="s">
        <v>16</v>
      </c>
      <c r="G71" s="639"/>
      <c r="H71" s="300"/>
      <c r="I71" s="300"/>
      <c r="J71" s="313"/>
      <c r="K71" s="452"/>
      <c r="L71" s="314"/>
      <c r="M71" s="295">
        <f t="shared" si="2"/>
        <v>0</v>
      </c>
      <c r="N71" s="298">
        <f t="shared" si="5"/>
        <v>0</v>
      </c>
      <c r="O71" s="298" t="e">
        <f t="shared" si="6"/>
        <v>#DIV/0!</v>
      </c>
      <c r="P71" s="493"/>
      <c r="Q71" s="299" t="e">
        <f t="shared" ca="1" si="10"/>
        <v>#DIV/0!</v>
      </c>
      <c r="R71" s="35"/>
      <c r="S71" s="36"/>
      <c r="T71" s="40"/>
      <c r="U71" s="59"/>
      <c r="V71" s="66"/>
      <c r="W71" s="66"/>
      <c r="X71" s="66"/>
      <c r="Y71" s="66"/>
      <c r="Z71" s="66"/>
      <c r="AA71" s="59"/>
      <c r="AB71" s="243"/>
      <c r="AC71" s="244"/>
      <c r="AD71" s="242"/>
      <c r="AE71" s="243"/>
      <c r="AF71" s="244"/>
      <c r="AG71" s="242"/>
      <c r="AH71" s="243"/>
      <c r="AI71" s="244"/>
      <c r="AJ71" s="242"/>
      <c r="AK71" s="240"/>
      <c r="AL71" s="245"/>
      <c r="AM71" s="239"/>
      <c r="AN71" s="240"/>
      <c r="AO71" s="245"/>
      <c r="AP71" s="239"/>
      <c r="AQ71" s="238"/>
      <c r="AR71" s="241"/>
      <c r="AS71" s="237"/>
      <c r="AT71" s="238"/>
      <c r="AU71" s="241"/>
      <c r="AV71" s="237"/>
      <c r="AW71" s="238"/>
      <c r="AX71" s="241"/>
      <c r="AY71" s="237"/>
      <c r="AZ71" s="238"/>
      <c r="BA71" s="241"/>
      <c r="BB71" s="237"/>
      <c r="BC71" s="238"/>
      <c r="BD71" s="241"/>
      <c r="BE71" s="237"/>
      <c r="BF71" s="238"/>
      <c r="BG71" s="241"/>
      <c r="BH71" s="237"/>
      <c r="BI71" s="238"/>
      <c r="BJ71" s="241"/>
      <c r="BK71" s="237"/>
    </row>
    <row r="72" spans="1:70" ht="24" hidden="1" customHeight="1" thickBot="1">
      <c r="A72" s="1485"/>
      <c r="B72" s="336"/>
      <c r="C72" s="336"/>
      <c r="D72" s="336"/>
      <c r="E72" s="337" t="s">
        <v>64</v>
      </c>
      <c r="F72" s="422" t="s">
        <v>114</v>
      </c>
      <c r="G72" s="639"/>
      <c r="H72" s="300"/>
      <c r="I72" s="300"/>
      <c r="J72" s="313"/>
      <c r="K72" s="452"/>
      <c r="L72" s="314"/>
      <c r="M72" s="295">
        <f t="shared" si="2"/>
        <v>0</v>
      </c>
      <c r="N72" s="298">
        <f t="shared" si="5"/>
        <v>0</v>
      </c>
      <c r="O72" s="298" t="e">
        <f t="shared" si="6"/>
        <v>#DIV/0!</v>
      </c>
      <c r="P72" s="493"/>
      <c r="Q72" s="299" t="e">
        <f t="shared" ca="1" si="10"/>
        <v>#DIV/0!</v>
      </c>
      <c r="R72" s="35"/>
      <c r="S72" s="36"/>
      <c r="T72" s="40"/>
      <c r="U72" s="42"/>
      <c r="V72" s="65"/>
      <c r="W72" s="65"/>
      <c r="X72" s="65"/>
      <c r="Y72" s="65"/>
      <c r="Z72" s="65"/>
      <c r="AA72" s="42"/>
      <c r="AB72" s="236"/>
      <c r="AC72" s="230"/>
      <c r="AD72" s="232"/>
      <c r="AE72" s="236"/>
      <c r="AF72" s="230"/>
      <c r="AG72" s="232"/>
      <c r="AH72" s="236"/>
      <c r="AI72" s="230"/>
      <c r="AJ72" s="232"/>
      <c r="AK72" s="234"/>
      <c r="AL72" s="226"/>
      <c r="AM72" s="228"/>
      <c r="AN72" s="234"/>
      <c r="AO72" s="226"/>
      <c r="AP72" s="228"/>
      <c r="AQ72" s="224"/>
      <c r="AR72" s="220"/>
      <c r="AS72" s="222"/>
      <c r="AT72" s="224"/>
      <c r="AU72" s="220"/>
      <c r="AV72" s="222"/>
      <c r="AW72" s="224"/>
      <c r="AX72" s="220"/>
      <c r="AY72" s="222"/>
      <c r="AZ72" s="224"/>
      <c r="BA72" s="220"/>
      <c r="BB72" s="222"/>
      <c r="BC72" s="224"/>
      <c r="BD72" s="220"/>
      <c r="BE72" s="222"/>
      <c r="BF72" s="224"/>
      <c r="BG72" s="220"/>
      <c r="BH72" s="222"/>
      <c r="BI72" s="224"/>
      <c r="BJ72" s="220"/>
      <c r="BK72" s="222"/>
    </row>
    <row r="73" spans="1:70" ht="24" hidden="1" customHeight="1" thickBot="1">
      <c r="A73" s="1485"/>
      <c r="B73" s="336"/>
      <c r="C73" s="336"/>
      <c r="D73" s="336"/>
      <c r="E73" s="311" t="s">
        <v>77</v>
      </c>
      <c r="F73" s="422" t="s">
        <v>26</v>
      </c>
      <c r="G73" s="639"/>
      <c r="H73" s="300"/>
      <c r="I73" s="300"/>
      <c r="J73" s="313"/>
      <c r="K73" s="452"/>
      <c r="L73" s="314"/>
      <c r="M73" s="295">
        <f t="shared" si="2"/>
        <v>0</v>
      </c>
      <c r="N73" s="298">
        <f t="shared" si="5"/>
        <v>0</v>
      </c>
      <c r="O73" s="298" t="e">
        <f t="shared" si="6"/>
        <v>#DIV/0!</v>
      </c>
      <c r="P73" s="493"/>
      <c r="Q73" s="299" t="e">
        <f t="shared" ca="1" si="10"/>
        <v>#DIV/0!</v>
      </c>
      <c r="R73" s="35"/>
      <c r="S73" s="36"/>
      <c r="T73" s="40"/>
      <c r="U73" s="40"/>
      <c r="V73" s="39"/>
      <c r="W73" s="39"/>
      <c r="X73" s="39"/>
      <c r="Y73" s="39"/>
      <c r="Z73" s="39"/>
      <c r="AA73" s="40"/>
      <c r="AB73" s="258"/>
      <c r="AC73" s="260"/>
      <c r="AD73" s="262"/>
      <c r="AE73" s="258"/>
      <c r="AF73" s="260"/>
      <c r="AG73" s="262"/>
      <c r="AH73" s="258"/>
      <c r="AI73" s="260"/>
      <c r="AJ73" s="262"/>
      <c r="AK73" s="266"/>
      <c r="AL73" s="267"/>
      <c r="AM73" s="268"/>
      <c r="AN73" s="266"/>
      <c r="AO73" s="267"/>
      <c r="AP73" s="268"/>
      <c r="AQ73" s="263"/>
      <c r="AR73" s="264"/>
      <c r="AS73" s="265"/>
      <c r="AT73" s="263"/>
      <c r="AU73" s="264"/>
      <c r="AV73" s="265"/>
      <c r="AW73" s="263"/>
      <c r="AX73" s="264"/>
      <c r="AY73" s="265"/>
      <c r="AZ73" s="263"/>
      <c r="BA73" s="264"/>
      <c r="BB73" s="265"/>
      <c r="BC73" s="263"/>
      <c r="BD73" s="264"/>
      <c r="BE73" s="265"/>
      <c r="BF73" s="263"/>
      <c r="BG73" s="264"/>
      <c r="BH73" s="265"/>
      <c r="BI73" s="263"/>
      <c r="BJ73" s="264"/>
      <c r="BK73" s="265"/>
    </row>
    <row r="74" spans="1:70" ht="24" hidden="1" customHeight="1" thickBot="1">
      <c r="A74" s="1485"/>
      <c r="B74" s="336"/>
      <c r="C74" s="336"/>
      <c r="D74" s="336"/>
      <c r="E74" s="311" t="s">
        <v>79</v>
      </c>
      <c r="F74" s="422" t="s">
        <v>27</v>
      </c>
      <c r="G74" s="639"/>
      <c r="H74" s="300"/>
      <c r="I74" s="300"/>
      <c r="J74" s="313"/>
      <c r="K74" s="452"/>
      <c r="L74" s="314"/>
      <c r="M74" s="295">
        <f t="shared" si="2"/>
        <v>0</v>
      </c>
      <c r="N74" s="298">
        <f t="shared" si="5"/>
        <v>0</v>
      </c>
      <c r="O74" s="298" t="e">
        <f t="shared" si="6"/>
        <v>#DIV/0!</v>
      </c>
      <c r="P74" s="493"/>
      <c r="Q74" s="299" t="e">
        <f t="shared" ca="1" si="10"/>
        <v>#DIV/0!</v>
      </c>
      <c r="R74" s="35"/>
      <c r="S74" s="36"/>
      <c r="T74" s="40"/>
      <c r="U74" s="40"/>
      <c r="V74" s="39"/>
      <c r="W74" s="39"/>
      <c r="X74" s="39"/>
      <c r="Y74" s="39"/>
      <c r="Z74" s="39"/>
      <c r="AA74" s="40"/>
      <c r="AB74" s="258"/>
      <c r="AC74" s="260"/>
      <c r="AD74" s="262"/>
      <c r="AE74" s="258"/>
      <c r="AF74" s="260"/>
      <c r="AG74" s="262"/>
      <c r="AH74" s="258"/>
      <c r="AI74" s="260"/>
      <c r="AJ74" s="262"/>
      <c r="AK74" s="266"/>
      <c r="AL74" s="267"/>
      <c r="AM74" s="268"/>
      <c r="AN74" s="266"/>
      <c r="AO74" s="267"/>
      <c r="AP74" s="268"/>
      <c r="AQ74" s="263"/>
      <c r="AR74" s="264"/>
      <c r="AS74" s="265"/>
      <c r="AT74" s="263"/>
      <c r="AU74" s="264"/>
      <c r="AV74" s="265"/>
      <c r="AW74" s="263"/>
      <c r="AX74" s="264"/>
      <c r="AY74" s="265"/>
      <c r="AZ74" s="263"/>
      <c r="BA74" s="264"/>
      <c r="BB74" s="265"/>
      <c r="BC74" s="263"/>
      <c r="BD74" s="264"/>
      <c r="BE74" s="265"/>
      <c r="BF74" s="263"/>
      <c r="BG74" s="264"/>
      <c r="BH74" s="265"/>
      <c r="BI74" s="263"/>
      <c r="BJ74" s="264"/>
      <c r="BK74" s="265"/>
    </row>
    <row r="75" spans="1:70" ht="24" hidden="1" customHeight="1" thickBot="1">
      <c r="A75" s="1485"/>
      <c r="B75" s="336"/>
      <c r="C75" s="336"/>
      <c r="D75" s="336"/>
      <c r="E75" s="311" t="s">
        <v>82</v>
      </c>
      <c r="F75" s="422" t="s">
        <v>29</v>
      </c>
      <c r="G75" s="639"/>
      <c r="H75" s="300"/>
      <c r="I75" s="300"/>
      <c r="J75" s="313"/>
      <c r="K75" s="452"/>
      <c r="L75" s="314"/>
      <c r="M75" s="295">
        <f t="shared" si="2"/>
        <v>0</v>
      </c>
      <c r="N75" s="298">
        <f t="shared" si="5"/>
        <v>0</v>
      </c>
      <c r="O75" s="298" t="e">
        <f t="shared" si="6"/>
        <v>#DIV/0!</v>
      </c>
      <c r="P75" s="493"/>
      <c r="Q75" s="299" t="e">
        <f t="shared" ca="1" si="10"/>
        <v>#DIV/0!</v>
      </c>
      <c r="R75" s="35"/>
      <c r="S75" s="36"/>
      <c r="T75" s="40"/>
      <c r="U75" s="41"/>
      <c r="V75" s="1412"/>
      <c r="W75" s="1412"/>
      <c r="X75" s="1412"/>
      <c r="Y75" s="1412"/>
      <c r="Z75" s="1412"/>
      <c r="AA75" s="1414"/>
      <c r="AB75" s="1392"/>
      <c r="AC75" s="1394"/>
      <c r="AD75" s="1396"/>
      <c r="AE75" s="1392"/>
      <c r="AF75" s="1394"/>
      <c r="AG75" s="1396"/>
      <c r="AH75" s="1392"/>
      <c r="AI75" s="1394"/>
      <c r="AJ75" s="1396"/>
      <c r="AK75" s="1398"/>
      <c r="AL75" s="1400"/>
      <c r="AM75" s="1404"/>
      <c r="AN75" s="1398"/>
      <c r="AO75" s="1400"/>
      <c r="AP75" s="1404"/>
      <c r="AQ75" s="1406"/>
      <c r="AR75" s="1408"/>
      <c r="AS75" s="1410"/>
      <c r="AT75" s="1406"/>
      <c r="AU75" s="1408"/>
      <c r="AV75" s="1410"/>
      <c r="AW75" s="1406"/>
      <c r="AX75" s="1408"/>
      <c r="AY75" s="1410"/>
      <c r="AZ75" s="1406"/>
      <c r="BA75" s="1408"/>
      <c r="BB75" s="1410"/>
      <c r="BC75" s="1406"/>
      <c r="BD75" s="1408"/>
      <c r="BE75" s="1410"/>
      <c r="BF75" s="1406"/>
      <c r="BG75" s="1408"/>
      <c r="BH75" s="1410"/>
      <c r="BI75" s="1406"/>
      <c r="BJ75" s="1408"/>
      <c r="BK75" s="1410"/>
    </row>
    <row r="76" spans="1:70" ht="24" hidden="1" customHeight="1" thickBot="1">
      <c r="A76" s="1485"/>
      <c r="B76" s="336"/>
      <c r="C76" s="336"/>
      <c r="D76" s="336"/>
      <c r="E76" s="311" t="s">
        <v>83</v>
      </c>
      <c r="F76" s="422" t="s">
        <v>30</v>
      </c>
      <c r="G76" s="639"/>
      <c r="H76" s="300"/>
      <c r="I76" s="300"/>
      <c r="J76" s="313"/>
      <c r="K76" s="452"/>
      <c r="L76" s="314"/>
      <c r="M76" s="295">
        <f t="shared" si="2"/>
        <v>0</v>
      </c>
      <c r="N76" s="298">
        <f t="shared" si="5"/>
        <v>0</v>
      </c>
      <c r="O76" s="298" t="e">
        <f t="shared" si="6"/>
        <v>#DIV/0!</v>
      </c>
      <c r="P76" s="493"/>
      <c r="Q76" s="299" t="e">
        <f t="shared" ca="1" si="10"/>
        <v>#DIV/0!</v>
      </c>
      <c r="R76" s="35"/>
      <c r="S76" s="36"/>
      <c r="T76" s="40"/>
      <c r="U76" s="42"/>
      <c r="V76" s="1436"/>
      <c r="W76" s="1436"/>
      <c r="X76" s="1436"/>
      <c r="Y76" s="1436"/>
      <c r="Z76" s="1436"/>
      <c r="AA76" s="1437"/>
      <c r="AB76" s="1393"/>
      <c r="AC76" s="1395"/>
      <c r="AD76" s="1397"/>
      <c r="AE76" s="1393"/>
      <c r="AF76" s="1395"/>
      <c r="AG76" s="1397"/>
      <c r="AH76" s="1393"/>
      <c r="AI76" s="1395"/>
      <c r="AJ76" s="1397"/>
      <c r="AK76" s="1399"/>
      <c r="AL76" s="1401"/>
      <c r="AM76" s="1405"/>
      <c r="AN76" s="1399"/>
      <c r="AO76" s="1401"/>
      <c r="AP76" s="1405"/>
      <c r="AQ76" s="1407"/>
      <c r="AR76" s="1409"/>
      <c r="AS76" s="1411"/>
      <c r="AT76" s="1407"/>
      <c r="AU76" s="1409"/>
      <c r="AV76" s="1411"/>
      <c r="AW76" s="1407"/>
      <c r="AX76" s="1409"/>
      <c r="AY76" s="1411"/>
      <c r="AZ76" s="1407"/>
      <c r="BA76" s="1409"/>
      <c r="BB76" s="1411"/>
      <c r="BC76" s="1407"/>
      <c r="BD76" s="1409"/>
      <c r="BE76" s="1411"/>
      <c r="BF76" s="1407"/>
      <c r="BG76" s="1409"/>
      <c r="BH76" s="1411"/>
      <c r="BI76" s="1407"/>
      <c r="BJ76" s="1409"/>
      <c r="BK76" s="1411"/>
    </row>
    <row r="77" spans="1:70" ht="24" hidden="1" customHeight="1" thickBot="1">
      <c r="A77" s="1485"/>
      <c r="B77" s="336"/>
      <c r="C77" s="336"/>
      <c r="D77" s="336"/>
      <c r="E77" s="311" t="s">
        <v>84</v>
      </c>
      <c r="F77" s="422" t="s">
        <v>31</v>
      </c>
      <c r="G77" s="639"/>
      <c r="H77" s="300"/>
      <c r="I77" s="300"/>
      <c r="J77" s="313"/>
      <c r="K77" s="452"/>
      <c r="L77" s="314"/>
      <c r="M77" s="295">
        <f t="shared" si="2"/>
        <v>0</v>
      </c>
      <c r="N77" s="298">
        <f t="shared" si="5"/>
        <v>0</v>
      </c>
      <c r="O77" s="298" t="e">
        <f t="shared" si="6"/>
        <v>#DIV/0!</v>
      </c>
      <c r="P77" s="493"/>
      <c r="Q77" s="299" t="e">
        <f t="shared" ca="1" si="10"/>
        <v>#DIV/0!</v>
      </c>
      <c r="R77" s="35"/>
      <c r="S77" s="36"/>
      <c r="T77" s="40"/>
      <c r="U77" s="41"/>
      <c r="V77" s="1412"/>
      <c r="W77" s="1412"/>
      <c r="X77" s="1412"/>
      <c r="Y77" s="1412"/>
      <c r="Z77" s="1412"/>
      <c r="AA77" s="1414"/>
      <c r="AB77" s="1392"/>
      <c r="AC77" s="1394"/>
      <c r="AD77" s="1396"/>
      <c r="AE77" s="1392"/>
      <c r="AF77" s="1394"/>
      <c r="AG77" s="1396"/>
      <c r="AH77" s="1392"/>
      <c r="AI77" s="1394"/>
      <c r="AJ77" s="1396"/>
      <c r="AK77" s="1398"/>
      <c r="AL77" s="1400"/>
      <c r="AM77" s="1404"/>
      <c r="AN77" s="1398"/>
      <c r="AO77" s="1400"/>
      <c r="AP77" s="1404"/>
      <c r="AQ77" s="1406"/>
      <c r="AR77" s="1408"/>
      <c r="AS77" s="1410"/>
      <c r="AT77" s="1406"/>
      <c r="AU77" s="1408"/>
      <c r="AV77" s="1410"/>
      <c r="AW77" s="1406"/>
      <c r="AX77" s="1408"/>
      <c r="AY77" s="1410"/>
      <c r="AZ77" s="1406"/>
      <c r="BA77" s="1408"/>
      <c r="BB77" s="1410"/>
      <c r="BC77" s="1406"/>
      <c r="BD77" s="1408"/>
      <c r="BE77" s="1410"/>
      <c r="BF77" s="1406"/>
      <c r="BG77" s="1408"/>
      <c r="BH77" s="1410"/>
      <c r="BI77" s="1406"/>
      <c r="BJ77" s="1408"/>
      <c r="BK77" s="1410"/>
    </row>
    <row r="78" spans="1:70" ht="24" hidden="1" customHeight="1" thickBot="1">
      <c r="A78" s="1485"/>
      <c r="B78" s="336"/>
      <c r="C78" s="336"/>
      <c r="D78" s="336"/>
      <c r="E78" s="311" t="s">
        <v>85</v>
      </c>
      <c r="F78" s="422" t="s">
        <v>32</v>
      </c>
      <c r="G78" s="639"/>
      <c r="H78" s="300"/>
      <c r="I78" s="300"/>
      <c r="J78" s="313"/>
      <c r="K78" s="452"/>
      <c r="L78" s="314"/>
      <c r="M78" s="295">
        <f t="shared" si="2"/>
        <v>0</v>
      </c>
      <c r="N78" s="298">
        <f t="shared" si="5"/>
        <v>0</v>
      </c>
      <c r="O78" s="298" t="e">
        <f t="shared" si="6"/>
        <v>#DIV/0!</v>
      </c>
      <c r="P78" s="493"/>
      <c r="Q78" s="299" t="e">
        <f t="shared" ca="1" si="10"/>
        <v>#DIV/0!</v>
      </c>
      <c r="R78" s="35"/>
      <c r="S78" s="36"/>
      <c r="T78" s="40"/>
      <c r="U78" s="42"/>
      <c r="V78" s="1436"/>
      <c r="W78" s="1436"/>
      <c r="X78" s="1436"/>
      <c r="Y78" s="1436"/>
      <c r="Z78" s="1436"/>
      <c r="AA78" s="1437"/>
      <c r="AB78" s="1393"/>
      <c r="AC78" s="1395"/>
      <c r="AD78" s="1397"/>
      <c r="AE78" s="1393"/>
      <c r="AF78" s="1395"/>
      <c r="AG78" s="1397"/>
      <c r="AH78" s="1393"/>
      <c r="AI78" s="1395"/>
      <c r="AJ78" s="1397"/>
      <c r="AK78" s="1399"/>
      <c r="AL78" s="1401"/>
      <c r="AM78" s="1405"/>
      <c r="AN78" s="1399"/>
      <c r="AO78" s="1401"/>
      <c r="AP78" s="1405"/>
      <c r="AQ78" s="1407"/>
      <c r="AR78" s="1409"/>
      <c r="AS78" s="1411"/>
      <c r="AT78" s="1407"/>
      <c r="AU78" s="1409"/>
      <c r="AV78" s="1411"/>
      <c r="AW78" s="1407"/>
      <c r="AX78" s="1409"/>
      <c r="AY78" s="1411"/>
      <c r="AZ78" s="1407"/>
      <c r="BA78" s="1409"/>
      <c r="BB78" s="1411"/>
      <c r="BC78" s="1407"/>
      <c r="BD78" s="1409"/>
      <c r="BE78" s="1411"/>
      <c r="BF78" s="1407"/>
      <c r="BG78" s="1409"/>
      <c r="BH78" s="1411"/>
      <c r="BI78" s="1407"/>
      <c r="BJ78" s="1409"/>
      <c r="BK78" s="1411"/>
    </row>
    <row r="79" spans="1:70" ht="24" hidden="1" customHeight="1" thickBot="1">
      <c r="A79" s="1485"/>
      <c r="B79" s="336"/>
      <c r="C79" s="336"/>
      <c r="D79" s="336"/>
      <c r="E79" s="293" t="s">
        <v>65</v>
      </c>
      <c r="F79" s="422" t="s">
        <v>109</v>
      </c>
      <c r="G79" s="639"/>
      <c r="H79" s="300"/>
      <c r="I79" s="300"/>
      <c r="J79" s="313"/>
      <c r="K79" s="452"/>
      <c r="L79" s="314"/>
      <c r="M79" s="295">
        <f t="shared" si="2"/>
        <v>0</v>
      </c>
      <c r="N79" s="298">
        <f t="shared" si="5"/>
        <v>0</v>
      </c>
      <c r="O79" s="298" t="e">
        <f t="shared" si="6"/>
        <v>#DIV/0!</v>
      </c>
      <c r="P79" s="493"/>
      <c r="Q79" s="299" t="e">
        <f t="shared" ca="1" si="10"/>
        <v>#DIV/0!</v>
      </c>
      <c r="R79" s="35"/>
      <c r="S79" s="36"/>
      <c r="T79" s="40"/>
      <c r="U79" s="40"/>
      <c r="V79" s="39"/>
      <c r="W79" s="39"/>
      <c r="X79" s="39"/>
      <c r="Y79" s="39"/>
      <c r="Z79" s="39"/>
      <c r="AA79" s="40"/>
      <c r="AB79" s="258"/>
      <c r="AC79" s="260"/>
      <c r="AD79" s="262"/>
      <c r="AE79" s="258"/>
      <c r="AF79" s="260"/>
      <c r="AG79" s="262"/>
      <c r="AH79" s="258"/>
      <c r="AI79" s="260"/>
      <c r="AJ79" s="262"/>
      <c r="AK79" s="266"/>
      <c r="AL79" s="267"/>
      <c r="AM79" s="268"/>
      <c r="AN79" s="266"/>
      <c r="AO79" s="267"/>
      <c r="AP79" s="268"/>
      <c r="AQ79" s="263"/>
      <c r="AR79" s="264"/>
      <c r="AS79" s="265"/>
      <c r="AT79" s="263"/>
      <c r="AU79" s="264"/>
      <c r="AV79" s="265"/>
      <c r="AW79" s="263"/>
      <c r="AX79" s="264"/>
      <c r="AY79" s="265"/>
      <c r="AZ79" s="263"/>
      <c r="BA79" s="264"/>
      <c r="BB79" s="265"/>
      <c r="BC79" s="263"/>
      <c r="BD79" s="264"/>
      <c r="BE79" s="265"/>
      <c r="BF79" s="263"/>
      <c r="BG79" s="264"/>
      <c r="BH79" s="265"/>
      <c r="BI79" s="263"/>
      <c r="BJ79" s="264"/>
      <c r="BK79" s="265"/>
    </row>
    <row r="80" spans="1:70" ht="24" hidden="1" customHeight="1" thickBot="1">
      <c r="A80" s="1485"/>
      <c r="B80" s="336"/>
      <c r="C80" s="336"/>
      <c r="D80" s="336"/>
      <c r="E80" s="293" t="s">
        <v>66</v>
      </c>
      <c r="F80" s="422" t="s">
        <v>20</v>
      </c>
      <c r="G80" s="639"/>
      <c r="H80" s="300"/>
      <c r="I80" s="300"/>
      <c r="J80" s="313"/>
      <c r="K80" s="452"/>
      <c r="L80" s="314"/>
      <c r="M80" s="295">
        <f t="shared" si="2"/>
        <v>0</v>
      </c>
      <c r="N80" s="298">
        <f t="shared" si="5"/>
        <v>0</v>
      </c>
      <c r="O80" s="298" t="e">
        <f t="shared" si="6"/>
        <v>#DIV/0!</v>
      </c>
      <c r="P80" s="493"/>
      <c r="Q80" s="299" t="e">
        <f t="shared" ca="1" si="10"/>
        <v>#DIV/0!</v>
      </c>
      <c r="R80" s="35"/>
      <c r="S80" s="36"/>
      <c r="T80" s="40"/>
      <c r="U80" s="40"/>
      <c r="V80" s="39"/>
      <c r="W80" s="39"/>
      <c r="X80" s="39"/>
      <c r="Y80" s="39"/>
      <c r="Z80" s="39"/>
      <c r="AA80" s="40"/>
      <c r="AB80" s="258"/>
      <c r="AC80" s="260"/>
      <c r="AD80" s="262"/>
      <c r="AE80" s="258"/>
      <c r="AF80" s="260"/>
      <c r="AG80" s="262"/>
      <c r="AH80" s="258"/>
      <c r="AI80" s="260"/>
      <c r="AJ80" s="262"/>
      <c r="AK80" s="266"/>
      <c r="AL80" s="267"/>
      <c r="AM80" s="268"/>
      <c r="AN80" s="266"/>
      <c r="AO80" s="267"/>
      <c r="AP80" s="268"/>
      <c r="AQ80" s="263"/>
      <c r="AR80" s="264"/>
      <c r="AS80" s="265"/>
      <c r="AT80" s="263"/>
      <c r="AU80" s="264"/>
      <c r="AV80" s="265"/>
      <c r="AW80" s="263"/>
      <c r="AX80" s="264"/>
      <c r="AY80" s="265"/>
      <c r="AZ80" s="263"/>
      <c r="BA80" s="264"/>
      <c r="BB80" s="265"/>
      <c r="BC80" s="263"/>
      <c r="BD80" s="264"/>
      <c r="BE80" s="265"/>
      <c r="BF80" s="263"/>
      <c r="BG80" s="264"/>
      <c r="BH80" s="265"/>
      <c r="BI80" s="263"/>
      <c r="BJ80" s="264"/>
      <c r="BK80" s="265"/>
    </row>
    <row r="81" spans="1:63" ht="34.5" customHeight="1">
      <c r="A81" s="1485"/>
      <c r="B81" s="1488"/>
      <c r="C81" s="301" t="s">
        <v>516</v>
      </c>
      <c r="D81" s="1488" t="s">
        <v>397</v>
      </c>
      <c r="E81" s="311" t="s">
        <v>389</v>
      </c>
      <c r="F81" s="422" t="s">
        <v>298</v>
      </c>
      <c r="G81" s="639">
        <f>59.8</f>
        <v>59.8</v>
      </c>
      <c r="H81" s="295">
        <f t="shared" ref="H81:H86" si="15">3600/G81</f>
        <v>60.200668896321076</v>
      </c>
      <c r="I81" s="300"/>
      <c r="J81" s="294">
        <f>0.19*Q1</f>
        <v>100.7</v>
      </c>
      <c r="K81" s="480">
        <v>605</v>
      </c>
      <c r="L81" s="1490">
        <v>1170</v>
      </c>
      <c r="M81" s="295">
        <f>K81-J81</f>
        <v>504.3</v>
      </c>
      <c r="N81" s="298">
        <f>((M81*G81)/3600)*-1</f>
        <v>-8.3769833333333334</v>
      </c>
      <c r="O81" s="298">
        <f t="shared" ref="O81:O98" si="16">K81/J81</f>
        <v>6.0079443892750746</v>
      </c>
      <c r="P81" s="493">
        <f>2.5*O81</f>
        <v>15.019860973187686</v>
      </c>
      <c r="Q81" s="299">
        <f ca="1">+$Q$5+O81</f>
        <v>41764.007944389276</v>
      </c>
      <c r="R81" s="57"/>
      <c r="S81" s="58"/>
      <c r="T81" s="59"/>
      <c r="U81" s="59"/>
      <c r="V81" s="66"/>
      <c r="W81" s="66"/>
      <c r="X81" s="66"/>
      <c r="Y81" s="66"/>
      <c r="Z81" s="66"/>
      <c r="AA81" s="59"/>
      <c r="AB81" s="246"/>
      <c r="AC81" s="282"/>
      <c r="AD81" s="242"/>
      <c r="AE81" s="243"/>
      <c r="AF81" s="244"/>
      <c r="AG81" s="242"/>
      <c r="AH81" s="243"/>
      <c r="AI81" s="282"/>
      <c r="AJ81" s="242"/>
      <c r="AK81" s="243"/>
      <c r="AL81" s="244"/>
      <c r="AM81" s="242"/>
      <c r="AN81" s="89"/>
      <c r="AO81" s="229"/>
      <c r="AP81" s="90"/>
      <c r="AQ81" s="91"/>
      <c r="AR81" s="247"/>
      <c r="AS81" s="92"/>
      <c r="AT81" s="248"/>
      <c r="AU81" s="249"/>
      <c r="AV81" s="250"/>
      <c r="AW81" s="248"/>
      <c r="AX81" s="249"/>
      <c r="AY81" s="250"/>
      <c r="AZ81" s="248"/>
      <c r="BA81" s="249"/>
      <c r="BB81" s="250"/>
      <c r="BC81" s="248"/>
      <c r="BD81" s="249"/>
      <c r="BE81" s="250"/>
      <c r="BF81" s="248"/>
      <c r="BG81" s="249"/>
      <c r="BH81" s="250"/>
      <c r="BI81" s="248"/>
      <c r="BJ81" s="249"/>
      <c r="BK81" s="250"/>
    </row>
    <row r="82" spans="1:63" ht="42" customHeight="1">
      <c r="A82" s="1485"/>
      <c r="B82" s="1489"/>
      <c r="C82" s="301" t="s">
        <v>517</v>
      </c>
      <c r="D82" s="1489"/>
      <c r="E82" s="293" t="s">
        <v>388</v>
      </c>
      <c r="F82" s="427" t="s">
        <v>295</v>
      </c>
      <c r="G82" s="639">
        <v>59.8</v>
      </c>
      <c r="H82" s="295">
        <f t="shared" si="15"/>
        <v>60.200668896321076</v>
      </c>
      <c r="I82" s="300"/>
      <c r="J82" s="294">
        <f>0.8*Q1</f>
        <v>424</v>
      </c>
      <c r="K82" s="480">
        <v>651</v>
      </c>
      <c r="L82" s="1490"/>
      <c r="M82" s="295">
        <f>K82-J82</f>
        <v>227</v>
      </c>
      <c r="N82" s="298">
        <f>((M82*G82)/3600)*-1</f>
        <v>-3.7707222222222216</v>
      </c>
      <c r="O82" s="298">
        <f t="shared" si="16"/>
        <v>1.5353773584905661</v>
      </c>
      <c r="P82" s="493">
        <f>2.5*O82</f>
        <v>3.8384433962264151</v>
      </c>
      <c r="Q82" s="299">
        <f ca="1">+$Q$5+O82</f>
        <v>41759.535377358494</v>
      </c>
      <c r="R82" s="57"/>
      <c r="S82" s="58"/>
      <c r="T82" s="59"/>
      <c r="U82" s="59"/>
      <c r="V82" s="66"/>
      <c r="W82" s="66"/>
      <c r="X82" s="66"/>
      <c r="Y82" s="66"/>
      <c r="Z82" s="66"/>
      <c r="AA82" s="59"/>
      <c r="AB82" s="246"/>
      <c r="AC82" s="282"/>
      <c r="AD82" s="242"/>
      <c r="AE82" s="243"/>
      <c r="AF82" s="244"/>
      <c r="AG82" s="242"/>
      <c r="AH82" s="243"/>
      <c r="AI82" s="282"/>
      <c r="AJ82" s="242"/>
      <c r="AK82" s="243"/>
      <c r="AL82" s="244"/>
      <c r="AM82" s="242"/>
      <c r="AN82" s="89"/>
      <c r="AO82" s="229"/>
      <c r="AP82" s="90"/>
      <c r="AQ82" s="91"/>
      <c r="AR82" s="247"/>
      <c r="AS82" s="92"/>
      <c r="AT82" s="248"/>
      <c r="AU82" s="249"/>
      <c r="AV82" s="250"/>
      <c r="AW82" s="248"/>
      <c r="AX82" s="249"/>
      <c r="AY82" s="250"/>
      <c r="AZ82" s="248"/>
      <c r="BA82" s="249"/>
      <c r="BB82" s="250"/>
      <c r="BC82" s="248"/>
      <c r="BD82" s="249"/>
      <c r="BE82" s="250"/>
      <c r="BF82" s="248"/>
      <c r="BG82" s="249"/>
      <c r="BH82" s="250"/>
      <c r="BI82" s="248"/>
      <c r="BJ82" s="249"/>
      <c r="BK82" s="250"/>
    </row>
    <row r="83" spans="1:63" ht="35.25" customHeight="1">
      <c r="A83" s="1485"/>
      <c r="B83" s="1489"/>
      <c r="C83" s="301" t="s">
        <v>518</v>
      </c>
      <c r="D83" s="1489"/>
      <c r="E83" s="325" t="s">
        <v>390</v>
      </c>
      <c r="F83" s="428" t="s">
        <v>299</v>
      </c>
      <c r="G83" s="639">
        <v>59.8</v>
      </c>
      <c r="H83" s="339">
        <f t="shared" si="15"/>
        <v>60.200668896321076</v>
      </c>
      <c r="I83" s="326"/>
      <c r="J83" s="294">
        <f>0.01*Q1</f>
        <v>5.3</v>
      </c>
      <c r="K83" s="483">
        <v>63</v>
      </c>
      <c r="L83" s="1491"/>
      <c r="M83" s="339">
        <f>K83-J83</f>
        <v>57.7</v>
      </c>
      <c r="N83" s="330">
        <f>((M83*G83)/3600)*-1</f>
        <v>-0.9584611111111111</v>
      </c>
      <c r="O83" s="330">
        <f t="shared" si="16"/>
        <v>11.886792452830189</v>
      </c>
      <c r="P83" s="493">
        <f>2.5*O83</f>
        <v>29.716981132075475</v>
      </c>
      <c r="Q83" s="341">
        <f ca="1">+$Q$5+O83</f>
        <v>41769.886792452831</v>
      </c>
      <c r="R83" s="57"/>
      <c r="S83" s="58"/>
      <c r="T83" s="59"/>
      <c r="U83" s="59"/>
      <c r="V83" s="66"/>
      <c r="W83" s="66"/>
      <c r="X83" s="66"/>
      <c r="Y83" s="66"/>
      <c r="Z83" s="66"/>
      <c r="AA83" s="59"/>
      <c r="AB83" s="246"/>
      <c r="AC83" s="282"/>
      <c r="AD83" s="242"/>
      <c r="AE83" s="243"/>
      <c r="AF83" s="244"/>
      <c r="AG83" s="242"/>
      <c r="AH83" s="243"/>
      <c r="AI83" s="282"/>
      <c r="AJ83" s="242"/>
      <c r="AK83" s="243"/>
      <c r="AL83" s="244"/>
      <c r="AM83" s="242"/>
      <c r="AN83" s="89"/>
      <c r="AO83" s="229"/>
      <c r="AP83" s="90"/>
      <c r="AQ83" s="91"/>
      <c r="AR83" s="247"/>
      <c r="AS83" s="92"/>
      <c r="AT83" s="248"/>
      <c r="AU83" s="249"/>
      <c r="AV83" s="250"/>
      <c r="AW83" s="248"/>
      <c r="AX83" s="249"/>
      <c r="AY83" s="250"/>
      <c r="AZ83" s="248"/>
      <c r="BA83" s="249"/>
      <c r="BB83" s="250"/>
      <c r="BC83" s="248"/>
      <c r="BD83" s="249"/>
      <c r="BE83" s="250"/>
      <c r="BF83" s="248"/>
      <c r="BG83" s="249"/>
      <c r="BH83" s="250"/>
      <c r="BI83" s="248"/>
      <c r="BJ83" s="249"/>
      <c r="BK83" s="250"/>
    </row>
    <row r="84" spans="1:63" ht="35.25" customHeight="1" thickBot="1">
      <c r="A84" s="1486"/>
      <c r="B84" s="342"/>
      <c r="C84" s="342"/>
      <c r="D84" s="342" t="s">
        <v>398</v>
      </c>
      <c r="E84" s="303" t="s">
        <v>386</v>
      </c>
      <c r="F84" s="423" t="s">
        <v>293</v>
      </c>
      <c r="G84" s="639">
        <v>36</v>
      </c>
      <c r="H84" s="333">
        <f t="shared" si="15"/>
        <v>100</v>
      </c>
      <c r="I84" s="304"/>
      <c r="J84" s="306">
        <f>Q1</f>
        <v>530</v>
      </c>
      <c r="K84" s="451">
        <v>623</v>
      </c>
      <c r="L84" s="307">
        <v>1800</v>
      </c>
      <c r="M84" s="305">
        <f t="shared" si="2"/>
        <v>93</v>
      </c>
      <c r="N84" s="308">
        <f t="shared" si="5"/>
        <v>-0.93</v>
      </c>
      <c r="O84" s="308">
        <f t="shared" si="16"/>
        <v>1.1754716981132076</v>
      </c>
      <c r="P84" s="493">
        <f>2.5*O84</f>
        <v>2.9386792452830193</v>
      </c>
      <c r="Q84" s="309">
        <f t="shared" ca="1" si="10"/>
        <v>41759.175471698116</v>
      </c>
      <c r="R84" s="57"/>
      <c r="S84" s="58"/>
      <c r="T84" s="59"/>
      <c r="U84" s="59"/>
      <c r="V84" s="66"/>
      <c r="W84" s="66"/>
      <c r="X84" s="66"/>
      <c r="Y84" s="66"/>
      <c r="Z84" s="66"/>
      <c r="AA84" s="59"/>
      <c r="AB84" s="246"/>
      <c r="AC84" s="282"/>
      <c r="AD84" s="242"/>
      <c r="AE84" s="243"/>
      <c r="AF84" s="244"/>
      <c r="AG84" s="242"/>
      <c r="AH84" s="243"/>
      <c r="AI84" s="282"/>
      <c r="AJ84" s="242"/>
      <c r="AK84" s="243"/>
      <c r="AL84" s="244"/>
      <c r="AM84" s="242"/>
      <c r="AN84" s="89"/>
      <c r="AO84" s="229"/>
      <c r="AP84" s="90"/>
      <c r="AQ84" s="91"/>
      <c r="AR84" s="247"/>
      <c r="AS84" s="92"/>
      <c r="AT84" s="248"/>
      <c r="AU84" s="249"/>
      <c r="AV84" s="250"/>
      <c r="AW84" s="248"/>
      <c r="AX84" s="249"/>
      <c r="AY84" s="250"/>
      <c r="AZ84" s="248"/>
      <c r="BA84" s="249"/>
      <c r="BB84" s="250"/>
      <c r="BC84" s="248"/>
      <c r="BD84" s="249"/>
      <c r="BE84" s="250"/>
      <c r="BF84" s="248"/>
      <c r="BG84" s="249"/>
      <c r="BH84" s="250"/>
      <c r="BI84" s="248"/>
      <c r="BJ84" s="249"/>
      <c r="BK84" s="250"/>
    </row>
    <row r="85" spans="1:63" ht="33" customHeight="1">
      <c r="A85" s="1492" t="s">
        <v>290</v>
      </c>
      <c r="B85" s="780"/>
      <c r="C85" s="875" t="s">
        <v>513</v>
      </c>
      <c r="D85" s="403" t="s">
        <v>331</v>
      </c>
      <c r="E85" s="404" t="s">
        <v>87</v>
      </c>
      <c r="F85" s="429" t="s">
        <v>440</v>
      </c>
      <c r="G85" s="382">
        <v>67</v>
      </c>
      <c r="H85" s="406">
        <f t="shared" si="15"/>
        <v>53.731343283582092</v>
      </c>
      <c r="I85" s="406"/>
      <c r="J85" s="407">
        <f>Q2</f>
        <v>320</v>
      </c>
      <c r="K85" s="453">
        <v>614</v>
      </c>
      <c r="L85" s="408">
        <v>616</v>
      </c>
      <c r="M85" s="406">
        <f t="shared" si="2"/>
        <v>294</v>
      </c>
      <c r="N85" s="409">
        <f t="shared" si="5"/>
        <v>-5.4716666666666667</v>
      </c>
      <c r="O85" s="409">
        <f t="shared" si="16"/>
        <v>1.91875</v>
      </c>
      <c r="P85" s="498">
        <f>O85*1.5</f>
        <v>2.8781249999999998</v>
      </c>
      <c r="Q85" s="410">
        <f t="shared" ca="1" si="10"/>
        <v>41759.918749999997</v>
      </c>
      <c r="R85" s="47"/>
      <c r="S85" s="48"/>
      <c r="T85" s="67">
        <v>1</v>
      </c>
      <c r="U85" s="67"/>
      <c r="V85" s="68">
        <v>1</v>
      </c>
      <c r="W85" s="68">
        <v>1</v>
      </c>
      <c r="X85" s="50"/>
      <c r="Y85" s="50"/>
      <c r="Z85" s="50"/>
      <c r="AA85" s="49"/>
      <c r="AB85" s="257">
        <v>13</v>
      </c>
      <c r="AC85" s="6"/>
      <c r="AD85" s="7"/>
      <c r="AE85" s="5"/>
      <c r="AF85" s="259"/>
      <c r="AG85" s="261"/>
      <c r="AH85" s="257"/>
      <c r="AI85" s="259">
        <v>20</v>
      </c>
      <c r="AJ85" s="7"/>
      <c r="AK85" s="5"/>
      <c r="AL85" s="6"/>
      <c r="AM85" s="7"/>
      <c r="AN85" s="264"/>
      <c r="AO85" s="264"/>
      <c r="AP85" s="264"/>
      <c r="AQ85" s="264"/>
      <c r="AR85" s="264"/>
      <c r="AS85" s="264"/>
      <c r="AT85" s="30"/>
      <c r="AU85" s="31"/>
      <c r="AV85" s="32"/>
      <c r="AW85" s="30"/>
      <c r="AX85" s="31"/>
      <c r="AY85" s="32"/>
      <c r="AZ85" s="30"/>
      <c r="BA85" s="31"/>
      <c r="BB85" s="32"/>
      <c r="BC85" s="30"/>
      <c r="BD85" s="31"/>
      <c r="BE85" s="32"/>
      <c r="BF85" s="30"/>
      <c r="BG85" s="31"/>
      <c r="BH85" s="32"/>
      <c r="BI85" s="30"/>
      <c r="BJ85" s="31"/>
      <c r="BK85" s="32"/>
    </row>
    <row r="86" spans="1:63" ht="36" customHeight="1">
      <c r="A86" s="1492"/>
      <c r="B86" s="779"/>
      <c r="C86" s="874" t="s">
        <v>513</v>
      </c>
      <c r="D86" s="411" t="s">
        <v>333</v>
      </c>
      <c r="E86" s="380" t="s">
        <v>89</v>
      </c>
      <c r="F86" s="419" t="s">
        <v>424</v>
      </c>
      <c r="G86" s="382">
        <v>60</v>
      </c>
      <c r="H86" s="382">
        <f t="shared" si="15"/>
        <v>60</v>
      </c>
      <c r="I86" s="382">
        <v>1</v>
      </c>
      <c r="J86" s="383">
        <f>Q3</f>
        <v>214</v>
      </c>
      <c r="K86" s="450">
        <f>305+144</f>
        <v>449</v>
      </c>
      <c r="L86" s="408">
        <v>480</v>
      </c>
      <c r="M86" s="382">
        <f t="shared" si="2"/>
        <v>235</v>
      </c>
      <c r="N86" s="385">
        <f t="shared" si="5"/>
        <v>-3.9166666666666665</v>
      </c>
      <c r="O86" s="385">
        <f t="shared" si="16"/>
        <v>2.0981308411214954</v>
      </c>
      <c r="P86" s="498">
        <f>O86*1.5</f>
        <v>3.1471962616822431</v>
      </c>
      <c r="Q86" s="386">
        <f t="shared" ca="1" si="10"/>
        <v>41760.098130841121</v>
      </c>
      <c r="R86" s="35"/>
      <c r="S86" s="36"/>
      <c r="T86" s="40"/>
      <c r="U86" s="40"/>
      <c r="V86" s="39"/>
      <c r="W86" s="39"/>
      <c r="X86" s="64">
        <v>1</v>
      </c>
      <c r="Y86" s="64">
        <v>1</v>
      </c>
      <c r="Z86" s="39"/>
      <c r="AA86" s="40"/>
      <c r="AB86" s="258"/>
      <c r="AC86" s="260"/>
      <c r="AD86" s="262"/>
      <c r="AE86" s="258"/>
      <c r="AF86" s="260"/>
      <c r="AG86" s="262"/>
      <c r="AH86" s="258"/>
      <c r="AI86" s="260"/>
      <c r="AJ86" s="262"/>
      <c r="AK86" s="266"/>
      <c r="AL86" s="267"/>
      <c r="AM86" s="268">
        <v>3</v>
      </c>
      <c r="AN86" s="264"/>
      <c r="AO86" s="264"/>
      <c r="AP86" s="264"/>
      <c r="AQ86" s="264"/>
      <c r="AR86" s="264"/>
      <c r="AS86" s="264"/>
      <c r="AT86" s="263"/>
      <c r="AU86" s="264"/>
      <c r="AV86" s="265"/>
      <c r="AW86" s="263"/>
      <c r="AX86" s="264"/>
      <c r="AY86" s="265"/>
      <c r="AZ86" s="263"/>
      <c r="BA86" s="264"/>
      <c r="BB86" s="265"/>
      <c r="BC86" s="263"/>
      <c r="BD86" s="264"/>
      <c r="BE86" s="265"/>
      <c r="BF86" s="263"/>
      <c r="BG86" s="264"/>
      <c r="BH86" s="265"/>
      <c r="BI86" s="263"/>
      <c r="BJ86" s="264"/>
      <c r="BK86" s="265"/>
    </row>
    <row r="87" spans="1:63" ht="23.25" hidden="1" customHeight="1">
      <c r="A87" s="1492"/>
      <c r="B87" s="779"/>
      <c r="C87" s="874"/>
      <c r="D87" s="411"/>
      <c r="E87" s="397" t="s">
        <v>86</v>
      </c>
      <c r="F87" s="419" t="s">
        <v>111</v>
      </c>
      <c r="G87" s="382"/>
      <c r="H87" s="382" t="e">
        <f t="shared" ref="H87:H97" si="17">3600/G87</f>
        <v>#DIV/0!</v>
      </c>
      <c r="I87" s="387"/>
      <c r="J87" s="400"/>
      <c r="K87" s="450"/>
      <c r="L87" s="401"/>
      <c r="M87" s="382">
        <f t="shared" si="2"/>
        <v>0</v>
      </c>
      <c r="N87" s="385">
        <f t="shared" si="5"/>
        <v>0</v>
      </c>
      <c r="O87" s="385" t="e">
        <f t="shared" si="16"/>
        <v>#DIV/0!</v>
      </c>
      <c r="P87" s="490"/>
      <c r="Q87" s="386" t="e">
        <f t="shared" ca="1" si="10"/>
        <v>#DIV/0!</v>
      </c>
      <c r="R87" s="35"/>
      <c r="S87" s="36"/>
      <c r="T87" s="40"/>
      <c r="U87" s="40"/>
      <c r="V87" s="39"/>
      <c r="W87" s="39"/>
      <c r="X87" s="64"/>
      <c r="Y87" s="64"/>
      <c r="Z87" s="39"/>
      <c r="AA87" s="40"/>
      <c r="AB87" s="258"/>
      <c r="AC87" s="260"/>
      <c r="AD87" s="262"/>
      <c r="AE87" s="258"/>
      <c r="AF87" s="260"/>
      <c r="AG87" s="262" t="s">
        <v>174</v>
      </c>
      <c r="AH87" s="273"/>
      <c r="AI87" s="260"/>
      <c r="AJ87" s="262"/>
      <c r="AK87" s="266"/>
      <c r="AL87" s="267"/>
      <c r="AM87" s="268"/>
      <c r="AN87" s="264"/>
      <c r="AO87" s="264"/>
      <c r="AP87" s="264"/>
      <c r="AQ87" s="264"/>
      <c r="AR87" s="264"/>
      <c r="AS87" s="264"/>
      <c r="AT87" s="263"/>
      <c r="AU87" s="264"/>
      <c r="AV87" s="265"/>
      <c r="AW87" s="263"/>
      <c r="AX87" s="264"/>
      <c r="AY87" s="265"/>
      <c r="AZ87" s="263"/>
      <c r="BA87" s="264"/>
      <c r="BB87" s="265"/>
      <c r="BC87" s="263"/>
      <c r="BD87" s="264"/>
      <c r="BE87" s="265"/>
      <c r="BF87" s="263"/>
      <c r="BG87" s="264"/>
      <c r="BH87" s="265"/>
      <c r="BI87" s="263"/>
      <c r="BJ87" s="264"/>
      <c r="BK87" s="265"/>
    </row>
    <row r="88" spans="1:63" ht="23.25" hidden="1" customHeight="1">
      <c r="A88" s="1492"/>
      <c r="B88" s="779"/>
      <c r="C88" s="874"/>
      <c r="D88" s="411"/>
      <c r="E88" s="398" t="s">
        <v>92</v>
      </c>
      <c r="F88" s="419" t="s">
        <v>35</v>
      </c>
      <c r="G88" s="382"/>
      <c r="H88" s="382" t="e">
        <f t="shared" si="17"/>
        <v>#DIV/0!</v>
      </c>
      <c r="I88" s="387"/>
      <c r="J88" s="400"/>
      <c r="K88" s="450"/>
      <c r="L88" s="401"/>
      <c r="M88" s="382">
        <f t="shared" si="2"/>
        <v>0</v>
      </c>
      <c r="N88" s="385">
        <f t="shared" si="5"/>
        <v>0</v>
      </c>
      <c r="O88" s="385" t="e">
        <f t="shared" si="16"/>
        <v>#DIV/0!</v>
      </c>
      <c r="P88" s="490"/>
      <c r="Q88" s="386" t="e">
        <f t="shared" ca="1" si="10"/>
        <v>#DIV/0!</v>
      </c>
      <c r="R88" s="35"/>
      <c r="S88" s="36"/>
      <c r="T88" s="40"/>
      <c r="U88" s="40"/>
      <c r="V88" s="39"/>
      <c r="W88" s="39"/>
      <c r="X88" s="64"/>
      <c r="Y88" s="64"/>
      <c r="Z88" s="39"/>
      <c r="AA88" s="40"/>
      <c r="AB88" s="1392"/>
      <c r="AC88" s="1394"/>
      <c r="AD88" s="1396"/>
      <c r="AE88" s="1392"/>
      <c r="AF88" s="1394"/>
      <c r="AG88" s="1396"/>
      <c r="AH88" s="1392"/>
      <c r="AI88" s="1394"/>
      <c r="AJ88" s="1396"/>
      <c r="AK88" s="1398"/>
      <c r="AL88" s="1400"/>
      <c r="AM88" s="1404"/>
      <c r="AN88" s="264"/>
      <c r="AO88" s="264"/>
      <c r="AP88" s="264"/>
      <c r="AQ88" s="264"/>
      <c r="AR88" s="264"/>
      <c r="AS88" s="264"/>
      <c r="AT88" s="1406"/>
      <c r="AU88" s="1408"/>
      <c r="AV88" s="1410"/>
      <c r="AW88" s="1406"/>
      <c r="AX88" s="1408"/>
      <c r="AY88" s="1410"/>
      <c r="AZ88" s="1406"/>
      <c r="BA88" s="1408"/>
      <c r="BB88" s="1410"/>
      <c r="BC88" s="1406"/>
      <c r="BD88" s="1408"/>
      <c r="BE88" s="1410"/>
      <c r="BF88" s="1406"/>
      <c r="BG88" s="1408"/>
      <c r="BH88" s="1410"/>
      <c r="BI88" s="1406"/>
      <c r="BJ88" s="1408"/>
      <c r="BK88" s="1410"/>
    </row>
    <row r="89" spans="1:63" ht="23.25" hidden="1" customHeight="1">
      <c r="A89" s="1492"/>
      <c r="B89" s="779"/>
      <c r="C89" s="874"/>
      <c r="D89" s="411"/>
      <c r="E89" s="398" t="s">
        <v>94</v>
      </c>
      <c r="F89" s="419" t="s">
        <v>37</v>
      </c>
      <c r="G89" s="382"/>
      <c r="H89" s="382" t="e">
        <f t="shared" si="17"/>
        <v>#DIV/0!</v>
      </c>
      <c r="I89" s="387"/>
      <c r="J89" s="400"/>
      <c r="K89" s="450"/>
      <c r="L89" s="401"/>
      <c r="M89" s="382">
        <f t="shared" si="2"/>
        <v>0</v>
      </c>
      <c r="N89" s="385">
        <f t="shared" si="5"/>
        <v>0</v>
      </c>
      <c r="O89" s="385" t="e">
        <f t="shared" si="16"/>
        <v>#DIV/0!</v>
      </c>
      <c r="P89" s="490"/>
      <c r="Q89" s="386" t="e">
        <f t="shared" ca="1" si="10"/>
        <v>#DIV/0!</v>
      </c>
      <c r="R89" s="35"/>
      <c r="S89" s="36"/>
      <c r="T89" s="40"/>
      <c r="U89" s="40"/>
      <c r="V89" s="39"/>
      <c r="W89" s="39"/>
      <c r="X89" s="64"/>
      <c r="Y89" s="64"/>
      <c r="Z89" s="39"/>
      <c r="AA89" s="40"/>
      <c r="AB89" s="1393"/>
      <c r="AC89" s="1395"/>
      <c r="AD89" s="1397"/>
      <c r="AE89" s="1393"/>
      <c r="AF89" s="1395"/>
      <c r="AG89" s="1397"/>
      <c r="AH89" s="1393"/>
      <c r="AI89" s="1395"/>
      <c r="AJ89" s="1397"/>
      <c r="AK89" s="1399"/>
      <c r="AL89" s="1401"/>
      <c r="AM89" s="1405"/>
      <c r="AN89" s="264"/>
      <c r="AO89" s="264"/>
      <c r="AP89" s="264"/>
      <c r="AQ89" s="264"/>
      <c r="AR89" s="264"/>
      <c r="AS89" s="264"/>
      <c r="AT89" s="1407"/>
      <c r="AU89" s="1409"/>
      <c r="AV89" s="1411"/>
      <c r="AW89" s="1407"/>
      <c r="AX89" s="1409"/>
      <c r="AY89" s="1411"/>
      <c r="AZ89" s="1407"/>
      <c r="BA89" s="1409"/>
      <c r="BB89" s="1411"/>
      <c r="BC89" s="1407"/>
      <c r="BD89" s="1409"/>
      <c r="BE89" s="1411"/>
      <c r="BF89" s="1407"/>
      <c r="BG89" s="1409"/>
      <c r="BH89" s="1411"/>
      <c r="BI89" s="1407"/>
      <c r="BJ89" s="1409"/>
      <c r="BK89" s="1411"/>
    </row>
    <row r="90" spans="1:63" ht="23.25" hidden="1" customHeight="1">
      <c r="A90" s="1492"/>
      <c r="B90" s="779"/>
      <c r="C90" s="874"/>
      <c r="D90" s="411"/>
      <c r="E90" s="398" t="s">
        <v>93</v>
      </c>
      <c r="F90" s="419" t="s">
        <v>36</v>
      </c>
      <c r="G90" s="382"/>
      <c r="H90" s="382" t="e">
        <f t="shared" si="17"/>
        <v>#DIV/0!</v>
      </c>
      <c r="I90" s="387"/>
      <c r="J90" s="400"/>
      <c r="K90" s="450"/>
      <c r="L90" s="401"/>
      <c r="M90" s="382">
        <f t="shared" si="2"/>
        <v>0</v>
      </c>
      <c r="N90" s="385">
        <f t="shared" si="5"/>
        <v>0</v>
      </c>
      <c r="O90" s="385" t="e">
        <f t="shared" si="16"/>
        <v>#DIV/0!</v>
      </c>
      <c r="P90" s="490"/>
      <c r="Q90" s="386" t="e">
        <f t="shared" ca="1" si="10"/>
        <v>#DIV/0!</v>
      </c>
      <c r="R90" s="35"/>
      <c r="S90" s="36"/>
      <c r="T90" s="40"/>
      <c r="U90" s="40"/>
      <c r="V90" s="39"/>
      <c r="W90" s="39"/>
      <c r="X90" s="64"/>
      <c r="Y90" s="64"/>
      <c r="Z90" s="39"/>
      <c r="AA90" s="40"/>
      <c r="AB90" s="273">
        <v>6</v>
      </c>
      <c r="AC90" s="260"/>
      <c r="AD90" s="262"/>
      <c r="AE90" s="258"/>
      <c r="AF90" s="260"/>
      <c r="AG90" s="262"/>
      <c r="AH90" s="258"/>
      <c r="AI90" s="260"/>
      <c r="AJ90" s="262"/>
      <c r="AK90" s="266"/>
      <c r="AL90" s="267"/>
      <c r="AM90" s="268"/>
      <c r="AN90" s="264"/>
      <c r="AO90" s="264"/>
      <c r="AP90" s="264"/>
      <c r="AQ90" s="264"/>
      <c r="AR90" s="264"/>
      <c r="AS90" s="264"/>
      <c r="AT90" s="263"/>
      <c r="AU90" s="264"/>
      <c r="AV90" s="265"/>
      <c r="AW90" s="263"/>
      <c r="AX90" s="264"/>
      <c r="AY90" s="265"/>
      <c r="AZ90" s="263"/>
      <c r="BA90" s="264"/>
      <c r="BB90" s="265"/>
      <c r="BC90" s="263"/>
      <c r="BD90" s="264"/>
      <c r="BE90" s="265"/>
      <c r="BF90" s="263"/>
      <c r="BG90" s="264"/>
      <c r="BH90" s="265"/>
      <c r="BI90" s="263"/>
      <c r="BJ90" s="264"/>
      <c r="BK90" s="265"/>
    </row>
    <row r="91" spans="1:63" ht="23.25" hidden="1" customHeight="1">
      <c r="A91" s="1492"/>
      <c r="B91" s="779"/>
      <c r="C91" s="874"/>
      <c r="D91" s="411"/>
      <c r="E91" s="398" t="s">
        <v>95</v>
      </c>
      <c r="F91" s="419" t="s">
        <v>38</v>
      </c>
      <c r="G91" s="382"/>
      <c r="H91" s="382" t="e">
        <f t="shared" si="17"/>
        <v>#DIV/0!</v>
      </c>
      <c r="I91" s="387"/>
      <c r="J91" s="400"/>
      <c r="K91" s="450"/>
      <c r="L91" s="401"/>
      <c r="M91" s="382">
        <f t="shared" si="2"/>
        <v>0</v>
      </c>
      <c r="N91" s="385">
        <f t="shared" si="5"/>
        <v>0</v>
      </c>
      <c r="O91" s="385" t="e">
        <f t="shared" si="16"/>
        <v>#DIV/0!</v>
      </c>
      <c r="P91" s="490"/>
      <c r="Q91" s="386" t="e">
        <f t="shared" ca="1" si="10"/>
        <v>#DIV/0!</v>
      </c>
      <c r="R91" s="35"/>
      <c r="S91" s="36"/>
      <c r="T91" s="40"/>
      <c r="U91" s="40"/>
      <c r="V91" s="39"/>
      <c r="W91" s="39"/>
      <c r="X91" s="64"/>
      <c r="Y91" s="64"/>
      <c r="Z91" s="39"/>
      <c r="AA91" s="40"/>
      <c r="AB91" s="1392"/>
      <c r="AC91" s="1394"/>
      <c r="AD91" s="1396"/>
      <c r="AE91" s="1392"/>
      <c r="AF91" s="1394"/>
      <c r="AG91" s="1396"/>
      <c r="AH91" s="1392"/>
      <c r="AI91" s="1394"/>
      <c r="AJ91" s="1396"/>
      <c r="AK91" s="1398"/>
      <c r="AL91" s="1400"/>
      <c r="AM91" s="1404"/>
      <c r="AN91" s="264"/>
      <c r="AO91" s="264"/>
      <c r="AP91" s="264"/>
      <c r="AQ91" s="264"/>
      <c r="AR91" s="264"/>
      <c r="AS91" s="264"/>
      <c r="AT91" s="1406"/>
      <c r="AU91" s="1408"/>
      <c r="AV91" s="1410"/>
      <c r="AW91" s="1406"/>
      <c r="AX91" s="1408"/>
      <c r="AY91" s="1410"/>
      <c r="AZ91" s="1406"/>
      <c r="BA91" s="1408"/>
      <c r="BB91" s="1410"/>
      <c r="BC91" s="1406"/>
      <c r="BD91" s="1408"/>
      <c r="BE91" s="1410"/>
      <c r="BF91" s="1406"/>
      <c r="BG91" s="1408"/>
      <c r="BH91" s="1410"/>
      <c r="BI91" s="1406"/>
      <c r="BJ91" s="1408"/>
      <c r="BK91" s="1410"/>
    </row>
    <row r="92" spans="1:63" ht="23.25" hidden="1" customHeight="1">
      <c r="A92" s="1492"/>
      <c r="B92" s="779"/>
      <c r="C92" s="874"/>
      <c r="D92" s="411"/>
      <c r="E92" s="398" t="s">
        <v>97</v>
      </c>
      <c r="F92" s="419" t="s">
        <v>40</v>
      </c>
      <c r="G92" s="382"/>
      <c r="H92" s="382" t="e">
        <f t="shared" si="17"/>
        <v>#DIV/0!</v>
      </c>
      <c r="I92" s="387"/>
      <c r="J92" s="400"/>
      <c r="K92" s="450"/>
      <c r="L92" s="401"/>
      <c r="M92" s="382">
        <f t="shared" si="2"/>
        <v>0</v>
      </c>
      <c r="N92" s="385">
        <f t="shared" si="5"/>
        <v>0</v>
      </c>
      <c r="O92" s="385" t="e">
        <f t="shared" si="16"/>
        <v>#DIV/0!</v>
      </c>
      <c r="P92" s="490"/>
      <c r="Q92" s="386" t="e">
        <f t="shared" ca="1" si="10"/>
        <v>#DIV/0!</v>
      </c>
      <c r="R92" s="35"/>
      <c r="S92" s="36"/>
      <c r="T92" s="40"/>
      <c r="U92" s="40"/>
      <c r="V92" s="39"/>
      <c r="W92" s="39"/>
      <c r="X92" s="64"/>
      <c r="Y92" s="64"/>
      <c r="Z92" s="39"/>
      <c r="AA92" s="40"/>
      <c r="AB92" s="1393"/>
      <c r="AC92" s="1395"/>
      <c r="AD92" s="1397"/>
      <c r="AE92" s="1393"/>
      <c r="AF92" s="1395"/>
      <c r="AG92" s="1397"/>
      <c r="AH92" s="1393"/>
      <c r="AI92" s="1395"/>
      <c r="AJ92" s="1397"/>
      <c r="AK92" s="1399"/>
      <c r="AL92" s="1401"/>
      <c r="AM92" s="1405"/>
      <c r="AN92" s="264"/>
      <c r="AO92" s="264"/>
      <c r="AP92" s="264"/>
      <c r="AQ92" s="264"/>
      <c r="AR92" s="264"/>
      <c r="AS92" s="264"/>
      <c r="AT92" s="1407"/>
      <c r="AU92" s="1409"/>
      <c r="AV92" s="1411"/>
      <c r="AW92" s="1407"/>
      <c r="AX92" s="1409"/>
      <c r="AY92" s="1411"/>
      <c r="AZ92" s="1407"/>
      <c r="BA92" s="1409"/>
      <c r="BB92" s="1411"/>
      <c r="BC92" s="1407"/>
      <c r="BD92" s="1409"/>
      <c r="BE92" s="1411"/>
      <c r="BF92" s="1407"/>
      <c r="BG92" s="1409"/>
      <c r="BH92" s="1411"/>
      <c r="BI92" s="1407"/>
      <c r="BJ92" s="1409"/>
      <c r="BK92" s="1411"/>
    </row>
    <row r="93" spans="1:63" ht="23.25" hidden="1" customHeight="1">
      <c r="A93" s="1492"/>
      <c r="B93" s="779"/>
      <c r="C93" s="874"/>
      <c r="D93" s="411"/>
      <c r="E93" s="398" t="s">
        <v>96</v>
      </c>
      <c r="F93" s="419" t="s">
        <v>39</v>
      </c>
      <c r="G93" s="382"/>
      <c r="H93" s="382" t="e">
        <f t="shared" si="17"/>
        <v>#DIV/0!</v>
      </c>
      <c r="I93" s="387"/>
      <c r="J93" s="400"/>
      <c r="K93" s="450"/>
      <c r="L93" s="401"/>
      <c r="M93" s="382">
        <f t="shared" si="2"/>
        <v>0</v>
      </c>
      <c r="N93" s="385">
        <f t="shared" si="5"/>
        <v>0</v>
      </c>
      <c r="O93" s="385" t="e">
        <f t="shared" si="16"/>
        <v>#DIV/0!</v>
      </c>
      <c r="P93" s="490"/>
      <c r="Q93" s="386" t="e">
        <f t="shared" ca="1" si="10"/>
        <v>#DIV/0!</v>
      </c>
      <c r="R93" s="35"/>
      <c r="S93" s="36"/>
      <c r="T93" s="40"/>
      <c r="U93" s="40"/>
      <c r="V93" s="39"/>
      <c r="W93" s="39"/>
      <c r="X93" s="64"/>
      <c r="Y93" s="64"/>
      <c r="Z93" s="39"/>
      <c r="AA93" s="40"/>
      <c r="AB93" s="258"/>
      <c r="AC93" s="260"/>
      <c r="AD93" s="262"/>
      <c r="AE93" s="258"/>
      <c r="AF93" s="260"/>
      <c r="AG93" s="262"/>
      <c r="AH93" s="258"/>
      <c r="AI93" s="260"/>
      <c r="AJ93" s="262"/>
      <c r="AK93" s="266"/>
      <c r="AL93" s="267"/>
      <c r="AM93" s="268"/>
      <c r="AN93" s="264"/>
      <c r="AO93" s="264"/>
      <c r="AP93" s="264"/>
      <c r="AQ93" s="264"/>
      <c r="AR93" s="264"/>
      <c r="AS93" s="264"/>
      <c r="AT93" s="263"/>
      <c r="AU93" s="264"/>
      <c r="AV93" s="265"/>
      <c r="AW93" s="263"/>
      <c r="AX93" s="264"/>
      <c r="AY93" s="265"/>
      <c r="AZ93" s="263"/>
      <c r="BA93" s="264"/>
      <c r="BB93" s="265"/>
      <c r="BC93" s="263"/>
      <c r="BD93" s="264"/>
      <c r="BE93" s="265"/>
      <c r="BF93" s="263"/>
      <c r="BG93" s="264"/>
      <c r="BH93" s="265"/>
      <c r="BI93" s="263"/>
      <c r="BJ93" s="264"/>
      <c r="BK93" s="265"/>
    </row>
    <row r="94" spans="1:63" ht="23.25" hidden="1" customHeight="1">
      <c r="A94" s="1492"/>
      <c r="B94" s="779"/>
      <c r="C94" s="874"/>
      <c r="D94" s="411"/>
      <c r="E94" s="397" t="s">
        <v>98</v>
      </c>
      <c r="F94" s="419" t="s">
        <v>41</v>
      </c>
      <c r="G94" s="382"/>
      <c r="H94" s="382" t="e">
        <f t="shared" si="17"/>
        <v>#DIV/0!</v>
      </c>
      <c r="I94" s="387"/>
      <c r="J94" s="400"/>
      <c r="K94" s="450"/>
      <c r="L94" s="401"/>
      <c r="M94" s="382">
        <f t="shared" si="2"/>
        <v>0</v>
      </c>
      <c r="N94" s="385">
        <f t="shared" si="5"/>
        <v>0</v>
      </c>
      <c r="O94" s="385" t="e">
        <f t="shared" si="16"/>
        <v>#DIV/0!</v>
      </c>
      <c r="P94" s="490"/>
      <c r="Q94" s="386" t="e">
        <f t="shared" ca="1" si="10"/>
        <v>#DIV/0!</v>
      </c>
      <c r="R94" s="35"/>
      <c r="S94" s="36"/>
      <c r="T94" s="40"/>
      <c r="U94" s="40"/>
      <c r="V94" s="39"/>
      <c r="W94" s="39"/>
      <c r="X94" s="64"/>
      <c r="Y94" s="64"/>
      <c r="Z94" s="39"/>
      <c r="AA94" s="40"/>
      <c r="AB94" s="258"/>
      <c r="AC94" s="260"/>
      <c r="AD94" s="262"/>
      <c r="AE94" s="258"/>
      <c r="AF94" s="260"/>
      <c r="AG94" s="262"/>
      <c r="AH94" s="258"/>
      <c r="AI94" s="260"/>
      <c r="AJ94" s="262"/>
      <c r="AK94" s="266"/>
      <c r="AL94" s="267"/>
      <c r="AM94" s="268"/>
      <c r="AN94" s="264"/>
      <c r="AO94" s="264"/>
      <c r="AP94" s="264"/>
      <c r="AQ94" s="264"/>
      <c r="AR94" s="264"/>
      <c r="AS94" s="264"/>
      <c r="AT94" s="263"/>
      <c r="AU94" s="264"/>
      <c r="AV94" s="265"/>
      <c r="AW94" s="263"/>
      <c r="AX94" s="264"/>
      <c r="AY94" s="265"/>
      <c r="AZ94" s="263"/>
      <c r="BA94" s="264"/>
      <c r="BB94" s="265"/>
      <c r="BC94" s="263"/>
      <c r="BD94" s="264"/>
      <c r="BE94" s="265"/>
      <c r="BF94" s="263"/>
      <c r="BG94" s="264"/>
      <c r="BH94" s="265"/>
      <c r="BI94" s="263"/>
      <c r="BJ94" s="264"/>
      <c r="BK94" s="265"/>
    </row>
    <row r="95" spans="1:63" ht="23.25" hidden="1" customHeight="1">
      <c r="A95" s="1492"/>
      <c r="B95" s="779"/>
      <c r="C95" s="874"/>
      <c r="D95" s="411"/>
      <c r="E95" s="397" t="s">
        <v>99</v>
      </c>
      <c r="F95" s="419" t="s">
        <v>42</v>
      </c>
      <c r="G95" s="382"/>
      <c r="H95" s="382" t="e">
        <f t="shared" si="17"/>
        <v>#DIV/0!</v>
      </c>
      <c r="I95" s="387"/>
      <c r="J95" s="400"/>
      <c r="K95" s="450"/>
      <c r="L95" s="401"/>
      <c r="M95" s="382">
        <f t="shared" si="2"/>
        <v>0</v>
      </c>
      <c r="N95" s="385">
        <f t="shared" si="5"/>
        <v>0</v>
      </c>
      <c r="O95" s="385" t="e">
        <f t="shared" si="16"/>
        <v>#DIV/0!</v>
      </c>
      <c r="P95" s="490"/>
      <c r="Q95" s="386" t="e">
        <f t="shared" ca="1" si="10"/>
        <v>#DIV/0!</v>
      </c>
      <c r="R95" s="35"/>
      <c r="S95" s="36"/>
      <c r="T95" s="40"/>
      <c r="U95" s="40"/>
      <c r="V95" s="39"/>
      <c r="W95" s="39"/>
      <c r="X95" s="64"/>
      <c r="Y95" s="64"/>
      <c r="Z95" s="39"/>
      <c r="AA95" s="40"/>
      <c r="AB95" s="258"/>
      <c r="AC95" s="260"/>
      <c r="AD95" s="262"/>
      <c r="AE95" s="258"/>
      <c r="AF95" s="260"/>
      <c r="AG95" s="262"/>
      <c r="AH95" s="258"/>
      <c r="AI95" s="260"/>
      <c r="AJ95" s="262"/>
      <c r="AK95" s="266"/>
      <c r="AL95" s="267"/>
      <c r="AM95" s="268"/>
      <c r="AN95" s="264"/>
      <c r="AO95" s="264"/>
      <c r="AP95" s="264"/>
      <c r="AQ95" s="264"/>
      <c r="AR95" s="264"/>
      <c r="AS95" s="264"/>
      <c r="AT95" s="263"/>
      <c r="AU95" s="264"/>
      <c r="AV95" s="265"/>
      <c r="AW95" s="263"/>
      <c r="AX95" s="264"/>
      <c r="AY95" s="265"/>
      <c r="AZ95" s="263"/>
      <c r="BA95" s="264"/>
      <c r="BB95" s="265"/>
      <c r="BC95" s="263"/>
      <c r="BD95" s="264"/>
      <c r="BE95" s="265"/>
      <c r="BF95" s="263"/>
      <c r="BG95" s="264"/>
      <c r="BH95" s="265"/>
      <c r="BI95" s="263"/>
      <c r="BJ95" s="264"/>
      <c r="BK95" s="265"/>
    </row>
    <row r="96" spans="1:63" ht="23.25" hidden="1" customHeight="1">
      <c r="A96" s="1492"/>
      <c r="B96" s="779"/>
      <c r="C96" s="874"/>
      <c r="D96" s="411"/>
      <c r="E96" s="397" t="s">
        <v>100</v>
      </c>
      <c r="F96" s="419" t="s">
        <v>43</v>
      </c>
      <c r="G96" s="382"/>
      <c r="H96" s="382" t="e">
        <f t="shared" si="17"/>
        <v>#DIV/0!</v>
      </c>
      <c r="I96" s="387"/>
      <c r="J96" s="400"/>
      <c r="K96" s="450"/>
      <c r="L96" s="401"/>
      <c r="M96" s="382">
        <f t="shared" si="2"/>
        <v>0</v>
      </c>
      <c r="N96" s="385">
        <f t="shared" si="5"/>
        <v>0</v>
      </c>
      <c r="O96" s="385" t="e">
        <f t="shared" si="16"/>
        <v>#DIV/0!</v>
      </c>
      <c r="P96" s="490"/>
      <c r="Q96" s="386" t="e">
        <f t="shared" ca="1" si="10"/>
        <v>#DIV/0!</v>
      </c>
      <c r="R96" s="35"/>
      <c r="S96" s="36"/>
      <c r="T96" s="40"/>
      <c r="U96" s="40"/>
      <c r="V96" s="39"/>
      <c r="W96" s="39"/>
      <c r="X96" s="64"/>
      <c r="Y96" s="64"/>
      <c r="Z96" s="39"/>
      <c r="AA96" s="40"/>
      <c r="AB96" s="258"/>
      <c r="AC96" s="260"/>
      <c r="AD96" s="262"/>
      <c r="AE96" s="258"/>
      <c r="AF96" s="260"/>
      <c r="AG96" s="262"/>
      <c r="AH96" s="258"/>
      <c r="AI96" s="260"/>
      <c r="AJ96" s="262"/>
      <c r="AK96" s="266"/>
      <c r="AL96" s="267"/>
      <c r="AM96" s="268"/>
      <c r="AN96" s="264"/>
      <c r="AO96" s="264"/>
      <c r="AP96" s="264"/>
      <c r="AQ96" s="264"/>
      <c r="AR96" s="264"/>
      <c r="AS96" s="264"/>
      <c r="AT96" s="263"/>
      <c r="AU96" s="264"/>
      <c r="AV96" s="265"/>
      <c r="AW96" s="263"/>
      <c r="AX96" s="264"/>
      <c r="AY96" s="265"/>
      <c r="AZ96" s="263"/>
      <c r="BA96" s="264"/>
      <c r="BB96" s="265"/>
      <c r="BC96" s="263"/>
      <c r="BD96" s="264"/>
      <c r="BE96" s="265"/>
      <c r="BF96" s="263"/>
      <c r="BG96" s="264"/>
      <c r="BH96" s="265"/>
      <c r="BI96" s="263"/>
      <c r="BJ96" s="264"/>
      <c r="BK96" s="265"/>
    </row>
    <row r="97" spans="1:78" ht="24" hidden="1" customHeight="1">
      <c r="A97" s="1492"/>
      <c r="B97" s="779"/>
      <c r="C97" s="874"/>
      <c r="D97" s="411"/>
      <c r="E97" s="397" t="s">
        <v>101</v>
      </c>
      <c r="F97" s="419" t="s">
        <v>44</v>
      </c>
      <c r="G97" s="382"/>
      <c r="H97" s="382" t="e">
        <f t="shared" si="17"/>
        <v>#DIV/0!</v>
      </c>
      <c r="I97" s="387"/>
      <c r="J97" s="400"/>
      <c r="K97" s="450"/>
      <c r="L97" s="401"/>
      <c r="M97" s="382">
        <f t="shared" si="2"/>
        <v>0</v>
      </c>
      <c r="N97" s="385">
        <f t="shared" si="5"/>
        <v>0</v>
      </c>
      <c r="O97" s="385" t="e">
        <f t="shared" si="16"/>
        <v>#DIV/0!</v>
      </c>
      <c r="P97" s="490"/>
      <c r="Q97" s="386" t="e">
        <f t="shared" ca="1" si="10"/>
        <v>#DIV/0!</v>
      </c>
      <c r="R97" s="43"/>
      <c r="S97" s="44"/>
      <c r="T97" s="45"/>
      <c r="U97" s="45"/>
      <c r="V97" s="46"/>
      <c r="W97" s="46"/>
      <c r="X97" s="69"/>
      <c r="Y97" s="69"/>
      <c r="Z97" s="46"/>
      <c r="AA97" s="45"/>
      <c r="AB97" s="281"/>
      <c r="AC97" s="10"/>
      <c r="AD97" s="9"/>
      <c r="AE97" s="281"/>
      <c r="AF97" s="10"/>
      <c r="AG97" s="9"/>
      <c r="AH97" s="281"/>
      <c r="AI97" s="10"/>
      <c r="AJ97" s="9"/>
      <c r="AK97" s="279"/>
      <c r="AL97" s="274"/>
      <c r="AM97" s="275"/>
      <c r="AN97" s="264"/>
      <c r="AO97" s="264"/>
      <c r="AP97" s="264"/>
      <c r="AQ97" s="264"/>
      <c r="AR97" s="264"/>
      <c r="AS97" s="264"/>
      <c r="AT97" s="269"/>
      <c r="AU97" s="270"/>
      <c r="AV97" s="271"/>
      <c r="AW97" s="269"/>
      <c r="AX97" s="270"/>
      <c r="AY97" s="271"/>
      <c r="AZ97" s="269"/>
      <c r="BA97" s="270"/>
      <c r="BB97" s="271"/>
      <c r="BC97" s="269"/>
      <c r="BD97" s="270"/>
      <c r="BE97" s="271"/>
      <c r="BF97" s="269"/>
      <c r="BG97" s="270"/>
      <c r="BH97" s="271"/>
      <c r="BI97" s="269"/>
      <c r="BJ97" s="270"/>
      <c r="BK97" s="271"/>
    </row>
    <row r="98" spans="1:78" ht="41.25" customHeight="1">
      <c r="A98" s="1492"/>
      <c r="B98" s="1526"/>
      <c r="C98" s="870" t="s">
        <v>516</v>
      </c>
      <c r="D98" s="1526" t="s">
        <v>399</v>
      </c>
      <c r="E98" s="412" t="s">
        <v>383</v>
      </c>
      <c r="F98" s="430" t="s">
        <v>297</v>
      </c>
      <c r="G98" s="382">
        <v>68</v>
      </c>
      <c r="H98" s="382">
        <v>50</v>
      </c>
      <c r="I98" s="413"/>
      <c r="J98" s="382">
        <f>0.19*Q1</f>
        <v>100.7</v>
      </c>
      <c r="K98" s="480">
        <v>98</v>
      </c>
      <c r="L98" s="1529">
        <v>672</v>
      </c>
      <c r="M98" s="382">
        <f t="shared" si="2"/>
        <v>-2.7000000000000028</v>
      </c>
      <c r="N98" s="385">
        <f t="shared" si="5"/>
        <v>5.1000000000000052E-2</v>
      </c>
      <c r="O98" s="385">
        <f t="shared" si="16"/>
        <v>0.97318768619662366</v>
      </c>
      <c r="P98" s="490">
        <f>O98*2.5</f>
        <v>2.4329692154915592</v>
      </c>
      <c r="Q98" s="386">
        <f t="shared" ca="1" si="10"/>
        <v>41758.973187686199</v>
      </c>
      <c r="R98" s="57"/>
      <c r="S98" s="58"/>
      <c r="T98" s="59"/>
      <c r="U98" s="59"/>
      <c r="V98" s="66"/>
      <c r="W98" s="66"/>
      <c r="X98" s="96"/>
      <c r="Y98" s="96"/>
      <c r="Z98" s="66"/>
      <c r="AA98" s="59"/>
      <c r="AB98" s="243"/>
      <c r="AC98" s="244"/>
      <c r="AD98" s="242"/>
      <c r="AE98" s="243"/>
      <c r="AF98" s="244"/>
      <c r="AG98" s="242"/>
      <c r="AH98" s="243"/>
      <c r="AI98" s="244"/>
      <c r="AJ98" s="242"/>
      <c r="AK98" s="240"/>
      <c r="AL98" s="245"/>
      <c r="AM98" s="239"/>
      <c r="AN98" s="97"/>
      <c r="AO98" s="220"/>
      <c r="AP98" s="98"/>
      <c r="AQ98" s="97"/>
      <c r="AR98" s="220"/>
      <c r="AS98" s="98"/>
      <c r="AT98" s="238"/>
      <c r="AU98" s="241"/>
      <c r="AV98" s="237"/>
      <c r="AW98" s="238"/>
      <c r="AX98" s="241"/>
      <c r="AY98" s="237"/>
      <c r="AZ98" s="238"/>
      <c r="BA98" s="241"/>
      <c r="BB98" s="237"/>
      <c r="BC98" s="238"/>
      <c r="BD98" s="241"/>
      <c r="BE98" s="237"/>
      <c r="BF98" s="238"/>
      <c r="BG98" s="241"/>
      <c r="BH98" s="237"/>
      <c r="BI98" s="238"/>
      <c r="BJ98" s="241"/>
      <c r="BK98" s="237"/>
    </row>
    <row r="99" spans="1:78" ht="41.25" customHeight="1">
      <c r="A99" s="1492"/>
      <c r="B99" s="1527"/>
      <c r="C99" s="870" t="s">
        <v>517</v>
      </c>
      <c r="D99" s="1527"/>
      <c r="E99" s="412" t="s">
        <v>382</v>
      </c>
      <c r="F99" s="430" t="s">
        <v>294</v>
      </c>
      <c r="G99" s="382">
        <v>68</v>
      </c>
      <c r="H99" s="382">
        <v>50</v>
      </c>
      <c r="I99" s="413"/>
      <c r="J99" s="382">
        <f>0.8*Q1</f>
        <v>424</v>
      </c>
      <c r="K99" s="480">
        <v>502</v>
      </c>
      <c r="L99" s="1529"/>
      <c r="M99" s="382">
        <f t="shared" si="2"/>
        <v>78</v>
      </c>
      <c r="N99" s="385">
        <f t="shared" si="5"/>
        <v>-1.4733333333333334</v>
      </c>
      <c r="O99" s="385">
        <f>K98/J98</f>
        <v>0.97318768619662366</v>
      </c>
      <c r="P99" s="490">
        <f>O99*2.5</f>
        <v>2.4329692154915592</v>
      </c>
      <c r="Q99" s="386">
        <f t="shared" ca="1" si="10"/>
        <v>41758.973187686199</v>
      </c>
      <c r="R99" s="57"/>
      <c r="S99" s="58"/>
      <c r="T99" s="59"/>
      <c r="U99" s="59"/>
      <c r="V99" s="66"/>
      <c r="W99" s="66"/>
      <c r="X99" s="96"/>
      <c r="Y99" s="96"/>
      <c r="Z99" s="66"/>
      <c r="AA99" s="59"/>
      <c r="AB99" s="243"/>
      <c r="AC99" s="244"/>
      <c r="AD99" s="242"/>
      <c r="AE99" s="243"/>
      <c r="AF99" s="244"/>
      <c r="AG99" s="242"/>
      <c r="AH99" s="243"/>
      <c r="AI99" s="244"/>
      <c r="AJ99" s="242"/>
      <c r="AK99" s="240"/>
      <c r="AL99" s="245"/>
      <c r="AM99" s="239"/>
      <c r="AN99" s="97"/>
      <c r="AO99" s="220"/>
      <c r="AP99" s="98"/>
      <c r="AQ99" s="97"/>
      <c r="AR99" s="220"/>
      <c r="AS99" s="98"/>
      <c r="AT99" s="238"/>
      <c r="AU99" s="241"/>
      <c r="AV99" s="237"/>
      <c r="AW99" s="238"/>
      <c r="AX99" s="241"/>
      <c r="AY99" s="237"/>
      <c r="AZ99" s="238"/>
      <c r="BA99" s="241"/>
      <c r="BB99" s="237"/>
      <c r="BC99" s="238"/>
      <c r="BD99" s="241"/>
      <c r="BE99" s="237"/>
      <c r="BF99" s="238"/>
      <c r="BG99" s="241"/>
      <c r="BH99" s="237"/>
      <c r="BI99" s="238"/>
      <c r="BJ99" s="241"/>
      <c r="BK99" s="237"/>
    </row>
    <row r="100" spans="1:78" ht="42" customHeight="1" thickBot="1">
      <c r="A100" s="1493"/>
      <c r="B100" s="1528"/>
      <c r="C100" s="870" t="s">
        <v>518</v>
      </c>
      <c r="D100" s="1528"/>
      <c r="E100" s="414" t="s">
        <v>384</v>
      </c>
      <c r="F100" s="431" t="s">
        <v>296</v>
      </c>
      <c r="G100" s="382">
        <v>68</v>
      </c>
      <c r="H100" s="391">
        <f>3600/G100</f>
        <v>52.941176470588232</v>
      </c>
      <c r="I100" s="415"/>
      <c r="J100" s="382">
        <f>0.01*Q1</f>
        <v>5.3</v>
      </c>
      <c r="K100" s="481">
        <v>23</v>
      </c>
      <c r="L100" s="1530"/>
      <c r="M100" s="391">
        <f t="shared" si="2"/>
        <v>17.7</v>
      </c>
      <c r="N100" s="394">
        <f t="shared" si="5"/>
        <v>-0.33433333333333332</v>
      </c>
      <c r="O100" s="385">
        <f>K100/J98</f>
        <v>0.22840119165839126</v>
      </c>
      <c r="P100" s="490">
        <f>O100*2.5</f>
        <v>0.5710029791459782</v>
      </c>
      <c r="Q100" s="395">
        <f t="shared" ca="1" si="10"/>
        <v>41758.228401191656</v>
      </c>
      <c r="R100" s="57"/>
      <c r="S100" s="58"/>
      <c r="T100" s="59"/>
      <c r="U100" s="59"/>
      <c r="V100" s="66"/>
      <c r="W100" s="66"/>
      <c r="X100" s="96"/>
      <c r="Y100" s="96"/>
      <c r="Z100" s="66"/>
      <c r="AA100" s="59"/>
      <c r="AB100" s="243"/>
      <c r="AC100" s="244"/>
      <c r="AD100" s="242"/>
      <c r="AE100" s="243"/>
      <c r="AF100" s="244"/>
      <c r="AG100" s="242"/>
      <c r="AH100" s="243"/>
      <c r="AI100" s="244"/>
      <c r="AJ100" s="242"/>
      <c r="AK100" s="240"/>
      <c r="AL100" s="245"/>
      <c r="AM100" s="239"/>
      <c r="AN100" s="97"/>
      <c r="AO100" s="220"/>
      <c r="AP100" s="98"/>
      <c r="AQ100" s="97"/>
      <c r="AR100" s="220"/>
      <c r="AS100" s="98"/>
      <c r="AT100" s="238"/>
      <c r="AU100" s="241"/>
      <c r="AV100" s="237"/>
      <c r="AW100" s="238"/>
      <c r="AX100" s="241"/>
      <c r="AY100" s="237"/>
      <c r="AZ100" s="238"/>
      <c r="BA100" s="241"/>
      <c r="BB100" s="237"/>
      <c r="BC100" s="238"/>
      <c r="BD100" s="241"/>
      <c r="BE100" s="237"/>
      <c r="BF100" s="238"/>
      <c r="BG100" s="241"/>
      <c r="BH100" s="237"/>
      <c r="BI100" s="238"/>
      <c r="BJ100" s="241"/>
      <c r="BK100" s="237"/>
    </row>
    <row r="101" spans="1:78" ht="24" hidden="1" customHeight="1" thickBot="1">
      <c r="A101" s="442" t="s">
        <v>105</v>
      </c>
      <c r="B101" s="345"/>
      <c r="C101" s="876"/>
      <c r="D101" s="345" t="s">
        <v>324</v>
      </c>
      <c r="E101" s="346" t="s">
        <v>77</v>
      </c>
      <c r="F101" s="432" t="s">
        <v>26</v>
      </c>
      <c r="G101" s="639">
        <v>47</v>
      </c>
      <c r="H101" s="347">
        <f t="shared" ref="H101:H119" si="18">3600/G101</f>
        <v>76.59574468085107</v>
      </c>
      <c r="I101" s="348">
        <v>1</v>
      </c>
      <c r="J101" s="482">
        <v>144</v>
      </c>
      <c r="K101" s="459">
        <v>450</v>
      </c>
      <c r="L101" s="349" t="s">
        <v>252</v>
      </c>
      <c r="M101" s="348">
        <f t="shared" si="2"/>
        <v>306</v>
      </c>
      <c r="N101" s="350">
        <f t="shared" si="5"/>
        <v>-3.9950000000000001</v>
      </c>
      <c r="O101" s="350">
        <f t="shared" ref="O101:O132" si="19">K101/J101</f>
        <v>3.125</v>
      </c>
      <c r="P101" s="499"/>
      <c r="Q101" s="351">
        <f t="shared" ca="1" si="10"/>
        <v>41761.125</v>
      </c>
      <c r="R101" s="35"/>
      <c r="S101" s="36"/>
      <c r="T101" s="37">
        <v>1</v>
      </c>
      <c r="U101" s="37"/>
      <c r="V101" s="64">
        <v>1</v>
      </c>
      <c r="W101" s="39"/>
      <c r="X101" s="39"/>
      <c r="Y101" s="39"/>
      <c r="Z101" s="39"/>
      <c r="AA101" s="40"/>
      <c r="AB101" s="258"/>
      <c r="AC101" s="260"/>
      <c r="AD101" s="262"/>
      <c r="AE101" s="258"/>
      <c r="AF101" s="260"/>
      <c r="AG101" s="262"/>
      <c r="AH101" s="258"/>
      <c r="AI101" s="260"/>
      <c r="AJ101" s="262"/>
      <c r="AK101" s="258"/>
      <c r="AL101" s="260"/>
      <c r="AM101" s="262"/>
      <c r="AN101" s="258"/>
      <c r="AO101" s="260"/>
      <c r="AP101" s="262"/>
      <c r="AQ101" s="252"/>
      <c r="AR101" s="254"/>
      <c r="AS101" s="256"/>
      <c r="AT101" s="252"/>
      <c r="AU101" s="254"/>
      <c r="AV101" s="256"/>
      <c r="AW101" s="252"/>
      <c r="AX101" s="254"/>
      <c r="AY101" s="256"/>
      <c r="AZ101" s="252"/>
      <c r="BA101" s="254"/>
      <c r="BB101" s="256"/>
      <c r="BC101" s="252"/>
      <c r="BD101" s="254"/>
      <c r="BE101" s="256"/>
      <c r="BF101" s="252"/>
      <c r="BG101" s="254"/>
      <c r="BH101" s="256"/>
      <c r="BI101" s="252"/>
      <c r="BJ101" s="254"/>
      <c r="BK101" s="256"/>
    </row>
    <row r="102" spans="1:78" ht="27" customHeight="1" thickBot="1">
      <c r="A102" s="1484" t="s">
        <v>394</v>
      </c>
      <c r="B102" s="334"/>
      <c r="C102" s="334"/>
      <c r="D102" s="334" t="s">
        <v>395</v>
      </c>
      <c r="E102" s="352" t="s">
        <v>385</v>
      </c>
      <c r="F102" s="421" t="s">
        <v>291</v>
      </c>
      <c r="G102" s="639">
        <v>68</v>
      </c>
      <c r="H102" s="288">
        <f>3600/G102</f>
        <v>52.941176470588232</v>
      </c>
      <c r="I102" s="332"/>
      <c r="J102" s="289">
        <f>Q1</f>
        <v>530</v>
      </c>
      <c r="K102" s="449">
        <v>470</v>
      </c>
      <c r="L102" s="290">
        <v>858</v>
      </c>
      <c r="M102" s="288">
        <f>K102-J102</f>
        <v>-60</v>
      </c>
      <c r="N102" s="291">
        <f>((M102*G102)/3600)*-1</f>
        <v>1.1333333333333333</v>
      </c>
      <c r="O102" s="291">
        <f t="shared" si="19"/>
        <v>0.8867924528301887</v>
      </c>
      <c r="P102" s="492">
        <f>O102*2.5</f>
        <v>2.216981132075472</v>
      </c>
      <c r="Q102" s="292">
        <f ca="1">+$Q$5+O102</f>
        <v>41758.886792452831</v>
      </c>
      <c r="R102" s="35"/>
      <c r="S102" s="36"/>
      <c r="T102" s="37"/>
      <c r="U102" s="37"/>
      <c r="V102" s="64"/>
      <c r="W102" s="39"/>
      <c r="X102" s="39"/>
      <c r="Y102" s="39"/>
      <c r="Z102" s="39"/>
      <c r="AA102" s="40"/>
      <c r="AB102" s="258"/>
      <c r="AC102" s="260"/>
      <c r="AD102" s="262"/>
      <c r="AE102" s="258"/>
      <c r="AF102" s="260"/>
      <c r="AG102" s="262"/>
      <c r="AH102" s="258"/>
      <c r="AI102" s="260"/>
      <c r="AJ102" s="262"/>
      <c r="AK102" s="258"/>
      <c r="AL102" s="260"/>
      <c r="AM102" s="262"/>
      <c r="AN102" s="258"/>
      <c r="AO102" s="260"/>
      <c r="AP102" s="262"/>
      <c r="AQ102" s="252"/>
      <c r="AR102" s="254"/>
      <c r="AS102" s="256"/>
      <c r="AT102" s="252"/>
      <c r="AU102" s="254"/>
      <c r="AV102" s="256"/>
      <c r="AW102" s="252"/>
      <c r="AX102" s="254"/>
      <c r="AY102" s="256"/>
      <c r="AZ102" s="252"/>
      <c r="BA102" s="254"/>
      <c r="BB102" s="256"/>
      <c r="BC102" s="252"/>
      <c r="BD102" s="254"/>
      <c r="BE102" s="256"/>
      <c r="BF102" s="252"/>
      <c r="BG102" s="254"/>
      <c r="BH102" s="256"/>
      <c r="BI102" s="252"/>
      <c r="BJ102" s="254"/>
      <c r="BK102" s="256"/>
    </row>
    <row r="103" spans="1:78" ht="34.5" customHeight="1" thickBot="1">
      <c r="A103" s="1486"/>
      <c r="B103" s="342"/>
      <c r="C103" s="342"/>
      <c r="D103" s="342" t="s">
        <v>396</v>
      </c>
      <c r="E103" s="343" t="s">
        <v>387</v>
      </c>
      <c r="F103" s="423" t="s">
        <v>292</v>
      </c>
      <c r="G103" s="639">
        <v>61</v>
      </c>
      <c r="H103" s="305">
        <f>3600/G103</f>
        <v>59.016393442622949</v>
      </c>
      <c r="I103" s="344"/>
      <c r="J103" s="306">
        <f>Q1</f>
        <v>530</v>
      </c>
      <c r="K103" s="451">
        <v>856</v>
      </c>
      <c r="L103" s="307">
        <v>880</v>
      </c>
      <c r="M103" s="305">
        <f>K103-J103</f>
        <v>326</v>
      </c>
      <c r="N103" s="308">
        <f>((M103*G103)/3600)*-1</f>
        <v>-5.5238888888888891</v>
      </c>
      <c r="O103" s="308">
        <f t="shared" si="19"/>
        <v>1.6150943396226416</v>
      </c>
      <c r="P103" s="492">
        <f>O103*2.5</f>
        <v>4.0377358490566042</v>
      </c>
      <c r="Q103" s="309">
        <f ca="1">+$Q$5+O103</f>
        <v>41759.615094339621</v>
      </c>
      <c r="R103" s="35"/>
      <c r="S103" s="36"/>
      <c r="T103" s="37"/>
      <c r="U103" s="37"/>
      <c r="V103" s="64"/>
      <c r="W103" s="39"/>
      <c r="X103" s="39"/>
      <c r="Y103" s="39"/>
      <c r="Z103" s="39"/>
      <c r="AA103" s="40"/>
      <c r="AB103" s="258"/>
      <c r="AC103" s="260"/>
      <c r="AD103" s="262"/>
      <c r="AE103" s="258"/>
      <c r="AF103" s="260"/>
      <c r="AG103" s="262"/>
      <c r="AH103" s="258"/>
      <c r="AI103" s="260"/>
      <c r="AJ103" s="262"/>
      <c r="AK103" s="258"/>
      <c r="AL103" s="260"/>
      <c r="AM103" s="262"/>
      <c r="AN103" s="258"/>
      <c r="AO103" s="260"/>
      <c r="AP103" s="262"/>
      <c r="AQ103" s="252"/>
      <c r="AR103" s="254"/>
      <c r="AS103" s="256"/>
      <c r="AT103" s="252"/>
      <c r="AU103" s="254"/>
      <c r="AV103" s="256"/>
      <c r="AW103" s="252"/>
      <c r="AX103" s="254"/>
      <c r="AY103" s="256"/>
      <c r="AZ103" s="252"/>
      <c r="BA103" s="254"/>
      <c r="BB103" s="256"/>
      <c r="BC103" s="252"/>
      <c r="BD103" s="254"/>
      <c r="BE103" s="256"/>
      <c r="BF103" s="252"/>
      <c r="BG103" s="254"/>
      <c r="BH103" s="256"/>
      <c r="BI103" s="252"/>
      <c r="BJ103" s="254"/>
      <c r="BK103" s="256"/>
    </row>
    <row r="104" spans="1:78" ht="36.75" customHeight="1">
      <c r="A104" s="1494" t="s">
        <v>105</v>
      </c>
      <c r="B104" s="780"/>
      <c r="C104" s="875" t="s">
        <v>512</v>
      </c>
      <c r="D104" s="403" t="s">
        <v>324</v>
      </c>
      <c r="E104" s="404" t="s">
        <v>78</v>
      </c>
      <c r="F104" s="433" t="s">
        <v>113</v>
      </c>
      <c r="G104" s="382">
        <f>58.4</f>
        <v>58.4</v>
      </c>
      <c r="H104" s="405">
        <f t="shared" si="18"/>
        <v>61.643835616438359</v>
      </c>
      <c r="I104" s="406">
        <v>1</v>
      </c>
      <c r="J104" s="407">
        <f>Q3</f>
        <v>214</v>
      </c>
      <c r="K104" s="453">
        <f>624+184+381+349+59+80</f>
        <v>1677</v>
      </c>
      <c r="L104" s="408" t="s">
        <v>252</v>
      </c>
      <c r="M104" s="406">
        <f t="shared" si="2"/>
        <v>1463</v>
      </c>
      <c r="N104" s="409">
        <f t="shared" si="5"/>
        <v>-23.733111111111111</v>
      </c>
      <c r="O104" s="409">
        <f t="shared" si="19"/>
        <v>7.8364485981308407</v>
      </c>
      <c r="P104" s="498">
        <f>O104</f>
        <v>7.8364485981308407</v>
      </c>
      <c r="Q104" s="410">
        <f t="shared" ca="1" si="10"/>
        <v>41765.836448598129</v>
      </c>
      <c r="R104" s="35"/>
      <c r="S104" s="36"/>
      <c r="T104" s="40"/>
      <c r="U104" s="40"/>
      <c r="V104" s="39"/>
      <c r="W104" s="64">
        <v>1</v>
      </c>
      <c r="X104" s="64">
        <v>1</v>
      </c>
      <c r="Y104" s="64">
        <v>1</v>
      </c>
      <c r="Z104" s="64">
        <v>1</v>
      </c>
      <c r="AA104" s="37">
        <v>1</v>
      </c>
      <c r="AB104" s="258"/>
      <c r="AC104" s="260"/>
      <c r="AD104" s="262"/>
      <c r="AE104" s="258"/>
      <c r="AF104" s="260"/>
      <c r="AG104" s="262"/>
      <c r="AH104" s="258"/>
      <c r="AI104" s="260"/>
      <c r="AJ104" s="262"/>
      <c r="AK104" s="258"/>
      <c r="AL104" s="260"/>
      <c r="AM104" s="262"/>
      <c r="AN104" s="258"/>
      <c r="AO104" s="260"/>
      <c r="AP104" s="262"/>
      <c r="AQ104" s="252"/>
      <c r="AR104" s="254"/>
      <c r="AS104" s="256"/>
      <c r="AT104" s="252"/>
      <c r="AU104" s="254"/>
      <c r="AV104" s="256"/>
      <c r="AW104" s="252"/>
      <c r="AX104" s="254"/>
      <c r="AY104" s="256"/>
      <c r="AZ104" s="252"/>
      <c r="BA104" s="254"/>
      <c r="BB104" s="256"/>
      <c r="BC104" s="252"/>
      <c r="BD104" s="254"/>
      <c r="BE104" s="256"/>
      <c r="BF104" s="252"/>
      <c r="BG104" s="254"/>
      <c r="BH104" s="256"/>
      <c r="BI104" s="252"/>
      <c r="BJ104" s="254"/>
      <c r="BK104" s="256"/>
    </row>
    <row r="105" spans="1:78" ht="42" customHeight="1">
      <c r="A105" s="1492"/>
      <c r="B105" s="779"/>
      <c r="C105" s="874" t="s">
        <v>505</v>
      </c>
      <c r="D105" s="411" t="s">
        <v>325</v>
      </c>
      <c r="E105" s="380" t="s">
        <v>79</v>
      </c>
      <c r="F105" s="418" t="s">
        <v>27</v>
      </c>
      <c r="G105" s="382">
        <v>49.8</v>
      </c>
      <c r="H105" s="382">
        <f t="shared" si="18"/>
        <v>72.289156626506028</v>
      </c>
      <c r="I105" s="382">
        <v>1</v>
      </c>
      <c r="J105" s="383">
        <f>Q3</f>
        <v>214</v>
      </c>
      <c r="K105" s="450">
        <v>658</v>
      </c>
      <c r="L105" s="384">
        <v>1008</v>
      </c>
      <c r="M105" s="382">
        <f t="shared" si="2"/>
        <v>444</v>
      </c>
      <c r="N105" s="385">
        <f t="shared" si="5"/>
        <v>-6.1419999999999995</v>
      </c>
      <c r="O105" s="385">
        <f t="shared" si="19"/>
        <v>3.0747663551401869</v>
      </c>
      <c r="P105" s="490">
        <f>O105*2</f>
        <v>6.1495327102803738</v>
      </c>
      <c r="Q105" s="386">
        <f t="shared" ca="1" si="10"/>
        <v>41761.074766355137</v>
      </c>
      <c r="R105" s="35"/>
      <c r="S105" s="36"/>
      <c r="T105" s="40"/>
      <c r="U105" s="40"/>
      <c r="V105" s="39"/>
      <c r="W105" s="39"/>
      <c r="X105" s="39"/>
      <c r="Y105" s="39"/>
      <c r="Z105" s="39"/>
      <c r="AA105" s="40"/>
      <c r="AB105" s="258"/>
      <c r="AC105" s="260">
        <v>17</v>
      </c>
      <c r="AD105" s="272"/>
      <c r="AE105" s="273"/>
      <c r="AF105" s="260"/>
      <c r="AG105" s="262"/>
      <c r="AH105" s="258"/>
      <c r="AI105" s="260"/>
      <c r="AJ105" s="262"/>
      <c r="AK105" s="258"/>
      <c r="AL105" s="260"/>
      <c r="AM105" s="8">
        <v>0</v>
      </c>
      <c r="AN105" s="258"/>
      <c r="AO105" s="260"/>
      <c r="AP105" s="262"/>
      <c r="AQ105" s="252"/>
      <c r="AR105" s="254"/>
      <c r="AS105" s="256"/>
      <c r="AT105" s="252"/>
      <c r="AU105" s="254"/>
      <c r="AV105" s="256"/>
      <c r="AW105" s="252"/>
      <c r="AX105" s="254"/>
      <c r="AY105" s="256"/>
      <c r="AZ105" s="252"/>
      <c r="BA105" s="254"/>
      <c r="BB105" s="256"/>
      <c r="BC105" s="252"/>
      <c r="BD105" s="254"/>
      <c r="BE105" s="256"/>
      <c r="BF105" s="252"/>
      <c r="BG105" s="254"/>
      <c r="BH105" s="256"/>
      <c r="BI105" s="252"/>
      <c r="BJ105" s="254"/>
      <c r="BK105" s="256"/>
    </row>
    <row r="106" spans="1:78" ht="35.25" customHeight="1">
      <c r="A106" s="1492"/>
      <c r="B106" s="1572"/>
      <c r="C106" s="1572" t="s">
        <v>507</v>
      </c>
      <c r="D106" s="1572" t="s">
        <v>326</v>
      </c>
      <c r="E106" s="380" t="s">
        <v>80</v>
      </c>
      <c r="F106" s="419" t="s">
        <v>425</v>
      </c>
      <c r="G106" s="381">
        <v>51.8</v>
      </c>
      <c r="H106" s="382">
        <f t="shared" si="18"/>
        <v>69.498069498069498</v>
      </c>
      <c r="I106" s="382">
        <v>1</v>
      </c>
      <c r="J106" s="383">
        <v>70</v>
      </c>
      <c r="K106" s="450">
        <v>434</v>
      </c>
      <c r="L106" s="384">
        <v>816</v>
      </c>
      <c r="M106" s="382">
        <f t="shared" si="2"/>
        <v>364</v>
      </c>
      <c r="N106" s="385">
        <f t="shared" si="5"/>
        <v>-5.2375555555555557</v>
      </c>
      <c r="O106" s="385">
        <f t="shared" si="19"/>
        <v>6.2</v>
      </c>
      <c r="P106" s="490">
        <f>O106*2</f>
        <v>12.4</v>
      </c>
      <c r="Q106" s="386">
        <f t="shared" ca="1" si="10"/>
        <v>41764.199999999997</v>
      </c>
      <c r="R106" s="35"/>
      <c r="S106" s="36"/>
      <c r="T106" s="40"/>
      <c r="U106" s="41"/>
      <c r="V106" s="1412"/>
      <c r="W106" s="1412"/>
      <c r="X106" s="1412"/>
      <c r="Y106" s="1412"/>
      <c r="Z106" s="1412"/>
      <c r="AA106" s="1473"/>
      <c r="AB106" s="1392"/>
      <c r="AC106" s="1394"/>
      <c r="AD106" s="1396"/>
      <c r="AE106" s="1392"/>
      <c r="AF106" s="1394"/>
      <c r="AG106" s="1396"/>
      <c r="AH106" s="1392"/>
      <c r="AI106" s="1394"/>
      <c r="AJ106" s="1402">
        <v>22</v>
      </c>
      <c r="AK106" s="1392"/>
      <c r="AL106" s="1394"/>
      <c r="AM106" s="1396"/>
      <c r="AN106" s="1392"/>
      <c r="AO106" s="1394"/>
      <c r="AP106" s="1396"/>
      <c r="AQ106" s="1447"/>
      <c r="AR106" s="1449"/>
      <c r="AS106" s="1445"/>
      <c r="AT106" s="1447"/>
      <c r="AU106" s="1449"/>
      <c r="AV106" s="1445"/>
      <c r="AW106" s="1447"/>
      <c r="AX106" s="1449"/>
      <c r="AY106" s="1445"/>
      <c r="AZ106" s="1447"/>
      <c r="BA106" s="1449"/>
      <c r="BB106" s="1445"/>
      <c r="BC106" s="1447"/>
      <c r="BD106" s="1449"/>
      <c r="BE106" s="1445"/>
      <c r="BF106" s="1447"/>
      <c r="BG106" s="1449"/>
      <c r="BH106" s="1445"/>
      <c r="BI106" s="1447"/>
      <c r="BJ106" s="1449"/>
      <c r="BK106" s="1445"/>
    </row>
    <row r="107" spans="1:78" ht="31.5" customHeight="1">
      <c r="A107" s="1492"/>
      <c r="B107" s="1572"/>
      <c r="C107" s="1572"/>
      <c r="D107" s="1572"/>
      <c r="E107" s="380" t="s">
        <v>81</v>
      </c>
      <c r="F107" s="419" t="s">
        <v>508</v>
      </c>
      <c r="G107" s="381">
        <f>51.8</f>
        <v>51.8</v>
      </c>
      <c r="H107" s="382">
        <f t="shared" si="18"/>
        <v>69.498069498069498</v>
      </c>
      <c r="I107" s="382">
        <v>1</v>
      </c>
      <c r="J107" s="383">
        <v>70</v>
      </c>
      <c r="K107" s="450">
        <v>329</v>
      </c>
      <c r="L107" s="384">
        <v>816</v>
      </c>
      <c r="M107" s="382">
        <f t="shared" si="2"/>
        <v>259</v>
      </c>
      <c r="N107" s="385">
        <f t="shared" si="5"/>
        <v>-3.726722222222222</v>
      </c>
      <c r="O107" s="385">
        <f t="shared" si="19"/>
        <v>4.7</v>
      </c>
      <c r="P107" s="490">
        <f>O107*2</f>
        <v>9.4</v>
      </c>
      <c r="Q107" s="386">
        <f t="shared" ca="1" si="10"/>
        <v>41762.699999999997</v>
      </c>
      <c r="R107" s="35"/>
      <c r="S107" s="36"/>
      <c r="T107" s="40"/>
      <c r="U107" s="42"/>
      <c r="V107" s="1436"/>
      <c r="W107" s="1436"/>
      <c r="X107" s="1436"/>
      <c r="Y107" s="1436"/>
      <c r="Z107" s="1436"/>
      <c r="AA107" s="1497"/>
      <c r="AB107" s="1393"/>
      <c r="AC107" s="1395"/>
      <c r="AD107" s="1397"/>
      <c r="AE107" s="1393"/>
      <c r="AF107" s="1395"/>
      <c r="AG107" s="1397"/>
      <c r="AH107" s="1393"/>
      <c r="AI107" s="1395"/>
      <c r="AJ107" s="1403"/>
      <c r="AK107" s="1393"/>
      <c r="AL107" s="1395"/>
      <c r="AM107" s="1397"/>
      <c r="AN107" s="1393"/>
      <c r="AO107" s="1395"/>
      <c r="AP107" s="1397"/>
      <c r="AQ107" s="1448"/>
      <c r="AR107" s="1450"/>
      <c r="AS107" s="1446"/>
      <c r="AT107" s="1448"/>
      <c r="AU107" s="1450"/>
      <c r="AV107" s="1446"/>
      <c r="AW107" s="1448"/>
      <c r="AX107" s="1450"/>
      <c r="AY107" s="1446"/>
      <c r="AZ107" s="1448"/>
      <c r="BA107" s="1450"/>
      <c r="BB107" s="1446"/>
      <c r="BC107" s="1448"/>
      <c r="BD107" s="1450"/>
      <c r="BE107" s="1446"/>
      <c r="BF107" s="1448"/>
      <c r="BG107" s="1450"/>
      <c r="BH107" s="1446"/>
      <c r="BI107" s="1448"/>
      <c r="BJ107" s="1450"/>
      <c r="BK107" s="1446"/>
    </row>
    <row r="108" spans="1:78" ht="39" customHeight="1">
      <c r="A108" s="1492"/>
      <c r="B108" s="1526"/>
      <c r="C108" s="1526" t="s">
        <v>507</v>
      </c>
      <c r="D108" s="1526" t="s">
        <v>327</v>
      </c>
      <c r="E108" s="397" t="s">
        <v>82</v>
      </c>
      <c r="F108" s="419" t="s">
        <v>509</v>
      </c>
      <c r="G108" s="382">
        <f>51.5</f>
        <v>51.5</v>
      </c>
      <c r="H108" s="382">
        <f t="shared" si="18"/>
        <v>69.902912621359221</v>
      </c>
      <c r="I108" s="382">
        <v>1</v>
      </c>
      <c r="J108" s="383">
        <f>Q4</f>
        <v>108</v>
      </c>
      <c r="K108" s="450">
        <v>424</v>
      </c>
      <c r="L108" s="384">
        <v>496</v>
      </c>
      <c r="M108" s="382">
        <f t="shared" si="2"/>
        <v>316</v>
      </c>
      <c r="N108" s="385">
        <f t="shared" si="5"/>
        <v>-4.5205555555555552</v>
      </c>
      <c r="O108" s="385">
        <f t="shared" si="19"/>
        <v>3.925925925925926</v>
      </c>
      <c r="P108" s="490">
        <f>O108*2</f>
        <v>7.8518518518518521</v>
      </c>
      <c r="Q108" s="386">
        <f t="shared" ca="1" si="10"/>
        <v>41761.925925925927</v>
      </c>
      <c r="R108" s="35"/>
      <c r="S108" s="36"/>
      <c r="T108" s="40"/>
      <c r="U108" s="41"/>
      <c r="V108" s="1412"/>
      <c r="W108" s="1412"/>
      <c r="X108" s="1412"/>
      <c r="Y108" s="1412"/>
      <c r="Z108" s="1412"/>
      <c r="AA108" s="1473"/>
      <c r="AB108" s="1392"/>
      <c r="AC108" s="1394"/>
      <c r="AD108" s="1396"/>
      <c r="AE108" s="1392"/>
      <c r="AF108" s="1394"/>
      <c r="AG108" s="1396"/>
      <c r="AH108" s="1392"/>
      <c r="AI108" s="1394"/>
      <c r="AJ108" s="1396"/>
      <c r="AK108" s="1419"/>
      <c r="AL108" s="1421"/>
      <c r="AM108" s="1402"/>
      <c r="AN108" s="1392"/>
      <c r="AO108" s="1394"/>
      <c r="AP108" s="1396"/>
      <c r="AQ108" s="1447"/>
      <c r="AR108" s="1449"/>
      <c r="AS108" s="1445"/>
      <c r="AT108" s="1447"/>
      <c r="AU108" s="1449"/>
      <c r="AV108" s="1445"/>
      <c r="AW108" s="1447"/>
      <c r="AX108" s="1449"/>
      <c r="AY108" s="1445"/>
      <c r="AZ108" s="1447"/>
      <c r="BA108" s="1449"/>
      <c r="BB108" s="1445"/>
      <c r="BC108" s="1447"/>
      <c r="BD108" s="1449"/>
      <c r="BE108" s="1445"/>
      <c r="BF108" s="1447"/>
      <c r="BG108" s="1449"/>
      <c r="BH108" s="1445"/>
      <c r="BI108" s="1447"/>
      <c r="BJ108" s="1449"/>
      <c r="BK108" s="1445"/>
    </row>
    <row r="109" spans="1:78" ht="35.25" customHeight="1" thickBot="1">
      <c r="A109" s="1492"/>
      <c r="B109" s="1652"/>
      <c r="C109" s="1652"/>
      <c r="D109" s="1652"/>
      <c r="E109" s="380" t="s">
        <v>83</v>
      </c>
      <c r="F109" s="418" t="s">
        <v>510</v>
      </c>
      <c r="G109" s="381">
        <v>51.5</v>
      </c>
      <c r="H109" s="381">
        <f t="shared" si="18"/>
        <v>69.902912621359221</v>
      </c>
      <c r="I109" s="382">
        <v>1</v>
      </c>
      <c r="J109" s="383">
        <f>Q4</f>
        <v>108</v>
      </c>
      <c r="K109" s="450">
        <v>208</v>
      </c>
      <c r="L109" s="384">
        <v>496</v>
      </c>
      <c r="M109" s="382">
        <f t="shared" si="2"/>
        <v>100</v>
      </c>
      <c r="N109" s="385">
        <f t="shared" si="5"/>
        <v>-1.4305555555555556</v>
      </c>
      <c r="O109" s="385">
        <f t="shared" si="19"/>
        <v>1.9259259259259258</v>
      </c>
      <c r="P109" s="490">
        <f>O109*2</f>
        <v>3.8518518518518516</v>
      </c>
      <c r="Q109" s="386">
        <f t="shared" ca="1" si="10"/>
        <v>41759.925925925927</v>
      </c>
      <c r="R109" s="35"/>
      <c r="S109" s="36"/>
      <c r="T109" s="40"/>
      <c r="U109" s="42"/>
      <c r="V109" s="1436"/>
      <c r="W109" s="1436"/>
      <c r="X109" s="1436"/>
      <c r="Y109" s="1436"/>
      <c r="Z109" s="1436"/>
      <c r="AA109" s="1497"/>
      <c r="AB109" s="1393"/>
      <c r="AC109" s="1395"/>
      <c r="AD109" s="1397"/>
      <c r="AE109" s="1393"/>
      <c r="AF109" s="1395"/>
      <c r="AG109" s="1397"/>
      <c r="AH109" s="1393"/>
      <c r="AI109" s="1395"/>
      <c r="AJ109" s="1397"/>
      <c r="AK109" s="1438"/>
      <c r="AL109" s="1477"/>
      <c r="AM109" s="1403"/>
      <c r="AN109" s="1393"/>
      <c r="AO109" s="1395"/>
      <c r="AP109" s="1397"/>
      <c r="AQ109" s="1448"/>
      <c r="AR109" s="1450"/>
      <c r="AS109" s="1446"/>
      <c r="AT109" s="1448"/>
      <c r="AU109" s="1450"/>
      <c r="AV109" s="1446"/>
      <c r="AW109" s="1448"/>
      <c r="AX109" s="1450"/>
      <c r="AY109" s="1446"/>
      <c r="AZ109" s="1448"/>
      <c r="BA109" s="1450"/>
      <c r="BB109" s="1446"/>
      <c r="BC109" s="1448"/>
      <c r="BD109" s="1450"/>
      <c r="BE109" s="1446"/>
      <c r="BF109" s="1448"/>
      <c r="BG109" s="1450"/>
      <c r="BH109" s="1446"/>
      <c r="BI109" s="1448"/>
      <c r="BJ109" s="1450"/>
      <c r="BK109" s="1446"/>
      <c r="BZ109" s="14" t="s">
        <v>519</v>
      </c>
    </row>
    <row r="110" spans="1:78" ht="24" hidden="1" customHeight="1" thickBot="1">
      <c r="A110" s="1492"/>
      <c r="B110" s="781"/>
      <c r="C110" s="781"/>
      <c r="D110" s="416" t="s">
        <v>328</v>
      </c>
      <c r="E110" s="380" t="s">
        <v>84</v>
      </c>
      <c r="F110" s="418" t="s">
        <v>31</v>
      </c>
      <c r="G110" s="381">
        <v>52</v>
      </c>
      <c r="H110" s="381">
        <f t="shared" si="18"/>
        <v>69.230769230769226</v>
      </c>
      <c r="I110" s="382">
        <v>1</v>
      </c>
      <c r="J110" s="383">
        <v>200</v>
      </c>
      <c r="K110" s="450">
        <v>350</v>
      </c>
      <c r="L110" s="384">
        <v>935</v>
      </c>
      <c r="M110" s="382">
        <f t="shared" si="2"/>
        <v>150</v>
      </c>
      <c r="N110" s="385">
        <f t="shared" si="5"/>
        <v>-2.1666666666666665</v>
      </c>
      <c r="O110" s="385">
        <f t="shared" si="19"/>
        <v>1.75</v>
      </c>
      <c r="P110" s="490"/>
      <c r="Q110" s="386">
        <f t="shared" ca="1" si="10"/>
        <v>41759.75</v>
      </c>
      <c r="R110" s="35"/>
      <c r="S110" s="36"/>
      <c r="T110" s="40"/>
      <c r="U110" s="41"/>
      <c r="V110" s="1412"/>
      <c r="W110" s="1412"/>
      <c r="X110" s="1412"/>
      <c r="Y110" s="1412"/>
      <c r="Z110" s="1412"/>
      <c r="AA110" s="1473"/>
      <c r="AB110" s="1392"/>
      <c r="AC110" s="1394"/>
      <c r="AD110" s="1396"/>
      <c r="AE110" s="1392"/>
      <c r="AF110" s="1394"/>
      <c r="AG110" s="1396"/>
      <c r="AH110" s="1392"/>
      <c r="AI110" s="1394"/>
      <c r="AJ110" s="1396"/>
      <c r="AK110" s="1392"/>
      <c r="AL110" s="1394"/>
      <c r="AM110" s="1396"/>
      <c r="AN110" s="1392"/>
      <c r="AO110" s="1394"/>
      <c r="AP110" s="1396"/>
      <c r="AQ110" s="1447"/>
      <c r="AR110" s="1449"/>
      <c r="AS110" s="1445"/>
      <c r="AT110" s="1447"/>
      <c r="AU110" s="1449"/>
      <c r="AV110" s="1445"/>
      <c r="AW110" s="1447"/>
      <c r="AX110" s="1449"/>
      <c r="AY110" s="1445"/>
      <c r="AZ110" s="1447"/>
      <c r="BA110" s="1449"/>
      <c r="BB110" s="1445"/>
      <c r="BC110" s="1447"/>
      <c r="BD110" s="1449"/>
      <c r="BE110" s="1445"/>
      <c r="BF110" s="1447"/>
      <c r="BG110" s="1449"/>
      <c r="BH110" s="1445"/>
      <c r="BI110" s="1447"/>
      <c r="BJ110" s="1449"/>
      <c r="BK110" s="1445"/>
    </row>
    <row r="111" spans="1:78" ht="24" hidden="1" customHeight="1" thickBot="1">
      <c r="A111" s="1492"/>
      <c r="B111" s="779"/>
      <c r="C111" s="874"/>
      <c r="D111" s="411"/>
      <c r="E111" s="380" t="s">
        <v>85</v>
      </c>
      <c r="F111" s="418" t="s">
        <v>32</v>
      </c>
      <c r="G111" s="382">
        <v>52</v>
      </c>
      <c r="H111" s="382">
        <f>3600/G111</f>
        <v>69.230769230769226</v>
      </c>
      <c r="I111" s="382">
        <v>1</v>
      </c>
      <c r="J111" s="383">
        <v>200</v>
      </c>
      <c r="K111" s="450">
        <v>330</v>
      </c>
      <c r="L111" s="384">
        <v>935</v>
      </c>
      <c r="M111" s="382">
        <f t="shared" si="2"/>
        <v>130</v>
      </c>
      <c r="N111" s="385">
        <f t="shared" si="5"/>
        <v>-1.8777777777777778</v>
      </c>
      <c r="O111" s="385">
        <f t="shared" si="19"/>
        <v>1.65</v>
      </c>
      <c r="P111" s="490"/>
      <c r="Q111" s="386">
        <f t="shared" ca="1" si="10"/>
        <v>41759.65</v>
      </c>
      <c r="R111" s="35"/>
      <c r="S111" s="36"/>
      <c r="T111" s="40"/>
      <c r="U111" s="42"/>
      <c r="V111" s="1496"/>
      <c r="W111" s="1496"/>
      <c r="X111" s="1496"/>
      <c r="Y111" s="1496"/>
      <c r="Z111" s="1496"/>
      <c r="AA111" s="1500"/>
      <c r="AB111" s="1470"/>
      <c r="AC111" s="1471"/>
      <c r="AD111" s="1472"/>
      <c r="AE111" s="1470"/>
      <c r="AF111" s="1471"/>
      <c r="AG111" s="1472"/>
      <c r="AH111" s="1470"/>
      <c r="AI111" s="1471"/>
      <c r="AJ111" s="1472"/>
      <c r="AK111" s="1470"/>
      <c r="AL111" s="1471"/>
      <c r="AM111" s="1472"/>
      <c r="AN111" s="1470"/>
      <c r="AO111" s="1471"/>
      <c r="AP111" s="1472"/>
      <c r="AQ111" s="1461"/>
      <c r="AR111" s="1462"/>
      <c r="AS111" s="1463"/>
      <c r="AT111" s="1461"/>
      <c r="AU111" s="1462"/>
      <c r="AV111" s="1463"/>
      <c r="AW111" s="1461"/>
      <c r="AX111" s="1462"/>
      <c r="AY111" s="1463"/>
      <c r="AZ111" s="1461"/>
      <c r="BA111" s="1462"/>
      <c r="BB111" s="1463"/>
      <c r="BC111" s="1461"/>
      <c r="BD111" s="1462"/>
      <c r="BE111" s="1463"/>
      <c r="BF111" s="1461"/>
      <c r="BG111" s="1462"/>
      <c r="BH111" s="1463"/>
      <c r="BI111" s="1461"/>
      <c r="BJ111" s="1462"/>
      <c r="BK111" s="1463"/>
    </row>
    <row r="112" spans="1:78" ht="40.5" customHeight="1">
      <c r="A112" s="1492"/>
      <c r="B112" s="779"/>
      <c r="C112" s="874" t="s">
        <v>506</v>
      </c>
      <c r="D112" s="411" t="s">
        <v>329</v>
      </c>
      <c r="E112" s="380" t="s">
        <v>90</v>
      </c>
      <c r="F112" s="419" t="s">
        <v>426</v>
      </c>
      <c r="G112" s="381">
        <v>57.2</v>
      </c>
      <c r="H112" s="382">
        <f t="shared" si="18"/>
        <v>62.937062937062933</v>
      </c>
      <c r="I112" s="382">
        <v>1</v>
      </c>
      <c r="J112" s="383">
        <v>150</v>
      </c>
      <c r="K112" s="450">
        <v>457</v>
      </c>
      <c r="L112" s="384" t="s">
        <v>252</v>
      </c>
      <c r="M112" s="382">
        <f t="shared" si="2"/>
        <v>307</v>
      </c>
      <c r="N112" s="385">
        <f t="shared" si="5"/>
        <v>-4.8778888888888892</v>
      </c>
      <c r="O112" s="385">
        <f t="shared" si="19"/>
        <v>3.0466666666666669</v>
      </c>
      <c r="P112" s="490">
        <f>O112</f>
        <v>3.0466666666666669</v>
      </c>
      <c r="Q112" s="386">
        <f t="shared" ca="1" si="10"/>
        <v>41761.046666666669</v>
      </c>
      <c r="R112" s="47"/>
      <c r="S112" s="48"/>
      <c r="T112" s="49"/>
      <c r="U112" s="49"/>
      <c r="V112" s="1496"/>
      <c r="W112" s="1496"/>
      <c r="X112" s="1496"/>
      <c r="Y112" s="1496"/>
      <c r="Z112" s="1496"/>
      <c r="AA112" s="1500"/>
      <c r="AB112" s="1470"/>
      <c r="AC112" s="1471"/>
      <c r="AD112" s="1472"/>
      <c r="AE112" s="1470"/>
      <c r="AF112" s="1471"/>
      <c r="AG112" s="1472"/>
      <c r="AH112" s="1470"/>
      <c r="AI112" s="1471"/>
      <c r="AJ112" s="1472"/>
      <c r="AK112" s="1470"/>
      <c r="AL112" s="1471"/>
      <c r="AM112" s="1472"/>
      <c r="AN112" s="1470"/>
      <c r="AO112" s="1471"/>
      <c r="AP112" s="1472"/>
      <c r="AQ112" s="1461"/>
      <c r="AR112" s="1462"/>
      <c r="AS112" s="1463"/>
      <c r="AT112" s="1461"/>
      <c r="AU112" s="1462"/>
      <c r="AV112" s="1463"/>
      <c r="AW112" s="1461"/>
      <c r="AX112" s="1462"/>
      <c r="AY112" s="1463"/>
      <c r="AZ112" s="1461"/>
      <c r="BA112" s="1462"/>
      <c r="BB112" s="1463"/>
      <c r="BC112" s="1461"/>
      <c r="BD112" s="1462"/>
      <c r="BE112" s="1463"/>
      <c r="BF112" s="1461"/>
      <c r="BG112" s="1462"/>
      <c r="BH112" s="1463"/>
      <c r="BI112" s="1461"/>
      <c r="BJ112" s="1462"/>
      <c r="BK112" s="1463"/>
    </row>
    <row r="113" spans="1:63" ht="41.25" customHeight="1" thickBot="1">
      <c r="A113" s="1493"/>
      <c r="B113" s="779"/>
      <c r="C113" s="874" t="s">
        <v>506</v>
      </c>
      <c r="D113" s="411" t="s">
        <v>330</v>
      </c>
      <c r="E113" s="380" t="s">
        <v>91</v>
      </c>
      <c r="F113" s="419" t="s">
        <v>427</v>
      </c>
      <c r="G113" s="382">
        <v>57</v>
      </c>
      <c r="H113" s="382">
        <f t="shared" si="18"/>
        <v>63.157894736842103</v>
      </c>
      <c r="I113" s="382">
        <v>1</v>
      </c>
      <c r="J113" s="383">
        <v>150</v>
      </c>
      <c r="K113" s="450">
        <v>350</v>
      </c>
      <c r="L113" s="384" t="s">
        <v>252</v>
      </c>
      <c r="M113" s="382">
        <f t="shared" si="2"/>
        <v>200</v>
      </c>
      <c r="N113" s="385">
        <f t="shared" si="5"/>
        <v>-3.1666666666666665</v>
      </c>
      <c r="O113" s="385">
        <f t="shared" si="19"/>
        <v>2.3333333333333335</v>
      </c>
      <c r="P113" s="490">
        <f>O113</f>
        <v>2.3333333333333335</v>
      </c>
      <c r="Q113" s="386">
        <f t="shared" ca="1" si="10"/>
        <v>41760.333333333336</v>
      </c>
      <c r="R113" s="35"/>
      <c r="S113" s="36"/>
      <c r="T113" s="40"/>
      <c r="U113" s="40"/>
      <c r="V113" s="1496"/>
      <c r="W113" s="1496"/>
      <c r="X113" s="1496"/>
      <c r="Y113" s="1496"/>
      <c r="Z113" s="1496"/>
      <c r="AA113" s="1500"/>
      <c r="AB113" s="1470"/>
      <c r="AC113" s="1471"/>
      <c r="AD113" s="1472"/>
      <c r="AE113" s="1470"/>
      <c r="AF113" s="1471"/>
      <c r="AG113" s="1472"/>
      <c r="AH113" s="1470"/>
      <c r="AI113" s="1471"/>
      <c r="AJ113" s="1472"/>
      <c r="AK113" s="1470"/>
      <c r="AL113" s="1471"/>
      <c r="AM113" s="1472"/>
      <c r="AN113" s="1470"/>
      <c r="AO113" s="1471"/>
      <c r="AP113" s="1472"/>
      <c r="AQ113" s="1461"/>
      <c r="AR113" s="1462"/>
      <c r="AS113" s="1463"/>
      <c r="AT113" s="1461"/>
      <c r="AU113" s="1462"/>
      <c r="AV113" s="1463"/>
      <c r="AW113" s="1461"/>
      <c r="AX113" s="1462"/>
      <c r="AY113" s="1463"/>
      <c r="AZ113" s="1461"/>
      <c r="BA113" s="1462"/>
      <c r="BB113" s="1463"/>
      <c r="BC113" s="1461"/>
      <c r="BD113" s="1462"/>
      <c r="BE113" s="1463"/>
      <c r="BF113" s="1461"/>
      <c r="BG113" s="1462"/>
      <c r="BH113" s="1463"/>
      <c r="BI113" s="1461"/>
      <c r="BJ113" s="1462"/>
      <c r="BK113" s="1463"/>
    </row>
    <row r="114" spans="1:63" ht="23.25" hidden="1" customHeight="1">
      <c r="A114" s="443"/>
      <c r="B114" s="301"/>
      <c r="C114" s="301"/>
      <c r="D114" s="301"/>
      <c r="E114" s="311" t="s">
        <v>69</v>
      </c>
      <c r="F114" s="422" t="s">
        <v>21</v>
      </c>
      <c r="G114" s="639"/>
      <c r="H114" s="295" t="e">
        <f t="shared" si="18"/>
        <v>#DIV/0!</v>
      </c>
      <c r="I114" s="300"/>
      <c r="J114" s="313"/>
      <c r="K114" s="452"/>
      <c r="L114" s="314"/>
      <c r="M114" s="295">
        <f t="shared" si="2"/>
        <v>0</v>
      </c>
      <c r="N114" s="298">
        <f t="shared" si="5"/>
        <v>0</v>
      </c>
      <c r="O114" s="298" t="e">
        <f t="shared" si="19"/>
        <v>#DIV/0!</v>
      </c>
      <c r="P114" s="493"/>
      <c r="Q114" s="299" t="e">
        <f t="shared" ca="1" si="10"/>
        <v>#DIV/0!</v>
      </c>
      <c r="R114" s="35"/>
      <c r="S114" s="36"/>
      <c r="T114" s="40"/>
      <c r="U114" s="40"/>
      <c r="V114" s="39"/>
      <c r="W114" s="39"/>
      <c r="X114" s="39"/>
      <c r="Y114" s="39"/>
      <c r="Z114" s="39"/>
      <c r="AA114" s="40"/>
      <c r="AB114" s="258"/>
      <c r="AC114" s="260"/>
      <c r="AD114" s="262"/>
      <c r="AE114" s="258"/>
      <c r="AF114" s="260"/>
      <c r="AG114" s="262"/>
      <c r="AH114" s="258"/>
      <c r="AI114" s="260"/>
      <c r="AJ114" s="262"/>
      <c r="AK114" s="258"/>
      <c r="AL114" s="260"/>
      <c r="AM114" s="262"/>
      <c r="AN114" s="258"/>
      <c r="AO114" s="260"/>
      <c r="AP114" s="262"/>
      <c r="AQ114" s="252"/>
      <c r="AR114" s="254"/>
      <c r="AS114" s="256"/>
      <c r="AT114" s="252"/>
      <c r="AU114" s="254"/>
      <c r="AV114" s="256"/>
      <c r="AW114" s="252"/>
      <c r="AX114" s="254"/>
      <c r="AY114" s="256"/>
      <c r="AZ114" s="252"/>
      <c r="BA114" s="254"/>
      <c r="BB114" s="256"/>
      <c r="BC114" s="252"/>
      <c r="BD114" s="254"/>
      <c r="BE114" s="256"/>
      <c r="BF114" s="252"/>
      <c r="BG114" s="254"/>
      <c r="BH114" s="256"/>
      <c r="BI114" s="252"/>
      <c r="BJ114" s="254"/>
      <c r="BK114" s="256"/>
    </row>
    <row r="115" spans="1:63" ht="23.25" hidden="1" customHeight="1">
      <c r="A115" s="443"/>
      <c r="B115" s="1469"/>
      <c r="C115" s="1469"/>
      <c r="D115" s="1469"/>
      <c r="E115" s="293" t="s">
        <v>75</v>
      </c>
      <c r="F115" s="427" t="s">
        <v>24</v>
      </c>
      <c r="G115" s="638"/>
      <c r="H115" s="295" t="e">
        <f t="shared" si="18"/>
        <v>#DIV/0!</v>
      </c>
      <c r="I115" s="300"/>
      <c r="J115" s="313"/>
      <c r="K115" s="452"/>
      <c r="L115" s="314"/>
      <c r="M115" s="295">
        <f t="shared" si="2"/>
        <v>0</v>
      </c>
      <c r="N115" s="298">
        <f t="shared" si="5"/>
        <v>0</v>
      </c>
      <c r="O115" s="298" t="e">
        <f t="shared" si="19"/>
        <v>#DIV/0!</v>
      </c>
      <c r="P115" s="493"/>
      <c r="Q115" s="299" t="e">
        <f t="shared" ca="1" si="10"/>
        <v>#DIV/0!</v>
      </c>
      <c r="R115" s="35"/>
      <c r="S115" s="36"/>
      <c r="T115" s="40"/>
      <c r="U115" s="41"/>
      <c r="V115" s="1412"/>
      <c r="W115" s="1412"/>
      <c r="X115" s="1412"/>
      <c r="Y115" s="1412"/>
      <c r="Z115" s="1412"/>
      <c r="AA115" s="1473"/>
      <c r="AB115" s="1392"/>
      <c r="AC115" s="1394"/>
      <c r="AD115" s="1396"/>
      <c r="AE115" s="1392"/>
      <c r="AF115" s="1394"/>
      <c r="AG115" s="1396"/>
      <c r="AH115" s="1392"/>
      <c r="AI115" s="1394"/>
      <c r="AJ115" s="1396"/>
      <c r="AK115" s="1392"/>
      <c r="AL115" s="1394"/>
      <c r="AM115" s="1396"/>
      <c r="AN115" s="1392"/>
      <c r="AO115" s="1394"/>
      <c r="AP115" s="1396"/>
      <c r="AQ115" s="1447"/>
      <c r="AR115" s="1449"/>
      <c r="AS115" s="1445"/>
      <c r="AT115" s="1447"/>
      <c r="AU115" s="1449"/>
      <c r="AV115" s="1445"/>
      <c r="AW115" s="1447"/>
      <c r="AX115" s="1449"/>
      <c r="AY115" s="1445"/>
      <c r="AZ115" s="1447"/>
      <c r="BA115" s="1449"/>
      <c r="BB115" s="1445"/>
      <c r="BC115" s="1447"/>
      <c r="BD115" s="1449"/>
      <c r="BE115" s="1445"/>
      <c r="BF115" s="1447"/>
      <c r="BG115" s="1449"/>
      <c r="BH115" s="1445"/>
      <c r="BI115" s="1447"/>
      <c r="BJ115" s="1449"/>
      <c r="BK115" s="1445"/>
    </row>
    <row r="116" spans="1:63" ht="23.25" hidden="1" customHeight="1">
      <c r="A116" s="443"/>
      <c r="B116" s="1455"/>
      <c r="C116" s="1455"/>
      <c r="D116" s="1455"/>
      <c r="E116" s="293" t="s">
        <v>76</v>
      </c>
      <c r="F116" s="427" t="s">
        <v>25</v>
      </c>
      <c r="G116" s="638"/>
      <c r="H116" s="295" t="e">
        <f t="shared" si="18"/>
        <v>#DIV/0!</v>
      </c>
      <c r="I116" s="300"/>
      <c r="J116" s="313"/>
      <c r="K116" s="452"/>
      <c r="L116" s="314"/>
      <c r="M116" s="295">
        <f t="shared" si="2"/>
        <v>0</v>
      </c>
      <c r="N116" s="298">
        <f t="shared" si="5"/>
        <v>0</v>
      </c>
      <c r="O116" s="298" t="e">
        <f t="shared" si="19"/>
        <v>#DIV/0!</v>
      </c>
      <c r="P116" s="493"/>
      <c r="Q116" s="299" t="e">
        <f t="shared" ref="Q116:Q176" ca="1" si="20">+$Q$5+O116</f>
        <v>#DIV/0!</v>
      </c>
      <c r="R116" s="35"/>
      <c r="S116" s="36"/>
      <c r="T116" s="40"/>
      <c r="U116" s="42"/>
      <c r="V116" s="1436"/>
      <c r="W116" s="1436"/>
      <c r="X116" s="1436"/>
      <c r="Y116" s="1436"/>
      <c r="Z116" s="1436"/>
      <c r="AA116" s="1497"/>
      <c r="AB116" s="1393"/>
      <c r="AC116" s="1395"/>
      <c r="AD116" s="1397"/>
      <c r="AE116" s="1393"/>
      <c r="AF116" s="1395"/>
      <c r="AG116" s="1397"/>
      <c r="AH116" s="1393"/>
      <c r="AI116" s="1395"/>
      <c r="AJ116" s="1397"/>
      <c r="AK116" s="1393"/>
      <c r="AL116" s="1395"/>
      <c r="AM116" s="1397"/>
      <c r="AN116" s="1393"/>
      <c r="AO116" s="1395"/>
      <c r="AP116" s="1397"/>
      <c r="AQ116" s="1448"/>
      <c r="AR116" s="1450"/>
      <c r="AS116" s="1446"/>
      <c r="AT116" s="1448"/>
      <c r="AU116" s="1450"/>
      <c r="AV116" s="1446"/>
      <c r="AW116" s="1448"/>
      <c r="AX116" s="1450"/>
      <c r="AY116" s="1446"/>
      <c r="AZ116" s="1448"/>
      <c r="BA116" s="1450"/>
      <c r="BB116" s="1446"/>
      <c r="BC116" s="1448"/>
      <c r="BD116" s="1450"/>
      <c r="BE116" s="1446"/>
      <c r="BF116" s="1448"/>
      <c r="BG116" s="1450"/>
      <c r="BH116" s="1446"/>
      <c r="BI116" s="1448"/>
      <c r="BJ116" s="1450"/>
      <c r="BK116" s="1446"/>
    </row>
    <row r="117" spans="1:63" ht="23.25" hidden="1" customHeight="1">
      <c r="A117" s="443"/>
      <c r="B117" s="301"/>
      <c r="C117" s="301"/>
      <c r="D117" s="301"/>
      <c r="E117" s="293" t="s">
        <v>70</v>
      </c>
      <c r="F117" s="427" t="s">
        <v>22</v>
      </c>
      <c r="G117" s="639"/>
      <c r="H117" s="295" t="e">
        <f t="shared" si="18"/>
        <v>#DIV/0!</v>
      </c>
      <c r="I117" s="300"/>
      <c r="J117" s="313"/>
      <c r="K117" s="452"/>
      <c r="L117" s="314"/>
      <c r="M117" s="295">
        <f t="shared" si="2"/>
        <v>0</v>
      </c>
      <c r="N117" s="298">
        <f t="shared" si="5"/>
        <v>0</v>
      </c>
      <c r="O117" s="298" t="e">
        <f t="shared" si="19"/>
        <v>#DIV/0!</v>
      </c>
      <c r="P117" s="493"/>
      <c r="Q117" s="299" t="e">
        <f t="shared" ca="1" si="20"/>
        <v>#DIV/0!</v>
      </c>
      <c r="R117" s="35"/>
      <c r="S117" s="36"/>
      <c r="T117" s="40"/>
      <c r="U117" s="41"/>
      <c r="V117" s="1412"/>
      <c r="W117" s="1412"/>
      <c r="X117" s="1412"/>
      <c r="Y117" s="1412"/>
      <c r="Z117" s="1412"/>
      <c r="AA117" s="1473"/>
      <c r="AB117" s="1392"/>
      <c r="AC117" s="1394"/>
      <c r="AD117" s="1396"/>
      <c r="AE117" s="1392">
        <v>11</v>
      </c>
      <c r="AF117" s="1421"/>
      <c r="AG117" s="1402"/>
      <c r="AH117" s="1392"/>
      <c r="AI117" s="1394"/>
      <c r="AJ117" s="1396"/>
      <c r="AK117" s="1392"/>
      <c r="AL117" s="1394"/>
      <c r="AM117" s="1396"/>
      <c r="AN117" s="1392"/>
      <c r="AO117" s="1394"/>
      <c r="AP117" s="1396"/>
      <c r="AQ117" s="1447"/>
      <c r="AR117" s="1449"/>
      <c r="AS117" s="1445"/>
      <c r="AT117" s="1447"/>
      <c r="AU117" s="1449"/>
      <c r="AV117" s="1445"/>
      <c r="AW117" s="1447"/>
      <c r="AX117" s="1449"/>
      <c r="AY117" s="1445"/>
      <c r="AZ117" s="1447"/>
      <c r="BA117" s="1449"/>
      <c r="BB117" s="1445"/>
      <c r="BC117" s="1447"/>
      <c r="BD117" s="1449"/>
      <c r="BE117" s="1445"/>
      <c r="BF117" s="1447"/>
      <c r="BG117" s="1449"/>
      <c r="BH117" s="1445"/>
      <c r="BI117" s="1447"/>
      <c r="BJ117" s="1449"/>
      <c r="BK117" s="1445"/>
    </row>
    <row r="118" spans="1:63" ht="23.25" hidden="1" customHeight="1">
      <c r="A118" s="443"/>
      <c r="B118" s="1469"/>
      <c r="C118" s="1469"/>
      <c r="D118" s="1469"/>
      <c r="E118" s="293" t="s">
        <v>71</v>
      </c>
      <c r="F118" s="422" t="s">
        <v>23</v>
      </c>
      <c r="G118" s="638"/>
      <c r="H118" s="295" t="e">
        <f t="shared" si="18"/>
        <v>#DIV/0!</v>
      </c>
      <c r="I118" s="300"/>
      <c r="J118" s="313"/>
      <c r="K118" s="452"/>
      <c r="L118" s="314"/>
      <c r="M118" s="295">
        <f t="shared" si="2"/>
        <v>0</v>
      </c>
      <c r="N118" s="298">
        <f t="shared" si="5"/>
        <v>0</v>
      </c>
      <c r="O118" s="298" t="e">
        <f t="shared" si="19"/>
        <v>#DIV/0!</v>
      </c>
      <c r="P118" s="493"/>
      <c r="Q118" s="299" t="e">
        <f t="shared" ca="1" si="20"/>
        <v>#DIV/0!</v>
      </c>
      <c r="R118" s="35"/>
      <c r="S118" s="36"/>
      <c r="T118" s="40"/>
      <c r="U118" s="42"/>
      <c r="V118" s="1436"/>
      <c r="W118" s="1436"/>
      <c r="X118" s="1436"/>
      <c r="Y118" s="1436"/>
      <c r="Z118" s="1436"/>
      <c r="AA118" s="1497"/>
      <c r="AB118" s="1393"/>
      <c r="AC118" s="1395"/>
      <c r="AD118" s="1397"/>
      <c r="AE118" s="1393"/>
      <c r="AF118" s="1477"/>
      <c r="AG118" s="1403"/>
      <c r="AH118" s="1393"/>
      <c r="AI118" s="1395"/>
      <c r="AJ118" s="1397"/>
      <c r="AK118" s="1393"/>
      <c r="AL118" s="1395"/>
      <c r="AM118" s="1397"/>
      <c r="AN118" s="1393"/>
      <c r="AO118" s="1395"/>
      <c r="AP118" s="1397"/>
      <c r="AQ118" s="1448"/>
      <c r="AR118" s="1450"/>
      <c r="AS118" s="1446"/>
      <c r="AT118" s="1448"/>
      <c r="AU118" s="1450"/>
      <c r="AV118" s="1446"/>
      <c r="AW118" s="1448"/>
      <c r="AX118" s="1450"/>
      <c r="AY118" s="1446"/>
      <c r="AZ118" s="1448"/>
      <c r="BA118" s="1450"/>
      <c r="BB118" s="1446"/>
      <c r="BC118" s="1448"/>
      <c r="BD118" s="1450"/>
      <c r="BE118" s="1446"/>
      <c r="BF118" s="1448"/>
      <c r="BG118" s="1450"/>
      <c r="BH118" s="1446"/>
      <c r="BI118" s="1448"/>
      <c r="BJ118" s="1450"/>
      <c r="BK118" s="1446"/>
    </row>
    <row r="119" spans="1:63" ht="24" hidden="1" customHeight="1" thickBot="1">
      <c r="A119" s="443"/>
      <c r="B119" s="1469"/>
      <c r="C119" s="1469"/>
      <c r="D119" s="1469"/>
      <c r="E119" s="293"/>
      <c r="F119" s="422" t="s">
        <v>162</v>
      </c>
      <c r="G119" s="638"/>
      <c r="H119" s="295" t="e">
        <f t="shared" si="18"/>
        <v>#DIV/0!</v>
      </c>
      <c r="I119" s="300"/>
      <c r="J119" s="313"/>
      <c r="K119" s="452"/>
      <c r="L119" s="314"/>
      <c r="M119" s="295">
        <f t="shared" si="2"/>
        <v>0</v>
      </c>
      <c r="N119" s="298">
        <f t="shared" si="5"/>
        <v>0</v>
      </c>
      <c r="O119" s="298" t="e">
        <f t="shared" si="19"/>
        <v>#DIV/0!</v>
      </c>
      <c r="P119" s="493"/>
      <c r="Q119" s="299" t="e">
        <f t="shared" ca="1" si="20"/>
        <v>#DIV/0!</v>
      </c>
      <c r="R119" s="43"/>
      <c r="S119" s="44"/>
      <c r="T119" s="45"/>
      <c r="U119" s="45"/>
      <c r="V119" s="46"/>
      <c r="W119" s="46"/>
      <c r="X119" s="46"/>
      <c r="Y119" s="46"/>
      <c r="Z119" s="46"/>
      <c r="AA119" s="45"/>
      <c r="AB119" s="280">
        <v>8</v>
      </c>
      <c r="AC119" s="277"/>
      <c r="AD119" s="9"/>
      <c r="AE119" s="281"/>
      <c r="AF119" s="10"/>
      <c r="AG119" s="9"/>
      <c r="AH119" s="281">
        <v>8</v>
      </c>
      <c r="AI119" s="277"/>
      <c r="AJ119" s="9"/>
      <c r="AK119" s="281"/>
      <c r="AL119" s="10"/>
      <c r="AM119" s="9"/>
      <c r="AN119" s="281"/>
      <c r="AO119" s="10"/>
      <c r="AP119" s="9"/>
      <c r="AQ119" s="51"/>
      <c r="AR119" s="52"/>
      <c r="AS119" s="53"/>
      <c r="AT119" s="51"/>
      <c r="AU119" s="52"/>
      <c r="AV119" s="53"/>
      <c r="AW119" s="51"/>
      <c r="AX119" s="52"/>
      <c r="AY119" s="53"/>
      <c r="AZ119" s="51"/>
      <c r="BA119" s="52"/>
      <c r="BB119" s="53"/>
      <c r="BC119" s="51"/>
      <c r="BD119" s="52"/>
      <c r="BE119" s="53"/>
      <c r="BF119" s="51"/>
      <c r="BG119" s="52"/>
      <c r="BH119" s="53"/>
      <c r="BI119" s="51"/>
      <c r="BJ119" s="52"/>
      <c r="BK119" s="53"/>
    </row>
    <row r="120" spans="1:63" ht="23.25" hidden="1" customHeight="1">
      <c r="A120" s="443"/>
      <c r="B120" s="353"/>
      <c r="C120" s="353"/>
      <c r="D120" s="353"/>
      <c r="E120" s="317" t="s">
        <v>90</v>
      </c>
      <c r="F120" s="424" t="s">
        <v>33</v>
      </c>
      <c r="G120" s="880"/>
      <c r="H120" s="318"/>
      <c r="I120" s="318"/>
      <c r="J120" s="355"/>
      <c r="K120" s="456"/>
      <c r="L120" s="356"/>
      <c r="M120" s="321">
        <f t="shared" ref="M120:M183" si="21">K120-J120</f>
        <v>0</v>
      </c>
      <c r="N120" s="322">
        <f t="shared" ref="N120:N183" si="22">((M120*G120)/3600)*-1</f>
        <v>0</v>
      </c>
      <c r="O120" s="322" t="e">
        <f t="shared" si="19"/>
        <v>#DIV/0!</v>
      </c>
      <c r="P120" s="496"/>
      <c r="Q120" s="323" t="e">
        <f t="shared" ca="1" si="20"/>
        <v>#DIV/0!</v>
      </c>
      <c r="V120" s="64"/>
      <c r="W120" s="39"/>
      <c r="X120" s="39"/>
      <c r="Y120" s="39"/>
      <c r="Z120" s="39"/>
      <c r="AA120" s="40"/>
      <c r="AB120" s="273"/>
      <c r="AC120" s="276"/>
      <c r="AD120" s="272"/>
      <c r="AE120" s="258"/>
      <c r="AF120" s="260"/>
      <c r="AG120" s="262"/>
      <c r="AH120" s="258"/>
      <c r="AI120" s="260"/>
      <c r="AJ120" s="262"/>
      <c r="AK120" s="273">
        <v>6</v>
      </c>
      <c r="AL120" s="276"/>
      <c r="AM120" s="272"/>
      <c r="AN120" s="266"/>
      <c r="AO120" s="267"/>
      <c r="AP120" s="268"/>
      <c r="AQ120" s="263"/>
      <c r="AR120" s="264"/>
      <c r="AS120" s="265"/>
      <c r="AT120" s="263"/>
      <c r="AU120" s="264"/>
      <c r="AV120" s="265"/>
      <c r="AW120" s="263"/>
      <c r="AX120" s="264"/>
      <c r="AY120" s="265"/>
      <c r="AZ120" s="263"/>
      <c r="BA120" s="264"/>
      <c r="BB120" s="265"/>
      <c r="BC120" s="263"/>
      <c r="BD120" s="264"/>
      <c r="BE120" s="265"/>
      <c r="BF120" s="263"/>
      <c r="BG120" s="264"/>
      <c r="BH120" s="265"/>
      <c r="BI120" s="263"/>
      <c r="BJ120" s="264"/>
      <c r="BK120" s="265"/>
    </row>
    <row r="121" spans="1:63" ht="24" hidden="1" customHeight="1" thickBot="1">
      <c r="A121" s="444"/>
      <c r="B121" s="353"/>
      <c r="C121" s="353"/>
      <c r="D121" s="353"/>
      <c r="E121" s="357" t="s">
        <v>91</v>
      </c>
      <c r="F121" s="425" t="s">
        <v>34</v>
      </c>
      <c r="G121" s="879"/>
      <c r="H121" s="326"/>
      <c r="I121" s="326"/>
      <c r="J121" s="328"/>
      <c r="K121" s="454"/>
      <c r="L121" s="358"/>
      <c r="M121" s="297">
        <f t="shared" si="21"/>
        <v>0</v>
      </c>
      <c r="N121" s="298">
        <f t="shared" si="22"/>
        <v>0</v>
      </c>
      <c r="O121" s="298" t="e">
        <f t="shared" si="19"/>
        <v>#DIV/0!</v>
      </c>
      <c r="P121" s="496"/>
      <c r="Q121" s="292" t="e">
        <f t="shared" ca="1" si="20"/>
        <v>#DIV/0!</v>
      </c>
      <c r="R121" s="71"/>
      <c r="S121" s="71"/>
      <c r="T121" s="72"/>
      <c r="U121" s="72"/>
      <c r="V121" s="69"/>
      <c r="W121" s="46"/>
      <c r="X121" s="46"/>
      <c r="Y121" s="46"/>
      <c r="Z121" s="46"/>
      <c r="AA121" s="45"/>
      <c r="AB121" s="281"/>
      <c r="AC121" s="10"/>
      <c r="AD121" s="9">
        <v>3</v>
      </c>
      <c r="AE121" s="280"/>
      <c r="AF121" s="277"/>
      <c r="AG121" s="278"/>
      <c r="AH121" s="280"/>
      <c r="AI121" s="277"/>
      <c r="AJ121" s="278"/>
      <c r="AK121" s="279"/>
      <c r="AL121" s="274"/>
      <c r="AM121" s="275"/>
      <c r="AN121" s="279"/>
      <c r="AO121" s="274"/>
      <c r="AP121" s="275"/>
      <c r="AQ121" s="269"/>
      <c r="AR121" s="270"/>
      <c r="AS121" s="271"/>
      <c r="AT121" s="269"/>
      <c r="AU121" s="270"/>
      <c r="AV121" s="271"/>
      <c r="AW121" s="269"/>
      <c r="AX121" s="270"/>
      <c r="AY121" s="271"/>
      <c r="AZ121" s="269"/>
      <c r="BA121" s="270"/>
      <c r="BB121" s="271"/>
      <c r="BC121" s="269"/>
      <c r="BD121" s="270"/>
      <c r="BE121" s="271"/>
      <c r="BF121" s="269"/>
      <c r="BG121" s="270"/>
      <c r="BH121" s="271"/>
      <c r="BI121" s="269"/>
      <c r="BJ121" s="270"/>
      <c r="BK121" s="271"/>
    </row>
    <row r="122" spans="1:63" s="16" customFormat="1" ht="23.25" hidden="1" customHeight="1">
      <c r="A122" s="445" t="s">
        <v>190</v>
      </c>
      <c r="B122" s="359"/>
      <c r="C122" s="359"/>
      <c r="D122" s="359"/>
      <c r="E122" s="1514" t="s">
        <v>191</v>
      </c>
      <c r="F122" s="434" t="s">
        <v>192</v>
      </c>
      <c r="G122" s="638">
        <v>39</v>
      </c>
      <c r="H122" s="295">
        <v>92</v>
      </c>
      <c r="I122" s="361"/>
      <c r="J122" s="296">
        <v>364</v>
      </c>
      <c r="K122" s="450"/>
      <c r="L122" s="362"/>
      <c r="M122" s="297">
        <f t="shared" si="21"/>
        <v>-364</v>
      </c>
      <c r="N122" s="298">
        <f t="shared" si="22"/>
        <v>3.9433333333333334</v>
      </c>
      <c r="O122" s="298">
        <f t="shared" si="19"/>
        <v>0</v>
      </c>
      <c r="P122" s="496"/>
      <c r="Q122" s="292">
        <f t="shared" ca="1" si="20"/>
        <v>41758</v>
      </c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</row>
    <row r="123" spans="1:63" s="16" customFormat="1" ht="24" hidden="1" customHeight="1" thickBot="1">
      <c r="A123" s="446"/>
      <c r="B123" s="359"/>
      <c r="C123" s="359"/>
      <c r="D123" s="359"/>
      <c r="E123" s="1515"/>
      <c r="F123" s="435" t="s">
        <v>193</v>
      </c>
      <c r="G123" s="638">
        <v>39</v>
      </c>
      <c r="H123" s="295">
        <v>92</v>
      </c>
      <c r="I123" s="363"/>
      <c r="J123" s="296">
        <v>364</v>
      </c>
      <c r="K123" s="450"/>
      <c r="L123" s="362"/>
      <c r="M123" s="297">
        <f t="shared" si="21"/>
        <v>-364</v>
      </c>
      <c r="N123" s="298">
        <f t="shared" si="22"/>
        <v>3.9433333333333334</v>
      </c>
      <c r="O123" s="298">
        <f t="shared" si="19"/>
        <v>0</v>
      </c>
      <c r="P123" s="496"/>
      <c r="Q123" s="292">
        <f t="shared" ca="1" si="20"/>
        <v>41758</v>
      </c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</row>
    <row r="124" spans="1:63" s="16" customFormat="1" ht="23.25" hidden="1" customHeight="1">
      <c r="A124" s="446"/>
      <c r="B124" s="359"/>
      <c r="C124" s="359"/>
      <c r="D124" s="359"/>
      <c r="E124" s="1514" t="s">
        <v>194</v>
      </c>
      <c r="F124" s="434" t="s">
        <v>195</v>
      </c>
      <c r="G124" s="638">
        <v>34</v>
      </c>
      <c r="H124" s="295">
        <v>106</v>
      </c>
      <c r="I124" s="361"/>
      <c r="J124" s="296">
        <v>448</v>
      </c>
      <c r="K124" s="450"/>
      <c r="L124" s="362"/>
      <c r="M124" s="297">
        <f t="shared" si="21"/>
        <v>-448</v>
      </c>
      <c r="N124" s="298">
        <f t="shared" si="22"/>
        <v>4.2311111111111108</v>
      </c>
      <c r="O124" s="298">
        <f t="shared" si="19"/>
        <v>0</v>
      </c>
      <c r="P124" s="496"/>
      <c r="Q124" s="292">
        <f t="shared" ca="1" si="20"/>
        <v>41758</v>
      </c>
      <c r="T124" s="17"/>
      <c r="U124" s="17"/>
      <c r="V124" s="17"/>
      <c r="W124" s="17"/>
      <c r="X124" s="17"/>
      <c r="Y124" s="17"/>
      <c r="Z124" s="17"/>
      <c r="AA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</row>
    <row r="125" spans="1:63" s="16" customFormat="1" ht="23.25" hidden="1" customHeight="1">
      <c r="A125" s="446"/>
      <c r="B125" s="359"/>
      <c r="C125" s="359"/>
      <c r="D125" s="359"/>
      <c r="E125" s="1516"/>
      <c r="F125" s="436" t="s">
        <v>196</v>
      </c>
      <c r="G125" s="638">
        <v>34</v>
      </c>
      <c r="H125" s="295">
        <v>106</v>
      </c>
      <c r="I125" s="364"/>
      <c r="J125" s="296">
        <v>448</v>
      </c>
      <c r="K125" s="450"/>
      <c r="L125" s="362"/>
      <c r="M125" s="297">
        <f t="shared" si="21"/>
        <v>-448</v>
      </c>
      <c r="N125" s="298">
        <f t="shared" si="22"/>
        <v>4.2311111111111108</v>
      </c>
      <c r="O125" s="298">
        <f t="shared" si="19"/>
        <v>0</v>
      </c>
      <c r="P125" s="496"/>
      <c r="Q125" s="292">
        <f t="shared" ca="1" si="20"/>
        <v>41758</v>
      </c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</row>
    <row r="126" spans="1:63" s="16" customFormat="1" ht="23.25" hidden="1" customHeight="1">
      <c r="A126" s="446"/>
      <c r="B126" s="359"/>
      <c r="C126" s="359"/>
      <c r="D126" s="359"/>
      <c r="E126" s="1516"/>
      <c r="F126" s="436" t="s">
        <v>197</v>
      </c>
      <c r="G126" s="638">
        <v>34</v>
      </c>
      <c r="H126" s="295">
        <v>106</v>
      </c>
      <c r="I126" s="364"/>
      <c r="J126" s="296">
        <v>448</v>
      </c>
      <c r="K126" s="450"/>
      <c r="L126" s="362"/>
      <c r="M126" s="297">
        <f t="shared" si="21"/>
        <v>-448</v>
      </c>
      <c r="N126" s="298">
        <f t="shared" si="22"/>
        <v>4.2311111111111108</v>
      </c>
      <c r="O126" s="298">
        <f t="shared" si="19"/>
        <v>0</v>
      </c>
      <c r="P126" s="496"/>
      <c r="Q126" s="292">
        <f t="shared" ca="1" si="20"/>
        <v>41758</v>
      </c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</row>
    <row r="127" spans="1:63" s="16" customFormat="1" ht="23.25" hidden="1" customHeight="1">
      <c r="A127" s="446"/>
      <c r="B127" s="359"/>
      <c r="C127" s="359"/>
      <c r="D127" s="359"/>
      <c r="E127" s="1516"/>
      <c r="F127" s="436" t="s">
        <v>198</v>
      </c>
      <c r="G127" s="638">
        <v>34</v>
      </c>
      <c r="H127" s="295">
        <v>106</v>
      </c>
      <c r="I127" s="364"/>
      <c r="J127" s="296">
        <v>448</v>
      </c>
      <c r="K127" s="450"/>
      <c r="L127" s="362"/>
      <c r="M127" s="297">
        <f t="shared" si="21"/>
        <v>-448</v>
      </c>
      <c r="N127" s="298">
        <f t="shared" si="22"/>
        <v>4.2311111111111108</v>
      </c>
      <c r="O127" s="298">
        <f t="shared" si="19"/>
        <v>0</v>
      </c>
      <c r="P127" s="496"/>
      <c r="Q127" s="292">
        <f t="shared" ca="1" si="20"/>
        <v>41758</v>
      </c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</row>
    <row r="128" spans="1:63" s="16" customFormat="1" ht="23.25" hidden="1" customHeight="1">
      <c r="A128" s="446"/>
      <c r="B128" s="359"/>
      <c r="C128" s="359"/>
      <c r="D128" s="359"/>
      <c r="E128" s="1516"/>
      <c r="F128" s="436" t="s">
        <v>199</v>
      </c>
      <c r="G128" s="638">
        <v>34</v>
      </c>
      <c r="H128" s="295">
        <v>106</v>
      </c>
      <c r="I128" s="364"/>
      <c r="J128" s="296">
        <v>448</v>
      </c>
      <c r="K128" s="450"/>
      <c r="L128" s="362"/>
      <c r="M128" s="297">
        <f t="shared" si="21"/>
        <v>-448</v>
      </c>
      <c r="N128" s="298">
        <f t="shared" si="22"/>
        <v>4.2311111111111108</v>
      </c>
      <c r="O128" s="298">
        <f t="shared" si="19"/>
        <v>0</v>
      </c>
      <c r="P128" s="496"/>
      <c r="Q128" s="292">
        <f t="shared" ca="1" si="20"/>
        <v>41758</v>
      </c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</row>
    <row r="129" spans="1:57" s="16" customFormat="1" ht="23.25" hidden="1" customHeight="1">
      <c r="A129" s="446"/>
      <c r="B129" s="359"/>
      <c r="C129" s="359"/>
      <c r="D129" s="359"/>
      <c r="E129" s="1516"/>
      <c r="F129" s="436" t="s">
        <v>200</v>
      </c>
      <c r="G129" s="638">
        <v>34</v>
      </c>
      <c r="H129" s="295">
        <v>106</v>
      </c>
      <c r="I129" s="364"/>
      <c r="J129" s="296">
        <v>448</v>
      </c>
      <c r="K129" s="450"/>
      <c r="L129" s="362"/>
      <c r="M129" s="297">
        <f t="shared" si="21"/>
        <v>-448</v>
      </c>
      <c r="N129" s="298">
        <f t="shared" si="22"/>
        <v>4.2311111111111108</v>
      </c>
      <c r="O129" s="298">
        <f t="shared" si="19"/>
        <v>0</v>
      </c>
      <c r="P129" s="496"/>
      <c r="Q129" s="292">
        <f t="shared" ca="1" si="20"/>
        <v>41758</v>
      </c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</row>
    <row r="130" spans="1:57" s="16" customFormat="1" ht="23.25" hidden="1" customHeight="1">
      <c r="A130" s="446"/>
      <c r="B130" s="359"/>
      <c r="C130" s="359"/>
      <c r="D130" s="359"/>
      <c r="E130" s="1516"/>
      <c r="F130" s="436" t="s">
        <v>201</v>
      </c>
      <c r="G130" s="638">
        <v>34</v>
      </c>
      <c r="H130" s="295">
        <v>106</v>
      </c>
      <c r="I130" s="364"/>
      <c r="J130" s="296">
        <v>448</v>
      </c>
      <c r="K130" s="450"/>
      <c r="L130" s="362"/>
      <c r="M130" s="297">
        <f t="shared" si="21"/>
        <v>-448</v>
      </c>
      <c r="N130" s="298">
        <f t="shared" si="22"/>
        <v>4.2311111111111108</v>
      </c>
      <c r="O130" s="298">
        <f t="shared" si="19"/>
        <v>0</v>
      </c>
      <c r="P130" s="496"/>
      <c r="Q130" s="292">
        <f t="shared" ca="1" si="20"/>
        <v>41758</v>
      </c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</row>
    <row r="131" spans="1:57" s="16" customFormat="1" ht="23.25" hidden="1" customHeight="1">
      <c r="A131" s="446"/>
      <c r="B131" s="359"/>
      <c r="C131" s="359"/>
      <c r="D131" s="359"/>
      <c r="E131" s="1516"/>
      <c r="F131" s="436" t="s">
        <v>202</v>
      </c>
      <c r="G131" s="638">
        <v>34</v>
      </c>
      <c r="H131" s="295">
        <v>106</v>
      </c>
      <c r="I131" s="364"/>
      <c r="J131" s="296">
        <v>448</v>
      </c>
      <c r="K131" s="450"/>
      <c r="L131" s="362"/>
      <c r="M131" s="297">
        <f t="shared" si="21"/>
        <v>-448</v>
      </c>
      <c r="N131" s="298">
        <f t="shared" si="22"/>
        <v>4.2311111111111108</v>
      </c>
      <c r="O131" s="298">
        <f t="shared" si="19"/>
        <v>0</v>
      </c>
      <c r="P131" s="496"/>
      <c r="Q131" s="292">
        <f t="shared" ca="1" si="20"/>
        <v>41758</v>
      </c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</row>
    <row r="132" spans="1:57" s="16" customFormat="1" ht="23.25" hidden="1" customHeight="1">
      <c r="A132" s="446"/>
      <c r="B132" s="359"/>
      <c r="C132" s="359"/>
      <c r="D132" s="359"/>
      <c r="E132" s="1516"/>
      <c r="F132" s="436" t="s">
        <v>203</v>
      </c>
      <c r="G132" s="638">
        <v>34</v>
      </c>
      <c r="H132" s="295">
        <v>106</v>
      </c>
      <c r="I132" s="364"/>
      <c r="J132" s="296">
        <v>448</v>
      </c>
      <c r="K132" s="450"/>
      <c r="L132" s="362"/>
      <c r="M132" s="297">
        <f t="shared" si="21"/>
        <v>-448</v>
      </c>
      <c r="N132" s="298">
        <f t="shared" si="22"/>
        <v>4.2311111111111108</v>
      </c>
      <c r="O132" s="298">
        <f t="shared" si="19"/>
        <v>0</v>
      </c>
      <c r="P132" s="496"/>
      <c r="Q132" s="292">
        <f t="shared" ca="1" si="20"/>
        <v>41758</v>
      </c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</row>
    <row r="133" spans="1:57" s="16" customFormat="1" ht="24" hidden="1" customHeight="1" thickBot="1">
      <c r="A133" s="446"/>
      <c r="B133" s="359"/>
      <c r="C133" s="359"/>
      <c r="D133" s="359"/>
      <c r="E133" s="1515"/>
      <c r="F133" s="435" t="s">
        <v>204</v>
      </c>
      <c r="G133" s="638">
        <v>34</v>
      </c>
      <c r="H133" s="295">
        <v>106</v>
      </c>
      <c r="I133" s="363"/>
      <c r="J133" s="296">
        <v>448</v>
      </c>
      <c r="K133" s="450"/>
      <c r="L133" s="362"/>
      <c r="M133" s="297">
        <f t="shared" si="21"/>
        <v>-448</v>
      </c>
      <c r="N133" s="298">
        <f t="shared" si="22"/>
        <v>4.2311111111111108</v>
      </c>
      <c r="O133" s="298">
        <f t="shared" ref="O133:O164" si="23">K133/J133</f>
        <v>0</v>
      </c>
      <c r="P133" s="496"/>
      <c r="Q133" s="292">
        <f t="shared" ca="1" si="20"/>
        <v>41758</v>
      </c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</row>
    <row r="134" spans="1:57" s="16" customFormat="1" ht="23.25" hidden="1" customHeight="1">
      <c r="A134" s="446"/>
      <c r="B134" s="359"/>
      <c r="C134" s="359"/>
      <c r="D134" s="359"/>
      <c r="E134" s="1514" t="s">
        <v>205</v>
      </c>
      <c r="F134" s="434" t="s">
        <v>206</v>
      </c>
      <c r="G134" s="638">
        <v>34</v>
      </c>
      <c r="H134" s="295">
        <v>106</v>
      </c>
      <c r="I134" s="361"/>
      <c r="J134" s="296">
        <v>448</v>
      </c>
      <c r="K134" s="450"/>
      <c r="L134" s="362"/>
      <c r="M134" s="297">
        <f t="shared" si="21"/>
        <v>-448</v>
      </c>
      <c r="N134" s="298">
        <f t="shared" si="22"/>
        <v>4.2311111111111108</v>
      </c>
      <c r="O134" s="298">
        <f t="shared" si="23"/>
        <v>0</v>
      </c>
      <c r="P134" s="496"/>
      <c r="Q134" s="292">
        <f t="shared" ca="1" si="20"/>
        <v>41758</v>
      </c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</row>
    <row r="135" spans="1:57" s="16" customFormat="1" ht="23.25" hidden="1" customHeight="1">
      <c r="A135" s="446"/>
      <c r="B135" s="359"/>
      <c r="C135" s="359"/>
      <c r="D135" s="359"/>
      <c r="E135" s="1516"/>
      <c r="F135" s="436" t="s">
        <v>207</v>
      </c>
      <c r="G135" s="638">
        <v>34</v>
      </c>
      <c r="H135" s="295">
        <v>106</v>
      </c>
      <c r="I135" s="364"/>
      <c r="J135" s="296">
        <v>448</v>
      </c>
      <c r="K135" s="450"/>
      <c r="L135" s="362"/>
      <c r="M135" s="297">
        <f t="shared" si="21"/>
        <v>-448</v>
      </c>
      <c r="N135" s="298">
        <f t="shared" si="22"/>
        <v>4.2311111111111108</v>
      </c>
      <c r="O135" s="298">
        <f t="shared" si="23"/>
        <v>0</v>
      </c>
      <c r="P135" s="496"/>
      <c r="Q135" s="292">
        <f t="shared" ca="1" si="20"/>
        <v>41758</v>
      </c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</row>
    <row r="136" spans="1:57" s="16" customFormat="1" ht="23.25" hidden="1" customHeight="1">
      <c r="A136" s="446"/>
      <c r="B136" s="359"/>
      <c r="C136" s="359"/>
      <c r="D136" s="359"/>
      <c r="E136" s="1516"/>
      <c r="F136" s="436" t="s">
        <v>208</v>
      </c>
      <c r="G136" s="638">
        <v>34</v>
      </c>
      <c r="H136" s="295">
        <v>106</v>
      </c>
      <c r="I136" s="364"/>
      <c r="J136" s="296">
        <v>448</v>
      </c>
      <c r="K136" s="450"/>
      <c r="L136" s="362"/>
      <c r="M136" s="297">
        <f t="shared" si="21"/>
        <v>-448</v>
      </c>
      <c r="N136" s="298">
        <f t="shared" si="22"/>
        <v>4.2311111111111108</v>
      </c>
      <c r="O136" s="298">
        <f t="shared" si="23"/>
        <v>0</v>
      </c>
      <c r="P136" s="496"/>
      <c r="Q136" s="292">
        <f t="shared" ca="1" si="20"/>
        <v>41758</v>
      </c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</row>
    <row r="137" spans="1:57" s="16" customFormat="1" ht="23.25" hidden="1" customHeight="1">
      <c r="A137" s="446"/>
      <c r="B137" s="359"/>
      <c r="C137" s="359"/>
      <c r="D137" s="359"/>
      <c r="E137" s="1516"/>
      <c r="F137" s="436" t="s">
        <v>209</v>
      </c>
      <c r="G137" s="638">
        <v>34</v>
      </c>
      <c r="H137" s="295">
        <v>106</v>
      </c>
      <c r="I137" s="364"/>
      <c r="J137" s="296">
        <v>448</v>
      </c>
      <c r="K137" s="450"/>
      <c r="L137" s="362"/>
      <c r="M137" s="297">
        <f t="shared" si="21"/>
        <v>-448</v>
      </c>
      <c r="N137" s="298">
        <f t="shared" si="22"/>
        <v>4.2311111111111108</v>
      </c>
      <c r="O137" s="298">
        <f t="shared" si="23"/>
        <v>0</v>
      </c>
      <c r="P137" s="496"/>
      <c r="Q137" s="292">
        <f t="shared" ca="1" si="20"/>
        <v>41758</v>
      </c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</row>
    <row r="138" spans="1:57" s="16" customFormat="1" ht="23.25" hidden="1" customHeight="1">
      <c r="A138" s="446"/>
      <c r="B138" s="359"/>
      <c r="C138" s="359"/>
      <c r="D138" s="359"/>
      <c r="E138" s="1516"/>
      <c r="F138" s="436" t="s">
        <v>210</v>
      </c>
      <c r="G138" s="638">
        <v>34</v>
      </c>
      <c r="H138" s="295">
        <v>106</v>
      </c>
      <c r="I138" s="364"/>
      <c r="J138" s="296">
        <v>448</v>
      </c>
      <c r="K138" s="450"/>
      <c r="L138" s="362"/>
      <c r="M138" s="297">
        <f t="shared" si="21"/>
        <v>-448</v>
      </c>
      <c r="N138" s="298">
        <f t="shared" si="22"/>
        <v>4.2311111111111108</v>
      </c>
      <c r="O138" s="298">
        <f t="shared" si="23"/>
        <v>0</v>
      </c>
      <c r="P138" s="496"/>
      <c r="Q138" s="292">
        <f t="shared" ca="1" si="20"/>
        <v>41758</v>
      </c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</row>
    <row r="139" spans="1:57" s="16" customFormat="1" ht="23.25" hidden="1" customHeight="1">
      <c r="A139" s="446"/>
      <c r="B139" s="359"/>
      <c r="C139" s="359"/>
      <c r="D139" s="359"/>
      <c r="E139" s="1516"/>
      <c r="F139" s="436" t="s">
        <v>211</v>
      </c>
      <c r="G139" s="638">
        <v>34</v>
      </c>
      <c r="H139" s="295">
        <v>106</v>
      </c>
      <c r="I139" s="364"/>
      <c r="J139" s="296">
        <v>448</v>
      </c>
      <c r="K139" s="450"/>
      <c r="L139" s="362"/>
      <c r="M139" s="297">
        <f t="shared" si="21"/>
        <v>-448</v>
      </c>
      <c r="N139" s="298">
        <f t="shared" si="22"/>
        <v>4.2311111111111108</v>
      </c>
      <c r="O139" s="298">
        <f t="shared" si="23"/>
        <v>0</v>
      </c>
      <c r="P139" s="496"/>
      <c r="Q139" s="292">
        <f t="shared" ca="1" si="20"/>
        <v>41758</v>
      </c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</row>
    <row r="140" spans="1:57" s="16" customFormat="1" ht="23.25" hidden="1" customHeight="1">
      <c r="A140" s="446"/>
      <c r="B140" s="359"/>
      <c r="C140" s="359"/>
      <c r="D140" s="359"/>
      <c r="E140" s="1516"/>
      <c r="F140" s="436" t="s">
        <v>212</v>
      </c>
      <c r="G140" s="638">
        <v>34</v>
      </c>
      <c r="H140" s="295">
        <v>106</v>
      </c>
      <c r="I140" s="364"/>
      <c r="J140" s="296">
        <v>448</v>
      </c>
      <c r="K140" s="450"/>
      <c r="L140" s="362"/>
      <c r="M140" s="297">
        <f t="shared" si="21"/>
        <v>-448</v>
      </c>
      <c r="N140" s="298">
        <f t="shared" si="22"/>
        <v>4.2311111111111108</v>
      </c>
      <c r="O140" s="298">
        <f t="shared" si="23"/>
        <v>0</v>
      </c>
      <c r="P140" s="496"/>
      <c r="Q140" s="292">
        <f t="shared" ca="1" si="20"/>
        <v>41758</v>
      </c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</row>
    <row r="141" spans="1:57" s="16" customFormat="1" ht="23.25" hidden="1" customHeight="1">
      <c r="A141" s="446"/>
      <c r="B141" s="359"/>
      <c r="C141" s="359"/>
      <c r="D141" s="359"/>
      <c r="E141" s="1516"/>
      <c r="F141" s="436" t="s">
        <v>213</v>
      </c>
      <c r="G141" s="638">
        <v>34</v>
      </c>
      <c r="H141" s="295">
        <v>106</v>
      </c>
      <c r="I141" s="364"/>
      <c r="J141" s="296">
        <v>448</v>
      </c>
      <c r="K141" s="450"/>
      <c r="L141" s="362"/>
      <c r="M141" s="297">
        <f t="shared" si="21"/>
        <v>-448</v>
      </c>
      <c r="N141" s="298">
        <f t="shared" si="22"/>
        <v>4.2311111111111108</v>
      </c>
      <c r="O141" s="298">
        <f t="shared" si="23"/>
        <v>0</v>
      </c>
      <c r="P141" s="496"/>
      <c r="Q141" s="292">
        <f t="shared" ca="1" si="20"/>
        <v>41758</v>
      </c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</row>
    <row r="142" spans="1:57" s="16" customFormat="1" ht="23.25" hidden="1" customHeight="1">
      <c r="A142" s="446"/>
      <c r="B142" s="359"/>
      <c r="C142" s="359"/>
      <c r="D142" s="359"/>
      <c r="E142" s="1516"/>
      <c r="F142" s="436" t="s">
        <v>214</v>
      </c>
      <c r="G142" s="638">
        <v>34</v>
      </c>
      <c r="H142" s="295">
        <v>106</v>
      </c>
      <c r="I142" s="364"/>
      <c r="J142" s="296">
        <v>448</v>
      </c>
      <c r="K142" s="450"/>
      <c r="L142" s="362"/>
      <c r="M142" s="297">
        <f t="shared" si="21"/>
        <v>-448</v>
      </c>
      <c r="N142" s="298">
        <f t="shared" si="22"/>
        <v>4.2311111111111108</v>
      </c>
      <c r="O142" s="298">
        <f t="shared" si="23"/>
        <v>0</v>
      </c>
      <c r="P142" s="496"/>
      <c r="Q142" s="292">
        <f t="shared" ca="1" si="20"/>
        <v>41758</v>
      </c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</row>
    <row r="143" spans="1:57" s="16" customFormat="1" ht="24" hidden="1" customHeight="1" thickBot="1">
      <c r="A143" s="446"/>
      <c r="B143" s="359"/>
      <c r="C143" s="359"/>
      <c r="D143" s="359"/>
      <c r="E143" s="1515"/>
      <c r="F143" s="435" t="s">
        <v>215</v>
      </c>
      <c r="G143" s="638">
        <v>34</v>
      </c>
      <c r="H143" s="295">
        <v>106</v>
      </c>
      <c r="I143" s="363"/>
      <c r="J143" s="296">
        <v>448</v>
      </c>
      <c r="K143" s="450"/>
      <c r="L143" s="362"/>
      <c r="M143" s="297">
        <f t="shared" si="21"/>
        <v>-448</v>
      </c>
      <c r="N143" s="298">
        <f t="shared" si="22"/>
        <v>4.2311111111111108</v>
      </c>
      <c r="O143" s="298">
        <f t="shared" si="23"/>
        <v>0</v>
      </c>
      <c r="P143" s="496"/>
      <c r="Q143" s="292">
        <f t="shared" ca="1" si="20"/>
        <v>41758</v>
      </c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</row>
    <row r="144" spans="1:57" s="16" customFormat="1" ht="23.25" hidden="1" customHeight="1">
      <c r="A144" s="446"/>
      <c r="B144" s="359"/>
      <c r="C144" s="359"/>
      <c r="D144" s="359"/>
      <c r="E144" s="1514" t="s">
        <v>216</v>
      </c>
      <c r="F144" s="434" t="s">
        <v>217</v>
      </c>
      <c r="G144" s="1626">
        <v>32</v>
      </c>
      <c r="H144" s="1519">
        <v>113</v>
      </c>
      <c r="I144" s="361"/>
      <c r="J144" s="296">
        <v>448</v>
      </c>
      <c r="K144" s="450"/>
      <c r="L144" s="362"/>
      <c r="M144" s="297">
        <f t="shared" si="21"/>
        <v>-448</v>
      </c>
      <c r="N144" s="298">
        <f t="shared" si="22"/>
        <v>3.9822222222222221</v>
      </c>
      <c r="O144" s="298">
        <f t="shared" si="23"/>
        <v>0</v>
      </c>
      <c r="P144" s="496"/>
      <c r="Q144" s="292">
        <f t="shared" ca="1" si="20"/>
        <v>41758</v>
      </c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</row>
    <row r="145" spans="1:57" s="16" customFormat="1" ht="24" hidden="1" customHeight="1" thickBot="1">
      <c r="A145" s="446"/>
      <c r="B145" s="359"/>
      <c r="C145" s="359"/>
      <c r="D145" s="359"/>
      <c r="E145" s="1515"/>
      <c r="F145" s="435" t="s">
        <v>218</v>
      </c>
      <c r="G145" s="1627"/>
      <c r="H145" s="1520"/>
      <c r="I145" s="363"/>
      <c r="J145" s="296">
        <v>448</v>
      </c>
      <c r="K145" s="450"/>
      <c r="L145" s="362"/>
      <c r="M145" s="297">
        <f t="shared" si="21"/>
        <v>-448</v>
      </c>
      <c r="N145" s="298">
        <f t="shared" si="22"/>
        <v>0</v>
      </c>
      <c r="O145" s="298">
        <f t="shared" si="23"/>
        <v>0</v>
      </c>
      <c r="P145" s="496"/>
      <c r="Q145" s="292">
        <f t="shared" ca="1" si="20"/>
        <v>41758</v>
      </c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</row>
    <row r="146" spans="1:57" s="16" customFormat="1" ht="23.25" hidden="1" customHeight="1">
      <c r="A146" s="446"/>
      <c r="B146" s="359"/>
      <c r="C146" s="359"/>
      <c r="D146" s="359"/>
      <c r="E146" s="1514" t="s">
        <v>219</v>
      </c>
      <c r="F146" s="434" t="s">
        <v>217</v>
      </c>
      <c r="G146" s="1626">
        <v>32</v>
      </c>
      <c r="H146" s="1519">
        <v>113</v>
      </c>
      <c r="I146" s="361"/>
      <c r="J146" s="296">
        <v>64</v>
      </c>
      <c r="K146" s="450"/>
      <c r="L146" s="362"/>
      <c r="M146" s="297">
        <f t="shared" si="21"/>
        <v>-64</v>
      </c>
      <c r="N146" s="298">
        <f t="shared" si="22"/>
        <v>0.56888888888888889</v>
      </c>
      <c r="O146" s="298">
        <f t="shared" si="23"/>
        <v>0</v>
      </c>
      <c r="P146" s="496"/>
      <c r="Q146" s="292">
        <f t="shared" ca="1" si="20"/>
        <v>41758</v>
      </c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</row>
    <row r="147" spans="1:57" s="16" customFormat="1" ht="24" hidden="1" customHeight="1" thickBot="1">
      <c r="A147" s="447"/>
      <c r="B147" s="365"/>
      <c r="C147" s="365"/>
      <c r="D147" s="365"/>
      <c r="E147" s="1515"/>
      <c r="F147" s="435" t="s">
        <v>218</v>
      </c>
      <c r="G147" s="1627"/>
      <c r="H147" s="1520"/>
      <c r="I147" s="363"/>
      <c r="J147" s="296">
        <v>64</v>
      </c>
      <c r="K147" s="450"/>
      <c r="L147" s="362"/>
      <c r="M147" s="297">
        <f t="shared" si="21"/>
        <v>-64</v>
      </c>
      <c r="N147" s="298">
        <f t="shared" si="22"/>
        <v>0</v>
      </c>
      <c r="O147" s="298">
        <f t="shared" si="23"/>
        <v>0</v>
      </c>
      <c r="P147" s="496"/>
      <c r="Q147" s="292">
        <f t="shared" ca="1" si="20"/>
        <v>41758</v>
      </c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</row>
    <row r="148" spans="1:57" s="16" customFormat="1" ht="23.25" hidden="1" customHeight="1">
      <c r="A148" s="448" t="s">
        <v>243</v>
      </c>
      <c r="B148" s="366"/>
      <c r="C148" s="366"/>
      <c r="D148" s="366"/>
      <c r="E148" s="1514" t="s">
        <v>220</v>
      </c>
      <c r="F148" s="434" t="s">
        <v>221</v>
      </c>
      <c r="G148" s="638">
        <v>26</v>
      </c>
      <c r="H148" s="295">
        <v>138</v>
      </c>
      <c r="I148" s="361"/>
      <c r="J148" s="296">
        <v>896</v>
      </c>
      <c r="K148" s="450"/>
      <c r="L148" s="362"/>
      <c r="M148" s="297">
        <f t="shared" si="21"/>
        <v>-896</v>
      </c>
      <c r="N148" s="298">
        <f t="shared" si="22"/>
        <v>6.471111111111111</v>
      </c>
      <c r="O148" s="298">
        <f t="shared" si="23"/>
        <v>0</v>
      </c>
      <c r="P148" s="496"/>
      <c r="Q148" s="292">
        <f t="shared" ca="1" si="20"/>
        <v>41758</v>
      </c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</row>
    <row r="149" spans="1:57" s="16" customFormat="1" ht="24" hidden="1" customHeight="1" thickBot="1">
      <c r="A149" s="446"/>
      <c r="B149" s="359"/>
      <c r="C149" s="359"/>
      <c r="D149" s="359"/>
      <c r="E149" s="1515"/>
      <c r="F149" s="435" t="s">
        <v>222</v>
      </c>
      <c r="G149" s="638">
        <v>26</v>
      </c>
      <c r="H149" s="295">
        <v>138</v>
      </c>
      <c r="I149" s="363"/>
      <c r="J149" s="296">
        <v>896</v>
      </c>
      <c r="K149" s="450"/>
      <c r="L149" s="362"/>
      <c r="M149" s="297">
        <f t="shared" si="21"/>
        <v>-896</v>
      </c>
      <c r="N149" s="298">
        <f t="shared" si="22"/>
        <v>6.471111111111111</v>
      </c>
      <c r="O149" s="298">
        <f t="shared" si="23"/>
        <v>0</v>
      </c>
      <c r="P149" s="496"/>
      <c r="Q149" s="292">
        <f t="shared" ca="1" si="20"/>
        <v>41758</v>
      </c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</row>
    <row r="150" spans="1:57" s="16" customFormat="1" ht="23.25" hidden="1" customHeight="1">
      <c r="A150" s="446"/>
      <c r="B150" s="359"/>
      <c r="C150" s="359"/>
      <c r="D150" s="359"/>
      <c r="E150" s="1514" t="s">
        <v>223</v>
      </c>
      <c r="F150" s="434" t="s">
        <v>224</v>
      </c>
      <c r="G150" s="638">
        <v>24</v>
      </c>
      <c r="H150" s="295">
        <v>150</v>
      </c>
      <c r="I150" s="361"/>
      <c r="J150" s="296">
        <v>896</v>
      </c>
      <c r="K150" s="450"/>
      <c r="L150" s="362"/>
      <c r="M150" s="297">
        <f t="shared" si="21"/>
        <v>-896</v>
      </c>
      <c r="N150" s="298">
        <f t="shared" si="22"/>
        <v>5.9733333333333336</v>
      </c>
      <c r="O150" s="298">
        <f t="shared" si="23"/>
        <v>0</v>
      </c>
      <c r="P150" s="496"/>
      <c r="Q150" s="292">
        <f t="shared" ca="1" si="20"/>
        <v>41758</v>
      </c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</row>
    <row r="151" spans="1:57" s="16" customFormat="1" ht="24" hidden="1" customHeight="1" thickBot="1">
      <c r="A151" s="446"/>
      <c r="B151" s="359"/>
      <c r="C151" s="359"/>
      <c r="D151" s="359"/>
      <c r="E151" s="1515"/>
      <c r="F151" s="435" t="s">
        <v>225</v>
      </c>
      <c r="G151" s="638">
        <v>24</v>
      </c>
      <c r="H151" s="295">
        <v>150</v>
      </c>
      <c r="I151" s="363"/>
      <c r="J151" s="296">
        <v>896</v>
      </c>
      <c r="K151" s="450"/>
      <c r="L151" s="362"/>
      <c r="M151" s="297">
        <f t="shared" si="21"/>
        <v>-896</v>
      </c>
      <c r="N151" s="298">
        <f t="shared" si="22"/>
        <v>5.9733333333333336</v>
      </c>
      <c r="O151" s="298">
        <f t="shared" si="23"/>
        <v>0</v>
      </c>
      <c r="P151" s="496"/>
      <c r="Q151" s="292">
        <f t="shared" ca="1" si="20"/>
        <v>41758</v>
      </c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</row>
    <row r="152" spans="1:57" s="16" customFormat="1" ht="24" hidden="1" customHeight="1" thickBot="1">
      <c r="A152" s="446"/>
      <c r="B152" s="359"/>
      <c r="C152" s="359"/>
      <c r="D152" s="359"/>
      <c r="E152" s="367" t="s">
        <v>226</v>
      </c>
      <c r="F152" s="437" t="s">
        <v>227</v>
      </c>
      <c r="G152" s="638">
        <v>33</v>
      </c>
      <c r="H152" s="295">
        <v>109</v>
      </c>
      <c r="I152" s="368"/>
      <c r="J152" s="296">
        <v>896</v>
      </c>
      <c r="K152" s="450"/>
      <c r="L152" s="362"/>
      <c r="M152" s="297">
        <f>K152-J152</f>
        <v>-896</v>
      </c>
      <c r="N152" s="298">
        <f t="shared" si="22"/>
        <v>8.2133333333333329</v>
      </c>
      <c r="O152" s="298">
        <f t="shared" si="23"/>
        <v>0</v>
      </c>
      <c r="P152" s="496"/>
      <c r="Q152" s="292">
        <f t="shared" ca="1" si="20"/>
        <v>41758</v>
      </c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</row>
    <row r="153" spans="1:57" s="79" customFormat="1" ht="24" hidden="1" customHeight="1" thickBot="1">
      <c r="A153" s="446"/>
      <c r="B153" s="359"/>
      <c r="C153" s="359"/>
      <c r="D153" s="359"/>
      <c r="E153" s="367" t="s">
        <v>241</v>
      </c>
      <c r="F153" s="437" t="s">
        <v>228</v>
      </c>
      <c r="G153" s="638">
        <v>27</v>
      </c>
      <c r="H153" s="295">
        <v>133</v>
      </c>
      <c r="I153" s="368"/>
      <c r="J153" s="296">
        <v>1024</v>
      </c>
      <c r="K153" s="450"/>
      <c r="L153" s="362"/>
      <c r="M153" s="297">
        <f t="shared" si="21"/>
        <v>-1024</v>
      </c>
      <c r="N153" s="298">
        <f t="shared" si="22"/>
        <v>7.68</v>
      </c>
      <c r="O153" s="298">
        <f t="shared" si="23"/>
        <v>0</v>
      </c>
      <c r="P153" s="496"/>
      <c r="Q153" s="292">
        <f t="shared" ca="1" si="20"/>
        <v>41758</v>
      </c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  <c r="AK153" s="80"/>
      <c r="AL153" s="80"/>
      <c r="AM153" s="80"/>
      <c r="AN153" s="80"/>
      <c r="AO153" s="80"/>
      <c r="AP153" s="80"/>
      <c r="AQ153" s="80"/>
      <c r="AR153" s="80"/>
      <c r="AS153" s="80"/>
      <c r="AT153" s="80"/>
      <c r="AU153" s="80"/>
      <c r="AV153" s="80"/>
      <c r="AW153" s="80"/>
      <c r="AX153" s="80"/>
      <c r="AY153" s="80"/>
      <c r="AZ153" s="80"/>
      <c r="BA153" s="80"/>
      <c r="BB153" s="80"/>
      <c r="BC153" s="80"/>
      <c r="BD153" s="80"/>
      <c r="BE153" s="80"/>
    </row>
    <row r="154" spans="1:57" s="79" customFormat="1" ht="23.25" hidden="1" customHeight="1">
      <c r="A154" s="446"/>
      <c r="B154" s="359"/>
      <c r="C154" s="359"/>
      <c r="D154" s="359"/>
      <c r="E154" s="1514" t="s">
        <v>231</v>
      </c>
      <c r="F154" s="434" t="s">
        <v>229</v>
      </c>
      <c r="G154" s="1626">
        <v>27</v>
      </c>
      <c r="H154" s="1519">
        <v>133</v>
      </c>
      <c r="I154" s="361"/>
      <c r="J154" s="296">
        <v>512</v>
      </c>
      <c r="K154" s="450"/>
      <c r="L154" s="362"/>
      <c r="M154" s="297">
        <f t="shared" si="21"/>
        <v>-512</v>
      </c>
      <c r="N154" s="298">
        <f t="shared" si="22"/>
        <v>3.84</v>
      </c>
      <c r="O154" s="298">
        <f t="shared" si="23"/>
        <v>0</v>
      </c>
      <c r="P154" s="496"/>
      <c r="Q154" s="292">
        <f t="shared" ca="1" si="20"/>
        <v>41758</v>
      </c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80"/>
      <c r="AK154" s="80"/>
      <c r="AL154" s="80"/>
      <c r="AM154" s="80"/>
      <c r="AN154" s="80"/>
      <c r="AO154" s="80"/>
      <c r="AP154" s="80"/>
      <c r="AQ154" s="80"/>
      <c r="AR154" s="80"/>
      <c r="AS154" s="80"/>
      <c r="AT154" s="80"/>
      <c r="AU154" s="80"/>
      <c r="AV154" s="80"/>
      <c r="AW154" s="80"/>
      <c r="AX154" s="80"/>
      <c r="AY154" s="80"/>
      <c r="AZ154" s="80"/>
      <c r="BA154" s="80"/>
      <c r="BB154" s="80"/>
      <c r="BC154" s="80"/>
      <c r="BD154" s="80"/>
      <c r="BE154" s="80"/>
    </row>
    <row r="155" spans="1:57" s="79" customFormat="1" ht="24" hidden="1" customHeight="1" thickBot="1">
      <c r="A155" s="446"/>
      <c r="B155" s="359"/>
      <c r="C155" s="359"/>
      <c r="D155" s="359"/>
      <c r="E155" s="1515"/>
      <c r="F155" s="435" t="s">
        <v>230</v>
      </c>
      <c r="G155" s="1627"/>
      <c r="H155" s="1520"/>
      <c r="I155" s="363"/>
      <c r="J155" s="296">
        <v>512</v>
      </c>
      <c r="K155" s="450"/>
      <c r="L155" s="362"/>
      <c r="M155" s="297">
        <f t="shared" si="21"/>
        <v>-512</v>
      </c>
      <c r="N155" s="298">
        <f t="shared" si="22"/>
        <v>0</v>
      </c>
      <c r="O155" s="298">
        <f t="shared" si="23"/>
        <v>0</v>
      </c>
      <c r="P155" s="496"/>
      <c r="Q155" s="292">
        <f t="shared" ca="1" si="20"/>
        <v>41758</v>
      </c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80"/>
      <c r="AK155" s="80"/>
      <c r="AL155" s="80"/>
      <c r="AM155" s="80"/>
      <c r="AN155" s="80"/>
      <c r="AO155" s="80"/>
      <c r="AP155" s="80"/>
      <c r="AQ155" s="80"/>
      <c r="AR155" s="80"/>
      <c r="AS155" s="80"/>
      <c r="AT155" s="80"/>
      <c r="AU155" s="80"/>
      <c r="AV155" s="80"/>
      <c r="AW155" s="80"/>
      <c r="AX155" s="80"/>
      <c r="AY155" s="80"/>
      <c r="AZ155" s="80"/>
      <c r="BA155" s="80"/>
      <c r="BB155" s="80"/>
      <c r="BC155" s="80"/>
      <c r="BD155" s="80"/>
      <c r="BE155" s="80"/>
    </row>
    <row r="156" spans="1:57" s="79" customFormat="1" ht="24" hidden="1" customHeight="1" thickBot="1">
      <c r="A156" s="446"/>
      <c r="B156" s="359"/>
      <c r="C156" s="359"/>
      <c r="D156" s="359"/>
      <c r="E156" s="369" t="s">
        <v>232</v>
      </c>
      <c r="F156" s="437" t="s">
        <v>233</v>
      </c>
      <c r="G156" s="638">
        <v>19</v>
      </c>
      <c r="H156" s="295">
        <v>189</v>
      </c>
      <c r="I156" s="368"/>
      <c r="J156" s="296">
        <v>1024</v>
      </c>
      <c r="K156" s="450"/>
      <c r="L156" s="362"/>
      <c r="M156" s="297">
        <f t="shared" si="21"/>
        <v>-1024</v>
      </c>
      <c r="N156" s="298">
        <f t="shared" si="22"/>
        <v>5.4044444444444446</v>
      </c>
      <c r="O156" s="298">
        <f t="shared" si="23"/>
        <v>0</v>
      </c>
      <c r="P156" s="496"/>
      <c r="Q156" s="292">
        <f t="shared" ca="1" si="20"/>
        <v>41758</v>
      </c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  <c r="AN156" s="80"/>
      <c r="AO156" s="80"/>
      <c r="AP156" s="80"/>
      <c r="AQ156" s="80"/>
      <c r="AR156" s="80"/>
      <c r="AS156" s="80"/>
      <c r="AT156" s="80"/>
      <c r="AU156" s="80"/>
      <c r="AV156" s="80"/>
      <c r="AW156" s="80"/>
      <c r="AX156" s="80"/>
      <c r="AY156" s="80"/>
      <c r="AZ156" s="80"/>
      <c r="BA156" s="80"/>
      <c r="BB156" s="80"/>
      <c r="BC156" s="80"/>
      <c r="BD156" s="80"/>
      <c r="BE156" s="80"/>
    </row>
    <row r="157" spans="1:57" s="16" customFormat="1" ht="23.25" hidden="1" customHeight="1">
      <c r="A157" s="446"/>
      <c r="B157" s="359"/>
      <c r="C157" s="359"/>
      <c r="D157" s="359"/>
      <c r="E157" s="1514" t="s">
        <v>236</v>
      </c>
      <c r="F157" s="434" t="s">
        <v>234</v>
      </c>
      <c r="G157" s="638">
        <v>21</v>
      </c>
      <c r="H157" s="295">
        <v>171</v>
      </c>
      <c r="I157" s="361"/>
      <c r="J157" s="296">
        <v>512</v>
      </c>
      <c r="K157" s="450"/>
      <c r="L157" s="362"/>
      <c r="M157" s="297">
        <f t="shared" si="21"/>
        <v>-512</v>
      </c>
      <c r="N157" s="298">
        <f t="shared" si="22"/>
        <v>2.9866666666666668</v>
      </c>
      <c r="O157" s="298">
        <f t="shared" si="23"/>
        <v>0</v>
      </c>
      <c r="P157" s="496"/>
      <c r="Q157" s="292">
        <f t="shared" ca="1" si="20"/>
        <v>41758</v>
      </c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</row>
    <row r="158" spans="1:57" s="16" customFormat="1" ht="24" hidden="1" customHeight="1" thickBot="1">
      <c r="A158" s="446"/>
      <c r="B158" s="359"/>
      <c r="C158" s="359"/>
      <c r="D158" s="359"/>
      <c r="E158" s="1515"/>
      <c r="F158" s="435" t="s">
        <v>235</v>
      </c>
      <c r="G158" s="638">
        <v>21</v>
      </c>
      <c r="H158" s="295">
        <v>171</v>
      </c>
      <c r="I158" s="363"/>
      <c r="J158" s="296">
        <v>512</v>
      </c>
      <c r="K158" s="450"/>
      <c r="L158" s="362"/>
      <c r="M158" s="297">
        <f t="shared" si="21"/>
        <v>-512</v>
      </c>
      <c r="N158" s="298">
        <f t="shared" si="22"/>
        <v>2.9866666666666668</v>
      </c>
      <c r="O158" s="298">
        <f t="shared" si="23"/>
        <v>0</v>
      </c>
      <c r="P158" s="496"/>
      <c r="Q158" s="292">
        <f t="shared" ca="1" si="20"/>
        <v>41758</v>
      </c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</row>
    <row r="159" spans="1:57" s="16" customFormat="1" ht="23.25" hidden="1" customHeight="1">
      <c r="A159" s="446"/>
      <c r="B159" s="359"/>
      <c r="C159" s="359"/>
      <c r="D159" s="359"/>
      <c r="E159" s="1514" t="s">
        <v>237</v>
      </c>
      <c r="F159" s="434" t="s">
        <v>195</v>
      </c>
      <c r="G159" s="638">
        <v>34</v>
      </c>
      <c r="H159" s="295">
        <v>106</v>
      </c>
      <c r="I159" s="361"/>
      <c r="J159" s="296">
        <v>64</v>
      </c>
      <c r="K159" s="450"/>
      <c r="L159" s="362"/>
      <c r="M159" s="297">
        <f t="shared" si="21"/>
        <v>-64</v>
      </c>
      <c r="N159" s="298">
        <f t="shared" si="22"/>
        <v>0.60444444444444445</v>
      </c>
      <c r="O159" s="298">
        <f t="shared" si="23"/>
        <v>0</v>
      </c>
      <c r="P159" s="496"/>
      <c r="Q159" s="292">
        <f t="shared" ca="1" si="20"/>
        <v>41758</v>
      </c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</row>
    <row r="160" spans="1:57" s="16" customFormat="1" ht="23.25" hidden="1" customHeight="1">
      <c r="A160" s="446"/>
      <c r="B160" s="359"/>
      <c r="C160" s="359"/>
      <c r="D160" s="359"/>
      <c r="E160" s="1516"/>
      <c r="F160" s="436" t="s">
        <v>196</v>
      </c>
      <c r="G160" s="638">
        <v>34</v>
      </c>
      <c r="H160" s="295">
        <v>106</v>
      </c>
      <c r="I160" s="364"/>
      <c r="J160" s="296">
        <v>64</v>
      </c>
      <c r="K160" s="450"/>
      <c r="L160" s="362"/>
      <c r="M160" s="297">
        <f t="shared" si="21"/>
        <v>-64</v>
      </c>
      <c r="N160" s="298">
        <f t="shared" si="22"/>
        <v>0.60444444444444445</v>
      </c>
      <c r="O160" s="298">
        <f t="shared" si="23"/>
        <v>0</v>
      </c>
      <c r="P160" s="496"/>
      <c r="Q160" s="292">
        <f t="shared" ca="1" si="20"/>
        <v>41758</v>
      </c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</row>
    <row r="161" spans="1:57" s="16" customFormat="1" ht="23.25" hidden="1" customHeight="1">
      <c r="A161" s="446"/>
      <c r="B161" s="359"/>
      <c r="C161" s="359"/>
      <c r="D161" s="359"/>
      <c r="E161" s="1516"/>
      <c r="F161" s="436" t="s">
        <v>197</v>
      </c>
      <c r="G161" s="638">
        <v>34</v>
      </c>
      <c r="H161" s="295">
        <v>106</v>
      </c>
      <c r="I161" s="364"/>
      <c r="J161" s="296">
        <v>64</v>
      </c>
      <c r="K161" s="450"/>
      <c r="L161" s="362"/>
      <c r="M161" s="297">
        <f t="shared" si="21"/>
        <v>-64</v>
      </c>
      <c r="N161" s="298">
        <f t="shared" si="22"/>
        <v>0.60444444444444445</v>
      </c>
      <c r="O161" s="298">
        <f t="shared" si="23"/>
        <v>0</v>
      </c>
      <c r="P161" s="496"/>
      <c r="Q161" s="292">
        <f t="shared" ca="1" si="20"/>
        <v>41758</v>
      </c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</row>
    <row r="162" spans="1:57" s="16" customFormat="1" ht="23.25" hidden="1" customHeight="1">
      <c r="A162" s="446"/>
      <c r="B162" s="359"/>
      <c r="C162" s="359"/>
      <c r="D162" s="359"/>
      <c r="E162" s="1516"/>
      <c r="F162" s="436" t="s">
        <v>198</v>
      </c>
      <c r="G162" s="638">
        <v>34</v>
      </c>
      <c r="H162" s="295">
        <v>106</v>
      </c>
      <c r="I162" s="364"/>
      <c r="J162" s="296">
        <v>64</v>
      </c>
      <c r="K162" s="450"/>
      <c r="L162" s="362"/>
      <c r="M162" s="297">
        <f t="shared" si="21"/>
        <v>-64</v>
      </c>
      <c r="N162" s="298">
        <f t="shared" si="22"/>
        <v>0.60444444444444445</v>
      </c>
      <c r="O162" s="298">
        <f t="shared" si="23"/>
        <v>0</v>
      </c>
      <c r="P162" s="496"/>
      <c r="Q162" s="292">
        <f t="shared" ca="1" si="20"/>
        <v>41758</v>
      </c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</row>
    <row r="163" spans="1:57" s="16" customFormat="1" ht="23.25" hidden="1" customHeight="1">
      <c r="A163" s="446"/>
      <c r="B163" s="359"/>
      <c r="C163" s="359"/>
      <c r="D163" s="359"/>
      <c r="E163" s="1516"/>
      <c r="F163" s="436" t="s">
        <v>199</v>
      </c>
      <c r="G163" s="638">
        <v>34</v>
      </c>
      <c r="H163" s="295">
        <v>106</v>
      </c>
      <c r="I163" s="364"/>
      <c r="J163" s="296">
        <v>64</v>
      </c>
      <c r="K163" s="450"/>
      <c r="L163" s="362"/>
      <c r="M163" s="297">
        <f t="shared" si="21"/>
        <v>-64</v>
      </c>
      <c r="N163" s="298">
        <f t="shared" si="22"/>
        <v>0.60444444444444445</v>
      </c>
      <c r="O163" s="298">
        <f t="shared" si="23"/>
        <v>0</v>
      </c>
      <c r="P163" s="496"/>
      <c r="Q163" s="292">
        <f t="shared" ca="1" si="20"/>
        <v>41758</v>
      </c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</row>
    <row r="164" spans="1:57" s="16" customFormat="1" ht="23.25" hidden="1" customHeight="1">
      <c r="A164" s="446"/>
      <c r="B164" s="359"/>
      <c r="C164" s="359"/>
      <c r="D164" s="359"/>
      <c r="E164" s="1516"/>
      <c r="F164" s="436" t="s">
        <v>200</v>
      </c>
      <c r="G164" s="638">
        <v>34</v>
      </c>
      <c r="H164" s="295">
        <v>106</v>
      </c>
      <c r="I164" s="364"/>
      <c r="J164" s="296">
        <v>64</v>
      </c>
      <c r="K164" s="450"/>
      <c r="L164" s="362"/>
      <c r="M164" s="297">
        <f t="shared" si="21"/>
        <v>-64</v>
      </c>
      <c r="N164" s="298">
        <f t="shared" si="22"/>
        <v>0.60444444444444445</v>
      </c>
      <c r="O164" s="298">
        <f t="shared" si="23"/>
        <v>0</v>
      </c>
      <c r="P164" s="496"/>
      <c r="Q164" s="292">
        <f t="shared" ca="1" si="20"/>
        <v>41758</v>
      </c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</row>
    <row r="165" spans="1:57" s="16" customFormat="1" ht="23.25" hidden="1" customHeight="1">
      <c r="A165" s="446"/>
      <c r="B165" s="359"/>
      <c r="C165" s="359"/>
      <c r="D165" s="359"/>
      <c r="E165" s="1516"/>
      <c r="F165" s="436" t="s">
        <v>201</v>
      </c>
      <c r="G165" s="638">
        <v>34</v>
      </c>
      <c r="H165" s="295">
        <v>106</v>
      </c>
      <c r="I165" s="364"/>
      <c r="J165" s="296">
        <v>64</v>
      </c>
      <c r="K165" s="450"/>
      <c r="L165" s="362"/>
      <c r="M165" s="297">
        <f t="shared" si="21"/>
        <v>-64</v>
      </c>
      <c r="N165" s="298">
        <f t="shared" si="22"/>
        <v>0.60444444444444445</v>
      </c>
      <c r="O165" s="298">
        <f t="shared" ref="O165:O183" si="24">K165/J165</f>
        <v>0</v>
      </c>
      <c r="P165" s="496"/>
      <c r="Q165" s="292">
        <f t="shared" ca="1" si="20"/>
        <v>41758</v>
      </c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</row>
    <row r="166" spans="1:57" s="16" customFormat="1" ht="23.25" hidden="1" customHeight="1">
      <c r="A166" s="446"/>
      <c r="B166" s="359"/>
      <c r="C166" s="359"/>
      <c r="D166" s="359"/>
      <c r="E166" s="1516"/>
      <c r="F166" s="436" t="s">
        <v>202</v>
      </c>
      <c r="G166" s="638">
        <v>34</v>
      </c>
      <c r="H166" s="295">
        <v>106</v>
      </c>
      <c r="I166" s="364"/>
      <c r="J166" s="296">
        <v>64</v>
      </c>
      <c r="K166" s="450"/>
      <c r="L166" s="362"/>
      <c r="M166" s="297">
        <f t="shared" si="21"/>
        <v>-64</v>
      </c>
      <c r="N166" s="298">
        <f t="shared" si="22"/>
        <v>0.60444444444444445</v>
      </c>
      <c r="O166" s="298">
        <f t="shared" si="24"/>
        <v>0</v>
      </c>
      <c r="P166" s="496"/>
      <c r="Q166" s="292">
        <f t="shared" ca="1" si="20"/>
        <v>41758</v>
      </c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</row>
    <row r="167" spans="1:57" s="16" customFormat="1" ht="23.25" hidden="1" customHeight="1">
      <c r="A167" s="446"/>
      <c r="B167" s="359"/>
      <c r="C167" s="359"/>
      <c r="D167" s="359"/>
      <c r="E167" s="1516"/>
      <c r="F167" s="436" t="s">
        <v>203</v>
      </c>
      <c r="G167" s="638">
        <v>34</v>
      </c>
      <c r="H167" s="295">
        <v>106</v>
      </c>
      <c r="I167" s="364"/>
      <c r="J167" s="296">
        <v>64</v>
      </c>
      <c r="K167" s="450"/>
      <c r="L167" s="362"/>
      <c r="M167" s="297">
        <f>K167-J167</f>
        <v>-64</v>
      </c>
      <c r="N167" s="298">
        <f t="shared" si="22"/>
        <v>0.60444444444444445</v>
      </c>
      <c r="O167" s="298">
        <f t="shared" si="24"/>
        <v>0</v>
      </c>
      <c r="P167" s="496"/>
      <c r="Q167" s="292">
        <f t="shared" ca="1" si="20"/>
        <v>41758</v>
      </c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</row>
    <row r="168" spans="1:57" s="16" customFormat="1" ht="24" hidden="1" customHeight="1" thickBot="1">
      <c r="A168" s="446"/>
      <c r="B168" s="359"/>
      <c r="C168" s="359"/>
      <c r="D168" s="359"/>
      <c r="E168" s="1515"/>
      <c r="F168" s="435" t="s">
        <v>204</v>
      </c>
      <c r="G168" s="638">
        <v>34</v>
      </c>
      <c r="H168" s="295">
        <v>106</v>
      </c>
      <c r="I168" s="363"/>
      <c r="J168" s="296">
        <v>64</v>
      </c>
      <c r="K168" s="450"/>
      <c r="L168" s="362"/>
      <c r="M168" s="297">
        <f t="shared" si="21"/>
        <v>-64</v>
      </c>
      <c r="N168" s="298">
        <f t="shared" si="22"/>
        <v>0.60444444444444445</v>
      </c>
      <c r="O168" s="298">
        <f t="shared" si="24"/>
        <v>0</v>
      </c>
      <c r="P168" s="496"/>
      <c r="Q168" s="292">
        <f t="shared" ca="1" si="20"/>
        <v>41758</v>
      </c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</row>
    <row r="169" spans="1:57" s="16" customFormat="1" ht="23.25" hidden="1" customHeight="1">
      <c r="A169" s="446"/>
      <c r="B169" s="359"/>
      <c r="C169" s="359"/>
      <c r="D169" s="359"/>
      <c r="E169" s="1514" t="s">
        <v>238</v>
      </c>
      <c r="F169" s="434" t="s">
        <v>206</v>
      </c>
      <c r="G169" s="638">
        <v>34</v>
      </c>
      <c r="H169" s="295">
        <v>106</v>
      </c>
      <c r="I169" s="361"/>
      <c r="J169" s="296">
        <v>64</v>
      </c>
      <c r="K169" s="450"/>
      <c r="L169" s="362"/>
      <c r="M169" s="297">
        <f>K169-J169</f>
        <v>-64</v>
      </c>
      <c r="N169" s="298">
        <f t="shared" si="22"/>
        <v>0.60444444444444445</v>
      </c>
      <c r="O169" s="298">
        <f t="shared" si="24"/>
        <v>0</v>
      </c>
      <c r="P169" s="496"/>
      <c r="Q169" s="292">
        <f t="shared" ca="1" si="20"/>
        <v>41758</v>
      </c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</row>
    <row r="170" spans="1:57" s="16" customFormat="1" ht="23.25" hidden="1" customHeight="1">
      <c r="A170" s="446"/>
      <c r="B170" s="359"/>
      <c r="C170" s="359"/>
      <c r="D170" s="359"/>
      <c r="E170" s="1516"/>
      <c r="F170" s="436" t="s">
        <v>207</v>
      </c>
      <c r="G170" s="638">
        <v>34</v>
      </c>
      <c r="H170" s="295">
        <v>106</v>
      </c>
      <c r="I170" s="364"/>
      <c r="J170" s="296">
        <v>64</v>
      </c>
      <c r="K170" s="450"/>
      <c r="L170" s="362"/>
      <c r="M170" s="297">
        <f t="shared" si="21"/>
        <v>-64</v>
      </c>
      <c r="N170" s="298">
        <f t="shared" si="22"/>
        <v>0.60444444444444445</v>
      </c>
      <c r="O170" s="298">
        <f t="shared" si="24"/>
        <v>0</v>
      </c>
      <c r="P170" s="496"/>
      <c r="Q170" s="292">
        <f t="shared" ca="1" si="20"/>
        <v>41758</v>
      </c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</row>
    <row r="171" spans="1:57" s="16" customFormat="1" ht="23.25" hidden="1" customHeight="1">
      <c r="A171" s="446"/>
      <c r="B171" s="359"/>
      <c r="C171" s="359"/>
      <c r="D171" s="359"/>
      <c r="E171" s="1516"/>
      <c r="F171" s="436" t="s">
        <v>208</v>
      </c>
      <c r="G171" s="638">
        <v>34</v>
      </c>
      <c r="H171" s="295">
        <v>106</v>
      </c>
      <c r="I171" s="364"/>
      <c r="J171" s="296">
        <v>64</v>
      </c>
      <c r="K171" s="450"/>
      <c r="L171" s="362"/>
      <c r="M171" s="297">
        <f t="shared" si="21"/>
        <v>-64</v>
      </c>
      <c r="N171" s="298">
        <f t="shared" si="22"/>
        <v>0.60444444444444445</v>
      </c>
      <c r="O171" s="298">
        <f t="shared" si="24"/>
        <v>0</v>
      </c>
      <c r="P171" s="496"/>
      <c r="Q171" s="292">
        <f t="shared" ca="1" si="20"/>
        <v>41758</v>
      </c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</row>
    <row r="172" spans="1:57" s="16" customFormat="1" ht="23.25" hidden="1" customHeight="1">
      <c r="A172" s="446"/>
      <c r="B172" s="359"/>
      <c r="C172" s="359"/>
      <c r="D172" s="359"/>
      <c r="E172" s="1516"/>
      <c r="F172" s="436" t="s">
        <v>209</v>
      </c>
      <c r="G172" s="638">
        <v>34</v>
      </c>
      <c r="H172" s="295">
        <v>106</v>
      </c>
      <c r="I172" s="364"/>
      <c r="J172" s="296">
        <v>64</v>
      </c>
      <c r="K172" s="450"/>
      <c r="L172" s="362"/>
      <c r="M172" s="297">
        <f t="shared" si="21"/>
        <v>-64</v>
      </c>
      <c r="N172" s="298">
        <f t="shared" si="22"/>
        <v>0.60444444444444445</v>
      </c>
      <c r="O172" s="298">
        <f t="shared" si="24"/>
        <v>0</v>
      </c>
      <c r="P172" s="496"/>
      <c r="Q172" s="292">
        <f t="shared" ca="1" si="20"/>
        <v>41758</v>
      </c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</row>
    <row r="173" spans="1:57" s="16" customFormat="1" ht="23.25" hidden="1" customHeight="1">
      <c r="A173" s="446"/>
      <c r="B173" s="359"/>
      <c r="C173" s="359"/>
      <c r="D173" s="359"/>
      <c r="E173" s="1516"/>
      <c r="F173" s="436" t="s">
        <v>210</v>
      </c>
      <c r="G173" s="638">
        <v>34</v>
      </c>
      <c r="H173" s="295">
        <v>106</v>
      </c>
      <c r="I173" s="364"/>
      <c r="J173" s="296">
        <v>64</v>
      </c>
      <c r="K173" s="450"/>
      <c r="L173" s="362"/>
      <c r="M173" s="297">
        <f t="shared" si="21"/>
        <v>-64</v>
      </c>
      <c r="N173" s="298">
        <f t="shared" si="22"/>
        <v>0.60444444444444445</v>
      </c>
      <c r="O173" s="298">
        <f t="shared" si="24"/>
        <v>0</v>
      </c>
      <c r="P173" s="496"/>
      <c r="Q173" s="292">
        <f t="shared" ca="1" si="20"/>
        <v>41758</v>
      </c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</row>
    <row r="174" spans="1:57" s="16" customFormat="1" ht="23.25" hidden="1" customHeight="1">
      <c r="A174" s="446"/>
      <c r="B174" s="359"/>
      <c r="C174" s="359"/>
      <c r="D174" s="359"/>
      <c r="E174" s="1516"/>
      <c r="F174" s="436" t="s">
        <v>211</v>
      </c>
      <c r="G174" s="638">
        <v>34</v>
      </c>
      <c r="H174" s="295">
        <v>106</v>
      </c>
      <c r="I174" s="364"/>
      <c r="J174" s="296">
        <v>64</v>
      </c>
      <c r="K174" s="450"/>
      <c r="L174" s="362"/>
      <c r="M174" s="297">
        <f t="shared" si="21"/>
        <v>-64</v>
      </c>
      <c r="N174" s="298">
        <f t="shared" si="22"/>
        <v>0.60444444444444445</v>
      </c>
      <c r="O174" s="298">
        <f t="shared" si="24"/>
        <v>0</v>
      </c>
      <c r="P174" s="496"/>
      <c r="Q174" s="292">
        <f t="shared" ca="1" si="20"/>
        <v>41758</v>
      </c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</row>
    <row r="175" spans="1:57" s="16" customFormat="1" ht="23.25" hidden="1" customHeight="1">
      <c r="A175" s="446"/>
      <c r="B175" s="359"/>
      <c r="C175" s="359"/>
      <c r="D175" s="359"/>
      <c r="E175" s="1516"/>
      <c r="F175" s="436" t="s">
        <v>212</v>
      </c>
      <c r="G175" s="638">
        <v>34</v>
      </c>
      <c r="H175" s="295">
        <v>106</v>
      </c>
      <c r="I175" s="364"/>
      <c r="J175" s="296">
        <v>64</v>
      </c>
      <c r="K175" s="450"/>
      <c r="L175" s="362"/>
      <c r="M175" s="297">
        <f t="shared" si="21"/>
        <v>-64</v>
      </c>
      <c r="N175" s="298">
        <f t="shared" si="22"/>
        <v>0.60444444444444445</v>
      </c>
      <c r="O175" s="298">
        <f t="shared" si="24"/>
        <v>0</v>
      </c>
      <c r="P175" s="496"/>
      <c r="Q175" s="292">
        <f t="shared" ca="1" si="20"/>
        <v>41758</v>
      </c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</row>
    <row r="176" spans="1:57" s="16" customFormat="1" ht="23.25" hidden="1" customHeight="1">
      <c r="A176" s="446"/>
      <c r="B176" s="359"/>
      <c r="C176" s="359"/>
      <c r="D176" s="359"/>
      <c r="E176" s="1516"/>
      <c r="F176" s="436" t="s">
        <v>213</v>
      </c>
      <c r="G176" s="638">
        <v>34</v>
      </c>
      <c r="H176" s="295">
        <v>106</v>
      </c>
      <c r="I176" s="364"/>
      <c r="J176" s="296">
        <v>64</v>
      </c>
      <c r="K176" s="450"/>
      <c r="L176" s="362"/>
      <c r="M176" s="297">
        <f t="shared" si="21"/>
        <v>-64</v>
      </c>
      <c r="N176" s="298">
        <f t="shared" si="22"/>
        <v>0.60444444444444445</v>
      </c>
      <c r="O176" s="298">
        <f t="shared" si="24"/>
        <v>0</v>
      </c>
      <c r="P176" s="496"/>
      <c r="Q176" s="292">
        <f t="shared" ca="1" si="20"/>
        <v>41758</v>
      </c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</row>
    <row r="177" spans="1:74" s="16" customFormat="1" ht="23.25" hidden="1" customHeight="1">
      <c r="A177" s="446"/>
      <c r="B177" s="359"/>
      <c r="C177" s="359"/>
      <c r="D177" s="359"/>
      <c r="E177" s="1516"/>
      <c r="F177" s="436" t="s">
        <v>214</v>
      </c>
      <c r="G177" s="638">
        <v>34</v>
      </c>
      <c r="H177" s="295">
        <v>106</v>
      </c>
      <c r="I177" s="364"/>
      <c r="J177" s="296">
        <v>64</v>
      </c>
      <c r="K177" s="450"/>
      <c r="L177" s="362"/>
      <c r="M177" s="297">
        <f>K177-J177</f>
        <v>-64</v>
      </c>
      <c r="N177" s="298">
        <f t="shared" si="22"/>
        <v>0.60444444444444445</v>
      </c>
      <c r="O177" s="298">
        <f t="shared" si="24"/>
        <v>0</v>
      </c>
      <c r="P177" s="496"/>
      <c r="Q177" s="292">
        <f t="shared" ref="Q177:Q190" ca="1" si="25">+$Q$5+O177</f>
        <v>41758</v>
      </c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</row>
    <row r="178" spans="1:74" s="16" customFormat="1" ht="24" hidden="1" customHeight="1" thickBot="1">
      <c r="A178" s="446"/>
      <c r="B178" s="359"/>
      <c r="C178" s="359"/>
      <c r="D178" s="359"/>
      <c r="E178" s="1515"/>
      <c r="F178" s="435" t="s">
        <v>215</v>
      </c>
      <c r="G178" s="638">
        <v>34</v>
      </c>
      <c r="H178" s="295">
        <v>106</v>
      </c>
      <c r="I178" s="363"/>
      <c r="J178" s="296">
        <v>64</v>
      </c>
      <c r="K178" s="450"/>
      <c r="L178" s="362"/>
      <c r="M178" s="297">
        <f t="shared" si="21"/>
        <v>-64</v>
      </c>
      <c r="N178" s="298">
        <f t="shared" si="22"/>
        <v>0.60444444444444445</v>
      </c>
      <c r="O178" s="298">
        <f t="shared" si="24"/>
        <v>0</v>
      </c>
      <c r="P178" s="496"/>
      <c r="Q178" s="292">
        <f t="shared" ca="1" si="25"/>
        <v>41758</v>
      </c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</row>
    <row r="179" spans="1:74" s="16" customFormat="1" ht="23.25" hidden="1" customHeight="1">
      <c r="A179" s="446"/>
      <c r="B179" s="359"/>
      <c r="C179" s="359"/>
      <c r="D179" s="359"/>
      <c r="E179" s="1514" t="s">
        <v>239</v>
      </c>
      <c r="F179" s="434" t="s">
        <v>221</v>
      </c>
      <c r="G179" s="638">
        <v>26</v>
      </c>
      <c r="H179" s="295">
        <v>138</v>
      </c>
      <c r="I179" s="361"/>
      <c r="J179" s="296">
        <v>128</v>
      </c>
      <c r="K179" s="450"/>
      <c r="L179" s="362"/>
      <c r="M179" s="297">
        <f t="shared" si="21"/>
        <v>-128</v>
      </c>
      <c r="N179" s="298">
        <f t="shared" si="22"/>
        <v>0.9244444444444444</v>
      </c>
      <c r="O179" s="298">
        <f t="shared" si="24"/>
        <v>0</v>
      </c>
      <c r="P179" s="496"/>
      <c r="Q179" s="292">
        <f t="shared" ca="1" si="25"/>
        <v>41758</v>
      </c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</row>
    <row r="180" spans="1:74" s="16" customFormat="1" ht="24" hidden="1" customHeight="1" thickBot="1">
      <c r="A180" s="446"/>
      <c r="B180" s="359"/>
      <c r="C180" s="359"/>
      <c r="D180" s="359"/>
      <c r="E180" s="1515"/>
      <c r="F180" s="435" t="s">
        <v>222</v>
      </c>
      <c r="G180" s="638">
        <v>26</v>
      </c>
      <c r="H180" s="295">
        <v>138</v>
      </c>
      <c r="I180" s="363"/>
      <c r="J180" s="296">
        <v>128</v>
      </c>
      <c r="K180" s="450"/>
      <c r="L180" s="362"/>
      <c r="M180" s="297">
        <f t="shared" si="21"/>
        <v>-128</v>
      </c>
      <c r="N180" s="298">
        <f t="shared" si="22"/>
        <v>0.9244444444444444</v>
      </c>
      <c r="O180" s="298">
        <f t="shared" si="24"/>
        <v>0</v>
      </c>
      <c r="P180" s="496"/>
      <c r="Q180" s="292">
        <f t="shared" ca="1" si="25"/>
        <v>41758</v>
      </c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</row>
    <row r="181" spans="1:74" s="16" customFormat="1" ht="23.25" hidden="1" customHeight="1">
      <c r="A181" s="446"/>
      <c r="B181" s="359"/>
      <c r="C181" s="359"/>
      <c r="D181" s="359"/>
      <c r="E181" s="1514" t="s">
        <v>240</v>
      </c>
      <c r="F181" s="434" t="s">
        <v>224</v>
      </c>
      <c r="G181" s="638">
        <v>24</v>
      </c>
      <c r="H181" s="295">
        <v>150</v>
      </c>
      <c r="I181" s="361"/>
      <c r="J181" s="296">
        <v>128</v>
      </c>
      <c r="K181" s="450"/>
      <c r="L181" s="362"/>
      <c r="M181" s="297">
        <f t="shared" si="21"/>
        <v>-128</v>
      </c>
      <c r="N181" s="298">
        <f t="shared" si="22"/>
        <v>0.85333333333333339</v>
      </c>
      <c r="O181" s="298">
        <f t="shared" si="24"/>
        <v>0</v>
      </c>
      <c r="P181" s="496"/>
      <c r="Q181" s="292">
        <f t="shared" ca="1" si="25"/>
        <v>41758</v>
      </c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</row>
    <row r="182" spans="1:74" s="16" customFormat="1" ht="24" hidden="1" customHeight="1" thickBot="1">
      <c r="A182" s="446"/>
      <c r="B182" s="359"/>
      <c r="C182" s="359"/>
      <c r="D182" s="359"/>
      <c r="E182" s="1515"/>
      <c r="F182" s="435" t="s">
        <v>225</v>
      </c>
      <c r="G182" s="638">
        <v>24</v>
      </c>
      <c r="H182" s="295">
        <v>150</v>
      </c>
      <c r="I182" s="363"/>
      <c r="J182" s="296">
        <v>128</v>
      </c>
      <c r="K182" s="450"/>
      <c r="L182" s="362"/>
      <c r="M182" s="297">
        <f t="shared" si="21"/>
        <v>-128</v>
      </c>
      <c r="N182" s="298">
        <f t="shared" si="22"/>
        <v>0.85333333333333339</v>
      </c>
      <c r="O182" s="298">
        <f t="shared" si="24"/>
        <v>0</v>
      </c>
      <c r="P182" s="496"/>
      <c r="Q182" s="292">
        <f t="shared" ca="1" si="25"/>
        <v>41758</v>
      </c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</row>
    <row r="183" spans="1:74" s="16" customFormat="1" ht="24" hidden="1" customHeight="1" thickBot="1">
      <c r="A183" s="446"/>
      <c r="B183" s="359"/>
      <c r="C183" s="359"/>
      <c r="D183" s="359"/>
      <c r="E183" s="360" t="s">
        <v>242</v>
      </c>
      <c r="F183" s="438" t="s">
        <v>227</v>
      </c>
      <c r="G183" s="881">
        <v>33</v>
      </c>
      <c r="H183" s="339">
        <v>109</v>
      </c>
      <c r="I183" s="370"/>
      <c r="J183" s="371">
        <v>128</v>
      </c>
      <c r="K183" s="455"/>
      <c r="L183" s="372"/>
      <c r="M183" s="340">
        <f t="shared" si="21"/>
        <v>-128</v>
      </c>
      <c r="N183" s="330">
        <f t="shared" si="22"/>
        <v>1.1733333333333333</v>
      </c>
      <c r="O183" s="330">
        <f t="shared" si="24"/>
        <v>0</v>
      </c>
      <c r="P183" s="500"/>
      <c r="Q183" s="351">
        <f t="shared" ca="1" si="25"/>
        <v>41758</v>
      </c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</row>
    <row r="184" spans="1:74" ht="38.25" customHeight="1" thickBot="1">
      <c r="A184" s="1653" t="s">
        <v>104</v>
      </c>
      <c r="B184" s="1625"/>
      <c r="C184" s="1625" t="s">
        <v>513</v>
      </c>
      <c r="D184" s="1625" t="s">
        <v>313</v>
      </c>
      <c r="E184" s="804" t="s">
        <v>63</v>
      </c>
      <c r="F184" s="805" t="s">
        <v>432</v>
      </c>
      <c r="G184" s="639">
        <v>48.6</v>
      </c>
      <c r="H184" s="806">
        <f>3600/G184</f>
        <v>74.074074074074076</v>
      </c>
      <c r="I184" s="807">
        <v>1</v>
      </c>
      <c r="J184" s="808">
        <f>Q2</f>
        <v>320</v>
      </c>
      <c r="K184" s="449">
        <f>420+425+561+577+551</f>
        <v>2534</v>
      </c>
      <c r="L184" s="809" t="s">
        <v>252</v>
      </c>
      <c r="M184" s="807">
        <f t="shared" ref="M184:M190" si="26">K184-J184</f>
        <v>2214</v>
      </c>
      <c r="N184" s="810">
        <f t="shared" ref="N184:N190" si="27">((M184*G184)/3600)*-1</f>
        <v>-29.889000000000003</v>
      </c>
      <c r="O184" s="810">
        <f t="shared" ref="O184:O190" si="28">K184/J184</f>
        <v>7.9187500000000002</v>
      </c>
      <c r="P184" s="811">
        <f>O184</f>
        <v>7.9187500000000002</v>
      </c>
      <c r="Q184" s="812">
        <f t="shared" ref="Q184:Q189" ca="1" si="29">+$Q$5+O184</f>
        <v>41765.918749999997</v>
      </c>
      <c r="R184" s="813"/>
      <c r="S184" s="814"/>
      <c r="T184" s="815"/>
      <c r="U184" s="816"/>
      <c r="V184" s="1615"/>
      <c r="W184" s="1615">
        <v>1</v>
      </c>
      <c r="X184" s="1615">
        <v>1</v>
      </c>
      <c r="Y184" s="1615">
        <v>1</v>
      </c>
      <c r="Z184" s="1615">
        <v>1</v>
      </c>
      <c r="AA184" s="1623"/>
      <c r="AB184" s="1619"/>
      <c r="AC184" s="1608"/>
      <c r="AD184" s="1610"/>
      <c r="AE184" s="1619"/>
      <c r="AF184" s="1608"/>
      <c r="AG184" s="1610"/>
      <c r="AH184" s="1619"/>
      <c r="AI184" s="1608"/>
      <c r="AJ184" s="1610"/>
      <c r="AK184" s="1619"/>
      <c r="AL184" s="1608"/>
      <c r="AM184" s="1610"/>
      <c r="AN184" s="1619"/>
      <c r="AO184" s="1608"/>
      <c r="AP184" s="1610"/>
      <c r="AQ184" s="1621"/>
      <c r="AR184" s="1615"/>
      <c r="AS184" s="1617"/>
      <c r="AT184" s="1614"/>
      <c r="AU184" s="1612"/>
      <c r="AV184" s="1613"/>
      <c r="AW184" s="1614"/>
      <c r="AX184" s="1612"/>
      <c r="AY184" s="1613"/>
      <c r="AZ184" s="1614"/>
      <c r="BA184" s="1612"/>
      <c r="BB184" s="1613"/>
      <c r="BC184" s="1614"/>
      <c r="BD184" s="1612"/>
      <c r="BE184" s="1613"/>
      <c r="BF184" s="1614"/>
      <c r="BG184" s="1612"/>
      <c r="BH184" s="1613"/>
      <c r="BI184" s="1614"/>
      <c r="BJ184" s="1612"/>
      <c r="BK184" s="1613"/>
      <c r="BL184" s="817"/>
      <c r="BM184" s="817"/>
      <c r="BN184" s="817"/>
      <c r="BO184" s="817"/>
      <c r="BP184" s="817"/>
      <c r="BQ184" s="817"/>
      <c r="BR184" s="818">
        <v>3344</v>
      </c>
      <c r="BS184" s="817"/>
      <c r="BT184" s="817"/>
      <c r="BU184" s="817"/>
      <c r="BV184" s="817"/>
    </row>
    <row r="185" spans="1:74" ht="46.5" customHeight="1" thickBot="1">
      <c r="A185" s="1654"/>
      <c r="B185" s="1606"/>
      <c r="C185" s="1606"/>
      <c r="D185" s="1606"/>
      <c r="E185" s="819" t="s">
        <v>64</v>
      </c>
      <c r="F185" s="820" t="s">
        <v>433</v>
      </c>
      <c r="G185" s="639">
        <v>48.6</v>
      </c>
      <c r="H185" s="806">
        <f>3600/G185</f>
        <v>74.074074074074076</v>
      </c>
      <c r="I185" s="822">
        <v>1</v>
      </c>
      <c r="J185" s="823">
        <f>Q2</f>
        <v>320</v>
      </c>
      <c r="K185" s="450">
        <f>425+450+560+577+550</f>
        <v>2562</v>
      </c>
      <c r="L185" s="824" t="s">
        <v>252</v>
      </c>
      <c r="M185" s="822">
        <f t="shared" si="26"/>
        <v>2242</v>
      </c>
      <c r="N185" s="825">
        <f t="shared" si="27"/>
        <v>-30.266999999999999</v>
      </c>
      <c r="O185" s="825">
        <f t="shared" si="28"/>
        <v>8.0062499999999996</v>
      </c>
      <c r="P185" s="811">
        <f>O185</f>
        <v>8.0062499999999996</v>
      </c>
      <c r="Q185" s="826">
        <f t="shared" ca="1" si="29"/>
        <v>41766.006249999999</v>
      </c>
      <c r="R185" s="827"/>
      <c r="S185" s="828"/>
      <c r="T185" s="829"/>
      <c r="U185" s="830"/>
      <c r="V185" s="1616"/>
      <c r="W185" s="1616">
        <v>1</v>
      </c>
      <c r="X185" s="1616">
        <v>1</v>
      </c>
      <c r="Y185" s="1616">
        <v>1</v>
      </c>
      <c r="Z185" s="1616">
        <v>1</v>
      </c>
      <c r="AA185" s="1624"/>
      <c r="AB185" s="1620"/>
      <c r="AC185" s="1609"/>
      <c r="AD185" s="1611"/>
      <c r="AE185" s="1620"/>
      <c r="AF185" s="1609"/>
      <c r="AG185" s="1611"/>
      <c r="AH185" s="1620"/>
      <c r="AI185" s="1609"/>
      <c r="AJ185" s="1611"/>
      <c r="AK185" s="1620"/>
      <c r="AL185" s="1609"/>
      <c r="AM185" s="1611"/>
      <c r="AN185" s="1620"/>
      <c r="AO185" s="1609"/>
      <c r="AP185" s="1611"/>
      <c r="AQ185" s="1622"/>
      <c r="AR185" s="1616"/>
      <c r="AS185" s="1618"/>
      <c r="AT185" s="1595"/>
      <c r="AU185" s="1589"/>
      <c r="AV185" s="1592"/>
      <c r="AW185" s="1595"/>
      <c r="AX185" s="1589"/>
      <c r="AY185" s="1592"/>
      <c r="AZ185" s="1595"/>
      <c r="BA185" s="1589"/>
      <c r="BB185" s="1592"/>
      <c r="BC185" s="1595"/>
      <c r="BD185" s="1589"/>
      <c r="BE185" s="1592"/>
      <c r="BF185" s="1595"/>
      <c r="BG185" s="1589"/>
      <c r="BH185" s="1592"/>
      <c r="BI185" s="1595"/>
      <c r="BJ185" s="1589"/>
      <c r="BK185" s="1592"/>
      <c r="BL185" s="817"/>
      <c r="BM185" s="817"/>
      <c r="BN185" s="817"/>
      <c r="BO185" s="817"/>
      <c r="BP185" s="817"/>
      <c r="BQ185" s="817"/>
      <c r="BR185" s="831">
        <v>3349</v>
      </c>
      <c r="BS185" s="817"/>
      <c r="BT185" s="817"/>
      <c r="BU185" s="817"/>
      <c r="BV185" s="817"/>
    </row>
    <row r="186" spans="1:74" ht="45" customHeight="1">
      <c r="A186" s="1654"/>
      <c r="B186" s="832"/>
      <c r="C186" s="871" t="s">
        <v>506</v>
      </c>
      <c r="D186" s="832" t="s">
        <v>314</v>
      </c>
      <c r="E186" s="819" t="s">
        <v>65</v>
      </c>
      <c r="F186" s="820" t="s">
        <v>434</v>
      </c>
      <c r="G186" s="639">
        <v>46</v>
      </c>
      <c r="H186" s="822">
        <f>3600/G186</f>
        <v>78.260869565217391</v>
      </c>
      <c r="I186" s="822">
        <v>1</v>
      </c>
      <c r="J186" s="823">
        <v>126</v>
      </c>
      <c r="K186" s="450">
        <v>945</v>
      </c>
      <c r="L186" s="824" t="s">
        <v>252</v>
      </c>
      <c r="M186" s="822">
        <f t="shared" si="26"/>
        <v>819</v>
      </c>
      <c r="N186" s="825">
        <f t="shared" si="27"/>
        <v>-10.465</v>
      </c>
      <c r="O186" s="825">
        <f t="shared" si="28"/>
        <v>7.5</v>
      </c>
      <c r="P186" s="811">
        <f>O186</f>
        <v>7.5</v>
      </c>
      <c r="Q186" s="826">
        <f t="shared" ca="1" si="29"/>
        <v>41765.5</v>
      </c>
      <c r="R186" s="827"/>
      <c r="S186" s="828"/>
      <c r="T186" s="829"/>
      <c r="U186" s="830"/>
      <c r="V186" s="830"/>
      <c r="W186" s="830"/>
      <c r="X186" s="830"/>
      <c r="Y186" s="830"/>
      <c r="Z186" s="830"/>
      <c r="AA186" s="829"/>
      <c r="AB186" s="833"/>
      <c r="AC186" s="834"/>
      <c r="AD186" s="835"/>
      <c r="AE186" s="833"/>
      <c r="AF186" s="834">
        <v>20</v>
      </c>
      <c r="AG186" s="835"/>
      <c r="AH186" s="833"/>
      <c r="AI186" s="834"/>
      <c r="AJ186" s="835"/>
      <c r="AK186" s="833"/>
      <c r="AL186" s="834"/>
      <c r="AM186" s="835"/>
      <c r="AN186" s="833"/>
      <c r="AO186" s="834"/>
      <c r="AP186" s="835"/>
      <c r="AQ186" s="836"/>
      <c r="AR186" s="830"/>
      <c r="AS186" s="837"/>
      <c r="AT186" s="836"/>
      <c r="AU186" s="830"/>
      <c r="AV186" s="837"/>
      <c r="AW186" s="836"/>
      <c r="AX186" s="830"/>
      <c r="AY186" s="837"/>
      <c r="AZ186" s="836"/>
      <c r="BA186" s="830"/>
      <c r="BB186" s="837"/>
      <c r="BC186" s="836"/>
      <c r="BD186" s="830"/>
      <c r="BE186" s="837"/>
      <c r="BF186" s="836"/>
      <c r="BG186" s="830"/>
      <c r="BH186" s="837"/>
      <c r="BI186" s="836"/>
      <c r="BJ186" s="830"/>
      <c r="BK186" s="837"/>
      <c r="BL186" s="817"/>
      <c r="BM186" s="817"/>
      <c r="BN186" s="817"/>
      <c r="BO186" s="817"/>
      <c r="BP186" s="817"/>
      <c r="BQ186" s="817"/>
      <c r="BR186" s="831">
        <v>3714</v>
      </c>
      <c r="BS186" s="817"/>
      <c r="BT186" s="817"/>
      <c r="BU186" s="817"/>
      <c r="BV186" s="817"/>
    </row>
    <row r="187" spans="1:74" ht="37.5" customHeight="1">
      <c r="A187" s="1654"/>
      <c r="B187" s="832"/>
      <c r="C187" s="871" t="s">
        <v>515</v>
      </c>
      <c r="D187" s="832" t="s">
        <v>315</v>
      </c>
      <c r="E187" s="819" t="s">
        <v>66</v>
      </c>
      <c r="F187" s="838" t="s">
        <v>435</v>
      </c>
      <c r="G187" s="638">
        <v>60.1</v>
      </c>
      <c r="H187" s="822">
        <f>3600/G187*2</f>
        <v>119.80033277870216</v>
      </c>
      <c r="I187" s="822">
        <v>1</v>
      </c>
      <c r="J187" s="823">
        <f>Q2</f>
        <v>320</v>
      </c>
      <c r="K187" s="450">
        <v>283</v>
      </c>
      <c r="L187" s="824">
        <v>1680</v>
      </c>
      <c r="M187" s="822">
        <f t="shared" si="26"/>
        <v>-37</v>
      </c>
      <c r="N187" s="825">
        <f t="shared" si="27"/>
        <v>0.61769444444444455</v>
      </c>
      <c r="O187" s="825">
        <f t="shared" si="28"/>
        <v>0.88437500000000002</v>
      </c>
      <c r="P187" s="839">
        <f>O187*1.5</f>
        <v>1.3265625000000001</v>
      </c>
      <c r="Q187" s="826">
        <f t="shared" ca="1" si="29"/>
        <v>41758.884375000001</v>
      </c>
      <c r="R187" s="827"/>
      <c r="S187" s="828"/>
      <c r="T187" s="829"/>
      <c r="U187" s="829"/>
      <c r="V187" s="830"/>
      <c r="W187" s="830"/>
      <c r="X187" s="830"/>
      <c r="Y187" s="830"/>
      <c r="Z187" s="830"/>
      <c r="AA187" s="829"/>
      <c r="AB187" s="833"/>
      <c r="AC187" s="834"/>
      <c r="AD187" s="835">
        <v>22</v>
      </c>
      <c r="AE187" s="833"/>
      <c r="AF187" s="834"/>
      <c r="AG187" s="835"/>
      <c r="AH187" s="833"/>
      <c r="AI187" s="834"/>
      <c r="AJ187" s="835"/>
      <c r="AK187" s="833"/>
      <c r="AL187" s="834"/>
      <c r="AM187" s="835"/>
      <c r="AN187" s="833"/>
      <c r="AO187" s="834"/>
      <c r="AP187" s="840"/>
      <c r="AQ187" s="836"/>
      <c r="AR187" s="830"/>
      <c r="AS187" s="837"/>
      <c r="AT187" s="836"/>
      <c r="AU187" s="830"/>
      <c r="AV187" s="837"/>
      <c r="AW187" s="836"/>
      <c r="AX187" s="830"/>
      <c r="AY187" s="837"/>
      <c r="AZ187" s="836"/>
      <c r="BA187" s="830"/>
      <c r="BB187" s="837"/>
      <c r="BC187" s="836"/>
      <c r="BD187" s="830"/>
      <c r="BE187" s="837"/>
      <c r="BF187" s="836"/>
      <c r="BG187" s="830"/>
      <c r="BH187" s="837"/>
      <c r="BI187" s="836"/>
      <c r="BJ187" s="830"/>
      <c r="BK187" s="837"/>
      <c r="BL187" s="817"/>
      <c r="BM187" s="817"/>
      <c r="BN187" s="817"/>
      <c r="BO187" s="817"/>
      <c r="BP187" s="817"/>
      <c r="BQ187" s="817"/>
      <c r="BR187" s="818">
        <v>433</v>
      </c>
      <c r="BS187" s="817"/>
      <c r="BT187" s="817"/>
      <c r="BU187" s="817"/>
      <c r="BV187" s="817"/>
    </row>
    <row r="188" spans="1:74" ht="44.25" customHeight="1">
      <c r="A188" s="1654"/>
      <c r="B188" s="1605"/>
      <c r="C188" s="1605" t="s">
        <v>515</v>
      </c>
      <c r="D188" s="1605" t="s">
        <v>311</v>
      </c>
      <c r="E188" s="841" t="s">
        <v>58</v>
      </c>
      <c r="F188" s="838" t="s">
        <v>436</v>
      </c>
      <c r="G188" s="639">
        <v>50</v>
      </c>
      <c r="H188" s="821">
        <f>3600/G188*2</f>
        <v>144</v>
      </c>
      <c r="I188" s="822">
        <v>1</v>
      </c>
      <c r="J188" s="823">
        <f>Q2</f>
        <v>320</v>
      </c>
      <c r="K188" s="450">
        <v>1102</v>
      </c>
      <c r="L188" s="824">
        <v>1140</v>
      </c>
      <c r="M188" s="822">
        <f t="shared" si="26"/>
        <v>782</v>
      </c>
      <c r="N188" s="825">
        <f t="shared" si="27"/>
        <v>-10.861111111111111</v>
      </c>
      <c r="O188" s="825">
        <f t="shared" si="28"/>
        <v>3.4437500000000001</v>
      </c>
      <c r="P188" s="839">
        <f>O188*1.5</f>
        <v>5.1656250000000004</v>
      </c>
      <c r="Q188" s="826">
        <f t="shared" ca="1" si="29"/>
        <v>41761.443749999999</v>
      </c>
      <c r="R188" s="827"/>
      <c r="S188" s="828"/>
      <c r="T188" s="829"/>
      <c r="U188" s="830"/>
      <c r="V188" s="830"/>
      <c r="W188" s="830"/>
      <c r="X188" s="830"/>
      <c r="Y188" s="830"/>
      <c r="Z188" s="830"/>
      <c r="AA188" s="829">
        <v>1</v>
      </c>
      <c r="AB188" s="1602"/>
      <c r="AC188" s="1596"/>
      <c r="AD188" s="1599"/>
      <c r="AE188" s="1602"/>
      <c r="AF188" s="1596"/>
      <c r="AG188" s="1599"/>
      <c r="AH188" s="1602"/>
      <c r="AI188" s="1596"/>
      <c r="AJ188" s="1599"/>
      <c r="AK188" s="1602"/>
      <c r="AL188" s="1596"/>
      <c r="AM188" s="1599"/>
      <c r="AN188" s="1602"/>
      <c r="AO188" s="1596"/>
      <c r="AP188" s="1599"/>
      <c r="AQ188" s="1593"/>
      <c r="AR188" s="1587"/>
      <c r="AS188" s="1590"/>
      <c r="AT188" s="1593"/>
      <c r="AU188" s="842"/>
      <c r="AV188" s="843"/>
      <c r="AW188" s="844"/>
      <c r="AX188" s="842"/>
      <c r="AY188" s="843"/>
      <c r="AZ188" s="844"/>
      <c r="BA188" s="842"/>
      <c r="BB188" s="843"/>
      <c r="BC188" s="844"/>
      <c r="BD188" s="842"/>
      <c r="BE188" s="843"/>
      <c r="BF188" s="844"/>
      <c r="BG188" s="842"/>
      <c r="BH188" s="843"/>
      <c r="BI188" s="844"/>
      <c r="BJ188" s="842"/>
      <c r="BK188" s="843"/>
      <c r="BL188" s="817"/>
      <c r="BM188" s="817"/>
      <c r="BN188" s="817"/>
      <c r="BO188" s="817"/>
      <c r="BP188" s="817"/>
      <c r="BQ188" s="817"/>
      <c r="BR188" s="831">
        <v>3781</v>
      </c>
      <c r="BS188" s="817"/>
      <c r="BT188" s="817"/>
      <c r="BU188" s="817"/>
      <c r="BV188" s="817"/>
    </row>
    <row r="189" spans="1:74" ht="39.75" customHeight="1">
      <c r="A189" s="1654"/>
      <c r="B189" s="1606"/>
      <c r="C189" s="1606"/>
      <c r="D189" s="1606"/>
      <c r="E189" s="841" t="s">
        <v>59</v>
      </c>
      <c r="F189" s="838" t="s">
        <v>437</v>
      </c>
      <c r="G189" s="639">
        <v>50</v>
      </c>
      <c r="H189" s="821">
        <f>3600/G189*2</f>
        <v>144</v>
      </c>
      <c r="I189" s="822">
        <v>1</v>
      </c>
      <c r="J189" s="823">
        <f>J188</f>
        <v>320</v>
      </c>
      <c r="K189" s="450">
        <v>800</v>
      </c>
      <c r="L189" s="824">
        <v>1140</v>
      </c>
      <c r="M189" s="822">
        <f t="shared" si="26"/>
        <v>480</v>
      </c>
      <c r="N189" s="825">
        <f t="shared" si="27"/>
        <v>-6.666666666666667</v>
      </c>
      <c r="O189" s="825">
        <f t="shared" si="28"/>
        <v>2.5</v>
      </c>
      <c r="P189" s="839">
        <f>O189*1.5</f>
        <v>3.75</v>
      </c>
      <c r="Q189" s="826">
        <f t="shared" ca="1" si="29"/>
        <v>41760.5</v>
      </c>
      <c r="R189" s="827"/>
      <c r="S189" s="828"/>
      <c r="T189" s="829"/>
      <c r="U189" s="830"/>
      <c r="V189" s="830"/>
      <c r="W189" s="830"/>
      <c r="X189" s="830"/>
      <c r="Y189" s="830"/>
      <c r="Z189" s="830"/>
      <c r="AA189" s="829">
        <v>1</v>
      </c>
      <c r="AB189" s="1603"/>
      <c r="AC189" s="1597"/>
      <c r="AD189" s="1600"/>
      <c r="AE189" s="1603"/>
      <c r="AF189" s="1597"/>
      <c r="AG189" s="1600"/>
      <c r="AH189" s="1603"/>
      <c r="AI189" s="1597"/>
      <c r="AJ189" s="1600"/>
      <c r="AK189" s="1603"/>
      <c r="AL189" s="1597"/>
      <c r="AM189" s="1600"/>
      <c r="AN189" s="1603"/>
      <c r="AO189" s="1597"/>
      <c r="AP189" s="1600"/>
      <c r="AQ189" s="1594"/>
      <c r="AR189" s="1588"/>
      <c r="AS189" s="1591"/>
      <c r="AT189" s="1594"/>
      <c r="AU189" s="845"/>
      <c r="AV189" s="846"/>
      <c r="AW189" s="847"/>
      <c r="AX189" s="845"/>
      <c r="AY189" s="846"/>
      <c r="AZ189" s="847"/>
      <c r="BA189" s="845"/>
      <c r="BB189" s="846"/>
      <c r="BC189" s="847"/>
      <c r="BD189" s="845"/>
      <c r="BE189" s="846"/>
      <c r="BF189" s="847"/>
      <c r="BG189" s="845"/>
      <c r="BH189" s="846"/>
      <c r="BI189" s="847"/>
      <c r="BJ189" s="845"/>
      <c r="BK189" s="846"/>
      <c r="BL189" s="817"/>
      <c r="BM189" s="817"/>
      <c r="BN189" s="817"/>
      <c r="BO189" s="817"/>
      <c r="BP189" s="817"/>
      <c r="BQ189" s="817"/>
      <c r="BR189" s="818">
        <v>2355</v>
      </c>
      <c r="BS189" s="817"/>
      <c r="BT189" s="817"/>
      <c r="BU189" s="817"/>
      <c r="BV189" s="817"/>
    </row>
    <row r="190" spans="1:74" ht="39" customHeight="1" thickBot="1">
      <c r="A190" s="1655"/>
      <c r="B190" s="1607"/>
      <c r="C190" s="1607"/>
      <c r="D190" s="1607"/>
      <c r="E190" s="848" t="s">
        <v>64</v>
      </c>
      <c r="F190" s="849" t="s">
        <v>114</v>
      </c>
      <c r="G190" s="639">
        <v>50</v>
      </c>
      <c r="H190" s="850">
        <f>3600/G190*2</f>
        <v>144</v>
      </c>
      <c r="I190" s="851"/>
      <c r="J190" s="852">
        <f>J185</f>
        <v>320</v>
      </c>
      <c r="K190" s="451">
        <v>4773</v>
      </c>
      <c r="L190" s="853">
        <v>1140</v>
      </c>
      <c r="M190" s="851">
        <f t="shared" si="26"/>
        <v>4453</v>
      </c>
      <c r="N190" s="854">
        <f t="shared" si="27"/>
        <v>-61.847222222222221</v>
      </c>
      <c r="O190" s="854">
        <f t="shared" si="28"/>
        <v>14.915625</v>
      </c>
      <c r="P190" s="855">
        <f>O190</f>
        <v>14.915625</v>
      </c>
      <c r="Q190" s="856">
        <f t="shared" ca="1" si="25"/>
        <v>41772.915625000001</v>
      </c>
      <c r="R190" s="827"/>
      <c r="S190" s="828"/>
      <c r="T190" s="829"/>
      <c r="U190" s="830"/>
      <c r="V190" s="830"/>
      <c r="W190" s="830"/>
      <c r="X190" s="830"/>
      <c r="Y190" s="830"/>
      <c r="Z190" s="830"/>
      <c r="AA190" s="829">
        <v>1</v>
      </c>
      <c r="AB190" s="1604"/>
      <c r="AC190" s="1598"/>
      <c r="AD190" s="1601"/>
      <c r="AE190" s="1604"/>
      <c r="AF190" s="1598"/>
      <c r="AG190" s="1601"/>
      <c r="AH190" s="1604"/>
      <c r="AI190" s="1598"/>
      <c r="AJ190" s="1601"/>
      <c r="AK190" s="1604"/>
      <c r="AL190" s="1598"/>
      <c r="AM190" s="1601"/>
      <c r="AN190" s="1604"/>
      <c r="AO190" s="1598"/>
      <c r="AP190" s="1601"/>
      <c r="AQ190" s="1595"/>
      <c r="AR190" s="1589"/>
      <c r="AS190" s="1592"/>
      <c r="AT190" s="1595"/>
      <c r="AU190" s="857"/>
      <c r="AV190" s="858"/>
      <c r="AW190" s="859"/>
      <c r="AX190" s="857"/>
      <c r="AY190" s="858"/>
      <c r="AZ190" s="859"/>
      <c r="BA190" s="857"/>
      <c r="BB190" s="858"/>
      <c r="BC190" s="859"/>
      <c r="BD190" s="857"/>
      <c r="BE190" s="858"/>
      <c r="BF190" s="859"/>
      <c r="BG190" s="857"/>
      <c r="BH190" s="858"/>
      <c r="BI190" s="859"/>
      <c r="BJ190" s="857"/>
      <c r="BK190" s="858"/>
      <c r="BL190" s="817"/>
      <c r="BM190" s="817"/>
      <c r="BN190" s="817"/>
      <c r="BO190" s="817"/>
      <c r="BP190" s="817"/>
      <c r="BQ190" s="817"/>
      <c r="BR190" s="831">
        <v>3349</v>
      </c>
      <c r="BS190" s="817"/>
      <c r="BT190" s="817"/>
      <c r="BU190" s="817"/>
      <c r="BV190" s="817"/>
    </row>
    <row r="191" spans="1:74" s="16" customFormat="1">
      <c r="A191" s="860"/>
      <c r="B191" s="860"/>
      <c r="C191" s="860"/>
      <c r="D191" s="860"/>
      <c r="E191" s="860"/>
      <c r="F191" s="860"/>
      <c r="G191" s="861"/>
      <c r="H191" s="861"/>
      <c r="I191" s="860"/>
      <c r="J191" s="860"/>
      <c r="K191" s="862"/>
      <c r="L191" s="860"/>
      <c r="M191" s="860"/>
      <c r="N191" s="860"/>
      <c r="O191" s="860"/>
      <c r="P191" s="860"/>
      <c r="Q191" s="863"/>
      <c r="R191" s="860"/>
      <c r="S191" s="860"/>
      <c r="T191" s="861"/>
      <c r="U191" s="861"/>
      <c r="V191" s="861"/>
      <c r="W191" s="861"/>
      <c r="X191" s="861"/>
      <c r="Y191" s="861"/>
      <c r="Z191" s="861"/>
      <c r="AA191" s="861"/>
      <c r="AB191" s="861"/>
      <c r="AC191" s="861"/>
      <c r="AD191" s="861"/>
      <c r="AE191" s="861"/>
      <c r="AF191" s="861"/>
      <c r="AG191" s="861"/>
      <c r="AH191" s="861"/>
      <c r="AI191" s="861"/>
      <c r="AJ191" s="861"/>
      <c r="AK191" s="861"/>
      <c r="AL191" s="861"/>
      <c r="AM191" s="861"/>
      <c r="AN191" s="861"/>
      <c r="AO191" s="861"/>
      <c r="AP191" s="861"/>
      <c r="AQ191" s="861"/>
      <c r="AR191" s="861"/>
      <c r="AS191" s="861"/>
      <c r="AT191" s="861"/>
      <c r="AU191" s="861"/>
      <c r="AV191" s="861"/>
      <c r="AW191" s="861"/>
      <c r="AX191" s="861"/>
      <c r="AY191" s="861"/>
      <c r="AZ191" s="861"/>
      <c r="BA191" s="861"/>
      <c r="BB191" s="861"/>
      <c r="BC191" s="861"/>
      <c r="BD191" s="861"/>
      <c r="BE191" s="861"/>
      <c r="BF191" s="860"/>
      <c r="BG191" s="860"/>
      <c r="BH191" s="860"/>
      <c r="BI191" s="860"/>
      <c r="BJ191" s="860"/>
      <c r="BK191" s="860"/>
      <c r="BL191" s="860"/>
      <c r="BM191" s="860"/>
      <c r="BN191" s="860"/>
      <c r="BO191" s="860"/>
      <c r="BP191" s="860"/>
      <c r="BQ191" s="860"/>
      <c r="BR191" s="860"/>
      <c r="BS191" s="860"/>
      <c r="BT191" s="860"/>
      <c r="BU191" s="860"/>
      <c r="BV191" s="860"/>
    </row>
    <row r="192" spans="1:74" s="16" customFormat="1">
      <c r="A192" s="860"/>
      <c r="B192" s="860"/>
      <c r="C192" s="860"/>
      <c r="D192" s="860"/>
      <c r="E192" s="860"/>
      <c r="F192" s="860"/>
      <c r="G192" s="861"/>
      <c r="H192" s="861"/>
      <c r="I192" s="860"/>
      <c r="J192" s="860"/>
      <c r="K192" s="862"/>
      <c r="L192" s="860"/>
      <c r="M192" s="860"/>
      <c r="N192" s="860"/>
      <c r="O192" s="860"/>
      <c r="P192" s="860"/>
      <c r="Q192" s="863"/>
      <c r="R192" s="860"/>
      <c r="S192" s="860"/>
      <c r="T192" s="861"/>
      <c r="U192" s="861"/>
      <c r="V192" s="861"/>
      <c r="W192" s="861"/>
      <c r="X192" s="861"/>
      <c r="Y192" s="861"/>
      <c r="Z192" s="861"/>
      <c r="AA192" s="861"/>
      <c r="AB192" s="861"/>
      <c r="AC192" s="861"/>
      <c r="AD192" s="861"/>
      <c r="AE192" s="861"/>
      <c r="AF192" s="861"/>
      <c r="AG192" s="861"/>
      <c r="AH192" s="861"/>
      <c r="AI192" s="861"/>
      <c r="AJ192" s="861"/>
      <c r="AK192" s="861"/>
      <c r="AL192" s="861"/>
      <c r="AM192" s="861"/>
      <c r="AN192" s="861"/>
      <c r="AO192" s="861"/>
      <c r="AP192" s="861"/>
      <c r="AQ192" s="861"/>
      <c r="AR192" s="861"/>
      <c r="AS192" s="861"/>
      <c r="AT192" s="861"/>
      <c r="AU192" s="861"/>
      <c r="AV192" s="861"/>
      <c r="AW192" s="861"/>
      <c r="AX192" s="861"/>
      <c r="AY192" s="861"/>
      <c r="AZ192" s="861"/>
      <c r="BA192" s="861"/>
      <c r="BB192" s="861"/>
      <c r="BC192" s="861"/>
      <c r="BD192" s="861"/>
      <c r="BE192" s="861"/>
      <c r="BF192" s="860"/>
      <c r="BG192" s="860"/>
      <c r="BH192" s="860"/>
      <c r="BI192" s="860"/>
      <c r="BJ192" s="860"/>
      <c r="BK192" s="860"/>
      <c r="BL192" s="860"/>
      <c r="BM192" s="860"/>
      <c r="BN192" s="860"/>
      <c r="BO192" s="860"/>
      <c r="BP192" s="860"/>
      <c r="BQ192" s="860"/>
      <c r="BR192" s="860"/>
      <c r="BS192" s="860"/>
      <c r="BT192" s="860"/>
      <c r="BU192" s="860"/>
      <c r="BV192" s="860"/>
    </row>
    <row r="193" spans="7:57" s="16" customFormat="1">
      <c r="G193" s="17"/>
      <c r="H193" s="17"/>
      <c r="K193" s="212"/>
      <c r="Q193" s="20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</row>
    <row r="194" spans="7:57" s="16" customFormat="1">
      <c r="G194" s="17"/>
      <c r="H194" s="17"/>
      <c r="K194" s="212"/>
      <c r="Q194" s="20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</row>
    <row r="195" spans="7:57" s="16" customFormat="1">
      <c r="G195" s="17"/>
      <c r="H195" s="17"/>
      <c r="K195" s="212"/>
      <c r="Q195" s="20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</row>
    <row r="196" spans="7:57" s="16" customFormat="1">
      <c r="G196" s="17"/>
      <c r="H196" s="17"/>
      <c r="K196" s="212"/>
      <c r="Q196" s="20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</row>
    <row r="197" spans="7:57" s="16" customFormat="1">
      <c r="G197" s="17"/>
      <c r="H197" s="17"/>
      <c r="K197" s="212"/>
      <c r="Q197" s="20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</row>
    <row r="198" spans="7:57" s="16" customFormat="1">
      <c r="G198" s="17"/>
      <c r="H198" s="17"/>
      <c r="K198" s="212"/>
      <c r="Q198" s="20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</row>
    <row r="199" spans="7:57" s="16" customFormat="1">
      <c r="G199" s="17"/>
      <c r="H199" s="17"/>
      <c r="K199" s="212"/>
      <c r="Q199" s="20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</row>
    <row r="200" spans="7:57" s="16" customFormat="1">
      <c r="G200" s="17"/>
      <c r="H200" s="17"/>
      <c r="K200" s="212"/>
      <c r="Q200" s="20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</row>
    <row r="201" spans="7:57" s="16" customFormat="1">
      <c r="G201" s="17"/>
      <c r="H201" s="17"/>
      <c r="K201" s="212"/>
      <c r="Q201" s="20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</row>
    <row r="202" spans="7:57" s="16" customFormat="1">
      <c r="G202" s="17"/>
      <c r="H202" s="17"/>
      <c r="K202" s="212"/>
      <c r="Q202" s="20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</row>
    <row r="203" spans="7:57" s="16" customFormat="1">
      <c r="G203" s="17"/>
      <c r="H203" s="17"/>
      <c r="K203" s="212"/>
      <c r="Q203" s="20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</row>
    <row r="204" spans="7:57" s="16" customFormat="1">
      <c r="G204" s="17"/>
      <c r="H204" s="17"/>
      <c r="K204" s="212"/>
      <c r="Q204" s="20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</row>
    <row r="205" spans="7:57" s="16" customFormat="1">
      <c r="G205" s="17"/>
      <c r="H205" s="17"/>
      <c r="K205" s="212"/>
      <c r="Q205" s="20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</row>
    <row r="206" spans="7:57" s="16" customFormat="1">
      <c r="G206" s="17"/>
      <c r="H206" s="17"/>
      <c r="K206" s="212"/>
      <c r="Q206" s="20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</row>
    <row r="207" spans="7:57" s="16" customFormat="1">
      <c r="G207" s="17"/>
      <c r="H207" s="17"/>
      <c r="K207" s="212"/>
      <c r="Q207" s="20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</row>
    <row r="208" spans="7:57" s="16" customFormat="1">
      <c r="G208" s="17"/>
      <c r="H208" s="17"/>
      <c r="K208" s="212"/>
      <c r="Q208" s="20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</row>
    <row r="209" spans="7:57" s="16" customFormat="1">
      <c r="G209" s="17"/>
      <c r="H209" s="17"/>
      <c r="K209" s="212"/>
      <c r="Q209" s="20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</row>
    <row r="210" spans="7:57" s="16" customFormat="1">
      <c r="G210" s="17"/>
      <c r="H210" s="17"/>
      <c r="K210" s="212"/>
      <c r="Q210" s="20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</row>
    <row r="211" spans="7:57" s="16" customFormat="1">
      <c r="G211" s="17"/>
      <c r="H211" s="17"/>
      <c r="K211" s="212"/>
      <c r="Q211" s="20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</row>
    <row r="212" spans="7:57" s="16" customFormat="1">
      <c r="G212" s="17"/>
      <c r="H212" s="17"/>
      <c r="K212" s="212"/>
      <c r="Q212" s="20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</row>
    <row r="213" spans="7:57" s="16" customFormat="1">
      <c r="G213" s="17"/>
      <c r="H213" s="17"/>
      <c r="K213" s="212"/>
      <c r="Q213" s="20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</row>
    <row r="214" spans="7:57" s="16" customFormat="1">
      <c r="G214" s="17"/>
      <c r="H214" s="17"/>
      <c r="K214" s="212"/>
      <c r="Q214" s="20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</row>
    <row r="215" spans="7:57" s="16" customFormat="1">
      <c r="G215" s="17"/>
      <c r="H215" s="17"/>
      <c r="K215" s="212"/>
      <c r="Q215" s="20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</row>
    <row r="216" spans="7:57" s="16" customFormat="1">
      <c r="G216" s="17"/>
      <c r="H216" s="17"/>
      <c r="K216" s="212"/>
      <c r="Q216" s="20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</row>
    <row r="217" spans="7:57" s="16" customFormat="1">
      <c r="G217" s="17"/>
      <c r="H217" s="17"/>
      <c r="K217" s="212"/>
      <c r="Q217" s="20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</row>
    <row r="218" spans="7:57" s="16" customFormat="1">
      <c r="G218" s="17"/>
      <c r="H218" s="17"/>
      <c r="K218" s="212"/>
      <c r="Q218" s="20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</row>
    <row r="219" spans="7:57" s="16" customFormat="1">
      <c r="G219" s="17"/>
      <c r="H219" s="17"/>
      <c r="K219" s="212"/>
      <c r="Q219" s="20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</row>
    <row r="220" spans="7:57" s="16" customFormat="1">
      <c r="G220" s="17"/>
      <c r="H220" s="17"/>
      <c r="K220" s="212"/>
      <c r="Q220" s="20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</row>
    <row r="221" spans="7:57" s="16" customFormat="1">
      <c r="G221" s="17"/>
      <c r="H221" s="17"/>
      <c r="K221" s="212"/>
      <c r="Q221" s="20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</row>
    <row r="222" spans="7:57" s="16" customFormat="1">
      <c r="G222" s="17"/>
      <c r="H222" s="17"/>
      <c r="K222" s="212"/>
      <c r="Q222" s="20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</row>
    <row r="223" spans="7:57" s="16" customFormat="1">
      <c r="G223" s="17"/>
      <c r="H223" s="17"/>
      <c r="K223" s="212"/>
      <c r="Q223" s="20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</row>
    <row r="224" spans="7:57" s="16" customFormat="1">
      <c r="G224" s="17"/>
      <c r="H224" s="17"/>
      <c r="K224" s="212"/>
      <c r="Q224" s="20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</row>
    <row r="225" spans="7:57" s="16" customFormat="1">
      <c r="G225" s="17"/>
      <c r="H225" s="17"/>
      <c r="K225" s="212"/>
      <c r="Q225" s="20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</row>
    <row r="226" spans="7:57" s="16" customFormat="1">
      <c r="G226" s="17"/>
      <c r="H226" s="17"/>
      <c r="K226" s="212"/>
      <c r="Q226" s="20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</row>
    <row r="227" spans="7:57" s="16" customFormat="1">
      <c r="G227" s="17"/>
      <c r="H227" s="17"/>
      <c r="K227" s="212"/>
      <c r="Q227" s="20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</row>
    <row r="228" spans="7:57" s="16" customFormat="1">
      <c r="G228" s="17"/>
      <c r="H228" s="17"/>
      <c r="K228" s="212"/>
      <c r="Q228" s="20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</row>
    <row r="229" spans="7:57" s="16" customFormat="1">
      <c r="G229" s="17"/>
      <c r="H229" s="17"/>
      <c r="K229" s="212"/>
      <c r="Q229" s="20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</row>
    <row r="230" spans="7:57" s="16" customFormat="1">
      <c r="G230" s="17"/>
      <c r="H230" s="17"/>
      <c r="K230" s="212"/>
      <c r="Q230" s="20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</row>
    <row r="231" spans="7:57" s="16" customFormat="1">
      <c r="G231" s="17"/>
      <c r="H231" s="17"/>
      <c r="K231" s="212"/>
      <c r="Q231" s="20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</row>
    <row r="232" spans="7:57" s="16" customFormat="1">
      <c r="G232" s="17"/>
      <c r="H232" s="17"/>
      <c r="K232" s="212"/>
      <c r="Q232" s="20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</row>
    <row r="233" spans="7:57" s="16" customFormat="1">
      <c r="G233" s="17"/>
      <c r="H233" s="17"/>
      <c r="K233" s="212"/>
      <c r="Q233" s="20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</row>
    <row r="234" spans="7:57" s="16" customFormat="1">
      <c r="G234" s="17"/>
      <c r="H234" s="17"/>
      <c r="K234" s="212"/>
      <c r="Q234" s="20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</row>
    <row r="235" spans="7:57" s="16" customFormat="1">
      <c r="G235" s="17"/>
      <c r="H235" s="17"/>
      <c r="K235" s="212"/>
      <c r="Q235" s="20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</row>
    <row r="236" spans="7:57" s="16" customFormat="1">
      <c r="G236" s="17"/>
      <c r="H236" s="17"/>
      <c r="K236" s="212"/>
      <c r="Q236" s="20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</row>
    <row r="237" spans="7:57" s="16" customFormat="1">
      <c r="G237" s="17"/>
      <c r="H237" s="17"/>
      <c r="K237" s="212"/>
      <c r="Q237" s="20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</row>
    <row r="238" spans="7:57" s="16" customFormat="1">
      <c r="G238" s="17"/>
      <c r="H238" s="17"/>
      <c r="K238" s="212"/>
      <c r="Q238" s="20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</row>
    <row r="239" spans="7:57" s="16" customFormat="1">
      <c r="G239" s="17"/>
      <c r="H239" s="17"/>
      <c r="K239" s="212"/>
      <c r="Q239" s="20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</row>
    <row r="240" spans="7:57" s="16" customFormat="1">
      <c r="G240" s="17"/>
      <c r="H240" s="17"/>
      <c r="K240" s="212"/>
      <c r="Q240" s="20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</row>
    <row r="241" spans="7:57" s="16" customFormat="1">
      <c r="G241" s="17"/>
      <c r="H241" s="17"/>
      <c r="K241" s="212"/>
      <c r="Q241" s="20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</row>
    <row r="242" spans="7:57" s="16" customFormat="1">
      <c r="G242" s="17"/>
      <c r="H242" s="17"/>
      <c r="K242" s="212"/>
      <c r="Q242" s="20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</row>
    <row r="243" spans="7:57" s="16" customFormat="1">
      <c r="G243" s="17"/>
      <c r="H243" s="17"/>
      <c r="K243" s="212"/>
      <c r="Q243" s="20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</row>
    <row r="244" spans="7:57" s="16" customFormat="1">
      <c r="G244" s="17"/>
      <c r="H244" s="17"/>
      <c r="K244" s="212"/>
      <c r="Q244" s="20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</row>
    <row r="245" spans="7:57" s="16" customFormat="1">
      <c r="G245" s="17"/>
      <c r="H245" s="17"/>
      <c r="K245" s="212"/>
      <c r="Q245" s="20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</row>
    <row r="246" spans="7:57" s="16" customFormat="1">
      <c r="G246" s="17"/>
      <c r="H246" s="17"/>
      <c r="K246" s="212"/>
      <c r="Q246" s="20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</row>
    <row r="247" spans="7:57" s="16" customFormat="1">
      <c r="G247" s="17"/>
      <c r="H247" s="17"/>
      <c r="K247" s="212"/>
      <c r="Q247" s="20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</row>
    <row r="248" spans="7:57" s="16" customFormat="1">
      <c r="G248" s="17"/>
      <c r="H248" s="17"/>
      <c r="K248" s="212"/>
      <c r="Q248" s="20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</row>
    <row r="249" spans="7:57" s="16" customFormat="1">
      <c r="G249" s="17"/>
      <c r="H249" s="17"/>
      <c r="K249" s="212"/>
      <c r="Q249" s="20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</row>
    <row r="250" spans="7:57" s="16" customFormat="1">
      <c r="G250" s="17"/>
      <c r="H250" s="17"/>
      <c r="K250" s="212"/>
      <c r="Q250" s="20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</row>
    <row r="251" spans="7:57" s="16" customFormat="1">
      <c r="G251" s="17"/>
      <c r="H251" s="17"/>
      <c r="K251" s="212"/>
      <c r="Q251" s="20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</row>
    <row r="252" spans="7:57" s="16" customFormat="1">
      <c r="G252" s="17"/>
      <c r="H252" s="17"/>
      <c r="K252" s="212"/>
      <c r="Q252" s="20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</row>
    <row r="253" spans="7:57" s="16" customFormat="1">
      <c r="G253" s="17"/>
      <c r="H253" s="17"/>
      <c r="K253" s="212"/>
      <c r="Q253" s="20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</row>
    <row r="254" spans="7:57" s="16" customFormat="1">
      <c r="G254" s="17"/>
      <c r="H254" s="17"/>
      <c r="K254" s="212"/>
      <c r="Q254" s="20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</row>
    <row r="255" spans="7:57" s="16" customFormat="1">
      <c r="G255" s="17"/>
      <c r="H255" s="17"/>
      <c r="K255" s="212"/>
      <c r="Q255" s="20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</row>
  </sheetData>
  <mergeCells count="1049">
    <mergeCell ref="B118:B119"/>
    <mergeCell ref="B184:B185"/>
    <mergeCell ref="A102:A103"/>
    <mergeCell ref="D106:D107"/>
    <mergeCell ref="D108:D109"/>
    <mergeCell ref="D115:D116"/>
    <mergeCell ref="B27:B28"/>
    <mergeCell ref="B46:B48"/>
    <mergeCell ref="B49:B51"/>
    <mergeCell ref="B56:B57"/>
    <mergeCell ref="B58:B59"/>
    <mergeCell ref="B65:B66"/>
    <mergeCell ref="B188:B190"/>
    <mergeCell ref="B60:B61"/>
    <mergeCell ref="B68:B69"/>
    <mergeCell ref="B81:B83"/>
    <mergeCell ref="B98:B100"/>
    <mergeCell ref="B106:B107"/>
    <mergeCell ref="B108:B109"/>
    <mergeCell ref="B115:B116"/>
    <mergeCell ref="D60:D61"/>
    <mergeCell ref="B62:B63"/>
    <mergeCell ref="D62:D63"/>
    <mergeCell ref="D118:D119"/>
    <mergeCell ref="D81:D83"/>
    <mergeCell ref="A184:A190"/>
    <mergeCell ref="C108:C109"/>
    <mergeCell ref="C115:C116"/>
    <mergeCell ref="C118:C119"/>
    <mergeCell ref="C184:C185"/>
    <mergeCell ref="C188:C190"/>
    <mergeCell ref="C68:C69"/>
    <mergeCell ref="AW5:AY5"/>
    <mergeCell ref="AZ5:BB5"/>
    <mergeCell ref="BC5:BE5"/>
    <mergeCell ref="BF5:BH5"/>
    <mergeCell ref="BI5:BK5"/>
    <mergeCell ref="AB5:AD5"/>
    <mergeCell ref="AE5:AG5"/>
    <mergeCell ref="AH5:AJ5"/>
    <mergeCell ref="AK5:AM5"/>
    <mergeCell ref="AN5:AP5"/>
    <mergeCell ref="Q5:Q6"/>
    <mergeCell ref="R5:T5"/>
    <mergeCell ref="U5:U6"/>
    <mergeCell ref="V5:X5"/>
    <mergeCell ref="Y5:AA5"/>
    <mergeCell ref="I5:I6"/>
    <mergeCell ref="J5:J6"/>
    <mergeCell ref="K5:K6"/>
    <mergeCell ref="L5:L6"/>
    <mergeCell ref="M5:M6"/>
    <mergeCell ref="O5:O6"/>
    <mergeCell ref="P5:P6"/>
    <mergeCell ref="AK9:AK10"/>
    <mergeCell ref="AL9:AL10"/>
    <mergeCell ref="AM9:AM10"/>
    <mergeCell ref="AN9:AN10"/>
    <mergeCell ref="AO9:AO10"/>
    <mergeCell ref="AD9:AD10"/>
    <mergeCell ref="AE9:AE10"/>
    <mergeCell ref="AF9:AF10"/>
    <mergeCell ref="AG9:AG10"/>
    <mergeCell ref="AH9:AH10"/>
    <mergeCell ref="AI9:AI10"/>
    <mergeCell ref="V9:V10"/>
    <mergeCell ref="W9:W10"/>
    <mergeCell ref="X9:X10"/>
    <mergeCell ref="Y9:Y10"/>
    <mergeCell ref="Z9:Z10"/>
    <mergeCell ref="AT5:AV5"/>
    <mergeCell ref="AQ5:AS5"/>
    <mergeCell ref="AA9:AA10"/>
    <mergeCell ref="AB9:AB10"/>
    <mergeCell ref="AC9:AC10"/>
    <mergeCell ref="AE11:AE12"/>
    <mergeCell ref="AF11:AF12"/>
    <mergeCell ref="AG11:AG12"/>
    <mergeCell ref="BH9:BH10"/>
    <mergeCell ref="BI9:BI10"/>
    <mergeCell ref="BJ9:BJ10"/>
    <mergeCell ref="BK9:BK10"/>
    <mergeCell ref="V11:V12"/>
    <mergeCell ref="W11:W12"/>
    <mergeCell ref="X11:X12"/>
    <mergeCell ref="Y11:Y12"/>
    <mergeCell ref="Z11:Z12"/>
    <mergeCell ref="AA11:AA12"/>
    <mergeCell ref="BB9:BB10"/>
    <mergeCell ref="BC9:BC10"/>
    <mergeCell ref="BD9:BD10"/>
    <mergeCell ref="BE9:BE10"/>
    <mergeCell ref="BF9:BF10"/>
    <mergeCell ref="BG9:BG10"/>
    <mergeCell ref="AV9:AV10"/>
    <mergeCell ref="AW9:AW10"/>
    <mergeCell ref="AX9:AX10"/>
    <mergeCell ref="AY9:AY10"/>
    <mergeCell ref="AZ9:AZ10"/>
    <mergeCell ref="BA9:BA10"/>
    <mergeCell ref="AP9:AP10"/>
    <mergeCell ref="AQ9:AQ10"/>
    <mergeCell ref="AR9:AR10"/>
    <mergeCell ref="AS9:AS10"/>
    <mergeCell ref="AT9:AT10"/>
    <mergeCell ref="AU9:AU10"/>
    <mergeCell ref="AJ9:AJ10"/>
    <mergeCell ref="BG11:BG12"/>
    <mergeCell ref="BH11:BH12"/>
    <mergeCell ref="BI11:BI12"/>
    <mergeCell ref="BJ11:BJ12"/>
    <mergeCell ref="BK11:BK12"/>
    <mergeCell ref="AZ11:AZ12"/>
    <mergeCell ref="BA11:BA12"/>
    <mergeCell ref="BB11:BB12"/>
    <mergeCell ref="BC11:BC12"/>
    <mergeCell ref="BD11:BD12"/>
    <mergeCell ref="BE11:BE12"/>
    <mergeCell ref="AT11:AT12"/>
    <mergeCell ref="AU11:AU12"/>
    <mergeCell ref="AV11:AV12"/>
    <mergeCell ref="AW11:AW12"/>
    <mergeCell ref="AX11:AX12"/>
    <mergeCell ref="AY11:AY12"/>
    <mergeCell ref="AI16:AI17"/>
    <mergeCell ref="AJ16:AJ17"/>
    <mergeCell ref="AK16:AK17"/>
    <mergeCell ref="AL16:AL17"/>
    <mergeCell ref="AA16:AA17"/>
    <mergeCell ref="AB16:AB17"/>
    <mergeCell ref="AC16:AC17"/>
    <mergeCell ref="AD16:AD17"/>
    <mergeCell ref="AE16:AE17"/>
    <mergeCell ref="AF16:AF17"/>
    <mergeCell ref="V16:V17"/>
    <mergeCell ref="W16:W17"/>
    <mergeCell ref="X16:X17"/>
    <mergeCell ref="V19:V20"/>
    <mergeCell ref="W19:W20"/>
    <mergeCell ref="X19:X20"/>
    <mergeCell ref="BF11:BF12"/>
    <mergeCell ref="AN11:AN12"/>
    <mergeCell ref="AO11:AO12"/>
    <mergeCell ref="AP11:AP12"/>
    <mergeCell ref="AQ11:AQ12"/>
    <mergeCell ref="AR11:AR12"/>
    <mergeCell ref="AS11:AS12"/>
    <mergeCell ref="AH11:AH12"/>
    <mergeCell ref="AI11:AI12"/>
    <mergeCell ref="AJ11:AJ12"/>
    <mergeCell ref="AK11:AK12"/>
    <mergeCell ref="AL11:AL12"/>
    <mergeCell ref="AM11:AM12"/>
    <mergeCell ref="AB11:AB12"/>
    <mergeCell ref="AC11:AC12"/>
    <mergeCell ref="AD11:AD12"/>
    <mergeCell ref="Y19:Y20"/>
    <mergeCell ref="Z19:Z20"/>
    <mergeCell ref="BF16:BF17"/>
    <mergeCell ref="BE16:BE17"/>
    <mergeCell ref="AT16:AT17"/>
    <mergeCell ref="AU16:AU17"/>
    <mergeCell ref="AV16:AV17"/>
    <mergeCell ref="AA19:AA20"/>
    <mergeCell ref="AB19:AB20"/>
    <mergeCell ref="AC19:AC20"/>
    <mergeCell ref="BG16:BG17"/>
    <mergeCell ref="BH16:BH17"/>
    <mergeCell ref="BI16:BI17"/>
    <mergeCell ref="BJ16:BJ17"/>
    <mergeCell ref="BK16:BK17"/>
    <mergeCell ref="AZ16:AZ17"/>
    <mergeCell ref="BA16:BA17"/>
    <mergeCell ref="BB16:BB17"/>
    <mergeCell ref="BC16:BC17"/>
    <mergeCell ref="BD16:BD17"/>
    <mergeCell ref="AM16:AM17"/>
    <mergeCell ref="AW16:AW17"/>
    <mergeCell ref="AX16:AX17"/>
    <mergeCell ref="AY16:AY17"/>
    <mergeCell ref="AN16:AN17"/>
    <mergeCell ref="AO16:AO17"/>
    <mergeCell ref="AP16:AP17"/>
    <mergeCell ref="AQ16:AQ17"/>
    <mergeCell ref="AR16:AR17"/>
    <mergeCell ref="AS16:AS17"/>
    <mergeCell ref="AG16:AG17"/>
    <mergeCell ref="AH16:AH17"/>
    <mergeCell ref="BK19:BK20"/>
    <mergeCell ref="A22:A36"/>
    <mergeCell ref="D22:D23"/>
    <mergeCell ref="V22:V23"/>
    <mergeCell ref="W22:W23"/>
    <mergeCell ref="X22:X23"/>
    <mergeCell ref="Y22:Y23"/>
    <mergeCell ref="BB19:BB20"/>
    <mergeCell ref="BC19:BC20"/>
    <mergeCell ref="BD19:BD20"/>
    <mergeCell ref="BE19:BE20"/>
    <mergeCell ref="BF19:BF20"/>
    <mergeCell ref="BG19:BG20"/>
    <mergeCell ref="AV19:AV20"/>
    <mergeCell ref="AW19:AW20"/>
    <mergeCell ref="AX19:AX20"/>
    <mergeCell ref="AY19:AY20"/>
    <mergeCell ref="AZ19:AZ20"/>
    <mergeCell ref="BA19:BA20"/>
    <mergeCell ref="AP19:AP20"/>
    <mergeCell ref="AQ19:AQ20"/>
    <mergeCell ref="AR19:AR20"/>
    <mergeCell ref="AS19:AS20"/>
    <mergeCell ref="AT19:AT20"/>
    <mergeCell ref="AU19:AU20"/>
    <mergeCell ref="AJ19:AJ20"/>
    <mergeCell ref="AK19:AK20"/>
    <mergeCell ref="AL19:AL20"/>
    <mergeCell ref="AM19:AM20"/>
    <mergeCell ref="AN19:AN20"/>
    <mergeCell ref="AO19:AO20"/>
    <mergeCell ref="AD19:AD20"/>
    <mergeCell ref="AP22:AP23"/>
    <mergeCell ref="AQ22:AQ23"/>
    <mergeCell ref="AF22:AF23"/>
    <mergeCell ref="AG22:AG23"/>
    <mergeCell ref="AH22:AH23"/>
    <mergeCell ref="AI22:AI23"/>
    <mergeCell ref="AJ22:AJ23"/>
    <mergeCell ref="AK22:AK23"/>
    <mergeCell ref="Z22:Z23"/>
    <mergeCell ref="AA22:AA23"/>
    <mergeCell ref="AB22:AB23"/>
    <mergeCell ref="AC22:AC23"/>
    <mergeCell ref="AD22:AD23"/>
    <mergeCell ref="AE22:AE23"/>
    <mergeCell ref="BH19:BH20"/>
    <mergeCell ref="BI19:BI20"/>
    <mergeCell ref="BJ19:BJ20"/>
    <mergeCell ref="AE19:AE20"/>
    <mergeCell ref="AF19:AF20"/>
    <mergeCell ref="AG19:AG20"/>
    <mergeCell ref="AH19:AH20"/>
    <mergeCell ref="AI19:AI20"/>
    <mergeCell ref="BJ22:BJ23"/>
    <mergeCell ref="BK22:BK23"/>
    <mergeCell ref="D24:D26"/>
    <mergeCell ref="AB24:AB26"/>
    <mergeCell ref="AC24:AC26"/>
    <mergeCell ref="AD24:AD26"/>
    <mergeCell ref="AE24:AE26"/>
    <mergeCell ref="AF24:AF26"/>
    <mergeCell ref="AG24:AG26"/>
    <mergeCell ref="AH24:AH26"/>
    <mergeCell ref="BD22:BD23"/>
    <mergeCell ref="BE22:BE23"/>
    <mergeCell ref="BF22:BF23"/>
    <mergeCell ref="BG22:BG23"/>
    <mergeCell ref="BH22:BH23"/>
    <mergeCell ref="BI22:BI23"/>
    <mergeCell ref="AX22:AX23"/>
    <mergeCell ref="AY22:AY23"/>
    <mergeCell ref="AZ22:AZ23"/>
    <mergeCell ref="BA22:BA23"/>
    <mergeCell ref="BB22:BB23"/>
    <mergeCell ref="BC22:BC23"/>
    <mergeCell ref="AR22:AR23"/>
    <mergeCell ref="AS22:AS23"/>
    <mergeCell ref="AT22:AT23"/>
    <mergeCell ref="AU22:AU23"/>
    <mergeCell ref="AV22:AV23"/>
    <mergeCell ref="AW22:AW23"/>
    <mergeCell ref="AL22:AL23"/>
    <mergeCell ref="AM22:AM23"/>
    <mergeCell ref="AN22:AN23"/>
    <mergeCell ref="AO22:AO23"/>
    <mergeCell ref="BJ24:BJ26"/>
    <mergeCell ref="BK24:BK26"/>
    <mergeCell ref="V38:V39"/>
    <mergeCell ref="W38:W39"/>
    <mergeCell ref="X38:X39"/>
    <mergeCell ref="Y38:Y39"/>
    <mergeCell ref="Z38:Z39"/>
    <mergeCell ref="BA24:BA26"/>
    <mergeCell ref="BB24:BB26"/>
    <mergeCell ref="BC24:BC26"/>
    <mergeCell ref="BD24:BD26"/>
    <mergeCell ref="BE24:BE26"/>
    <mergeCell ref="BF24:BF26"/>
    <mergeCell ref="AU24:AU26"/>
    <mergeCell ref="AV24:AV26"/>
    <mergeCell ref="AW24:AW26"/>
    <mergeCell ref="AX24:AX26"/>
    <mergeCell ref="AY24:AY26"/>
    <mergeCell ref="AZ24:AZ26"/>
    <mergeCell ref="AO24:AO26"/>
    <mergeCell ref="AP24:AP26"/>
    <mergeCell ref="AQ24:AQ26"/>
    <mergeCell ref="AR24:AR26"/>
    <mergeCell ref="AS24:AS26"/>
    <mergeCell ref="AT24:AT26"/>
    <mergeCell ref="AI24:AI26"/>
    <mergeCell ref="AJ24:AJ26"/>
    <mergeCell ref="AK24:AK26"/>
    <mergeCell ref="AL24:AL26"/>
    <mergeCell ref="AM24:AM26"/>
    <mergeCell ref="AN24:AN26"/>
    <mergeCell ref="AQ38:AQ39"/>
    <mergeCell ref="AR38:AR39"/>
    <mergeCell ref="AG38:AG39"/>
    <mergeCell ref="AH38:AH39"/>
    <mergeCell ref="AI38:AI39"/>
    <mergeCell ref="AJ38:AJ39"/>
    <mergeCell ref="AK38:AK39"/>
    <mergeCell ref="AL38:AL39"/>
    <mergeCell ref="AA38:AA39"/>
    <mergeCell ref="AB38:AB39"/>
    <mergeCell ref="AC38:AC39"/>
    <mergeCell ref="AD38:AD39"/>
    <mergeCell ref="AE38:AE39"/>
    <mergeCell ref="AF38:AF39"/>
    <mergeCell ref="BG24:BG26"/>
    <mergeCell ref="BH24:BH26"/>
    <mergeCell ref="BI24:BI26"/>
    <mergeCell ref="BK38:BK39"/>
    <mergeCell ref="BH38:BH39"/>
    <mergeCell ref="BI38:BI39"/>
    <mergeCell ref="BJ38:BJ39"/>
    <mergeCell ref="BC38:BC39"/>
    <mergeCell ref="AC27:AC28"/>
    <mergeCell ref="AD27:AD28"/>
    <mergeCell ref="AE27:AE28"/>
    <mergeCell ref="AF27:AF28"/>
    <mergeCell ref="AG27:AG28"/>
    <mergeCell ref="BF27:BF28"/>
    <mergeCell ref="BE27:BE28"/>
    <mergeCell ref="AU27:AU28"/>
    <mergeCell ref="AV27:AV28"/>
    <mergeCell ref="AW27:AW28"/>
    <mergeCell ref="AX27:AX28"/>
    <mergeCell ref="AY27:AY28"/>
    <mergeCell ref="BE38:BE39"/>
    <mergeCell ref="BF38:BF39"/>
    <mergeCell ref="BG38:BG39"/>
    <mergeCell ref="AY38:AY39"/>
    <mergeCell ref="AZ38:AZ39"/>
    <mergeCell ref="BA38:BA39"/>
    <mergeCell ref="BB38:BB39"/>
    <mergeCell ref="BD38:BD39"/>
    <mergeCell ref="AS38:AS39"/>
    <mergeCell ref="AT38:AT39"/>
    <mergeCell ref="AU38:AU39"/>
    <mergeCell ref="AV38:AV39"/>
    <mergeCell ref="AW38:AW39"/>
    <mergeCell ref="AX38:AX39"/>
    <mergeCell ref="AM38:AM39"/>
    <mergeCell ref="AN38:AN39"/>
    <mergeCell ref="AO38:AO39"/>
    <mergeCell ref="AP38:AP39"/>
    <mergeCell ref="AK46:AK47"/>
    <mergeCell ref="AL46:AL47"/>
    <mergeCell ref="AM46:AM47"/>
    <mergeCell ref="AQ40:AQ42"/>
    <mergeCell ref="AR40:AR42"/>
    <mergeCell ref="AS40:AS42"/>
    <mergeCell ref="D46:D48"/>
    <mergeCell ref="AB46:AB47"/>
    <mergeCell ref="AC46:AC47"/>
    <mergeCell ref="AD46:AD47"/>
    <mergeCell ref="AE46:AE47"/>
    <mergeCell ref="AF46:AF47"/>
    <mergeCell ref="AK40:AK42"/>
    <mergeCell ref="AL40:AL42"/>
    <mergeCell ref="AM40:AM42"/>
    <mergeCell ref="AN40:AN42"/>
    <mergeCell ref="AO40:AO42"/>
    <mergeCell ref="AP40:AP42"/>
    <mergeCell ref="AB40:AB42"/>
    <mergeCell ref="AC40:AC42"/>
    <mergeCell ref="AD40:AD42"/>
    <mergeCell ref="AE40:AE42"/>
    <mergeCell ref="AF40:AF42"/>
    <mergeCell ref="AG40:AG42"/>
    <mergeCell ref="AH40:AH42"/>
    <mergeCell ref="AI40:AI42"/>
    <mergeCell ref="AJ40:AJ42"/>
    <mergeCell ref="AB49:AB50"/>
    <mergeCell ref="AC49:AC50"/>
    <mergeCell ref="AD49:AD50"/>
    <mergeCell ref="AE49:AE50"/>
    <mergeCell ref="AF49:AF50"/>
    <mergeCell ref="BF46:BF47"/>
    <mergeCell ref="BE46:BE47"/>
    <mergeCell ref="AT46:AT47"/>
    <mergeCell ref="AU46:AU47"/>
    <mergeCell ref="AV46:AV47"/>
    <mergeCell ref="BG46:BG47"/>
    <mergeCell ref="BH46:BH47"/>
    <mergeCell ref="BI46:BI47"/>
    <mergeCell ref="BJ46:BJ47"/>
    <mergeCell ref="BK46:BK47"/>
    <mergeCell ref="AZ46:AZ47"/>
    <mergeCell ref="BA46:BA47"/>
    <mergeCell ref="BB46:BB47"/>
    <mergeCell ref="BC46:BC47"/>
    <mergeCell ref="BD46:BD47"/>
    <mergeCell ref="AW46:AW47"/>
    <mergeCell ref="AX46:AX47"/>
    <mergeCell ref="AY46:AY47"/>
    <mergeCell ref="AN46:AN47"/>
    <mergeCell ref="AO46:AO47"/>
    <mergeCell ref="AP46:AP47"/>
    <mergeCell ref="AQ46:AQ47"/>
    <mergeCell ref="AR46:AR47"/>
    <mergeCell ref="AS46:AS47"/>
    <mergeCell ref="AH46:AH47"/>
    <mergeCell ref="AI46:AI47"/>
    <mergeCell ref="AJ46:AJ47"/>
    <mergeCell ref="BB49:BB50"/>
    <mergeCell ref="BC49:BC50"/>
    <mergeCell ref="BD49:BD50"/>
    <mergeCell ref="AS49:AS50"/>
    <mergeCell ref="AT49:AT50"/>
    <mergeCell ref="AU49:AU50"/>
    <mergeCell ref="AV49:AV50"/>
    <mergeCell ref="AW49:AW50"/>
    <mergeCell ref="AX49:AX50"/>
    <mergeCell ref="AM49:AM50"/>
    <mergeCell ref="AN49:AN50"/>
    <mergeCell ref="AO49:AO50"/>
    <mergeCell ref="AP49:AP50"/>
    <mergeCell ref="AQ49:AQ50"/>
    <mergeCell ref="AR49:AR50"/>
    <mergeCell ref="AG49:AG50"/>
    <mergeCell ref="AH49:AH50"/>
    <mergeCell ref="AI49:AI50"/>
    <mergeCell ref="AJ49:AJ50"/>
    <mergeCell ref="AK49:AK50"/>
    <mergeCell ref="AL49:AL50"/>
    <mergeCell ref="AQ65:AQ66"/>
    <mergeCell ref="AR65:AR66"/>
    <mergeCell ref="AG65:AG66"/>
    <mergeCell ref="AH65:AH66"/>
    <mergeCell ref="AI65:AI66"/>
    <mergeCell ref="AJ65:AJ66"/>
    <mergeCell ref="AK65:AK66"/>
    <mergeCell ref="AL65:AL66"/>
    <mergeCell ref="AA65:AA66"/>
    <mergeCell ref="AB65:AB66"/>
    <mergeCell ref="AC65:AC66"/>
    <mergeCell ref="AD65:AD66"/>
    <mergeCell ref="AE65:AE66"/>
    <mergeCell ref="AF65:AF66"/>
    <mergeCell ref="BK49:BK50"/>
    <mergeCell ref="D56:D57"/>
    <mergeCell ref="D58:D59"/>
    <mergeCell ref="D65:D66"/>
    <mergeCell ref="V65:V66"/>
    <mergeCell ref="W65:W66"/>
    <mergeCell ref="X65:X66"/>
    <mergeCell ref="Y65:Y66"/>
    <mergeCell ref="Z65:Z66"/>
    <mergeCell ref="BE49:BE50"/>
    <mergeCell ref="BF49:BF50"/>
    <mergeCell ref="BG49:BG50"/>
    <mergeCell ref="BH49:BH50"/>
    <mergeCell ref="BI49:BI50"/>
    <mergeCell ref="BJ49:BJ50"/>
    <mergeCell ref="AY49:AY50"/>
    <mergeCell ref="AZ49:AZ50"/>
    <mergeCell ref="BA49:BA50"/>
    <mergeCell ref="BK65:BK66"/>
    <mergeCell ref="D68:D69"/>
    <mergeCell ref="V68:V69"/>
    <mergeCell ref="W68:W69"/>
    <mergeCell ref="X68:X69"/>
    <mergeCell ref="Y68:Y69"/>
    <mergeCell ref="Z68:Z69"/>
    <mergeCell ref="AA68:AA69"/>
    <mergeCell ref="AB68:AB69"/>
    <mergeCell ref="AC68:AC69"/>
    <mergeCell ref="BE65:BE66"/>
    <mergeCell ref="BF65:BF66"/>
    <mergeCell ref="BG65:BG66"/>
    <mergeCell ref="BH65:BH66"/>
    <mergeCell ref="BI65:BI66"/>
    <mergeCell ref="BJ65:BJ66"/>
    <mergeCell ref="AY65:AY66"/>
    <mergeCell ref="AZ65:AZ66"/>
    <mergeCell ref="BA65:BA66"/>
    <mergeCell ref="BB65:BB66"/>
    <mergeCell ref="BC65:BC66"/>
    <mergeCell ref="BD65:BD66"/>
    <mergeCell ref="AS65:AS66"/>
    <mergeCell ref="AT65:AT66"/>
    <mergeCell ref="AU65:AU66"/>
    <mergeCell ref="AV65:AV66"/>
    <mergeCell ref="AW65:AW66"/>
    <mergeCell ref="AX65:AX66"/>
    <mergeCell ref="AM65:AM66"/>
    <mergeCell ref="AN65:AN66"/>
    <mergeCell ref="AO65:AO66"/>
    <mergeCell ref="AP65:AP66"/>
    <mergeCell ref="AP68:AP69"/>
    <mergeCell ref="AQ68:AQ69"/>
    <mergeCell ref="AR68:AR69"/>
    <mergeCell ref="AS68:AS69"/>
    <mergeCell ref="AT68:AT69"/>
    <mergeCell ref="AU68:AU69"/>
    <mergeCell ref="AJ68:AJ69"/>
    <mergeCell ref="AK68:AK69"/>
    <mergeCell ref="AL68:AL69"/>
    <mergeCell ref="AM68:AM69"/>
    <mergeCell ref="AN68:AN69"/>
    <mergeCell ref="AO68:AO69"/>
    <mergeCell ref="AD68:AD69"/>
    <mergeCell ref="AE68:AE69"/>
    <mergeCell ref="AF68:AF69"/>
    <mergeCell ref="AG68:AG69"/>
    <mergeCell ref="AH68:AH69"/>
    <mergeCell ref="AI68:AI69"/>
    <mergeCell ref="AJ75:AJ76"/>
    <mergeCell ref="AK75:AK76"/>
    <mergeCell ref="AL75:AL76"/>
    <mergeCell ref="AM75:AM76"/>
    <mergeCell ref="AB75:AB76"/>
    <mergeCell ref="AC75:AC76"/>
    <mergeCell ref="AD75:AD76"/>
    <mergeCell ref="AE75:AE76"/>
    <mergeCell ref="AF75:AF76"/>
    <mergeCell ref="AG75:AG76"/>
    <mergeCell ref="BH68:BH69"/>
    <mergeCell ref="BI68:BI69"/>
    <mergeCell ref="BJ68:BJ69"/>
    <mergeCell ref="BK68:BK69"/>
    <mergeCell ref="V75:V76"/>
    <mergeCell ref="W75:W76"/>
    <mergeCell ref="X75:X76"/>
    <mergeCell ref="Y75:Y76"/>
    <mergeCell ref="Z75:Z76"/>
    <mergeCell ref="AA75:AA76"/>
    <mergeCell ref="BB68:BB69"/>
    <mergeCell ref="BC68:BC69"/>
    <mergeCell ref="BD68:BD69"/>
    <mergeCell ref="BE68:BE69"/>
    <mergeCell ref="BF68:BF69"/>
    <mergeCell ref="BG68:BG69"/>
    <mergeCell ref="AV68:AV69"/>
    <mergeCell ref="AW68:AW69"/>
    <mergeCell ref="AX68:AX69"/>
    <mergeCell ref="AY68:AY69"/>
    <mergeCell ref="AZ68:AZ69"/>
    <mergeCell ref="BA68:BA69"/>
    <mergeCell ref="V77:V78"/>
    <mergeCell ref="W77:W78"/>
    <mergeCell ref="X77:X78"/>
    <mergeCell ref="Y77:Y78"/>
    <mergeCell ref="Z77:Z78"/>
    <mergeCell ref="AA77:AA78"/>
    <mergeCell ref="BF75:BF76"/>
    <mergeCell ref="BG75:BG76"/>
    <mergeCell ref="BH75:BH76"/>
    <mergeCell ref="BI75:BI76"/>
    <mergeCell ref="BJ75:BJ76"/>
    <mergeCell ref="BK75:BK76"/>
    <mergeCell ref="AZ75:AZ76"/>
    <mergeCell ref="BA75:BA76"/>
    <mergeCell ref="BB75:BB76"/>
    <mergeCell ref="BC75:BC76"/>
    <mergeCell ref="BD75:BD76"/>
    <mergeCell ref="BE75:BE76"/>
    <mergeCell ref="AT75:AT76"/>
    <mergeCell ref="AU75:AU76"/>
    <mergeCell ref="AV75:AV76"/>
    <mergeCell ref="AW75:AW76"/>
    <mergeCell ref="AX75:AX76"/>
    <mergeCell ref="AY75:AY76"/>
    <mergeCell ref="AN75:AN76"/>
    <mergeCell ref="AO75:AO76"/>
    <mergeCell ref="AP75:AP76"/>
    <mergeCell ref="AQ75:AQ76"/>
    <mergeCell ref="AR75:AR76"/>
    <mergeCell ref="AS75:AS76"/>
    <mergeCell ref="AH75:AH76"/>
    <mergeCell ref="AI75:AI76"/>
    <mergeCell ref="BJ77:BJ78"/>
    <mergeCell ref="BK77:BK78"/>
    <mergeCell ref="AZ77:AZ78"/>
    <mergeCell ref="BA77:BA78"/>
    <mergeCell ref="BB77:BB78"/>
    <mergeCell ref="BC77:BC78"/>
    <mergeCell ref="BD77:BD78"/>
    <mergeCell ref="BE77:BE78"/>
    <mergeCell ref="AX77:AX78"/>
    <mergeCell ref="AY77:AY78"/>
    <mergeCell ref="AN77:AN78"/>
    <mergeCell ref="AO77:AO78"/>
    <mergeCell ref="AP77:AP78"/>
    <mergeCell ref="AQ77:AQ78"/>
    <mergeCell ref="AR77:AR78"/>
    <mergeCell ref="AS77:AS78"/>
    <mergeCell ref="AH77:AH78"/>
    <mergeCell ref="AI77:AI78"/>
    <mergeCell ref="AJ77:AJ78"/>
    <mergeCell ref="AK77:AK78"/>
    <mergeCell ref="AL77:AL78"/>
    <mergeCell ref="AM77:AM78"/>
    <mergeCell ref="AJ88:AJ89"/>
    <mergeCell ref="AK88:AK89"/>
    <mergeCell ref="AB88:AB89"/>
    <mergeCell ref="AC88:AC89"/>
    <mergeCell ref="AD88:AD89"/>
    <mergeCell ref="AE88:AE89"/>
    <mergeCell ref="BF77:BF78"/>
    <mergeCell ref="BG77:BG78"/>
    <mergeCell ref="AT77:AT78"/>
    <mergeCell ref="AU77:AU78"/>
    <mergeCell ref="AV77:AV78"/>
    <mergeCell ref="AW77:AW78"/>
    <mergeCell ref="BH77:BH78"/>
    <mergeCell ref="BI77:BI78"/>
    <mergeCell ref="AB77:AB78"/>
    <mergeCell ref="AC77:AC78"/>
    <mergeCell ref="AD77:AD78"/>
    <mergeCell ref="AE77:AE78"/>
    <mergeCell ref="AF77:AF78"/>
    <mergeCell ref="AG77:AG78"/>
    <mergeCell ref="BJ88:BJ89"/>
    <mergeCell ref="BK88:BK89"/>
    <mergeCell ref="AB91:AB92"/>
    <mergeCell ref="AC91:AC92"/>
    <mergeCell ref="AD91:AD92"/>
    <mergeCell ref="AE91:AE92"/>
    <mergeCell ref="AF91:AF92"/>
    <mergeCell ref="AG91:AG92"/>
    <mergeCell ref="AH91:AH92"/>
    <mergeCell ref="AI91:AI92"/>
    <mergeCell ref="BD88:BD89"/>
    <mergeCell ref="BE88:BE89"/>
    <mergeCell ref="BF88:BF89"/>
    <mergeCell ref="BG88:BG89"/>
    <mergeCell ref="BH88:BH89"/>
    <mergeCell ref="BI88:BI89"/>
    <mergeCell ref="AX88:AX89"/>
    <mergeCell ref="AY88:AY89"/>
    <mergeCell ref="AZ88:AZ89"/>
    <mergeCell ref="BA88:BA89"/>
    <mergeCell ref="BB88:BB89"/>
    <mergeCell ref="BC88:BC89"/>
    <mergeCell ref="AL88:AL89"/>
    <mergeCell ref="AM88:AM89"/>
    <mergeCell ref="AT88:AT89"/>
    <mergeCell ref="AU88:AU89"/>
    <mergeCell ref="AV88:AV89"/>
    <mergeCell ref="AW88:AW89"/>
    <mergeCell ref="AF88:AF89"/>
    <mergeCell ref="AG88:AG89"/>
    <mergeCell ref="AH88:AH89"/>
    <mergeCell ref="AI88:AI89"/>
    <mergeCell ref="V106:V107"/>
    <mergeCell ref="W106:W107"/>
    <mergeCell ref="X106:X107"/>
    <mergeCell ref="Y106:Y107"/>
    <mergeCell ref="Z106:Z107"/>
    <mergeCell ref="AA106:AA107"/>
    <mergeCell ref="BH91:BH92"/>
    <mergeCell ref="BI91:BI92"/>
    <mergeCell ref="BJ91:BJ92"/>
    <mergeCell ref="BK91:BK92"/>
    <mergeCell ref="BB91:BB92"/>
    <mergeCell ref="BC91:BC92"/>
    <mergeCell ref="BD91:BD92"/>
    <mergeCell ref="BE91:BE92"/>
    <mergeCell ref="BF91:BF92"/>
    <mergeCell ref="BG91:BG92"/>
    <mergeCell ref="AV91:AV92"/>
    <mergeCell ref="AW91:AW92"/>
    <mergeCell ref="AX91:AX92"/>
    <mergeCell ref="AY91:AY92"/>
    <mergeCell ref="AZ91:AZ92"/>
    <mergeCell ref="BA91:BA92"/>
    <mergeCell ref="AJ91:AJ92"/>
    <mergeCell ref="AK91:AK92"/>
    <mergeCell ref="AL91:AL92"/>
    <mergeCell ref="AM91:AM92"/>
    <mergeCell ref="AT91:AT92"/>
    <mergeCell ref="AU91:AU92"/>
    <mergeCell ref="AN106:AN107"/>
    <mergeCell ref="AO106:AO107"/>
    <mergeCell ref="AP106:AP107"/>
    <mergeCell ref="AQ106:AQ107"/>
    <mergeCell ref="AR106:AR107"/>
    <mergeCell ref="AS106:AS107"/>
    <mergeCell ref="AH106:AH107"/>
    <mergeCell ref="AI106:AI107"/>
    <mergeCell ref="AJ106:AJ107"/>
    <mergeCell ref="AK106:AK107"/>
    <mergeCell ref="AL106:AL107"/>
    <mergeCell ref="AM106:AM107"/>
    <mergeCell ref="AB106:AB107"/>
    <mergeCell ref="AC106:AC107"/>
    <mergeCell ref="AD106:AD107"/>
    <mergeCell ref="AE106:AE107"/>
    <mergeCell ref="AF106:AF107"/>
    <mergeCell ref="AG106:AG107"/>
    <mergeCell ref="BF106:BF107"/>
    <mergeCell ref="BG106:BG107"/>
    <mergeCell ref="BH106:BH107"/>
    <mergeCell ref="BI106:BI107"/>
    <mergeCell ref="BJ106:BJ107"/>
    <mergeCell ref="BK106:BK107"/>
    <mergeCell ref="AZ106:AZ107"/>
    <mergeCell ref="BA106:BA107"/>
    <mergeCell ref="BB106:BB107"/>
    <mergeCell ref="BC106:BC107"/>
    <mergeCell ref="BD106:BD107"/>
    <mergeCell ref="BE106:BE107"/>
    <mergeCell ref="AT106:AT107"/>
    <mergeCell ref="AU106:AU107"/>
    <mergeCell ref="AV106:AV107"/>
    <mergeCell ref="AW106:AW107"/>
    <mergeCell ref="AX106:AX107"/>
    <mergeCell ref="AY106:AY107"/>
    <mergeCell ref="BJ108:BJ109"/>
    <mergeCell ref="BK108:BK109"/>
    <mergeCell ref="AZ108:AZ109"/>
    <mergeCell ref="BA108:BA109"/>
    <mergeCell ref="BB108:BB109"/>
    <mergeCell ref="BC108:BC109"/>
    <mergeCell ref="BD108:BD109"/>
    <mergeCell ref="BE108:BE109"/>
    <mergeCell ref="AT108:AT109"/>
    <mergeCell ref="AU108:AU109"/>
    <mergeCell ref="AV108:AV109"/>
    <mergeCell ref="AW108:AW109"/>
    <mergeCell ref="AX108:AX109"/>
    <mergeCell ref="AY108:AY109"/>
    <mergeCell ref="V110:V113"/>
    <mergeCell ref="W110:W113"/>
    <mergeCell ref="X110:X113"/>
    <mergeCell ref="Y110:Y113"/>
    <mergeCell ref="Z110:Z113"/>
    <mergeCell ref="AA110:AA113"/>
    <mergeCell ref="BF108:BF109"/>
    <mergeCell ref="BG108:BG109"/>
    <mergeCell ref="BH108:BH109"/>
    <mergeCell ref="BI108:BI109"/>
    <mergeCell ref="AH108:AH109"/>
    <mergeCell ref="AI108:AI109"/>
    <mergeCell ref="AJ108:AJ109"/>
    <mergeCell ref="AK108:AK109"/>
    <mergeCell ref="AL108:AL109"/>
    <mergeCell ref="AM108:AM109"/>
    <mergeCell ref="AB108:AB109"/>
    <mergeCell ref="AC108:AC109"/>
    <mergeCell ref="AD108:AD109"/>
    <mergeCell ref="AE108:AE109"/>
    <mergeCell ref="AF108:AF109"/>
    <mergeCell ref="AG108:AG109"/>
    <mergeCell ref="V108:V109"/>
    <mergeCell ref="W108:W109"/>
    <mergeCell ref="X108:X109"/>
    <mergeCell ref="Y108:Y109"/>
    <mergeCell ref="Z108:Z109"/>
    <mergeCell ref="AA108:AA109"/>
    <mergeCell ref="AN110:AN113"/>
    <mergeCell ref="AO110:AO113"/>
    <mergeCell ref="AP110:AP113"/>
    <mergeCell ref="AQ110:AQ113"/>
    <mergeCell ref="AR110:AR113"/>
    <mergeCell ref="AS110:AS113"/>
    <mergeCell ref="AH110:AH113"/>
    <mergeCell ref="AI110:AI113"/>
    <mergeCell ref="AJ110:AJ113"/>
    <mergeCell ref="AK110:AK113"/>
    <mergeCell ref="AL110:AL113"/>
    <mergeCell ref="AM110:AM113"/>
    <mergeCell ref="AB110:AB113"/>
    <mergeCell ref="AC110:AC113"/>
    <mergeCell ref="AD110:AD113"/>
    <mergeCell ref="AE110:AE113"/>
    <mergeCell ref="AF110:AF113"/>
    <mergeCell ref="AG110:AG113"/>
    <mergeCell ref="AN108:AN109"/>
    <mergeCell ref="AO108:AO109"/>
    <mergeCell ref="AP108:AP109"/>
    <mergeCell ref="AQ108:AQ109"/>
    <mergeCell ref="AR108:AR109"/>
    <mergeCell ref="AS108:AS109"/>
    <mergeCell ref="BF110:BF113"/>
    <mergeCell ref="BG110:BG113"/>
    <mergeCell ref="BH110:BH113"/>
    <mergeCell ref="BI110:BI113"/>
    <mergeCell ref="BJ110:BJ113"/>
    <mergeCell ref="BK110:BK113"/>
    <mergeCell ref="AZ110:AZ113"/>
    <mergeCell ref="BA110:BA113"/>
    <mergeCell ref="BB110:BB113"/>
    <mergeCell ref="BC110:BC113"/>
    <mergeCell ref="BD110:BD113"/>
    <mergeCell ref="BE110:BE113"/>
    <mergeCell ref="AT110:AT113"/>
    <mergeCell ref="AU110:AU113"/>
    <mergeCell ref="AV110:AV113"/>
    <mergeCell ref="AW110:AW113"/>
    <mergeCell ref="AX110:AX113"/>
    <mergeCell ref="AY110:AY113"/>
    <mergeCell ref="BH115:BH116"/>
    <mergeCell ref="BI115:BI116"/>
    <mergeCell ref="BJ115:BJ116"/>
    <mergeCell ref="BK115:BK116"/>
    <mergeCell ref="AZ115:AZ116"/>
    <mergeCell ref="BA115:BA116"/>
    <mergeCell ref="BB115:BB116"/>
    <mergeCell ref="BC115:BC116"/>
    <mergeCell ref="BD115:BD116"/>
    <mergeCell ref="BE115:BE116"/>
    <mergeCell ref="AT115:AT116"/>
    <mergeCell ref="AU115:AU116"/>
    <mergeCell ref="AV115:AV116"/>
    <mergeCell ref="AW115:AW116"/>
    <mergeCell ref="AX115:AX116"/>
    <mergeCell ref="AY115:AY116"/>
    <mergeCell ref="AN115:AN116"/>
    <mergeCell ref="AO115:AO116"/>
    <mergeCell ref="AP115:AP116"/>
    <mergeCell ref="AQ115:AQ116"/>
    <mergeCell ref="AR115:AR116"/>
    <mergeCell ref="AS115:AS116"/>
    <mergeCell ref="AB117:AB118"/>
    <mergeCell ref="AC117:AC118"/>
    <mergeCell ref="AD117:AD118"/>
    <mergeCell ref="AE117:AE118"/>
    <mergeCell ref="AF117:AF118"/>
    <mergeCell ref="AG117:AG118"/>
    <mergeCell ref="V117:V118"/>
    <mergeCell ref="W117:W118"/>
    <mergeCell ref="X117:X118"/>
    <mergeCell ref="Y117:Y118"/>
    <mergeCell ref="Z117:Z118"/>
    <mergeCell ref="AA117:AA118"/>
    <mergeCell ref="BF115:BF116"/>
    <mergeCell ref="BG115:BG116"/>
    <mergeCell ref="AH115:AH116"/>
    <mergeCell ref="AI115:AI116"/>
    <mergeCell ref="AJ115:AJ116"/>
    <mergeCell ref="AK115:AK116"/>
    <mergeCell ref="AL115:AL116"/>
    <mergeCell ref="AM115:AM116"/>
    <mergeCell ref="AB115:AB116"/>
    <mergeCell ref="AC115:AC116"/>
    <mergeCell ref="AD115:AD116"/>
    <mergeCell ref="AE115:AE116"/>
    <mergeCell ref="AF115:AF116"/>
    <mergeCell ref="AG115:AG116"/>
    <mergeCell ref="V115:V116"/>
    <mergeCell ref="W115:W116"/>
    <mergeCell ref="X115:X116"/>
    <mergeCell ref="Y115:Y116"/>
    <mergeCell ref="Z115:Z116"/>
    <mergeCell ref="AA115:AA116"/>
    <mergeCell ref="E122:E123"/>
    <mergeCell ref="E124:E133"/>
    <mergeCell ref="BF117:BF118"/>
    <mergeCell ref="BE117:BE118"/>
    <mergeCell ref="AT117:AT118"/>
    <mergeCell ref="AU117:AU118"/>
    <mergeCell ref="AV117:AV118"/>
    <mergeCell ref="BG117:BG118"/>
    <mergeCell ref="BH117:BH118"/>
    <mergeCell ref="BI117:BI118"/>
    <mergeCell ref="BJ117:BJ118"/>
    <mergeCell ref="BK117:BK118"/>
    <mergeCell ref="AZ117:AZ118"/>
    <mergeCell ref="BA117:BA118"/>
    <mergeCell ref="BB117:BB118"/>
    <mergeCell ref="BC117:BC118"/>
    <mergeCell ref="BD117:BD118"/>
    <mergeCell ref="AW117:AW118"/>
    <mergeCell ref="AX117:AX118"/>
    <mergeCell ref="AY117:AY118"/>
    <mergeCell ref="AN117:AN118"/>
    <mergeCell ref="AO117:AO118"/>
    <mergeCell ref="AP117:AP118"/>
    <mergeCell ref="AQ117:AQ118"/>
    <mergeCell ref="AR117:AR118"/>
    <mergeCell ref="AS117:AS118"/>
    <mergeCell ref="AH117:AH118"/>
    <mergeCell ref="AI117:AI118"/>
    <mergeCell ref="AJ117:AJ118"/>
    <mergeCell ref="AK117:AK118"/>
    <mergeCell ref="AL117:AL118"/>
    <mergeCell ref="AM117:AM118"/>
    <mergeCell ref="E159:E168"/>
    <mergeCell ref="E169:E178"/>
    <mergeCell ref="E179:E180"/>
    <mergeCell ref="E181:E182"/>
    <mergeCell ref="E148:E149"/>
    <mergeCell ref="E150:E151"/>
    <mergeCell ref="E154:E155"/>
    <mergeCell ref="D184:D185"/>
    <mergeCell ref="V184:V185"/>
    <mergeCell ref="W184:W185"/>
    <mergeCell ref="G154:G155"/>
    <mergeCell ref="H154:H155"/>
    <mergeCell ref="E157:E158"/>
    <mergeCell ref="E134:E143"/>
    <mergeCell ref="E144:E145"/>
    <mergeCell ref="G144:G145"/>
    <mergeCell ref="H144:H145"/>
    <mergeCell ref="E146:E147"/>
    <mergeCell ref="G146:G147"/>
    <mergeCell ref="H146:H147"/>
    <mergeCell ref="AN184:AN185"/>
    <mergeCell ref="AO184:AO185"/>
    <mergeCell ref="AP184:AP185"/>
    <mergeCell ref="AQ184:AQ185"/>
    <mergeCell ref="AF184:AF185"/>
    <mergeCell ref="AG184:AG185"/>
    <mergeCell ref="AH184:AH185"/>
    <mergeCell ref="AI184:AI185"/>
    <mergeCell ref="AJ184:AJ185"/>
    <mergeCell ref="AK184:AK185"/>
    <mergeCell ref="Z184:Z185"/>
    <mergeCell ref="AA184:AA185"/>
    <mergeCell ref="AB184:AB185"/>
    <mergeCell ref="AC184:AC185"/>
    <mergeCell ref="AD184:AD185"/>
    <mergeCell ref="AE184:AE185"/>
    <mergeCell ref="X184:X185"/>
    <mergeCell ref="Y184:Y185"/>
    <mergeCell ref="BJ184:BJ185"/>
    <mergeCell ref="AX184:AX185"/>
    <mergeCell ref="AY184:AY185"/>
    <mergeCell ref="AZ184:AZ185"/>
    <mergeCell ref="BA184:BA185"/>
    <mergeCell ref="BK184:BK185"/>
    <mergeCell ref="BD184:BD185"/>
    <mergeCell ref="BE184:BE185"/>
    <mergeCell ref="BF184:BF185"/>
    <mergeCell ref="BG184:BG185"/>
    <mergeCell ref="BH184:BH185"/>
    <mergeCell ref="BI184:BI185"/>
    <mergeCell ref="BB184:BB185"/>
    <mergeCell ref="BC184:BC185"/>
    <mergeCell ref="AR184:AR185"/>
    <mergeCell ref="AS184:AS185"/>
    <mergeCell ref="AT184:AT185"/>
    <mergeCell ref="AU184:AU185"/>
    <mergeCell ref="AV184:AV185"/>
    <mergeCell ref="AW184:AW185"/>
    <mergeCell ref="AR188:AR190"/>
    <mergeCell ref="AS188:AS190"/>
    <mergeCell ref="AT188:AT190"/>
    <mergeCell ref="D27:D28"/>
    <mergeCell ref="V27:V28"/>
    <mergeCell ref="W27:W28"/>
    <mergeCell ref="X27:X28"/>
    <mergeCell ref="Y27:Y28"/>
    <mergeCell ref="Z27:Z28"/>
    <mergeCell ref="AA27:AA28"/>
    <mergeCell ref="AL188:AL190"/>
    <mergeCell ref="AM188:AM190"/>
    <mergeCell ref="AN188:AN190"/>
    <mergeCell ref="AO188:AO190"/>
    <mergeCell ref="AP188:AP190"/>
    <mergeCell ref="AQ188:AQ190"/>
    <mergeCell ref="AF188:AF190"/>
    <mergeCell ref="AG188:AG190"/>
    <mergeCell ref="AH188:AH190"/>
    <mergeCell ref="AI188:AI190"/>
    <mergeCell ref="AJ188:AJ190"/>
    <mergeCell ref="AK188:AK190"/>
    <mergeCell ref="D188:D190"/>
    <mergeCell ref="AB188:AB190"/>
    <mergeCell ref="AC188:AC190"/>
    <mergeCell ref="AD188:AD190"/>
    <mergeCell ref="AE188:AE190"/>
    <mergeCell ref="AT27:AT28"/>
    <mergeCell ref="AN27:AN28"/>
    <mergeCell ref="AB27:AB28"/>
    <mergeCell ref="AL184:AL185"/>
    <mergeCell ref="AM184:AM185"/>
    <mergeCell ref="BG27:BG28"/>
    <mergeCell ref="BH27:BH28"/>
    <mergeCell ref="BI27:BI28"/>
    <mergeCell ref="BJ27:BJ28"/>
    <mergeCell ref="BK27:BK28"/>
    <mergeCell ref="AZ27:AZ28"/>
    <mergeCell ref="BA27:BA28"/>
    <mergeCell ref="BB27:BB28"/>
    <mergeCell ref="BC27:BC28"/>
    <mergeCell ref="BD27:BD28"/>
    <mergeCell ref="AO27:AO28"/>
    <mergeCell ref="AP27:AP28"/>
    <mergeCell ref="AQ27:AQ28"/>
    <mergeCell ref="AR27:AR28"/>
    <mergeCell ref="AS27:AS28"/>
    <mergeCell ref="AH27:AH28"/>
    <mergeCell ref="AI27:AI28"/>
    <mergeCell ref="AJ27:AJ28"/>
    <mergeCell ref="AK27:AK28"/>
    <mergeCell ref="AL27:AL28"/>
    <mergeCell ref="AM27:AM28"/>
    <mergeCell ref="N1:P1"/>
    <mergeCell ref="D49:D51"/>
    <mergeCell ref="D19:D20"/>
    <mergeCell ref="A85:A100"/>
    <mergeCell ref="A64:A84"/>
    <mergeCell ref="A104:A113"/>
    <mergeCell ref="N5:N6"/>
    <mergeCell ref="A5:A6"/>
    <mergeCell ref="D5:D6"/>
    <mergeCell ref="E5:E6"/>
    <mergeCell ref="D98:D100"/>
    <mergeCell ref="L98:L100"/>
    <mergeCell ref="B14:B15"/>
    <mergeCell ref="B16:B17"/>
    <mergeCell ref="B19:B20"/>
    <mergeCell ref="B22:B23"/>
    <mergeCell ref="B24:B26"/>
    <mergeCell ref="E1:M4"/>
    <mergeCell ref="A1:D4"/>
    <mergeCell ref="A14:A21"/>
    <mergeCell ref="D14:D15"/>
    <mergeCell ref="D16:D17"/>
    <mergeCell ref="L81:L83"/>
    <mergeCell ref="C62:C63"/>
    <mergeCell ref="C65:C66"/>
    <mergeCell ref="C106:C107"/>
    <mergeCell ref="C27:C28"/>
    <mergeCell ref="C46:C48"/>
    <mergeCell ref="C49:C51"/>
    <mergeCell ref="C56:C57"/>
    <mergeCell ref="C58:C59"/>
    <mergeCell ref="C60:C61"/>
    <mergeCell ref="C5:C6"/>
    <mergeCell ref="C14:C15"/>
    <mergeCell ref="C16:C17"/>
    <mergeCell ref="C19:C20"/>
    <mergeCell ref="C22:C23"/>
    <mergeCell ref="C24:C26"/>
    <mergeCell ref="A7:A12"/>
    <mergeCell ref="A45:A63"/>
    <mergeCell ref="N2:P2"/>
    <mergeCell ref="N3:P3"/>
    <mergeCell ref="N4:P4"/>
    <mergeCell ref="F5:F6"/>
    <mergeCell ref="G5:G6"/>
    <mergeCell ref="H5:H6"/>
    <mergeCell ref="B5:B6"/>
  </mergeCells>
  <conditionalFormatting sqref="N7:N13 N22:N26 N34:N44 N29 N104:N183 N64:N101">
    <cfRule type="cellIs" dxfId="17" priority="21" stopIfTrue="1" operator="greaterThanOrEqual">
      <formula>0</formula>
    </cfRule>
  </conditionalFormatting>
  <conditionalFormatting sqref="V7">
    <cfRule type="cellIs" dxfId="16" priority="20" stopIfTrue="1" operator="between">
      <formula>$O$7</formula>
      <formula>$O$8</formula>
    </cfRule>
  </conditionalFormatting>
  <conditionalFormatting sqref="AC8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{D1E9A406-8601-49B2-80F6-D33CF23D4DA9}</x14:id>
        </ext>
      </extLst>
    </cfRule>
  </conditionalFormatting>
  <conditionalFormatting sqref="N18">
    <cfRule type="cellIs" dxfId="15" priority="18" stopIfTrue="1" operator="greaterThanOrEqual">
      <formula>0</formula>
    </cfRule>
  </conditionalFormatting>
  <conditionalFormatting sqref="N21">
    <cfRule type="cellIs" dxfId="14" priority="17" stopIfTrue="1" operator="greaterThanOrEqual">
      <formula>0</formula>
    </cfRule>
  </conditionalFormatting>
  <conditionalFormatting sqref="N19:N20">
    <cfRule type="cellIs" dxfId="13" priority="16" stopIfTrue="1" operator="greaterThanOrEqual">
      <formula>0</formula>
    </cfRule>
  </conditionalFormatting>
  <conditionalFormatting sqref="N184:N185">
    <cfRule type="cellIs" dxfId="12" priority="15" stopIfTrue="1" operator="greaterThanOrEqual">
      <formula>0</formula>
    </cfRule>
  </conditionalFormatting>
  <conditionalFormatting sqref="N186">
    <cfRule type="cellIs" dxfId="11" priority="14" stopIfTrue="1" operator="greaterThanOrEqual">
      <formula>0</formula>
    </cfRule>
  </conditionalFormatting>
  <conditionalFormatting sqref="N187">
    <cfRule type="cellIs" dxfId="10" priority="12" stopIfTrue="1" operator="greaterThanOrEqual">
      <formula>0</formula>
    </cfRule>
  </conditionalFormatting>
  <conditionalFormatting sqref="N56:N59 N46:N51">
    <cfRule type="cellIs" dxfId="9" priority="11" stopIfTrue="1" operator="greaterThanOrEqual">
      <formula>0</formula>
    </cfRule>
  </conditionalFormatting>
  <conditionalFormatting sqref="N188:N190">
    <cfRule type="cellIs" dxfId="8" priority="9" stopIfTrue="1" operator="greaterThanOrEqual">
      <formula>0</formula>
    </cfRule>
  </conditionalFormatting>
  <conditionalFormatting sqref="N16:N17">
    <cfRule type="cellIs" dxfId="7" priority="8" stopIfTrue="1" operator="greaterThanOrEqual">
      <formula>0</formula>
    </cfRule>
  </conditionalFormatting>
  <conditionalFormatting sqref="N14:N15">
    <cfRule type="cellIs" dxfId="6" priority="7" stopIfTrue="1" operator="greaterThanOrEqual">
      <formula>0</formula>
    </cfRule>
  </conditionalFormatting>
  <conditionalFormatting sqref="N102">
    <cfRule type="cellIs" dxfId="5" priority="6" stopIfTrue="1" operator="greaterThanOrEqual">
      <formula>0</formula>
    </cfRule>
  </conditionalFormatting>
  <conditionalFormatting sqref="N103">
    <cfRule type="cellIs" dxfId="4" priority="5" stopIfTrue="1" operator="greaterThanOrEqual">
      <formula>0</formula>
    </cfRule>
  </conditionalFormatting>
  <conditionalFormatting sqref="N28">
    <cfRule type="cellIs" dxfId="3" priority="4" stopIfTrue="1" operator="greaterThanOrEqual">
      <formula>0</formula>
    </cfRule>
  </conditionalFormatting>
  <conditionalFormatting sqref="N27">
    <cfRule type="cellIs" dxfId="2" priority="3" stopIfTrue="1" operator="greaterThanOrEqual">
      <formula>0</formula>
    </cfRule>
  </conditionalFormatting>
  <conditionalFormatting sqref="N45">
    <cfRule type="cellIs" dxfId="1" priority="2" stopIfTrue="1" operator="greaterThanOrEqual">
      <formula>0</formula>
    </cfRule>
  </conditionalFormatting>
  <conditionalFormatting sqref="N60:N63">
    <cfRule type="cellIs" dxfId="0" priority="1" stopIfTrue="1" operator="greaterThanOrEqual">
      <formula>0</formula>
    </cfRule>
  </conditionalFormatting>
  <printOptions horizontalCentered="1" verticalCentered="1"/>
  <pageMargins left="0" right="0" top="0" bottom="0" header="0" footer="0"/>
  <pageSetup paperSize="9" scale="35" orientation="portrait" r:id="rId1"/>
  <headerFooter alignWithMargins="0">
    <oddHeader>&amp;L&amp;BVisteon Confidentiel&amp;B&amp;C&amp;D&amp;RPage &amp;P</oddHeader>
    <oddFooter>&amp;L&amp;D&amp;C&amp;F&amp;RPage &amp;P
&amp;T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E9A406-8601-49B2-80F6-D33CF23D4DA9}">
            <x14:dataBar minLength="0" maxLength="100" negativeBarColorSameAsPositive="1" axisPosition="none">
              <x14:cfvo type="min"/>
              <x14:cfvo type="max"/>
            </x14:dataBar>
          </x14:cfRule>
          <xm:sqref>AC8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8"/>
  <sheetViews>
    <sheetView topLeftCell="A13" zoomScaleNormal="100" workbookViewId="0">
      <selection activeCell="B57" sqref="B57:B63"/>
    </sheetView>
  </sheetViews>
  <sheetFormatPr baseColWidth="10" defaultRowHeight="12.75"/>
  <cols>
    <col min="1" max="1" width="19.85546875" customWidth="1"/>
    <col min="2" max="2" width="39.28515625" customWidth="1"/>
    <col min="3" max="3" width="16.85546875" style="83" customWidth="1"/>
    <col min="4" max="4" width="14.42578125" style="83" customWidth="1"/>
    <col min="5" max="5" width="14.28515625" style="83" customWidth="1"/>
    <col min="6" max="6" width="15.42578125" style="83" customWidth="1"/>
    <col min="7" max="7" width="14.5703125" style="83" customWidth="1"/>
    <col min="8" max="8" width="14.85546875" style="83" customWidth="1"/>
    <col min="9" max="9" width="15.85546875" style="83" customWidth="1"/>
    <col min="10" max="10" width="15.5703125" customWidth="1"/>
    <col min="11" max="11" width="14.42578125" customWidth="1"/>
    <col min="12" max="12" width="13.42578125" customWidth="1"/>
    <col min="13" max="13" width="14.28515625" customWidth="1"/>
    <col min="14" max="14" width="13.7109375" customWidth="1"/>
    <col min="15" max="15" width="14.5703125" customWidth="1"/>
    <col min="16" max="16" width="19.42578125" customWidth="1"/>
    <col min="17" max="17" width="13.7109375" customWidth="1"/>
    <col min="18" max="18" width="14.85546875" customWidth="1"/>
    <col min="19" max="19" width="14.28515625" customWidth="1"/>
    <col min="20" max="20" width="13.42578125" customWidth="1"/>
    <col min="21" max="21" width="14.85546875" customWidth="1"/>
    <col min="22" max="22" width="13.85546875" customWidth="1"/>
    <col min="23" max="23" width="15.28515625" customWidth="1"/>
    <col min="24" max="24" width="14.7109375" customWidth="1"/>
    <col min="25" max="26" width="14.28515625" customWidth="1"/>
    <col min="27" max="27" width="14.42578125" customWidth="1"/>
  </cols>
  <sheetData>
    <row r="1" spans="1:9" ht="78.75" customHeight="1">
      <c r="B1" s="1240" t="s">
        <v>526</v>
      </c>
      <c r="C1" s="1240"/>
      <c r="D1" s="1240"/>
      <c r="E1" s="1240"/>
      <c r="F1" s="1240"/>
    </row>
    <row r="2" spans="1:9" ht="16.5" customHeight="1">
      <c r="B2" s="674" t="s">
        <v>522</v>
      </c>
      <c r="C2" s="674" t="s">
        <v>525</v>
      </c>
      <c r="D2" s="82"/>
      <c r="E2" s="674" t="s">
        <v>523</v>
      </c>
      <c r="F2" s="82" t="s">
        <v>524</v>
      </c>
      <c r="I2"/>
    </row>
    <row r="3" spans="1:9" ht="16.5" customHeight="1">
      <c r="A3" s="110"/>
      <c r="B3" s="884" t="s">
        <v>652</v>
      </c>
      <c r="C3" s="885">
        <v>0.58333333333333337</v>
      </c>
      <c r="D3" s="886"/>
      <c r="E3" s="882">
        <f>934-863</f>
        <v>71</v>
      </c>
      <c r="F3" s="674">
        <v>40</v>
      </c>
      <c r="G3"/>
      <c r="H3"/>
      <c r="I3"/>
    </row>
    <row r="4" spans="1:9" s="218" customFormat="1">
      <c r="A4" s="1136" t="s">
        <v>168</v>
      </c>
      <c r="B4" s="1136" t="s">
        <v>169</v>
      </c>
      <c r="C4" s="1137">
        <v>41724</v>
      </c>
      <c r="D4" s="1137">
        <v>41725</v>
      </c>
      <c r="E4" s="1137">
        <v>41726</v>
      </c>
      <c r="F4" s="1137" t="s">
        <v>300</v>
      </c>
    </row>
    <row r="5" spans="1:9" ht="13.5" customHeight="1">
      <c r="A5" s="1138" t="s">
        <v>124</v>
      </c>
      <c r="B5" t="s">
        <v>125</v>
      </c>
      <c r="C5" s="111">
        <v>9</v>
      </c>
      <c r="D5" s="111">
        <v>10</v>
      </c>
      <c r="E5" s="111">
        <v>10</v>
      </c>
      <c r="F5" s="111">
        <v>58</v>
      </c>
      <c r="G5"/>
      <c r="H5"/>
      <c r="I5"/>
    </row>
    <row r="6" spans="1:9">
      <c r="A6" s="1138" t="s">
        <v>120</v>
      </c>
      <c r="B6" t="s">
        <v>121</v>
      </c>
      <c r="C6" s="111">
        <v>16</v>
      </c>
      <c r="D6" s="111">
        <v>40</v>
      </c>
      <c r="E6" s="111">
        <v>12</v>
      </c>
      <c r="F6" s="111">
        <v>110</v>
      </c>
      <c r="G6"/>
      <c r="H6"/>
      <c r="I6"/>
    </row>
    <row r="7" spans="1:9" ht="14.25" customHeight="1">
      <c r="A7" s="1138" t="s">
        <v>126</v>
      </c>
      <c r="B7" t="s">
        <v>127</v>
      </c>
      <c r="C7" s="111">
        <v>84</v>
      </c>
      <c r="D7" s="111">
        <v>87</v>
      </c>
      <c r="E7" s="111">
        <v>83</v>
      </c>
      <c r="F7" s="111">
        <v>499</v>
      </c>
      <c r="G7"/>
      <c r="H7"/>
      <c r="I7"/>
    </row>
    <row r="8" spans="1:9" ht="18.75" customHeight="1">
      <c r="A8" s="1138" t="s">
        <v>118</v>
      </c>
      <c r="B8" t="s">
        <v>119</v>
      </c>
      <c r="C8" s="111">
        <v>75</v>
      </c>
      <c r="D8" s="111">
        <v>39</v>
      </c>
      <c r="E8" s="111">
        <v>63</v>
      </c>
      <c r="F8" s="111">
        <v>326</v>
      </c>
      <c r="G8"/>
      <c r="H8"/>
      <c r="I8"/>
    </row>
    <row r="9" spans="1:9">
      <c r="A9" s="1138" t="s">
        <v>116</v>
      </c>
      <c r="B9" t="s">
        <v>117</v>
      </c>
      <c r="C9" s="111">
        <v>40</v>
      </c>
      <c r="D9" s="111">
        <v>25</v>
      </c>
      <c r="E9" s="111">
        <v>19</v>
      </c>
      <c r="F9" s="111">
        <v>213</v>
      </c>
      <c r="G9"/>
      <c r="H9"/>
      <c r="I9"/>
    </row>
    <row r="10" spans="1:9">
      <c r="A10" s="1138" t="s">
        <v>122</v>
      </c>
      <c r="B10" t="s">
        <v>123</v>
      </c>
      <c r="C10" s="111">
        <v>92</v>
      </c>
      <c r="D10" s="111">
        <v>108</v>
      </c>
      <c r="E10" s="111">
        <v>131</v>
      </c>
      <c r="F10" s="111">
        <v>647</v>
      </c>
      <c r="G10"/>
      <c r="H10"/>
      <c r="I10"/>
    </row>
    <row r="11" spans="1:9">
      <c r="A11" s="1139" t="s">
        <v>300</v>
      </c>
      <c r="B11" s="1139"/>
      <c r="C11" s="1140">
        <v>316</v>
      </c>
      <c r="D11" s="1140">
        <v>309</v>
      </c>
      <c r="E11" s="1140">
        <v>318</v>
      </c>
      <c r="F11" s="1140">
        <v>1853</v>
      </c>
      <c r="G11"/>
      <c r="H11"/>
      <c r="I11"/>
    </row>
    <row r="12" spans="1:9" ht="30.75" customHeight="1">
      <c r="A12" s="1077"/>
      <c r="B12" s="674" t="s">
        <v>522</v>
      </c>
      <c r="C12" s="674" t="s">
        <v>525</v>
      </c>
      <c r="D12" s="82"/>
      <c r="E12" s="674" t="s">
        <v>523</v>
      </c>
      <c r="F12" s="82" t="s">
        <v>524</v>
      </c>
      <c r="G12" s="1078"/>
      <c r="H12"/>
      <c r="I12"/>
    </row>
    <row r="13" spans="1:9" ht="15.75" customHeight="1">
      <c r="A13" s="110"/>
      <c r="B13" s="884" t="s">
        <v>648</v>
      </c>
      <c r="C13" s="885">
        <v>0.29166666666666669</v>
      </c>
      <c r="D13" s="886"/>
      <c r="E13" s="882">
        <v>5</v>
      </c>
      <c r="F13" s="674">
        <v>15</v>
      </c>
      <c r="H13"/>
      <c r="I13"/>
    </row>
    <row r="14" spans="1:9" s="218" customFormat="1" ht="20.25" customHeight="1">
      <c r="A14" s="1141" t="s">
        <v>168</v>
      </c>
      <c r="B14" s="1141" t="s">
        <v>170</v>
      </c>
      <c r="C14" s="1142">
        <v>41723</v>
      </c>
      <c r="D14" s="1142">
        <v>41724</v>
      </c>
      <c r="E14" s="1142">
        <v>41725</v>
      </c>
      <c r="F14" s="1142">
        <v>41726</v>
      </c>
      <c r="G14" s="1142"/>
    </row>
    <row r="15" spans="1:9" ht="12.75" hidden="1" customHeight="1">
      <c r="A15" s="1143" t="s">
        <v>138</v>
      </c>
      <c r="B15" s="1144" t="s">
        <v>139</v>
      </c>
      <c r="C15" s="111">
        <v>25</v>
      </c>
      <c r="D15" s="111">
        <v>26</v>
      </c>
      <c r="E15" s="111">
        <v>49</v>
      </c>
      <c r="F15" s="111">
        <v>17</v>
      </c>
      <c r="G15" s="111">
        <v>161</v>
      </c>
      <c r="H15"/>
      <c r="I15"/>
    </row>
    <row r="16" spans="1:9" ht="12.75" hidden="1" customHeight="1">
      <c r="A16" s="1143" t="s">
        <v>140</v>
      </c>
      <c r="B16" s="1144" t="s">
        <v>141</v>
      </c>
      <c r="C16" s="111">
        <v>3</v>
      </c>
      <c r="D16" s="111">
        <v>21</v>
      </c>
      <c r="E16" s="111">
        <v>9</v>
      </c>
      <c r="F16" s="111">
        <v>7</v>
      </c>
      <c r="G16" s="111">
        <v>46</v>
      </c>
      <c r="H16"/>
      <c r="I16"/>
    </row>
    <row r="17" spans="1:9" ht="12.75" hidden="1" customHeight="1">
      <c r="A17" s="1143" t="s">
        <v>142</v>
      </c>
      <c r="B17" s="1144" t="s">
        <v>143</v>
      </c>
      <c r="C17" s="111">
        <v>211</v>
      </c>
      <c r="D17" s="111">
        <v>185</v>
      </c>
      <c r="E17" s="111">
        <v>164</v>
      </c>
      <c r="F17" s="111">
        <v>211</v>
      </c>
      <c r="G17" s="111">
        <v>1006</v>
      </c>
      <c r="H17"/>
      <c r="I17"/>
    </row>
    <row r="18" spans="1:9" ht="12.75" hidden="1" customHeight="1">
      <c r="A18" s="1143" t="s">
        <v>144</v>
      </c>
      <c r="B18" s="1144" t="s">
        <v>145</v>
      </c>
      <c r="C18" s="111">
        <v>91</v>
      </c>
      <c r="D18" s="111">
        <v>84</v>
      </c>
      <c r="E18" s="111">
        <v>87</v>
      </c>
      <c r="F18" s="111">
        <v>83</v>
      </c>
      <c r="G18" s="111">
        <v>447</v>
      </c>
      <c r="H18"/>
      <c r="I18"/>
    </row>
    <row r="19" spans="1:9" ht="12.75" hidden="1" customHeight="1">
      <c r="A19" s="1143" t="s">
        <v>150</v>
      </c>
      <c r="B19" s="1144" t="s">
        <v>151</v>
      </c>
      <c r="C19" s="111">
        <v>57</v>
      </c>
      <c r="D19" s="111">
        <v>35</v>
      </c>
      <c r="E19" s="111">
        <v>15</v>
      </c>
      <c r="F19" s="111">
        <v>28</v>
      </c>
      <c r="G19" s="111">
        <v>178</v>
      </c>
      <c r="H19"/>
      <c r="I19"/>
    </row>
    <row r="20" spans="1:9" ht="12.75" hidden="1" customHeight="1">
      <c r="A20" s="1143" t="s">
        <v>152</v>
      </c>
      <c r="B20" s="1144" t="s">
        <v>153</v>
      </c>
      <c r="C20" s="111">
        <v>44</v>
      </c>
      <c r="D20" s="111">
        <v>58</v>
      </c>
      <c r="E20" s="111">
        <v>82</v>
      </c>
      <c r="F20" s="111">
        <v>65</v>
      </c>
      <c r="G20" s="111">
        <v>322</v>
      </c>
      <c r="H20"/>
      <c r="I20"/>
    </row>
    <row r="21" spans="1:9" ht="13.5" hidden="1" customHeight="1">
      <c r="A21" s="1143" t="s">
        <v>500</v>
      </c>
      <c r="B21" s="1144" t="s">
        <v>501</v>
      </c>
      <c r="C21" s="111">
        <v>19</v>
      </c>
      <c r="D21" s="111">
        <v>60</v>
      </c>
      <c r="E21" s="111">
        <v>52</v>
      </c>
      <c r="F21" s="111">
        <v>40</v>
      </c>
      <c r="G21" s="111">
        <v>248</v>
      </c>
      <c r="H21"/>
      <c r="I21"/>
    </row>
    <row r="22" spans="1:9" ht="16.5" hidden="1" customHeight="1">
      <c r="A22" s="1143" t="s">
        <v>154</v>
      </c>
      <c r="B22" s="1144" t="s">
        <v>503</v>
      </c>
      <c r="C22" s="111">
        <v>115</v>
      </c>
      <c r="D22" s="111">
        <v>77</v>
      </c>
      <c r="E22" s="111">
        <v>56</v>
      </c>
      <c r="F22" s="111">
        <v>76</v>
      </c>
      <c r="G22" s="111">
        <v>394</v>
      </c>
      <c r="H22"/>
      <c r="I22"/>
    </row>
    <row r="23" spans="1:9" ht="16.5" hidden="1" customHeight="1">
      <c r="A23" s="1241" t="s">
        <v>300</v>
      </c>
      <c r="B23" s="1242"/>
      <c r="C23" s="1140">
        <v>565</v>
      </c>
      <c r="D23" s="1140">
        <v>546</v>
      </c>
      <c r="E23" s="1140">
        <v>514</v>
      </c>
      <c r="F23" s="1140">
        <v>527</v>
      </c>
      <c r="G23" s="1140">
        <v>2802</v>
      </c>
      <c r="H23"/>
      <c r="I23"/>
    </row>
    <row r="24" spans="1:9" ht="14.25" customHeight="1">
      <c r="A24" s="82"/>
      <c r="B24" s="82" t="s">
        <v>177</v>
      </c>
      <c r="C24" s="84">
        <f>C17+C20</f>
        <v>255</v>
      </c>
      <c r="D24" s="84">
        <f>D17+D20</f>
        <v>243</v>
      </c>
      <c r="E24" s="84">
        <f>E17+E20</f>
        <v>246</v>
      </c>
      <c r="F24" s="84">
        <f>F17+F20</f>
        <v>276</v>
      </c>
      <c r="G24"/>
      <c r="H24"/>
      <c r="I24"/>
    </row>
    <row r="25" spans="1:9">
      <c r="A25" s="82"/>
      <c r="B25" s="82" t="s">
        <v>179</v>
      </c>
      <c r="C25" s="84">
        <f>C18</f>
        <v>91</v>
      </c>
      <c r="D25" s="84">
        <f>D18</f>
        <v>84</v>
      </c>
      <c r="E25" s="84">
        <f>E18</f>
        <v>87</v>
      </c>
      <c r="F25" s="84">
        <f>F18</f>
        <v>83</v>
      </c>
      <c r="G25"/>
      <c r="H25"/>
      <c r="I25"/>
    </row>
    <row r="26" spans="1:9">
      <c r="A26" s="82"/>
      <c r="B26" s="82" t="s">
        <v>244</v>
      </c>
      <c r="C26" s="84">
        <f>C16+C19</f>
        <v>60</v>
      </c>
      <c r="D26" s="84">
        <f>D16+D19</f>
        <v>56</v>
      </c>
      <c r="E26" s="84">
        <f>E16+E19</f>
        <v>24</v>
      </c>
      <c r="F26" s="84">
        <f>F16+F19</f>
        <v>35</v>
      </c>
      <c r="G26"/>
      <c r="H26"/>
      <c r="I26"/>
    </row>
    <row r="27" spans="1:9">
      <c r="A27" s="82"/>
      <c r="B27" s="82" t="s">
        <v>245</v>
      </c>
      <c r="C27" s="84">
        <f>C16+C17+C18</f>
        <v>305</v>
      </c>
      <c r="D27" s="84">
        <f>D16+D17+D18</f>
        <v>290</v>
      </c>
      <c r="E27" s="84">
        <f>E16+E17+E18</f>
        <v>260</v>
      </c>
      <c r="F27" s="84">
        <f>F16+F17+F18</f>
        <v>301</v>
      </c>
      <c r="G27"/>
      <c r="H27"/>
      <c r="I27"/>
    </row>
    <row r="28" spans="1:9">
      <c r="A28" s="82"/>
      <c r="B28" s="82" t="s">
        <v>246</v>
      </c>
      <c r="C28" s="84">
        <f>C20+C19</f>
        <v>101</v>
      </c>
      <c r="D28" s="84">
        <f>D20+D19</f>
        <v>93</v>
      </c>
      <c r="E28" s="84">
        <f>E20+E19</f>
        <v>97</v>
      </c>
      <c r="F28" s="84">
        <f>F20+F19</f>
        <v>93</v>
      </c>
      <c r="G28"/>
      <c r="H28"/>
      <c r="I28"/>
    </row>
    <row r="29" spans="1:9">
      <c r="A29" s="82"/>
      <c r="B29" s="82" t="s">
        <v>175</v>
      </c>
      <c r="C29" s="84">
        <f>C15</f>
        <v>25</v>
      </c>
      <c r="D29" s="84">
        <f>D15</f>
        <v>26</v>
      </c>
      <c r="E29" s="84">
        <f>E15</f>
        <v>49</v>
      </c>
      <c r="F29" s="84">
        <f>F15</f>
        <v>17</v>
      </c>
      <c r="G29"/>
      <c r="H29"/>
      <c r="I29"/>
    </row>
    <row r="30" spans="1:9">
      <c r="A30" s="82"/>
      <c r="B30" s="82" t="s">
        <v>176</v>
      </c>
      <c r="C30" s="84">
        <f>0</f>
        <v>0</v>
      </c>
      <c r="D30" s="84">
        <f>0</f>
        <v>0</v>
      </c>
      <c r="E30" s="84">
        <f>0</f>
        <v>0</v>
      </c>
      <c r="F30" s="84">
        <f>0</f>
        <v>0</v>
      </c>
      <c r="G30"/>
      <c r="H30"/>
      <c r="I30"/>
    </row>
    <row r="31" spans="1:9">
      <c r="A31" s="82"/>
      <c r="B31" s="82" t="s">
        <v>468</v>
      </c>
      <c r="C31" s="84">
        <f>C21+C22</f>
        <v>134</v>
      </c>
      <c r="D31" s="84">
        <f>D21+D22</f>
        <v>137</v>
      </c>
      <c r="E31" s="84">
        <f>E21+E22</f>
        <v>108</v>
      </c>
      <c r="F31" s="84">
        <f>F21+F22</f>
        <v>116</v>
      </c>
      <c r="G31"/>
      <c r="H31"/>
      <c r="I31"/>
    </row>
    <row r="32" spans="1:9">
      <c r="A32" s="85"/>
      <c r="B32" s="1132" t="s">
        <v>641</v>
      </c>
      <c r="C32" s="84">
        <f>C21</f>
        <v>19</v>
      </c>
      <c r="D32" s="84">
        <f>D21</f>
        <v>60</v>
      </c>
      <c r="E32" s="84">
        <f>E21</f>
        <v>52</v>
      </c>
      <c r="F32" s="84">
        <f>F21</f>
        <v>40</v>
      </c>
      <c r="G32"/>
      <c r="H32"/>
      <c r="I32"/>
    </row>
    <row r="33" spans="1:9">
      <c r="A33" s="85"/>
      <c r="B33" s="85"/>
      <c r="C33" s="883"/>
      <c r="D33" s="883"/>
      <c r="E33" s="883"/>
      <c r="F33" s="883"/>
      <c r="G33"/>
      <c r="H33"/>
      <c r="I33"/>
    </row>
    <row r="34" spans="1:9" ht="17.25" customHeight="1">
      <c r="A34" s="85"/>
      <c r="B34" s="674" t="s">
        <v>522</v>
      </c>
      <c r="C34" s="674" t="s">
        <v>525</v>
      </c>
      <c r="D34" s="82"/>
      <c r="E34" s="674" t="s">
        <v>523</v>
      </c>
      <c r="F34" s="82" t="s">
        <v>524</v>
      </c>
      <c r="G34" s="883"/>
      <c r="H34" s="883"/>
      <c r="I34" s="883"/>
    </row>
    <row r="35" spans="1:9" ht="14.25" customHeight="1">
      <c r="A35" s="110"/>
      <c r="B35" s="884" t="s">
        <v>647</v>
      </c>
      <c r="C35" s="885">
        <v>0.57152777777777775</v>
      </c>
      <c r="D35" s="886"/>
      <c r="E35" s="882">
        <v>2</v>
      </c>
      <c r="F35" s="674">
        <v>15</v>
      </c>
      <c r="H35"/>
      <c r="I35"/>
    </row>
    <row r="36" spans="1:9" s="218" customFormat="1">
      <c r="A36" s="1141" t="s">
        <v>168</v>
      </c>
      <c r="B36" s="1141" t="s">
        <v>170</v>
      </c>
      <c r="C36" s="1142">
        <v>41723</v>
      </c>
      <c r="D36" s="1142">
        <v>41724</v>
      </c>
      <c r="E36" s="1142">
        <v>41725</v>
      </c>
      <c r="F36" s="1142">
        <v>41726</v>
      </c>
      <c r="G36" s="1142"/>
    </row>
    <row r="37" spans="1:9" hidden="1">
      <c r="A37" s="1143" t="s">
        <v>130</v>
      </c>
      <c r="B37" s="1144" t="s">
        <v>131</v>
      </c>
      <c r="C37" s="111">
        <v>3</v>
      </c>
      <c r="D37" s="111">
        <v>21</v>
      </c>
      <c r="E37" s="111">
        <v>9</v>
      </c>
      <c r="F37" s="111">
        <v>7</v>
      </c>
      <c r="G37" s="111">
        <v>46</v>
      </c>
      <c r="H37"/>
      <c r="I37"/>
    </row>
    <row r="38" spans="1:9" hidden="1">
      <c r="A38" s="1143" t="s">
        <v>134</v>
      </c>
      <c r="B38" s="1144" t="s">
        <v>135</v>
      </c>
      <c r="C38" s="111">
        <v>47</v>
      </c>
      <c r="D38" s="111">
        <v>26</v>
      </c>
      <c r="E38" s="111">
        <v>5</v>
      </c>
      <c r="F38" s="111">
        <v>18</v>
      </c>
      <c r="G38" s="111">
        <v>125</v>
      </c>
      <c r="H38"/>
      <c r="I38"/>
    </row>
    <row r="39" spans="1:9" hidden="1">
      <c r="A39" s="1143" t="s">
        <v>132</v>
      </c>
      <c r="B39" s="1144" t="s">
        <v>133</v>
      </c>
      <c r="C39" s="111">
        <v>211</v>
      </c>
      <c r="D39" s="111">
        <v>185</v>
      </c>
      <c r="E39" s="111">
        <v>164</v>
      </c>
      <c r="F39" s="111">
        <v>211</v>
      </c>
      <c r="G39" s="111">
        <v>1032</v>
      </c>
      <c r="H39"/>
      <c r="I39"/>
    </row>
    <row r="40" spans="1:9" hidden="1">
      <c r="A40" s="1143" t="s">
        <v>128</v>
      </c>
      <c r="B40" s="1144" t="s">
        <v>129</v>
      </c>
      <c r="C40" s="111">
        <v>25</v>
      </c>
      <c r="D40" s="111">
        <v>26</v>
      </c>
      <c r="E40" s="111">
        <v>49</v>
      </c>
      <c r="F40" s="111">
        <v>17</v>
      </c>
      <c r="G40" s="111">
        <v>162</v>
      </c>
      <c r="H40"/>
      <c r="I40"/>
    </row>
    <row r="41" spans="1:9" hidden="1">
      <c r="A41" s="1143" t="s">
        <v>136</v>
      </c>
      <c r="B41" s="1144" t="s">
        <v>137</v>
      </c>
      <c r="C41" s="111">
        <v>44</v>
      </c>
      <c r="D41" s="111">
        <v>58</v>
      </c>
      <c r="E41" s="111">
        <v>82</v>
      </c>
      <c r="F41" s="111">
        <v>65</v>
      </c>
      <c r="G41" s="111">
        <v>329</v>
      </c>
      <c r="H41"/>
      <c r="I41"/>
    </row>
    <row r="42" spans="1:9" hidden="1">
      <c r="A42" s="1143" t="s">
        <v>155</v>
      </c>
      <c r="B42" s="1144" t="s">
        <v>502</v>
      </c>
      <c r="C42" s="111">
        <v>19</v>
      </c>
      <c r="D42" s="111">
        <v>60</v>
      </c>
      <c r="E42" s="111">
        <v>52</v>
      </c>
      <c r="F42" s="111">
        <v>40</v>
      </c>
      <c r="G42" s="111">
        <v>258</v>
      </c>
      <c r="H42"/>
      <c r="I42"/>
    </row>
    <row r="43" spans="1:9" hidden="1">
      <c r="A43" s="1143" t="s">
        <v>146</v>
      </c>
      <c r="B43" s="1144" t="s">
        <v>147</v>
      </c>
      <c r="C43" s="111">
        <v>57</v>
      </c>
      <c r="D43" s="111">
        <v>35</v>
      </c>
      <c r="E43" s="111">
        <v>15</v>
      </c>
      <c r="F43" s="111">
        <v>28</v>
      </c>
      <c r="G43" s="111">
        <v>181</v>
      </c>
      <c r="H43"/>
      <c r="I43"/>
    </row>
    <row r="44" spans="1:9" hidden="1">
      <c r="A44" s="1143" t="s">
        <v>498</v>
      </c>
      <c r="B44" s="1144" t="s">
        <v>499</v>
      </c>
      <c r="C44" s="111">
        <v>64</v>
      </c>
      <c r="D44" s="111">
        <v>47</v>
      </c>
      <c r="E44" s="111">
        <v>13</v>
      </c>
      <c r="F44" s="111">
        <v>39</v>
      </c>
      <c r="G44" s="111">
        <v>211</v>
      </c>
      <c r="H44"/>
      <c r="I44"/>
    </row>
    <row r="45" spans="1:9" hidden="1">
      <c r="A45" s="1143" t="s">
        <v>520</v>
      </c>
      <c r="B45" s="1144" t="s">
        <v>521</v>
      </c>
      <c r="C45" s="111">
        <v>51</v>
      </c>
      <c r="D45" s="111">
        <v>30</v>
      </c>
      <c r="E45" s="111">
        <v>43</v>
      </c>
      <c r="F45" s="111">
        <v>37</v>
      </c>
      <c r="G45" s="111">
        <v>193</v>
      </c>
      <c r="H45"/>
      <c r="I45"/>
    </row>
    <row r="46" spans="1:9" hidden="1">
      <c r="A46" s="1143" t="s">
        <v>148</v>
      </c>
      <c r="B46" s="1144" t="s">
        <v>149</v>
      </c>
      <c r="C46" s="111">
        <v>44</v>
      </c>
      <c r="D46" s="111">
        <v>58</v>
      </c>
      <c r="E46" s="111">
        <v>82</v>
      </c>
      <c r="F46" s="111">
        <v>65</v>
      </c>
      <c r="G46" s="111">
        <v>329</v>
      </c>
      <c r="H46"/>
      <c r="I46"/>
    </row>
    <row r="47" spans="1:9" hidden="1">
      <c r="A47" s="1241" t="s">
        <v>300</v>
      </c>
      <c r="B47" s="1242"/>
      <c r="C47" s="1140">
        <v>565</v>
      </c>
      <c r="D47" s="1140">
        <v>546</v>
      </c>
      <c r="E47" s="1140">
        <v>514</v>
      </c>
      <c r="F47" s="1140">
        <v>527</v>
      </c>
      <c r="G47" s="1140">
        <v>2866</v>
      </c>
      <c r="H47"/>
      <c r="I47"/>
    </row>
    <row r="48" spans="1:9" hidden="1">
      <c r="A48" s="992"/>
      <c r="C48"/>
      <c r="D48"/>
      <c r="E48"/>
      <c r="F48"/>
      <c r="G48"/>
      <c r="H48"/>
      <c r="I48"/>
    </row>
    <row r="49" spans="1:9" ht="15">
      <c r="A49" s="868"/>
      <c r="B49" s="177" t="s">
        <v>178</v>
      </c>
      <c r="C49" s="1056">
        <f>C39+C46</f>
        <v>255</v>
      </c>
      <c r="D49" s="1056">
        <f>D39+D46</f>
        <v>243</v>
      </c>
      <c r="E49" s="1056">
        <f>E39+E46</f>
        <v>246</v>
      </c>
      <c r="F49" s="1056">
        <f>F39+F46</f>
        <v>276</v>
      </c>
      <c r="G49"/>
      <c r="H49"/>
      <c r="I49"/>
    </row>
    <row r="50" spans="1:9" ht="15">
      <c r="A50" s="868"/>
      <c r="B50" s="178" t="s">
        <v>180</v>
      </c>
      <c r="C50" s="1056">
        <f>C38</f>
        <v>47</v>
      </c>
      <c r="D50" s="1056">
        <f>D38</f>
        <v>26</v>
      </c>
      <c r="E50" s="1056">
        <f>E38</f>
        <v>5</v>
      </c>
      <c r="F50" s="1056">
        <f>F38</f>
        <v>18</v>
      </c>
      <c r="G50"/>
      <c r="H50"/>
      <c r="I50"/>
    </row>
    <row r="51" spans="1:9" ht="15">
      <c r="A51" s="868"/>
      <c r="B51" s="178" t="s">
        <v>247</v>
      </c>
      <c r="C51" s="1056">
        <f>C37+C43</f>
        <v>60</v>
      </c>
      <c r="D51" s="1056">
        <f>D37+D43</f>
        <v>56</v>
      </c>
      <c r="E51" s="1056">
        <f>E37+E43</f>
        <v>24</v>
      </c>
      <c r="F51" s="1056">
        <f>F37+F43</f>
        <v>35</v>
      </c>
      <c r="G51"/>
      <c r="H51"/>
      <c r="I51"/>
    </row>
    <row r="52" spans="1:9" ht="15">
      <c r="A52" s="868"/>
      <c r="B52" s="178" t="s">
        <v>248</v>
      </c>
      <c r="C52" s="1056">
        <f>C37+C38+C39+C41</f>
        <v>305</v>
      </c>
      <c r="D52" s="1056">
        <f>D37+D38+D39+D41</f>
        <v>290</v>
      </c>
      <c r="E52" s="1056">
        <f>E37+E38+E39+E41</f>
        <v>260</v>
      </c>
      <c r="F52" s="1056">
        <f>F37+F38+F39+F41</f>
        <v>301</v>
      </c>
      <c r="G52"/>
      <c r="H52"/>
      <c r="I52"/>
    </row>
    <row r="53" spans="1:9" ht="15">
      <c r="A53" s="868"/>
      <c r="B53" s="178" t="s">
        <v>249</v>
      </c>
      <c r="C53" s="1056">
        <f>C43+C46</f>
        <v>101</v>
      </c>
      <c r="D53" s="1056">
        <f>D43+D46</f>
        <v>93</v>
      </c>
      <c r="E53" s="1056">
        <f>E43+E46</f>
        <v>97</v>
      </c>
      <c r="F53" s="1056">
        <f>F43+F46</f>
        <v>93</v>
      </c>
      <c r="G53"/>
      <c r="H53"/>
      <c r="I53"/>
    </row>
    <row r="54" spans="1:9" ht="15">
      <c r="A54" s="868"/>
      <c r="B54" s="178" t="s">
        <v>250</v>
      </c>
      <c r="C54" s="1056">
        <f>C40</f>
        <v>25</v>
      </c>
      <c r="D54" s="1056">
        <f>D40</f>
        <v>26</v>
      </c>
      <c r="E54" s="1056">
        <f>E40</f>
        <v>49</v>
      </c>
      <c r="F54" s="1056">
        <f>F40</f>
        <v>17</v>
      </c>
      <c r="G54"/>
      <c r="H54"/>
      <c r="I54"/>
    </row>
    <row r="55" spans="1:9" ht="15">
      <c r="A55" s="868"/>
      <c r="B55" s="178" t="s">
        <v>251</v>
      </c>
      <c r="C55" s="1056">
        <f>0</f>
        <v>0</v>
      </c>
      <c r="D55" s="1056">
        <f>0</f>
        <v>0</v>
      </c>
      <c r="E55" s="1056">
        <f>0</f>
        <v>0</v>
      </c>
      <c r="F55" s="1056">
        <f>0</f>
        <v>0</v>
      </c>
      <c r="G55"/>
      <c r="H55"/>
      <c r="I55"/>
    </row>
    <row r="56" spans="1:9">
      <c r="A56" s="81"/>
      <c r="B56" s="501" t="s">
        <v>448</v>
      </c>
      <c r="C56" s="84">
        <f>C41</f>
        <v>44</v>
      </c>
      <c r="D56" s="84">
        <f>D41</f>
        <v>58</v>
      </c>
      <c r="E56" s="84">
        <f>E41</f>
        <v>82</v>
      </c>
      <c r="F56" s="84">
        <f>F41</f>
        <v>65</v>
      </c>
      <c r="G56"/>
      <c r="H56"/>
      <c r="I56"/>
    </row>
    <row r="57" spans="1:9">
      <c r="A57" s="81"/>
      <c r="B57" s="501" t="s">
        <v>468</v>
      </c>
      <c r="C57" s="84">
        <f>C44+C45</f>
        <v>115</v>
      </c>
      <c r="D57" s="84">
        <f>D44+D45</f>
        <v>77</v>
      </c>
      <c r="E57" s="84">
        <f>E44+E45</f>
        <v>56</v>
      </c>
      <c r="F57" s="84">
        <f>F44+F45</f>
        <v>76</v>
      </c>
      <c r="G57"/>
      <c r="H57"/>
      <c r="I57"/>
    </row>
    <row r="58" spans="1:9" ht="14.25">
      <c r="B58" s="178" t="s">
        <v>641</v>
      </c>
      <c r="C58" s="1133">
        <f>C42</f>
        <v>19</v>
      </c>
      <c r="D58" s="1133">
        <f>D42</f>
        <v>60</v>
      </c>
      <c r="E58" s="1133">
        <f>E42</f>
        <v>52</v>
      </c>
      <c r="F58" s="1133">
        <f>F42</f>
        <v>40</v>
      </c>
      <c r="G58"/>
      <c r="H58"/>
      <c r="I58"/>
    </row>
  </sheetData>
  <mergeCells count="3">
    <mergeCell ref="B1:F1"/>
    <mergeCell ref="A23:B23"/>
    <mergeCell ref="A47:B47"/>
  </mergeCells>
  <pageMargins left="0.7" right="0.7" top="0.75" bottom="0.75" header="0.3" footer="0.3"/>
  <pageSetup paperSize="9" scale="8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K39"/>
  <sheetViews>
    <sheetView zoomScale="30" zoomScaleNormal="30" workbookViewId="0">
      <selection activeCell="B57" sqref="B57:B63"/>
    </sheetView>
  </sheetViews>
  <sheetFormatPr baseColWidth="10" defaultColWidth="15.7109375" defaultRowHeight="20.100000000000001" customHeight="1"/>
  <cols>
    <col min="1" max="1" width="11.42578125" customWidth="1"/>
    <col min="2" max="2" width="51" customWidth="1"/>
    <col min="3" max="3" width="89.85546875" customWidth="1"/>
    <col min="4" max="4" width="0.28515625" customWidth="1"/>
    <col min="5" max="5" width="23" bestFit="1" customWidth="1"/>
    <col min="6" max="6" width="15.7109375" hidden="1" customWidth="1"/>
    <col min="7" max="7" width="18.28515625" hidden="1" customWidth="1"/>
    <col min="8" max="8" width="15.7109375" hidden="1" customWidth="1"/>
    <col min="9" max="9" width="18.28515625" hidden="1" customWidth="1"/>
    <col min="10" max="10" width="15.7109375" hidden="1" customWidth="1"/>
    <col min="11" max="11" width="18.28515625" hidden="1" customWidth="1"/>
    <col min="12" max="20" width="15.7109375" hidden="1" customWidth="1"/>
    <col min="21" max="21" width="18.28515625" hidden="1" customWidth="1"/>
    <col min="22" max="22" width="15.7109375" hidden="1" customWidth="1"/>
    <col min="23" max="23" width="18.28515625" hidden="1" customWidth="1"/>
    <col min="24" max="24" width="15.7109375" hidden="1" customWidth="1"/>
    <col min="25" max="25" width="18.28515625" hidden="1" customWidth="1"/>
    <col min="26" max="28" width="15.7109375" hidden="1" customWidth="1"/>
    <col min="29" max="29" width="18.28515625" hidden="1" customWidth="1"/>
    <col min="30" max="30" width="15.7109375" hidden="1" customWidth="1"/>
    <col min="31" max="31" width="18.28515625" hidden="1" customWidth="1"/>
    <col min="32" max="32" width="15.7109375" hidden="1" customWidth="1"/>
    <col min="33" max="33" width="18.140625" hidden="1" customWidth="1"/>
    <col min="34" max="34" width="16.85546875" hidden="1" customWidth="1"/>
    <col min="35" max="35" width="23" hidden="1" customWidth="1"/>
    <col min="36" max="36" width="15.7109375" hidden="1" customWidth="1"/>
    <col min="37" max="37" width="18.28515625" hidden="1" customWidth="1"/>
    <col min="38" max="38" width="15.7109375" hidden="1" customWidth="1"/>
    <col min="39" max="39" width="18.28515625" hidden="1" customWidth="1"/>
    <col min="40" max="40" width="14.42578125" hidden="1" customWidth="1"/>
    <col min="41" max="41" width="18.28515625" hidden="1" customWidth="1"/>
    <col min="42" max="42" width="14.42578125" hidden="1" customWidth="1"/>
    <col min="43" max="43" width="14.85546875" hidden="1" customWidth="1"/>
    <col min="44" max="44" width="15.7109375" hidden="1" customWidth="1"/>
    <col min="45" max="45" width="18.28515625" hidden="1" customWidth="1"/>
    <col min="46" max="46" width="15.7109375" hidden="1" customWidth="1"/>
    <col min="47" max="47" width="18.28515625" hidden="1" customWidth="1"/>
    <col min="48" max="48" width="14.42578125" hidden="1" customWidth="1"/>
    <col min="49" max="49" width="16.28515625" hidden="1" customWidth="1"/>
    <col min="50" max="50" width="15.7109375" hidden="1" customWidth="1"/>
    <col min="51" max="51" width="18.28515625" hidden="1" customWidth="1"/>
    <col min="52" max="69" width="15.7109375" hidden="1" customWidth="1"/>
    <col min="70" max="70" width="14.42578125" hidden="1" customWidth="1"/>
    <col min="71" max="71" width="16.28515625" hidden="1" customWidth="1"/>
    <col min="72" max="72" width="15.7109375" hidden="1" customWidth="1"/>
    <col min="73" max="73" width="18.28515625" hidden="1" customWidth="1"/>
    <col min="74" max="74" width="15.7109375" hidden="1" customWidth="1"/>
    <col min="75" max="75" width="18.28515625" hidden="1" customWidth="1"/>
    <col min="76" max="76" width="14.42578125" hidden="1" customWidth="1"/>
    <col min="77" max="77" width="18.28515625" hidden="1" customWidth="1"/>
    <col min="78" max="78" width="15.7109375" hidden="1" customWidth="1"/>
    <col min="79" max="79" width="18.28515625" hidden="1" customWidth="1"/>
    <col min="80" max="80" width="15.7109375" hidden="1" customWidth="1"/>
    <col min="81" max="81" width="18.28515625" hidden="1" customWidth="1"/>
    <col min="82" max="82" width="15.7109375" hidden="1" customWidth="1"/>
    <col min="83" max="83" width="18.28515625" hidden="1" customWidth="1"/>
    <col min="84" max="85" width="15.7109375" hidden="1" customWidth="1"/>
    <col min="86" max="86" width="14.42578125" hidden="1" customWidth="1"/>
    <col min="87" max="87" width="19.140625" hidden="1" customWidth="1"/>
    <col min="88" max="88" width="15.7109375" hidden="1" customWidth="1"/>
    <col min="89" max="89" width="18.28515625" hidden="1" customWidth="1"/>
    <col min="90" max="90" width="14.42578125" hidden="1" customWidth="1"/>
    <col min="91" max="91" width="14.85546875" hidden="1" customWidth="1"/>
    <col min="92" max="94" width="15.7109375" hidden="1" customWidth="1"/>
    <col min="95" max="95" width="18.28515625" hidden="1" customWidth="1"/>
    <col min="96" max="96" width="15.7109375" hidden="1" customWidth="1"/>
    <col min="97" max="97" width="18.28515625" hidden="1" customWidth="1"/>
    <col min="98" max="98" width="15.7109375" hidden="1" customWidth="1"/>
    <col min="99" max="99" width="16.28515625" hidden="1" customWidth="1"/>
    <col min="100" max="100" width="15.7109375" hidden="1" customWidth="1"/>
    <col min="101" max="101" width="18.28515625" hidden="1" customWidth="1"/>
    <col min="102" max="102" width="15.7109375" hidden="1" customWidth="1"/>
    <col min="103" max="103" width="18.28515625" hidden="1" customWidth="1"/>
    <col min="104" max="106" width="15.7109375" hidden="1" customWidth="1"/>
    <col min="107" max="107" width="18.28515625" hidden="1" customWidth="1"/>
    <col min="108" max="110" width="15.7109375" hidden="1" customWidth="1"/>
    <col min="111" max="111" width="18.28515625" hidden="1" customWidth="1"/>
    <col min="112" max="113" width="15.7109375" hidden="1" customWidth="1"/>
    <col min="114" max="114" width="14.42578125" hidden="1" customWidth="1"/>
    <col min="115" max="115" width="16.28515625" hidden="1" customWidth="1"/>
    <col min="116" max="118" width="15.7109375" hidden="1" customWidth="1"/>
    <col min="119" max="119" width="18.28515625" hidden="1" customWidth="1"/>
    <col min="120" max="120" width="15.7109375" hidden="1" customWidth="1"/>
    <col min="121" max="121" width="18.28515625" hidden="1" customWidth="1"/>
    <col min="122" max="124" width="15.7109375" hidden="1" customWidth="1"/>
    <col min="125" max="125" width="18.28515625" hidden="1" customWidth="1"/>
    <col min="126" max="126" width="0" hidden="1" customWidth="1"/>
    <col min="127" max="127" width="18.28515625" hidden="1" customWidth="1"/>
    <col min="129" max="129" width="18.28515625" customWidth="1"/>
    <col min="130" max="130" width="14.42578125" bestFit="1" customWidth="1"/>
    <col min="131" max="131" width="18.28515625" bestFit="1" customWidth="1"/>
    <col min="133" max="133" width="18.28515625" bestFit="1" customWidth="1"/>
    <col min="134" max="134" width="14.42578125" bestFit="1" customWidth="1"/>
    <col min="135" max="135" width="18.28515625" bestFit="1" customWidth="1"/>
    <col min="139" max="139" width="18.28515625" bestFit="1" customWidth="1"/>
    <col min="141" max="141" width="18.28515625" bestFit="1" customWidth="1"/>
  </cols>
  <sheetData>
    <row r="1" spans="1:141" ht="2.25" customHeight="1">
      <c r="A1" s="85"/>
      <c r="B1" s="86"/>
      <c r="C1" s="986" t="s">
        <v>289</v>
      </c>
      <c r="D1" s="987" t="s">
        <v>288</v>
      </c>
      <c r="E1" s="987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</row>
    <row r="2" spans="1:141" ht="104.25" customHeight="1">
      <c r="A2" s="85"/>
      <c r="B2" s="1260" t="s">
        <v>653</v>
      </c>
      <c r="C2" s="1261"/>
      <c r="D2" s="1261"/>
      <c r="E2" s="1261"/>
      <c r="F2" s="1261"/>
      <c r="G2" s="1261"/>
      <c r="H2" s="1261"/>
      <c r="I2" s="1261"/>
      <c r="J2" s="1261"/>
      <c r="K2" s="1261"/>
      <c r="L2" s="1261"/>
      <c r="M2" s="1261"/>
      <c r="N2" s="1261"/>
      <c r="O2" s="1261"/>
      <c r="P2" s="1261"/>
      <c r="Q2" s="1261"/>
      <c r="R2" s="1261"/>
      <c r="S2" s="1261"/>
      <c r="T2" s="1261"/>
      <c r="U2" s="1261"/>
      <c r="V2" s="1261"/>
      <c r="W2" s="1261"/>
      <c r="X2" s="1261"/>
      <c r="Y2" s="1261"/>
      <c r="Z2" s="1261"/>
      <c r="AA2" s="1261"/>
      <c r="AB2" s="1261"/>
      <c r="AC2" s="1261"/>
      <c r="AD2" s="1261"/>
      <c r="AE2" s="1261"/>
      <c r="AF2" s="1261"/>
      <c r="AG2" s="1261"/>
      <c r="AH2" s="1261"/>
      <c r="AI2" s="1261"/>
      <c r="AJ2" s="1261"/>
      <c r="AK2" s="1261"/>
      <c r="AL2" s="1261"/>
      <c r="AM2" s="1261"/>
      <c r="AN2" s="1261"/>
      <c r="AO2" s="1261"/>
      <c r="AP2" s="1261"/>
      <c r="AQ2" s="1261"/>
      <c r="AR2" s="1261"/>
      <c r="AS2" s="1261"/>
      <c r="AT2" s="1261"/>
      <c r="AU2" s="1261"/>
      <c r="AV2" s="1261"/>
      <c r="AW2" s="1261"/>
      <c r="AX2" s="1261"/>
      <c r="AY2" s="1261"/>
      <c r="AZ2" s="1261"/>
      <c r="BA2" s="1261"/>
      <c r="BB2" s="1261"/>
      <c r="BC2" s="1261"/>
      <c r="BD2" s="1261"/>
      <c r="BE2" s="1261"/>
      <c r="BF2" s="1261"/>
      <c r="BG2" s="1261"/>
      <c r="BH2" s="1261"/>
      <c r="BI2" s="1261"/>
      <c r="BJ2" s="1261"/>
      <c r="BK2" s="1261"/>
      <c r="BL2" s="1261"/>
      <c r="BM2" s="1261"/>
      <c r="BN2" s="1261"/>
      <c r="BO2" s="1261"/>
      <c r="BP2" s="1261"/>
      <c r="BQ2" s="1261"/>
      <c r="BR2" s="1261"/>
      <c r="BS2" s="1261"/>
      <c r="BT2" s="1261"/>
      <c r="BU2" s="1261"/>
      <c r="BV2" s="1261"/>
      <c r="BW2" s="1261"/>
      <c r="BX2" s="1261"/>
      <c r="BY2" s="1261"/>
      <c r="BZ2" s="1261"/>
      <c r="CA2" s="1261"/>
      <c r="CB2" s="1261"/>
      <c r="CC2" s="1261"/>
      <c r="CD2" s="1261"/>
      <c r="CE2" s="1261"/>
      <c r="CF2" s="1261"/>
      <c r="CG2" s="1261"/>
      <c r="CH2" s="1261"/>
      <c r="CI2" s="1261"/>
      <c r="CJ2" s="1261"/>
      <c r="CK2" s="1261"/>
      <c r="CL2" s="1261"/>
      <c r="CM2" s="1261"/>
      <c r="CN2" s="1261"/>
      <c r="CO2" s="1261"/>
      <c r="CP2" s="1261"/>
      <c r="CQ2" s="1261"/>
      <c r="CR2" s="1261"/>
      <c r="CS2" s="1261"/>
      <c r="CT2" s="1261"/>
      <c r="CU2" s="1261"/>
      <c r="CV2" s="1261"/>
      <c r="CW2" s="1261"/>
      <c r="CX2" s="1261"/>
      <c r="CY2" s="1261"/>
      <c r="CZ2" s="1261"/>
      <c r="DA2" s="1261"/>
      <c r="DB2" s="1261"/>
      <c r="DC2" s="1261"/>
      <c r="DD2" s="1261"/>
      <c r="DE2" s="1261"/>
      <c r="DF2" s="1261"/>
      <c r="DG2" s="1261"/>
      <c r="DH2" s="1261"/>
      <c r="DI2" s="1261"/>
      <c r="DJ2" s="1261"/>
      <c r="DK2" s="1261"/>
      <c r="DL2" s="1261"/>
      <c r="DM2" s="1261"/>
      <c r="DN2" s="1261"/>
      <c r="DO2" s="1261"/>
      <c r="DP2" s="1261"/>
      <c r="DQ2" s="1261"/>
      <c r="DR2" s="1261"/>
      <c r="DS2" s="1261"/>
      <c r="DT2" s="1261"/>
      <c r="DU2" s="1261"/>
      <c r="DV2" s="1261"/>
      <c r="DW2" s="1261"/>
      <c r="DX2" s="1261"/>
      <c r="DY2" s="1261"/>
      <c r="DZ2" s="1261"/>
      <c r="EA2" s="1261"/>
      <c r="EB2" s="1261"/>
      <c r="EC2" s="1261"/>
      <c r="ED2" s="1261"/>
      <c r="EE2" s="1261"/>
    </row>
    <row r="3" spans="1:141" ht="55.5" customHeight="1" thickBot="1">
      <c r="A3" s="85"/>
      <c r="B3" s="1260"/>
      <c r="C3" s="1261"/>
      <c r="D3" s="1261"/>
      <c r="E3" s="1261"/>
      <c r="F3" s="1261"/>
      <c r="G3" s="1261"/>
      <c r="H3" s="1261"/>
      <c r="I3" s="1261"/>
      <c r="J3" s="1261"/>
      <c r="K3" s="1261"/>
      <c r="L3" s="1261"/>
      <c r="M3" s="1261"/>
      <c r="N3" s="1261"/>
      <c r="O3" s="1261"/>
      <c r="P3" s="1261"/>
      <c r="Q3" s="1261"/>
      <c r="R3" s="1261"/>
      <c r="S3" s="1261"/>
      <c r="T3" s="1261"/>
      <c r="U3" s="1261"/>
      <c r="V3" s="1261"/>
      <c r="W3" s="1261"/>
      <c r="X3" s="1261"/>
      <c r="Y3" s="1261"/>
      <c r="Z3" s="1261"/>
      <c r="AA3" s="1261"/>
      <c r="AB3" s="1261"/>
      <c r="AC3" s="1261"/>
      <c r="AD3" s="1261"/>
      <c r="AE3" s="1261"/>
      <c r="AF3" s="1261"/>
      <c r="AG3" s="1261"/>
      <c r="AH3" s="1261"/>
      <c r="AI3" s="1261"/>
      <c r="AJ3" s="1261"/>
      <c r="AK3" s="1261"/>
      <c r="AL3" s="1261"/>
      <c r="AM3" s="1261"/>
      <c r="AN3" s="1261"/>
      <c r="AO3" s="1261"/>
      <c r="AP3" s="1261"/>
      <c r="AQ3" s="1261"/>
      <c r="AR3" s="1261"/>
      <c r="AS3" s="1261"/>
      <c r="AT3" s="1261"/>
      <c r="AU3" s="1261"/>
      <c r="AV3" s="1261"/>
      <c r="AW3" s="1261"/>
      <c r="AX3" s="1261"/>
      <c r="AY3" s="1261"/>
      <c r="AZ3" s="1261"/>
      <c r="BA3" s="1261"/>
      <c r="BB3" s="1261"/>
      <c r="BC3" s="1261"/>
      <c r="BD3" s="1261"/>
      <c r="BE3" s="1261"/>
      <c r="BF3" s="1261"/>
      <c r="BG3" s="1261"/>
      <c r="BH3" s="1261"/>
      <c r="BI3" s="1261"/>
      <c r="BJ3" s="1261"/>
      <c r="BK3" s="1261"/>
      <c r="BL3" s="1261"/>
      <c r="BM3" s="1261"/>
      <c r="BN3" s="1261"/>
      <c r="BO3" s="1261"/>
      <c r="BP3" s="1261"/>
      <c r="BQ3" s="1261"/>
      <c r="BR3" s="1261"/>
      <c r="BS3" s="1261"/>
      <c r="BT3" s="1261"/>
      <c r="BU3" s="1261"/>
      <c r="BV3" s="1261"/>
      <c r="BW3" s="1261"/>
      <c r="BX3" s="1261"/>
      <c r="BY3" s="1261"/>
      <c r="BZ3" s="1261"/>
      <c r="CA3" s="1261"/>
      <c r="CB3" s="1261"/>
      <c r="CC3" s="1261"/>
      <c r="CD3" s="1261"/>
      <c r="CE3" s="1261"/>
      <c r="CF3" s="1261"/>
      <c r="CG3" s="1261"/>
      <c r="CH3" s="1261"/>
      <c r="CI3" s="1261"/>
      <c r="CJ3" s="1261"/>
      <c r="CK3" s="1261"/>
      <c r="CL3" s="1261"/>
      <c r="CM3" s="1261"/>
      <c r="CN3" s="1261"/>
      <c r="CO3" s="1261"/>
      <c r="CP3" s="1261"/>
      <c r="CQ3" s="1261"/>
      <c r="CR3" s="1261"/>
      <c r="CS3" s="1261"/>
      <c r="CT3" s="1261"/>
      <c r="CU3" s="1261"/>
      <c r="CV3" s="1261"/>
      <c r="CW3" s="1261"/>
      <c r="CX3" s="1261"/>
      <c r="CY3" s="1261"/>
      <c r="CZ3" s="1261"/>
      <c r="DA3" s="1261"/>
      <c r="DB3" s="1261"/>
      <c r="DC3" s="1261"/>
      <c r="DD3" s="1261"/>
      <c r="DE3" s="1261"/>
      <c r="DF3" s="1261"/>
      <c r="DG3" s="1261"/>
      <c r="DH3" s="1261"/>
      <c r="DI3" s="1261"/>
      <c r="DJ3" s="1261"/>
      <c r="DK3" s="1261"/>
      <c r="DL3" s="1261"/>
      <c r="DM3" s="1261"/>
      <c r="DN3" s="1261"/>
      <c r="DO3" s="1261"/>
      <c r="DP3" s="1261"/>
      <c r="DQ3" s="1261"/>
      <c r="DR3" s="1261"/>
      <c r="DS3" s="1261"/>
      <c r="DT3" s="1261"/>
      <c r="DU3" s="1261"/>
      <c r="DV3" s="1261"/>
      <c r="DW3" s="1261"/>
      <c r="DX3" s="1261"/>
      <c r="DY3" s="1261"/>
      <c r="DZ3" s="1261"/>
      <c r="EA3" s="1261"/>
      <c r="EB3" s="1261"/>
      <c r="EC3" s="1261"/>
      <c r="ED3" s="1261"/>
      <c r="EE3" s="1261"/>
    </row>
    <row r="4" spans="1:141" ht="37.5" customHeight="1">
      <c r="A4" s="85"/>
      <c r="B4" s="1249" t="s">
        <v>301</v>
      </c>
      <c r="C4" s="1247" t="s">
        <v>566</v>
      </c>
      <c r="D4" s="1258" t="s">
        <v>287</v>
      </c>
      <c r="E4" s="1253" t="s">
        <v>0</v>
      </c>
      <c r="F4" s="1243" t="s">
        <v>527</v>
      </c>
      <c r="G4" s="1244"/>
      <c r="H4" s="1243" t="s">
        <v>528</v>
      </c>
      <c r="I4" s="1244"/>
      <c r="J4" s="1243" t="s">
        <v>529</v>
      </c>
      <c r="K4" s="1244"/>
      <c r="L4" s="1243" t="s">
        <v>530</v>
      </c>
      <c r="M4" s="1244"/>
      <c r="N4" s="1243" t="s">
        <v>567</v>
      </c>
      <c r="O4" s="1244"/>
      <c r="P4" s="1243" t="s">
        <v>531</v>
      </c>
      <c r="Q4" s="1244"/>
      <c r="R4" s="1243" t="s">
        <v>532</v>
      </c>
      <c r="S4" s="1244"/>
      <c r="T4" s="1243" t="s">
        <v>533</v>
      </c>
      <c r="U4" s="1244"/>
      <c r="V4" s="1243" t="s">
        <v>534</v>
      </c>
      <c r="W4" s="1244"/>
      <c r="X4" s="1243" t="s">
        <v>535</v>
      </c>
      <c r="Y4" s="1244"/>
      <c r="Z4" s="1243" t="s">
        <v>569</v>
      </c>
      <c r="AA4" s="1244"/>
      <c r="AB4" s="1243" t="s">
        <v>570</v>
      </c>
      <c r="AC4" s="1244"/>
      <c r="AD4" s="1243" t="s">
        <v>571</v>
      </c>
      <c r="AE4" s="1244"/>
      <c r="AF4" s="1243" t="s">
        <v>572</v>
      </c>
      <c r="AG4" s="1244"/>
      <c r="AH4" s="1243" t="s">
        <v>573</v>
      </c>
      <c r="AI4" s="1244"/>
      <c r="AJ4" s="1243" t="s">
        <v>574</v>
      </c>
      <c r="AK4" s="1244"/>
      <c r="AL4" s="1243" t="s">
        <v>578</v>
      </c>
      <c r="AM4" s="1244"/>
      <c r="AN4" s="1243" t="s">
        <v>579</v>
      </c>
      <c r="AO4" s="1244"/>
      <c r="AP4" s="1243" t="s">
        <v>580</v>
      </c>
      <c r="AQ4" s="1244"/>
      <c r="AR4" s="1243" t="s">
        <v>581</v>
      </c>
      <c r="AS4" s="1244"/>
      <c r="AT4" s="1243" t="s">
        <v>582</v>
      </c>
      <c r="AU4" s="1244"/>
      <c r="AV4" s="1243" t="s">
        <v>583</v>
      </c>
      <c r="AW4" s="1244"/>
      <c r="AX4" s="1243" t="s">
        <v>584</v>
      </c>
      <c r="AY4" s="1244"/>
      <c r="AZ4" s="1243" t="s">
        <v>585</v>
      </c>
      <c r="BA4" s="1244"/>
      <c r="BB4" s="1243" t="s">
        <v>587</v>
      </c>
      <c r="BC4" s="1244"/>
      <c r="BD4" s="1243" t="s">
        <v>588</v>
      </c>
      <c r="BE4" s="1244"/>
      <c r="BF4" s="1243" t="s">
        <v>589</v>
      </c>
      <c r="BG4" s="1244"/>
      <c r="BH4" s="1243" t="s">
        <v>590</v>
      </c>
      <c r="BI4" s="1244"/>
      <c r="BJ4" s="1243" t="s">
        <v>592</v>
      </c>
      <c r="BK4" s="1244"/>
      <c r="BL4" s="1243" t="s">
        <v>593</v>
      </c>
      <c r="BM4" s="1244"/>
      <c r="BN4" s="1243" t="s">
        <v>594</v>
      </c>
      <c r="BO4" s="1244"/>
      <c r="BP4" s="1243" t="s">
        <v>595</v>
      </c>
      <c r="BQ4" s="1244"/>
      <c r="BR4" s="1243" t="s">
        <v>596</v>
      </c>
      <c r="BS4" s="1244"/>
      <c r="BT4" s="1243" t="s">
        <v>597</v>
      </c>
      <c r="BU4" s="1244"/>
      <c r="BV4" s="1243" t="s">
        <v>598</v>
      </c>
      <c r="BW4" s="1244"/>
      <c r="BX4" s="1243" t="s">
        <v>599</v>
      </c>
      <c r="BY4" s="1244"/>
      <c r="BZ4" s="1243" t="s">
        <v>600</v>
      </c>
      <c r="CA4" s="1244"/>
      <c r="CB4" s="1243" t="s">
        <v>601</v>
      </c>
      <c r="CC4" s="1244"/>
      <c r="CD4" s="1243" t="s">
        <v>602</v>
      </c>
      <c r="CE4" s="1244"/>
      <c r="CF4" s="1243" t="s">
        <v>611</v>
      </c>
      <c r="CG4" s="1244"/>
      <c r="CH4" s="1243" t="s">
        <v>612</v>
      </c>
      <c r="CI4" s="1244"/>
      <c r="CJ4" s="1243" t="s">
        <v>613</v>
      </c>
      <c r="CK4" s="1244"/>
      <c r="CL4" s="1243" t="s">
        <v>618</v>
      </c>
      <c r="CM4" s="1244"/>
      <c r="CN4" s="1243" t="s">
        <v>620</v>
      </c>
      <c r="CO4" s="1244"/>
      <c r="CP4" s="1243" t="s">
        <v>619</v>
      </c>
      <c r="CQ4" s="1244"/>
      <c r="CR4" s="1243" t="s">
        <v>621</v>
      </c>
      <c r="CS4" s="1244"/>
      <c r="CT4" s="1243" t="s">
        <v>622</v>
      </c>
      <c r="CU4" s="1244"/>
      <c r="CV4" s="1243" t="s">
        <v>623</v>
      </c>
      <c r="CW4" s="1244"/>
      <c r="CX4" s="1243" t="s">
        <v>624</v>
      </c>
      <c r="CY4" s="1244"/>
      <c r="CZ4" s="1243" t="s">
        <v>627</v>
      </c>
      <c r="DA4" s="1244"/>
      <c r="DB4" s="1243" t="s">
        <v>626</v>
      </c>
      <c r="DC4" s="1244"/>
      <c r="DD4" s="1243" t="s">
        <v>632</v>
      </c>
      <c r="DE4" s="1244"/>
      <c r="DF4" s="1243" t="s">
        <v>593</v>
      </c>
      <c r="DG4" s="1244"/>
      <c r="DH4" s="1243" t="s">
        <v>594</v>
      </c>
      <c r="DI4" s="1244"/>
      <c r="DJ4" s="1243" t="s">
        <v>595</v>
      </c>
      <c r="DK4" s="1244"/>
      <c r="DL4" s="1243" t="s">
        <v>635</v>
      </c>
      <c r="DM4" s="1244"/>
      <c r="DN4" s="1243" t="s">
        <v>596</v>
      </c>
      <c r="DO4" s="1244"/>
      <c r="DP4" s="1243" t="s">
        <v>597</v>
      </c>
      <c r="DQ4" s="1244"/>
      <c r="DR4" s="1243" t="s">
        <v>598</v>
      </c>
      <c r="DS4" s="1244"/>
      <c r="DT4" s="1243" t="s">
        <v>599</v>
      </c>
      <c r="DU4" s="1244"/>
      <c r="DV4" s="1243" t="s">
        <v>600</v>
      </c>
      <c r="DW4" s="1244"/>
      <c r="DX4" s="1243" t="s">
        <v>601</v>
      </c>
      <c r="DY4" s="1244"/>
      <c r="DZ4" s="1243" t="s">
        <v>645</v>
      </c>
      <c r="EA4" s="1244"/>
      <c r="EB4" s="1243" t="s">
        <v>611</v>
      </c>
      <c r="EC4" s="1244"/>
      <c r="ED4" s="1243" t="s">
        <v>646</v>
      </c>
      <c r="EE4" s="1244"/>
      <c r="EF4" s="1243" t="s">
        <v>649</v>
      </c>
      <c r="EG4" s="1244"/>
      <c r="EH4" s="1243" t="s">
        <v>650</v>
      </c>
      <c r="EI4" s="1244"/>
      <c r="EJ4" s="1243" t="s">
        <v>651</v>
      </c>
      <c r="EK4" s="1244"/>
    </row>
    <row r="5" spans="1:141" ht="67.5" customHeight="1" thickBot="1">
      <c r="A5" s="85"/>
      <c r="B5" s="1250"/>
      <c r="C5" s="1248"/>
      <c r="D5" s="1259"/>
      <c r="E5" s="1254"/>
      <c r="F5" s="1057" t="s">
        <v>381</v>
      </c>
      <c r="G5" s="1057" t="s">
        <v>286</v>
      </c>
      <c r="H5" s="1057" t="s">
        <v>381</v>
      </c>
      <c r="I5" s="1057" t="s">
        <v>286</v>
      </c>
      <c r="J5" s="1057" t="s">
        <v>381</v>
      </c>
      <c r="K5" s="1057" t="s">
        <v>286</v>
      </c>
      <c r="L5" s="1057" t="s">
        <v>381</v>
      </c>
      <c r="M5" s="1057" t="s">
        <v>286</v>
      </c>
      <c r="N5" s="1057" t="s">
        <v>381</v>
      </c>
      <c r="O5" s="1057" t="s">
        <v>286</v>
      </c>
      <c r="P5" s="1057" t="s">
        <v>381</v>
      </c>
      <c r="Q5" s="1057" t="s">
        <v>286</v>
      </c>
      <c r="R5" s="1057" t="s">
        <v>381</v>
      </c>
      <c r="S5" s="1057" t="s">
        <v>286</v>
      </c>
      <c r="T5" s="1057" t="s">
        <v>381</v>
      </c>
      <c r="U5" s="1057" t="s">
        <v>286</v>
      </c>
      <c r="V5" s="1057" t="s">
        <v>381</v>
      </c>
      <c r="W5" s="1057" t="s">
        <v>286</v>
      </c>
      <c r="X5" s="1057" t="s">
        <v>381</v>
      </c>
      <c r="Y5" s="1057" t="s">
        <v>286</v>
      </c>
      <c r="Z5" s="1057" t="s">
        <v>381</v>
      </c>
      <c r="AA5" s="1057" t="s">
        <v>286</v>
      </c>
      <c r="AB5" s="1057" t="s">
        <v>381</v>
      </c>
      <c r="AC5" s="1057" t="s">
        <v>286</v>
      </c>
      <c r="AD5" s="1057" t="s">
        <v>381</v>
      </c>
      <c r="AE5" s="1057" t="s">
        <v>286</v>
      </c>
      <c r="AF5" s="1057" t="s">
        <v>381</v>
      </c>
      <c r="AG5" s="1057" t="s">
        <v>286</v>
      </c>
      <c r="AH5" s="1057" t="s">
        <v>381</v>
      </c>
      <c r="AI5" s="1057" t="s">
        <v>286</v>
      </c>
      <c r="AJ5" s="1057" t="s">
        <v>381</v>
      </c>
      <c r="AK5" s="1057" t="s">
        <v>286</v>
      </c>
      <c r="AL5" s="1057" t="s">
        <v>381</v>
      </c>
      <c r="AM5" s="1057" t="s">
        <v>286</v>
      </c>
      <c r="AN5" s="1057" t="s">
        <v>381</v>
      </c>
      <c r="AO5" s="1057" t="s">
        <v>286</v>
      </c>
      <c r="AP5" s="1057" t="s">
        <v>381</v>
      </c>
      <c r="AQ5" s="1057" t="s">
        <v>286</v>
      </c>
      <c r="AR5" s="1057" t="s">
        <v>381</v>
      </c>
      <c r="AS5" s="1057" t="s">
        <v>286</v>
      </c>
      <c r="AT5" s="1057" t="s">
        <v>381</v>
      </c>
      <c r="AU5" s="1057" t="s">
        <v>286</v>
      </c>
      <c r="AV5" s="1057" t="s">
        <v>381</v>
      </c>
      <c r="AW5" s="1057" t="s">
        <v>286</v>
      </c>
      <c r="AX5" s="1057" t="s">
        <v>381</v>
      </c>
      <c r="AY5" s="1057" t="s">
        <v>286</v>
      </c>
      <c r="AZ5" s="1057" t="s">
        <v>381</v>
      </c>
      <c r="BA5" s="1057" t="s">
        <v>286</v>
      </c>
      <c r="BB5" s="1057" t="s">
        <v>381</v>
      </c>
      <c r="BC5" s="1057" t="s">
        <v>286</v>
      </c>
      <c r="BD5" s="1057" t="s">
        <v>381</v>
      </c>
      <c r="BE5" s="1057" t="s">
        <v>286</v>
      </c>
      <c r="BF5" s="1057" t="s">
        <v>381</v>
      </c>
      <c r="BG5" s="1057" t="s">
        <v>286</v>
      </c>
      <c r="BH5" s="1057" t="s">
        <v>381</v>
      </c>
      <c r="BI5" s="1057" t="s">
        <v>286</v>
      </c>
      <c r="BJ5" s="1057" t="s">
        <v>381</v>
      </c>
      <c r="BK5" s="1057" t="s">
        <v>286</v>
      </c>
      <c r="BL5" s="1057" t="s">
        <v>381</v>
      </c>
      <c r="BM5" s="1057" t="s">
        <v>286</v>
      </c>
      <c r="BN5" s="1057" t="s">
        <v>381</v>
      </c>
      <c r="BO5" s="1057" t="s">
        <v>286</v>
      </c>
      <c r="BP5" s="1057" t="s">
        <v>381</v>
      </c>
      <c r="BQ5" s="1057" t="s">
        <v>286</v>
      </c>
      <c r="BR5" s="1057" t="s">
        <v>381</v>
      </c>
      <c r="BS5" s="1057" t="s">
        <v>286</v>
      </c>
      <c r="BT5" s="1057" t="s">
        <v>381</v>
      </c>
      <c r="BU5" s="1057" t="s">
        <v>286</v>
      </c>
      <c r="BV5" s="1057" t="s">
        <v>381</v>
      </c>
      <c r="BW5" s="1057" t="s">
        <v>286</v>
      </c>
      <c r="BX5" s="1057" t="s">
        <v>381</v>
      </c>
      <c r="BY5" s="1057" t="s">
        <v>286</v>
      </c>
      <c r="BZ5" s="1057" t="s">
        <v>381</v>
      </c>
      <c r="CA5" s="1057" t="s">
        <v>286</v>
      </c>
      <c r="CB5" s="1057" t="s">
        <v>381</v>
      </c>
      <c r="CC5" s="1057" t="s">
        <v>286</v>
      </c>
      <c r="CD5" s="1057" t="s">
        <v>381</v>
      </c>
      <c r="CE5" s="1057" t="s">
        <v>286</v>
      </c>
      <c r="CF5" s="1057" t="s">
        <v>381</v>
      </c>
      <c r="CG5" s="1057" t="s">
        <v>286</v>
      </c>
      <c r="CH5" s="1057" t="s">
        <v>381</v>
      </c>
      <c r="CI5" s="1057" t="s">
        <v>286</v>
      </c>
      <c r="CJ5" s="1057" t="s">
        <v>381</v>
      </c>
      <c r="CK5" s="1057" t="s">
        <v>286</v>
      </c>
      <c r="CL5" s="1057" t="s">
        <v>381</v>
      </c>
      <c r="CM5" s="1057" t="s">
        <v>286</v>
      </c>
      <c r="CN5" s="1057" t="s">
        <v>381</v>
      </c>
      <c r="CO5" s="1057" t="s">
        <v>286</v>
      </c>
      <c r="CP5" s="1057" t="s">
        <v>381</v>
      </c>
      <c r="CQ5" s="1057" t="s">
        <v>286</v>
      </c>
      <c r="CR5" s="1057" t="s">
        <v>381</v>
      </c>
      <c r="CS5" s="1057" t="s">
        <v>286</v>
      </c>
      <c r="CT5" s="1057" t="s">
        <v>381</v>
      </c>
      <c r="CU5" s="1057" t="s">
        <v>286</v>
      </c>
      <c r="CV5" s="1057" t="s">
        <v>381</v>
      </c>
      <c r="CW5" s="1057" t="s">
        <v>286</v>
      </c>
      <c r="CX5" s="1057" t="s">
        <v>381</v>
      </c>
      <c r="CY5" s="1057" t="s">
        <v>286</v>
      </c>
      <c r="CZ5" s="1057" t="s">
        <v>381</v>
      </c>
      <c r="DA5" s="1057" t="s">
        <v>286</v>
      </c>
      <c r="DB5" s="1057" t="s">
        <v>381</v>
      </c>
      <c r="DC5" s="1057" t="s">
        <v>286</v>
      </c>
      <c r="DD5" s="1057" t="s">
        <v>381</v>
      </c>
      <c r="DE5" s="1057" t="s">
        <v>286</v>
      </c>
      <c r="DF5" s="1057" t="s">
        <v>381</v>
      </c>
      <c r="DG5" s="1057" t="s">
        <v>286</v>
      </c>
      <c r="DH5" s="1057" t="s">
        <v>381</v>
      </c>
      <c r="DI5" s="1057" t="s">
        <v>286</v>
      </c>
      <c r="DJ5" s="1057" t="s">
        <v>381</v>
      </c>
      <c r="DK5" s="1057" t="s">
        <v>286</v>
      </c>
      <c r="DL5" s="1057" t="s">
        <v>381</v>
      </c>
      <c r="DM5" s="1057" t="s">
        <v>286</v>
      </c>
      <c r="DN5" s="1057" t="s">
        <v>381</v>
      </c>
      <c r="DO5" s="1057" t="s">
        <v>286</v>
      </c>
      <c r="DP5" s="1057" t="s">
        <v>381</v>
      </c>
      <c r="DQ5" s="1057" t="s">
        <v>286</v>
      </c>
      <c r="DR5" s="1057" t="s">
        <v>381</v>
      </c>
      <c r="DS5" s="1057" t="s">
        <v>286</v>
      </c>
      <c r="DT5" s="1057" t="s">
        <v>381</v>
      </c>
      <c r="DU5" s="1057" t="s">
        <v>286</v>
      </c>
      <c r="DV5" s="1057" t="s">
        <v>381</v>
      </c>
      <c r="DW5" s="1057" t="s">
        <v>286</v>
      </c>
      <c r="DX5" s="1057" t="s">
        <v>381</v>
      </c>
      <c r="DY5" s="1057" t="s">
        <v>286</v>
      </c>
      <c r="DZ5" s="1057" t="s">
        <v>381</v>
      </c>
      <c r="EA5" s="1057" t="s">
        <v>286</v>
      </c>
      <c r="EB5" s="1057" t="s">
        <v>381</v>
      </c>
      <c r="EC5" s="1057" t="s">
        <v>286</v>
      </c>
      <c r="ED5" s="1057" t="s">
        <v>381</v>
      </c>
      <c r="EE5" s="1057" t="s">
        <v>286</v>
      </c>
      <c r="EF5" s="1057" t="s">
        <v>381</v>
      </c>
      <c r="EG5" s="1057" t="s">
        <v>286</v>
      </c>
      <c r="EH5" s="1057" t="s">
        <v>381</v>
      </c>
      <c r="EI5" s="1057" t="s">
        <v>286</v>
      </c>
      <c r="EJ5" s="1057" t="s">
        <v>381</v>
      </c>
      <c r="EK5" s="1057" t="s">
        <v>286</v>
      </c>
    </row>
    <row r="6" spans="1:141" s="87" customFormat="1" ht="119.25" customHeight="1">
      <c r="A6" s="458"/>
      <c r="B6" s="1058" t="s">
        <v>449</v>
      </c>
      <c r="C6" s="1256" t="s">
        <v>561</v>
      </c>
      <c r="D6" s="1256" t="s">
        <v>302</v>
      </c>
      <c r="E6" s="1059">
        <f>952+61</f>
        <v>1013</v>
      </c>
      <c r="F6" s="1060">
        <v>0</v>
      </c>
      <c r="G6" s="193">
        <f>E6-F6</f>
        <v>1013</v>
      </c>
      <c r="H6" s="1060">
        <v>0</v>
      </c>
      <c r="I6" s="193">
        <f t="shared" ref="I6:I12" si="0">G6-H6</f>
        <v>1013</v>
      </c>
      <c r="J6" s="1060">
        <v>0</v>
      </c>
      <c r="K6" s="193">
        <f t="shared" ref="K6:K12" si="1">I6-J6</f>
        <v>1013</v>
      </c>
      <c r="L6" s="1060">
        <v>0</v>
      </c>
      <c r="M6" s="193">
        <f t="shared" ref="M6:M12" si="2">K6-L6</f>
        <v>1013</v>
      </c>
      <c r="N6" s="1060">
        <v>0</v>
      </c>
      <c r="O6" s="193">
        <f t="shared" ref="O6:O12" si="3">M6-N6</f>
        <v>1013</v>
      </c>
      <c r="P6" s="1060">
        <v>0</v>
      </c>
      <c r="Q6" s="193">
        <f t="shared" ref="Q6:Q12" si="4">M6-P6</f>
        <v>1013</v>
      </c>
      <c r="R6" s="1060">
        <v>0</v>
      </c>
      <c r="S6" s="193">
        <f t="shared" ref="S6:S12" si="5">Q6-R6</f>
        <v>1013</v>
      </c>
      <c r="T6" s="1060">
        <v>0</v>
      </c>
      <c r="U6" s="193">
        <f t="shared" ref="U6:U12" si="6">S6-T6</f>
        <v>1013</v>
      </c>
      <c r="V6" s="1060">
        <v>0</v>
      </c>
      <c r="W6" s="193">
        <f t="shared" ref="W6:W12" si="7">U6-V6</f>
        <v>1013</v>
      </c>
      <c r="X6" s="1060">
        <v>0</v>
      </c>
      <c r="Y6" s="193">
        <f t="shared" ref="Y6:Y12" si="8">W6-X6</f>
        <v>1013</v>
      </c>
      <c r="Z6" s="1060">
        <v>0</v>
      </c>
      <c r="AA6" s="193">
        <f t="shared" ref="AA6:AA12" si="9">Y6-Z6</f>
        <v>1013</v>
      </c>
      <c r="AB6" s="1060">
        <v>0</v>
      </c>
      <c r="AC6" s="193">
        <f t="shared" ref="AC6:AC12" si="10">AA6-AB6</f>
        <v>1013</v>
      </c>
      <c r="AD6" s="1060">
        <v>0</v>
      </c>
      <c r="AE6" s="193">
        <f t="shared" ref="AE6:AE12" si="11">AC6-AD6</f>
        <v>1013</v>
      </c>
      <c r="AF6" s="1060">
        <v>0</v>
      </c>
      <c r="AG6" s="193">
        <f t="shared" ref="AG6:AG12" si="12">AE6-AF6</f>
        <v>1013</v>
      </c>
      <c r="AH6" s="1060">
        <v>0</v>
      </c>
      <c r="AI6" s="193">
        <f t="shared" ref="AI6:AI12" si="13">AG6-AH6</f>
        <v>1013</v>
      </c>
      <c r="AJ6" s="1060">
        <v>0</v>
      </c>
      <c r="AK6" s="193">
        <f t="shared" ref="AK6:AK12" si="14">AI6-AJ6</f>
        <v>1013</v>
      </c>
      <c r="AL6" s="1060">
        <v>0</v>
      </c>
      <c r="AM6" s="193">
        <f t="shared" ref="AM6:AM12" si="15">AK6-AL6</f>
        <v>1013</v>
      </c>
      <c r="AN6" s="1060">
        <v>0</v>
      </c>
      <c r="AO6" s="193">
        <f t="shared" ref="AO6:AO12" si="16">AM6-AN6</f>
        <v>1013</v>
      </c>
      <c r="AP6" s="1060">
        <v>0</v>
      </c>
      <c r="AQ6" s="193">
        <f t="shared" ref="AQ6:AQ12" si="17">AO6-AP6</f>
        <v>1013</v>
      </c>
      <c r="AR6" s="1060">
        <v>0</v>
      </c>
      <c r="AS6" s="193">
        <f t="shared" ref="AS6:AS12" si="18">AQ6-AR6</f>
        <v>1013</v>
      </c>
      <c r="AT6" s="1060">
        <v>0</v>
      </c>
      <c r="AU6" s="193">
        <f t="shared" ref="AU6:AU12" si="19">AS6-AT6</f>
        <v>1013</v>
      </c>
      <c r="AV6" s="1060">
        <v>0</v>
      </c>
      <c r="AW6" s="193">
        <f t="shared" ref="AW6:AW12" si="20">AU6-AV6</f>
        <v>1013</v>
      </c>
      <c r="AX6" s="1060">
        <v>0</v>
      </c>
      <c r="AY6" s="193">
        <f t="shared" ref="AY6:AY12" si="21">AW6-AX6</f>
        <v>1013</v>
      </c>
      <c r="AZ6" s="1060">
        <v>0</v>
      </c>
      <c r="BA6" s="193">
        <f t="shared" ref="BA6:BA12" si="22">AY6-AZ6</f>
        <v>1013</v>
      </c>
      <c r="BB6" s="1060">
        <v>0</v>
      </c>
      <c r="BC6" s="193">
        <f t="shared" ref="BC6:BC12" si="23">BA6-BB6</f>
        <v>1013</v>
      </c>
      <c r="BD6" s="1060">
        <v>0</v>
      </c>
      <c r="BE6" s="193">
        <f t="shared" ref="BE6:BE12" si="24">BC6-BD6</f>
        <v>1013</v>
      </c>
      <c r="BF6" s="1060">
        <v>0</v>
      </c>
      <c r="BG6" s="193">
        <f t="shared" ref="BG6:BG12" si="25">BE6-BF6</f>
        <v>1013</v>
      </c>
      <c r="BH6" s="1060">
        <v>0</v>
      </c>
      <c r="BI6" s="193">
        <f t="shared" ref="BI6:BI12" si="26">BG6-BH6</f>
        <v>1013</v>
      </c>
      <c r="BJ6" s="1060">
        <v>0</v>
      </c>
      <c r="BK6" s="193">
        <f t="shared" ref="BK6:BK12" si="27">BI6-BJ6</f>
        <v>1013</v>
      </c>
      <c r="BL6" s="1060">
        <v>0</v>
      </c>
      <c r="BM6" s="193">
        <f t="shared" ref="BM6:BM12" si="28">BK6-BL6</f>
        <v>1013</v>
      </c>
      <c r="BN6" s="1060">
        <v>0</v>
      </c>
      <c r="BO6" s="193">
        <f t="shared" ref="BO6:BO12" si="29">BM6-BN6</f>
        <v>1013</v>
      </c>
      <c r="BP6" s="1060">
        <v>0</v>
      </c>
      <c r="BQ6" s="193">
        <f t="shared" ref="BQ6:BQ12" si="30">BO6-BP6</f>
        <v>1013</v>
      </c>
      <c r="BR6" s="1060">
        <v>0</v>
      </c>
      <c r="BS6" s="193">
        <f t="shared" ref="BS6:BS12" si="31">BQ6-BR6</f>
        <v>1013</v>
      </c>
      <c r="BT6" s="1060">
        <v>0</v>
      </c>
      <c r="BU6" s="193">
        <f t="shared" ref="BU6:BU12" si="32">BS6-BT6</f>
        <v>1013</v>
      </c>
      <c r="BV6" s="1060">
        <v>0</v>
      </c>
      <c r="BW6" s="193">
        <f t="shared" ref="BW6:BW12" si="33">BU6-BV6</f>
        <v>1013</v>
      </c>
      <c r="BX6" s="1060">
        <v>0</v>
      </c>
      <c r="BY6" s="193">
        <f t="shared" ref="BY6:BY12" si="34">BW6-BX6</f>
        <v>1013</v>
      </c>
      <c r="BZ6" s="1060">
        <v>0</v>
      </c>
      <c r="CA6" s="193">
        <f t="shared" ref="CA6:CA12" si="35">BY6-BZ6</f>
        <v>1013</v>
      </c>
      <c r="CB6" s="1060">
        <v>0</v>
      </c>
      <c r="CC6" s="193">
        <f t="shared" ref="CC6:CC12" si="36">CA6-CB6</f>
        <v>1013</v>
      </c>
      <c r="CD6" s="1060">
        <v>0</v>
      </c>
      <c r="CE6" s="193">
        <f t="shared" ref="CE6:CE12" si="37">CC6-CD6</f>
        <v>1013</v>
      </c>
      <c r="CF6" s="1060">
        <v>0</v>
      </c>
      <c r="CG6" s="193">
        <f t="shared" ref="CG6:CG12" si="38">CE6-CF6</f>
        <v>1013</v>
      </c>
      <c r="CH6" s="1060">
        <v>0</v>
      </c>
      <c r="CI6" s="193">
        <f t="shared" ref="CI6:CI12" si="39">CG6-CH6</f>
        <v>1013</v>
      </c>
      <c r="CJ6" s="1060">
        <v>0</v>
      </c>
      <c r="CK6" s="193">
        <f t="shared" ref="CK6:CK12" si="40">CI6-CJ6</f>
        <v>1013</v>
      </c>
      <c r="CL6" s="1060">
        <v>0</v>
      </c>
      <c r="CM6" s="193">
        <f t="shared" ref="CM6:CM12" si="41">CK6-CL6</f>
        <v>1013</v>
      </c>
      <c r="CN6" s="1060">
        <v>0</v>
      </c>
      <c r="CO6" s="193">
        <f t="shared" ref="CO6:CO12" si="42">CM6-CN6</f>
        <v>1013</v>
      </c>
      <c r="CP6" s="1060">
        <v>0</v>
      </c>
      <c r="CQ6" s="193">
        <f t="shared" ref="CQ6:CQ12" si="43">CO6-CP6</f>
        <v>1013</v>
      </c>
      <c r="CR6" s="1060">
        <v>0</v>
      </c>
      <c r="CS6" s="193">
        <f t="shared" ref="CS6:CS12" si="44">CQ6-CR6</f>
        <v>1013</v>
      </c>
      <c r="CT6" s="1060">
        <v>0</v>
      </c>
      <c r="CU6" s="193">
        <f t="shared" ref="CU6:CU12" si="45">CS6-CT6</f>
        <v>1013</v>
      </c>
      <c r="CV6" s="1060">
        <v>0</v>
      </c>
      <c r="CW6" s="193">
        <f t="shared" ref="CW6:CW12" si="46">CU6-CV6</f>
        <v>1013</v>
      </c>
      <c r="CX6" s="1060">
        <v>0</v>
      </c>
      <c r="CY6" s="193">
        <f t="shared" ref="CY6:CY12" si="47">CW6-CX6</f>
        <v>1013</v>
      </c>
      <c r="CZ6" s="1060">
        <v>0</v>
      </c>
      <c r="DA6" s="193">
        <f t="shared" ref="DA6:DA12" si="48">CY6-CZ6</f>
        <v>1013</v>
      </c>
      <c r="DB6" s="1060">
        <v>0</v>
      </c>
      <c r="DC6" s="193">
        <f t="shared" ref="DC6:DC12" si="49">DA6-DB6</f>
        <v>1013</v>
      </c>
      <c r="DD6" s="1060">
        <v>0</v>
      </c>
      <c r="DE6" s="193">
        <f t="shared" ref="DE6:DE12" si="50">DC6-DD6</f>
        <v>1013</v>
      </c>
      <c r="DF6" s="1060">
        <v>0</v>
      </c>
      <c r="DG6" s="193">
        <f t="shared" ref="DG6:DG12" si="51">DE6-DF6</f>
        <v>1013</v>
      </c>
      <c r="DH6" s="1060">
        <v>0</v>
      </c>
      <c r="DI6" s="193">
        <f t="shared" ref="DI6:DI12" si="52">DG6-DH6</f>
        <v>1013</v>
      </c>
      <c r="DJ6" s="1060">
        <v>0</v>
      </c>
      <c r="DK6" s="193">
        <f t="shared" ref="DK6:DK12" si="53">DI6-DJ6</f>
        <v>1013</v>
      </c>
      <c r="DL6" s="1060">
        <v>0</v>
      </c>
      <c r="DM6" s="193">
        <f t="shared" ref="DM6:DM12" si="54">DK6-DL6</f>
        <v>1013</v>
      </c>
      <c r="DN6" s="1060">
        <v>0</v>
      </c>
      <c r="DO6" s="193">
        <f t="shared" ref="DO6:DO12" si="55">DM6-DN6</f>
        <v>1013</v>
      </c>
      <c r="DP6" s="1060">
        <v>0</v>
      </c>
      <c r="DQ6" s="193">
        <f t="shared" ref="DQ6:DQ12" si="56">DO6-DP6</f>
        <v>1013</v>
      </c>
      <c r="DR6" s="1060">
        <v>0</v>
      </c>
      <c r="DS6" s="193">
        <f t="shared" ref="DS6:DS12" si="57">DQ6-DR6</f>
        <v>1013</v>
      </c>
      <c r="DT6" s="1060">
        <v>0</v>
      </c>
      <c r="DU6" s="193">
        <f t="shared" ref="DU6:DU12" si="58">DS6-DT6</f>
        <v>1013</v>
      </c>
      <c r="DV6" s="1060">
        <v>0</v>
      </c>
      <c r="DW6" s="193">
        <f t="shared" ref="DW6:DW12" si="59">DU6-DV6</f>
        <v>1013</v>
      </c>
      <c r="DX6" s="1060">
        <v>272</v>
      </c>
      <c r="DY6" s="193">
        <f t="shared" ref="DY6:DY12" si="60">DW6-DX6</f>
        <v>741</v>
      </c>
      <c r="DZ6" s="1060">
        <v>240</v>
      </c>
      <c r="EA6" s="193">
        <f t="shared" ref="EA6:EA12" si="61">DY6-DZ6</f>
        <v>501</v>
      </c>
      <c r="EB6" s="1060">
        <v>232</v>
      </c>
      <c r="EC6" s="193">
        <f t="shared" ref="EC6:EC12" si="62">EA6-EB6</f>
        <v>269</v>
      </c>
      <c r="ED6" s="1018">
        <v>208</v>
      </c>
      <c r="EE6" s="193">
        <f t="shared" ref="EE6:EE12" si="63">EC6-ED6</f>
        <v>61</v>
      </c>
      <c r="EF6" s="1018">
        <v>352</v>
      </c>
      <c r="EG6" s="193">
        <f t="shared" ref="EG6:EG12" si="64">EE6-EF6</f>
        <v>-291</v>
      </c>
      <c r="EH6" s="1018">
        <v>256</v>
      </c>
      <c r="EI6" s="193">
        <f t="shared" ref="EI6:EI12" si="65">EG6-EH6</f>
        <v>-547</v>
      </c>
      <c r="EJ6" s="1018">
        <v>272</v>
      </c>
      <c r="EK6" s="193">
        <f t="shared" ref="EK6:EK12" si="66">EI6-EJ6</f>
        <v>-819</v>
      </c>
    </row>
    <row r="7" spans="1:141" s="87" customFormat="1" ht="105.75" customHeight="1" thickBot="1">
      <c r="A7" s="458"/>
      <c r="B7" s="1061" t="s">
        <v>450</v>
      </c>
      <c r="C7" s="1257"/>
      <c r="D7" s="1257"/>
      <c r="E7" s="1062">
        <f>261+192-61</f>
        <v>392</v>
      </c>
      <c r="F7" s="1060">
        <v>0</v>
      </c>
      <c r="G7" s="193">
        <f t="shared" ref="G7:G12" si="67">E7-F7</f>
        <v>392</v>
      </c>
      <c r="H7" s="1060">
        <v>0</v>
      </c>
      <c r="I7" s="193">
        <f t="shared" si="0"/>
        <v>392</v>
      </c>
      <c r="J7" s="1060">
        <v>0</v>
      </c>
      <c r="K7" s="193">
        <f t="shared" si="1"/>
        <v>392</v>
      </c>
      <c r="L7" s="1060">
        <v>0</v>
      </c>
      <c r="M7" s="193">
        <f t="shared" si="2"/>
        <v>392</v>
      </c>
      <c r="N7" s="1060">
        <v>0</v>
      </c>
      <c r="O7" s="193">
        <f t="shared" si="3"/>
        <v>392</v>
      </c>
      <c r="P7" s="1060">
        <v>0</v>
      </c>
      <c r="Q7" s="193">
        <f t="shared" si="4"/>
        <v>392</v>
      </c>
      <c r="R7" s="1060">
        <v>0</v>
      </c>
      <c r="S7" s="193">
        <f t="shared" si="5"/>
        <v>392</v>
      </c>
      <c r="T7" s="1060">
        <v>0</v>
      </c>
      <c r="U7" s="193">
        <f t="shared" si="6"/>
        <v>392</v>
      </c>
      <c r="V7" s="1060">
        <v>0</v>
      </c>
      <c r="W7" s="193">
        <f t="shared" si="7"/>
        <v>392</v>
      </c>
      <c r="X7" s="1060">
        <v>0</v>
      </c>
      <c r="Y7" s="193">
        <f t="shared" si="8"/>
        <v>392</v>
      </c>
      <c r="Z7" s="1060">
        <v>0</v>
      </c>
      <c r="AA7" s="193">
        <f t="shared" si="9"/>
        <v>392</v>
      </c>
      <c r="AB7" s="1060">
        <v>0</v>
      </c>
      <c r="AC7" s="193">
        <f t="shared" si="10"/>
        <v>392</v>
      </c>
      <c r="AD7" s="1060">
        <v>0</v>
      </c>
      <c r="AE7" s="193">
        <f t="shared" si="11"/>
        <v>392</v>
      </c>
      <c r="AF7" s="1060">
        <v>0</v>
      </c>
      <c r="AG7" s="193">
        <f t="shared" si="12"/>
        <v>392</v>
      </c>
      <c r="AH7" s="1060">
        <v>0</v>
      </c>
      <c r="AI7" s="193">
        <f t="shared" si="13"/>
        <v>392</v>
      </c>
      <c r="AJ7" s="1060">
        <v>0</v>
      </c>
      <c r="AK7" s="193">
        <f t="shared" si="14"/>
        <v>392</v>
      </c>
      <c r="AL7" s="1060">
        <v>0</v>
      </c>
      <c r="AM7" s="193">
        <f t="shared" si="15"/>
        <v>392</v>
      </c>
      <c r="AN7" s="1060">
        <v>0</v>
      </c>
      <c r="AO7" s="193">
        <f t="shared" si="16"/>
        <v>392</v>
      </c>
      <c r="AP7" s="1060">
        <v>0</v>
      </c>
      <c r="AQ7" s="193">
        <f t="shared" si="17"/>
        <v>392</v>
      </c>
      <c r="AR7" s="1060">
        <v>0</v>
      </c>
      <c r="AS7" s="193">
        <f t="shared" si="18"/>
        <v>392</v>
      </c>
      <c r="AT7" s="1060">
        <v>0</v>
      </c>
      <c r="AU7" s="193">
        <f t="shared" si="19"/>
        <v>392</v>
      </c>
      <c r="AV7" s="1060">
        <v>0</v>
      </c>
      <c r="AW7" s="193">
        <f t="shared" si="20"/>
        <v>392</v>
      </c>
      <c r="AX7" s="1060">
        <v>0</v>
      </c>
      <c r="AY7" s="193">
        <f t="shared" si="21"/>
        <v>392</v>
      </c>
      <c r="AZ7" s="1060">
        <v>0</v>
      </c>
      <c r="BA7" s="193">
        <f t="shared" si="22"/>
        <v>392</v>
      </c>
      <c r="BB7" s="1060">
        <v>0</v>
      </c>
      <c r="BC7" s="193">
        <f t="shared" si="23"/>
        <v>392</v>
      </c>
      <c r="BD7" s="1060">
        <v>0</v>
      </c>
      <c r="BE7" s="193">
        <f t="shared" si="24"/>
        <v>392</v>
      </c>
      <c r="BF7" s="1060">
        <v>0</v>
      </c>
      <c r="BG7" s="193">
        <f t="shared" si="25"/>
        <v>392</v>
      </c>
      <c r="BH7" s="1060">
        <v>0</v>
      </c>
      <c r="BI7" s="193">
        <f t="shared" si="26"/>
        <v>392</v>
      </c>
      <c r="BJ7" s="1060">
        <v>0</v>
      </c>
      <c r="BK7" s="193">
        <f t="shared" si="27"/>
        <v>392</v>
      </c>
      <c r="BL7" s="1060">
        <v>0</v>
      </c>
      <c r="BM7" s="193">
        <f t="shared" si="28"/>
        <v>392</v>
      </c>
      <c r="BN7" s="1060">
        <v>0</v>
      </c>
      <c r="BO7" s="193">
        <f t="shared" si="29"/>
        <v>392</v>
      </c>
      <c r="BP7" s="1060">
        <v>0</v>
      </c>
      <c r="BQ7" s="193">
        <f t="shared" si="30"/>
        <v>392</v>
      </c>
      <c r="BR7" s="1060">
        <v>0</v>
      </c>
      <c r="BS7" s="193">
        <f t="shared" si="31"/>
        <v>392</v>
      </c>
      <c r="BT7" s="1060">
        <v>0</v>
      </c>
      <c r="BU7" s="193">
        <f t="shared" si="32"/>
        <v>392</v>
      </c>
      <c r="BV7" s="1060">
        <v>0</v>
      </c>
      <c r="BW7" s="193">
        <f t="shared" si="33"/>
        <v>392</v>
      </c>
      <c r="BX7" s="1060">
        <v>0</v>
      </c>
      <c r="BY7" s="193">
        <f t="shared" si="34"/>
        <v>392</v>
      </c>
      <c r="BZ7" s="1060">
        <v>0</v>
      </c>
      <c r="CA7" s="193">
        <f t="shared" si="35"/>
        <v>392</v>
      </c>
      <c r="CB7" s="1060">
        <v>0</v>
      </c>
      <c r="CC7" s="193">
        <f t="shared" si="36"/>
        <v>392</v>
      </c>
      <c r="CD7" s="1060">
        <v>0</v>
      </c>
      <c r="CE7" s="193">
        <f t="shared" si="37"/>
        <v>392</v>
      </c>
      <c r="CF7" s="1060">
        <v>0</v>
      </c>
      <c r="CG7" s="193">
        <f t="shared" si="38"/>
        <v>392</v>
      </c>
      <c r="CH7" s="1060">
        <v>0</v>
      </c>
      <c r="CI7" s="193">
        <f t="shared" si="39"/>
        <v>392</v>
      </c>
      <c r="CJ7" s="1060">
        <v>0</v>
      </c>
      <c r="CK7" s="193">
        <f t="shared" si="40"/>
        <v>392</v>
      </c>
      <c r="CL7" s="1060">
        <v>0</v>
      </c>
      <c r="CM7" s="193">
        <f t="shared" si="41"/>
        <v>392</v>
      </c>
      <c r="CN7" s="1060">
        <v>0</v>
      </c>
      <c r="CO7" s="193">
        <f t="shared" si="42"/>
        <v>392</v>
      </c>
      <c r="CP7" s="1060">
        <v>0</v>
      </c>
      <c r="CQ7" s="193">
        <f t="shared" si="43"/>
        <v>392</v>
      </c>
      <c r="CR7" s="1060">
        <v>0</v>
      </c>
      <c r="CS7" s="193">
        <f t="shared" si="44"/>
        <v>392</v>
      </c>
      <c r="CT7" s="1060">
        <v>0</v>
      </c>
      <c r="CU7" s="193">
        <f t="shared" si="45"/>
        <v>392</v>
      </c>
      <c r="CV7" s="1060">
        <v>0</v>
      </c>
      <c r="CW7" s="193">
        <f t="shared" si="46"/>
        <v>392</v>
      </c>
      <c r="CX7" s="1060">
        <v>0</v>
      </c>
      <c r="CY7" s="193">
        <f t="shared" si="47"/>
        <v>392</v>
      </c>
      <c r="CZ7" s="1060">
        <v>0</v>
      </c>
      <c r="DA7" s="193">
        <f t="shared" si="48"/>
        <v>392</v>
      </c>
      <c r="DB7" s="1060">
        <v>0</v>
      </c>
      <c r="DC7" s="193">
        <f t="shared" si="49"/>
        <v>392</v>
      </c>
      <c r="DD7" s="1060">
        <v>0</v>
      </c>
      <c r="DE7" s="193">
        <f t="shared" si="50"/>
        <v>392</v>
      </c>
      <c r="DF7" s="1060">
        <v>0</v>
      </c>
      <c r="DG7" s="193">
        <f t="shared" si="51"/>
        <v>392</v>
      </c>
      <c r="DH7" s="1060">
        <v>0</v>
      </c>
      <c r="DI7" s="193">
        <f t="shared" si="52"/>
        <v>392</v>
      </c>
      <c r="DJ7" s="1060">
        <v>0</v>
      </c>
      <c r="DK7" s="193">
        <f t="shared" si="53"/>
        <v>392</v>
      </c>
      <c r="DL7" s="1060">
        <v>0</v>
      </c>
      <c r="DM7" s="193">
        <f t="shared" si="54"/>
        <v>392</v>
      </c>
      <c r="DN7" s="1060">
        <v>0</v>
      </c>
      <c r="DO7" s="193">
        <f t="shared" si="55"/>
        <v>392</v>
      </c>
      <c r="DP7" s="1060">
        <v>0</v>
      </c>
      <c r="DQ7" s="193">
        <f t="shared" si="56"/>
        <v>392</v>
      </c>
      <c r="DR7" s="1060">
        <v>0</v>
      </c>
      <c r="DS7" s="193">
        <f t="shared" si="57"/>
        <v>392</v>
      </c>
      <c r="DT7" s="1060">
        <v>0</v>
      </c>
      <c r="DU7" s="193">
        <f t="shared" si="58"/>
        <v>392</v>
      </c>
      <c r="DV7" s="1060">
        <v>0</v>
      </c>
      <c r="DW7" s="193">
        <f t="shared" si="59"/>
        <v>392</v>
      </c>
      <c r="DX7" s="1060">
        <v>0</v>
      </c>
      <c r="DY7" s="193">
        <f t="shared" si="60"/>
        <v>392</v>
      </c>
      <c r="DZ7" s="1060">
        <v>56</v>
      </c>
      <c r="EA7" s="193">
        <f t="shared" si="61"/>
        <v>336</v>
      </c>
      <c r="EB7" s="1060">
        <v>96</v>
      </c>
      <c r="EC7" s="193">
        <f t="shared" si="62"/>
        <v>240</v>
      </c>
      <c r="ED7" s="1060">
        <v>160</v>
      </c>
      <c r="EE7" s="193">
        <f t="shared" si="63"/>
        <v>80</v>
      </c>
      <c r="EF7" s="1060">
        <v>80</v>
      </c>
      <c r="EG7" s="193">
        <f t="shared" si="64"/>
        <v>0</v>
      </c>
      <c r="EH7" s="1018">
        <v>80</v>
      </c>
      <c r="EI7" s="193">
        <f t="shared" si="65"/>
        <v>-80</v>
      </c>
      <c r="EJ7" s="1018">
        <v>0</v>
      </c>
      <c r="EK7" s="193">
        <f t="shared" si="66"/>
        <v>-80</v>
      </c>
    </row>
    <row r="8" spans="1:141" s="87" customFormat="1" ht="108.75" customHeight="1" thickBot="1">
      <c r="A8" s="458"/>
      <c r="B8" s="1061" t="s">
        <v>450</v>
      </c>
      <c r="C8" s="1063" t="s">
        <v>562</v>
      </c>
      <c r="D8" s="192" t="e">
        <f>AVERAGE(#REF!+#REF!,#REF!+#REF!,#REF!+#REF!,#REF!+#REF!,#REF!+#REF!,#REF!+#REF!,#REF!+#REF!)</f>
        <v>#REF!</v>
      </c>
      <c r="E8" s="1062">
        <f>128+64</f>
        <v>192</v>
      </c>
      <c r="F8" s="1060">
        <v>0</v>
      </c>
      <c r="G8" s="193">
        <f t="shared" si="67"/>
        <v>192</v>
      </c>
      <c r="H8" s="1060">
        <v>0</v>
      </c>
      <c r="I8" s="193">
        <f t="shared" si="0"/>
        <v>192</v>
      </c>
      <c r="J8" s="1060">
        <v>0</v>
      </c>
      <c r="K8" s="193">
        <f t="shared" si="1"/>
        <v>192</v>
      </c>
      <c r="L8" s="1060">
        <v>0</v>
      </c>
      <c r="M8" s="193">
        <f t="shared" si="2"/>
        <v>192</v>
      </c>
      <c r="N8" s="1060">
        <v>0</v>
      </c>
      <c r="O8" s="193">
        <f t="shared" si="3"/>
        <v>192</v>
      </c>
      <c r="P8" s="1060">
        <v>0</v>
      </c>
      <c r="Q8" s="193">
        <f t="shared" si="4"/>
        <v>192</v>
      </c>
      <c r="R8" s="1060">
        <v>0</v>
      </c>
      <c r="S8" s="193">
        <f t="shared" si="5"/>
        <v>192</v>
      </c>
      <c r="T8" s="1060">
        <v>0</v>
      </c>
      <c r="U8" s="193">
        <f t="shared" si="6"/>
        <v>192</v>
      </c>
      <c r="V8" s="1064">
        <v>0</v>
      </c>
      <c r="W8" s="193">
        <f t="shared" si="7"/>
        <v>192</v>
      </c>
      <c r="X8" s="1064">
        <v>0</v>
      </c>
      <c r="Y8" s="193">
        <f t="shared" si="8"/>
        <v>192</v>
      </c>
      <c r="Z8" s="1060">
        <v>0</v>
      </c>
      <c r="AA8" s="193">
        <f t="shared" si="9"/>
        <v>192</v>
      </c>
      <c r="AB8" s="1060">
        <v>0</v>
      </c>
      <c r="AC8" s="193">
        <f t="shared" si="10"/>
        <v>192</v>
      </c>
      <c r="AD8" s="1060">
        <v>0</v>
      </c>
      <c r="AE8" s="193">
        <f t="shared" si="11"/>
        <v>192</v>
      </c>
      <c r="AF8" s="1060">
        <v>0</v>
      </c>
      <c r="AG8" s="193">
        <f t="shared" si="12"/>
        <v>192</v>
      </c>
      <c r="AH8" s="1060">
        <v>0</v>
      </c>
      <c r="AI8" s="193">
        <f t="shared" si="13"/>
        <v>192</v>
      </c>
      <c r="AJ8" s="1060">
        <v>0</v>
      </c>
      <c r="AK8" s="193">
        <f t="shared" si="14"/>
        <v>192</v>
      </c>
      <c r="AL8" s="1060">
        <v>0</v>
      </c>
      <c r="AM8" s="193">
        <f t="shared" si="15"/>
        <v>192</v>
      </c>
      <c r="AN8" s="1060">
        <v>0</v>
      </c>
      <c r="AO8" s="193">
        <f t="shared" si="16"/>
        <v>192</v>
      </c>
      <c r="AP8" s="1060">
        <v>0</v>
      </c>
      <c r="AQ8" s="193">
        <f t="shared" si="17"/>
        <v>192</v>
      </c>
      <c r="AR8" s="1060">
        <v>0</v>
      </c>
      <c r="AS8" s="193">
        <f t="shared" si="18"/>
        <v>192</v>
      </c>
      <c r="AT8" s="1060">
        <v>0</v>
      </c>
      <c r="AU8" s="193">
        <f t="shared" si="19"/>
        <v>192</v>
      </c>
      <c r="AV8" s="1060">
        <v>0</v>
      </c>
      <c r="AW8" s="193">
        <f t="shared" si="20"/>
        <v>192</v>
      </c>
      <c r="AX8" s="1060">
        <v>0</v>
      </c>
      <c r="AY8" s="193">
        <f t="shared" si="21"/>
        <v>192</v>
      </c>
      <c r="AZ8" s="1060">
        <v>0</v>
      </c>
      <c r="BA8" s="193">
        <f t="shared" si="22"/>
        <v>192</v>
      </c>
      <c r="BB8" s="1060">
        <v>0</v>
      </c>
      <c r="BC8" s="193">
        <f t="shared" si="23"/>
        <v>192</v>
      </c>
      <c r="BD8" s="1060">
        <v>0</v>
      </c>
      <c r="BE8" s="193">
        <f t="shared" si="24"/>
        <v>192</v>
      </c>
      <c r="BF8" s="1060">
        <v>0</v>
      </c>
      <c r="BG8" s="193">
        <f t="shared" si="25"/>
        <v>192</v>
      </c>
      <c r="BH8" s="1060">
        <v>0</v>
      </c>
      <c r="BI8" s="193">
        <f t="shared" si="26"/>
        <v>192</v>
      </c>
      <c r="BJ8" s="1060">
        <v>0</v>
      </c>
      <c r="BK8" s="193">
        <f t="shared" si="27"/>
        <v>192</v>
      </c>
      <c r="BL8" s="1060">
        <v>0</v>
      </c>
      <c r="BM8" s="193">
        <f t="shared" si="28"/>
        <v>192</v>
      </c>
      <c r="BN8" s="1060">
        <v>0</v>
      </c>
      <c r="BO8" s="193">
        <f t="shared" si="29"/>
        <v>192</v>
      </c>
      <c r="BP8" s="1060">
        <v>0</v>
      </c>
      <c r="BQ8" s="193">
        <f t="shared" si="30"/>
        <v>192</v>
      </c>
      <c r="BR8" s="1060">
        <v>0</v>
      </c>
      <c r="BS8" s="193">
        <f t="shared" si="31"/>
        <v>192</v>
      </c>
      <c r="BT8" s="1060">
        <v>0</v>
      </c>
      <c r="BU8" s="193">
        <f t="shared" si="32"/>
        <v>192</v>
      </c>
      <c r="BV8" s="1060">
        <v>0</v>
      </c>
      <c r="BW8" s="193">
        <f t="shared" si="33"/>
        <v>192</v>
      </c>
      <c r="BX8" s="1060">
        <v>0</v>
      </c>
      <c r="BY8" s="193">
        <f t="shared" si="34"/>
        <v>192</v>
      </c>
      <c r="BZ8" s="1060">
        <v>0</v>
      </c>
      <c r="CA8" s="193">
        <f t="shared" si="35"/>
        <v>192</v>
      </c>
      <c r="CB8" s="1060">
        <v>0</v>
      </c>
      <c r="CC8" s="193">
        <f t="shared" si="36"/>
        <v>192</v>
      </c>
      <c r="CD8" s="1060">
        <v>0</v>
      </c>
      <c r="CE8" s="193">
        <f t="shared" si="37"/>
        <v>192</v>
      </c>
      <c r="CF8" s="1060">
        <v>0</v>
      </c>
      <c r="CG8" s="193">
        <f t="shared" si="38"/>
        <v>192</v>
      </c>
      <c r="CH8" s="1060">
        <v>0</v>
      </c>
      <c r="CI8" s="193">
        <f t="shared" si="39"/>
        <v>192</v>
      </c>
      <c r="CJ8" s="1060">
        <v>0</v>
      </c>
      <c r="CK8" s="193">
        <f t="shared" si="40"/>
        <v>192</v>
      </c>
      <c r="CL8" s="1060">
        <v>0</v>
      </c>
      <c r="CM8" s="193">
        <f t="shared" si="41"/>
        <v>192</v>
      </c>
      <c r="CN8" s="1060">
        <v>0</v>
      </c>
      <c r="CO8" s="193">
        <f t="shared" si="42"/>
        <v>192</v>
      </c>
      <c r="CP8" s="1060">
        <v>0</v>
      </c>
      <c r="CQ8" s="193">
        <f t="shared" si="43"/>
        <v>192</v>
      </c>
      <c r="CR8" s="1060">
        <v>0</v>
      </c>
      <c r="CS8" s="193">
        <f t="shared" si="44"/>
        <v>192</v>
      </c>
      <c r="CT8" s="1060">
        <v>0</v>
      </c>
      <c r="CU8" s="193">
        <f t="shared" si="45"/>
        <v>192</v>
      </c>
      <c r="CV8" s="1060">
        <v>0</v>
      </c>
      <c r="CW8" s="193">
        <f t="shared" si="46"/>
        <v>192</v>
      </c>
      <c r="CX8" s="1060">
        <v>0</v>
      </c>
      <c r="CY8" s="193">
        <f t="shared" si="47"/>
        <v>192</v>
      </c>
      <c r="CZ8" s="1060">
        <v>0</v>
      </c>
      <c r="DA8" s="193">
        <f t="shared" si="48"/>
        <v>192</v>
      </c>
      <c r="DB8" s="1060">
        <v>0</v>
      </c>
      <c r="DC8" s="193">
        <f t="shared" si="49"/>
        <v>192</v>
      </c>
      <c r="DD8" s="1060">
        <v>0</v>
      </c>
      <c r="DE8" s="193">
        <f t="shared" si="50"/>
        <v>192</v>
      </c>
      <c r="DF8" s="1060">
        <v>0</v>
      </c>
      <c r="DG8" s="193">
        <f t="shared" si="51"/>
        <v>192</v>
      </c>
      <c r="DH8" s="1060">
        <v>0</v>
      </c>
      <c r="DI8" s="193">
        <f t="shared" si="52"/>
        <v>192</v>
      </c>
      <c r="DJ8" s="1060">
        <v>0</v>
      </c>
      <c r="DK8" s="193">
        <f t="shared" si="53"/>
        <v>192</v>
      </c>
      <c r="DL8" s="1060">
        <v>0</v>
      </c>
      <c r="DM8" s="193">
        <f t="shared" si="54"/>
        <v>192</v>
      </c>
      <c r="DN8" s="1060">
        <v>0</v>
      </c>
      <c r="DO8" s="193">
        <f t="shared" si="55"/>
        <v>192</v>
      </c>
      <c r="DP8" s="1060">
        <v>0</v>
      </c>
      <c r="DQ8" s="193">
        <f t="shared" si="56"/>
        <v>192</v>
      </c>
      <c r="DR8" s="1060">
        <v>0</v>
      </c>
      <c r="DS8" s="193">
        <f t="shared" si="57"/>
        <v>192</v>
      </c>
      <c r="DT8" s="1060">
        <v>0</v>
      </c>
      <c r="DU8" s="193">
        <f t="shared" si="58"/>
        <v>192</v>
      </c>
      <c r="DV8" s="1060">
        <v>0</v>
      </c>
      <c r="DW8" s="193">
        <f t="shared" si="59"/>
        <v>192</v>
      </c>
      <c r="DX8" s="1060">
        <v>0</v>
      </c>
      <c r="DY8" s="193">
        <f t="shared" si="60"/>
        <v>192</v>
      </c>
      <c r="DZ8" s="1060">
        <v>72</v>
      </c>
      <c r="EA8" s="193">
        <f t="shared" si="61"/>
        <v>120</v>
      </c>
      <c r="EB8" s="1060">
        <v>72</v>
      </c>
      <c r="EC8" s="193">
        <f t="shared" si="62"/>
        <v>48</v>
      </c>
      <c r="ED8" s="1060">
        <v>16</v>
      </c>
      <c r="EE8" s="193">
        <f t="shared" si="63"/>
        <v>32</v>
      </c>
      <c r="EF8" s="1060">
        <v>16</v>
      </c>
      <c r="EG8" s="193">
        <f t="shared" si="64"/>
        <v>16</v>
      </c>
      <c r="EH8" s="1018">
        <v>16</v>
      </c>
      <c r="EI8" s="193">
        <f t="shared" si="65"/>
        <v>0</v>
      </c>
      <c r="EJ8" s="1018">
        <v>0</v>
      </c>
      <c r="EK8" s="193">
        <f t="shared" si="66"/>
        <v>0</v>
      </c>
    </row>
    <row r="9" spans="1:141" s="87" customFormat="1" ht="120" customHeight="1" thickBot="1">
      <c r="A9" s="458"/>
      <c r="B9" s="1061" t="s">
        <v>450</v>
      </c>
      <c r="C9" s="1063" t="s">
        <v>563</v>
      </c>
      <c r="D9" s="192" t="e">
        <f>AVERAGE(#REF!+#REF!,#REF!+#REF!,#REF!+#REF!,#REF!+#REF!,#REF!+#REF!,#REF!+#REF!,#REF!+#REF!)</f>
        <v>#REF!</v>
      </c>
      <c r="E9" s="1062">
        <v>0</v>
      </c>
      <c r="F9" s="1060">
        <v>0</v>
      </c>
      <c r="G9" s="193">
        <f t="shared" si="67"/>
        <v>0</v>
      </c>
      <c r="H9" s="1060">
        <v>0</v>
      </c>
      <c r="I9" s="193">
        <f t="shared" si="0"/>
        <v>0</v>
      </c>
      <c r="J9" s="1060">
        <v>0</v>
      </c>
      <c r="K9" s="193">
        <f t="shared" si="1"/>
        <v>0</v>
      </c>
      <c r="L9" s="1060">
        <v>0</v>
      </c>
      <c r="M9" s="193">
        <f t="shared" si="2"/>
        <v>0</v>
      </c>
      <c r="N9" s="1060">
        <v>0</v>
      </c>
      <c r="O9" s="193">
        <f t="shared" si="3"/>
        <v>0</v>
      </c>
      <c r="P9" s="1060">
        <v>0</v>
      </c>
      <c r="Q9" s="193">
        <f t="shared" si="4"/>
        <v>0</v>
      </c>
      <c r="R9" s="1060">
        <v>0</v>
      </c>
      <c r="S9" s="193">
        <f t="shared" si="5"/>
        <v>0</v>
      </c>
      <c r="T9" s="1060">
        <v>0</v>
      </c>
      <c r="U9" s="193">
        <f t="shared" si="6"/>
        <v>0</v>
      </c>
      <c r="V9" s="1064">
        <v>0</v>
      </c>
      <c r="W9" s="193">
        <f t="shared" si="7"/>
        <v>0</v>
      </c>
      <c r="X9" s="1064">
        <v>0</v>
      </c>
      <c r="Y9" s="193">
        <f t="shared" si="8"/>
        <v>0</v>
      </c>
      <c r="Z9" s="1060">
        <v>0</v>
      </c>
      <c r="AA9" s="193">
        <f t="shared" si="9"/>
        <v>0</v>
      </c>
      <c r="AB9" s="1060">
        <v>0</v>
      </c>
      <c r="AC9" s="193">
        <f t="shared" si="10"/>
        <v>0</v>
      </c>
      <c r="AD9" s="1060">
        <v>0</v>
      </c>
      <c r="AE9" s="193">
        <f t="shared" si="11"/>
        <v>0</v>
      </c>
      <c r="AF9" s="1060">
        <v>0</v>
      </c>
      <c r="AG9" s="193">
        <f t="shared" si="12"/>
        <v>0</v>
      </c>
      <c r="AH9" s="1060">
        <v>0</v>
      </c>
      <c r="AI9" s="193">
        <f t="shared" si="13"/>
        <v>0</v>
      </c>
      <c r="AJ9" s="1064">
        <v>0</v>
      </c>
      <c r="AK9" s="193">
        <f t="shared" si="14"/>
        <v>0</v>
      </c>
      <c r="AL9" s="1060">
        <v>0</v>
      </c>
      <c r="AM9" s="193">
        <f t="shared" si="15"/>
        <v>0</v>
      </c>
      <c r="AN9" s="1060">
        <v>0</v>
      </c>
      <c r="AO9" s="193">
        <f t="shared" si="16"/>
        <v>0</v>
      </c>
      <c r="AP9" s="1060">
        <v>0</v>
      </c>
      <c r="AQ9" s="193">
        <f t="shared" si="17"/>
        <v>0</v>
      </c>
      <c r="AR9" s="1064">
        <v>0</v>
      </c>
      <c r="AS9" s="193">
        <f t="shared" si="18"/>
        <v>0</v>
      </c>
      <c r="AT9" s="1060">
        <v>0</v>
      </c>
      <c r="AU9" s="193">
        <f t="shared" si="19"/>
        <v>0</v>
      </c>
      <c r="AV9" s="1060">
        <v>0</v>
      </c>
      <c r="AW9" s="193">
        <f t="shared" si="20"/>
        <v>0</v>
      </c>
      <c r="AX9" s="1060">
        <v>0</v>
      </c>
      <c r="AY9" s="193">
        <f t="shared" si="21"/>
        <v>0</v>
      </c>
      <c r="AZ9" s="1060">
        <v>0</v>
      </c>
      <c r="BA9" s="193">
        <f t="shared" si="22"/>
        <v>0</v>
      </c>
      <c r="BB9" s="1060">
        <v>0</v>
      </c>
      <c r="BC9" s="193">
        <f t="shared" si="23"/>
        <v>0</v>
      </c>
      <c r="BD9" s="1060">
        <v>0</v>
      </c>
      <c r="BE9" s="193">
        <f t="shared" si="24"/>
        <v>0</v>
      </c>
      <c r="BF9" s="1060">
        <v>0</v>
      </c>
      <c r="BG9" s="193">
        <f t="shared" si="25"/>
        <v>0</v>
      </c>
      <c r="BH9" s="1060">
        <v>0</v>
      </c>
      <c r="BI9" s="193">
        <f t="shared" si="26"/>
        <v>0</v>
      </c>
      <c r="BJ9" s="1060">
        <v>0</v>
      </c>
      <c r="BK9" s="193">
        <f t="shared" si="27"/>
        <v>0</v>
      </c>
      <c r="BL9" s="1060">
        <v>0</v>
      </c>
      <c r="BM9" s="193">
        <f t="shared" si="28"/>
        <v>0</v>
      </c>
      <c r="BN9" s="1060">
        <v>0</v>
      </c>
      <c r="BO9" s="193">
        <f t="shared" si="29"/>
        <v>0</v>
      </c>
      <c r="BP9" s="1060">
        <v>0</v>
      </c>
      <c r="BQ9" s="193">
        <f t="shared" si="30"/>
        <v>0</v>
      </c>
      <c r="BR9" s="1060">
        <v>0</v>
      </c>
      <c r="BS9" s="193">
        <f t="shared" si="31"/>
        <v>0</v>
      </c>
      <c r="BT9" s="1060">
        <v>0</v>
      </c>
      <c r="BU9" s="193">
        <f t="shared" si="32"/>
        <v>0</v>
      </c>
      <c r="BV9" s="1060">
        <v>0</v>
      </c>
      <c r="BW9" s="193">
        <f t="shared" si="33"/>
        <v>0</v>
      </c>
      <c r="BX9" s="1060">
        <v>0</v>
      </c>
      <c r="BY9" s="193">
        <f t="shared" si="34"/>
        <v>0</v>
      </c>
      <c r="BZ9" s="1060">
        <v>0</v>
      </c>
      <c r="CA9" s="193">
        <f t="shared" si="35"/>
        <v>0</v>
      </c>
      <c r="CB9" s="1060">
        <v>0</v>
      </c>
      <c r="CC9" s="193">
        <f t="shared" si="36"/>
        <v>0</v>
      </c>
      <c r="CD9" s="1060">
        <v>0</v>
      </c>
      <c r="CE9" s="193">
        <f t="shared" si="37"/>
        <v>0</v>
      </c>
      <c r="CF9" s="1060">
        <v>0</v>
      </c>
      <c r="CG9" s="193">
        <f t="shared" si="38"/>
        <v>0</v>
      </c>
      <c r="CH9" s="1060">
        <v>0</v>
      </c>
      <c r="CI9" s="193">
        <f t="shared" si="39"/>
        <v>0</v>
      </c>
      <c r="CJ9" s="1060">
        <v>0</v>
      </c>
      <c r="CK9" s="193">
        <f t="shared" si="40"/>
        <v>0</v>
      </c>
      <c r="CL9" s="1060">
        <v>0</v>
      </c>
      <c r="CM9" s="193">
        <f t="shared" si="41"/>
        <v>0</v>
      </c>
      <c r="CN9" s="1060">
        <v>0</v>
      </c>
      <c r="CO9" s="193">
        <f t="shared" si="42"/>
        <v>0</v>
      </c>
      <c r="CP9" s="1060">
        <v>0</v>
      </c>
      <c r="CQ9" s="193">
        <f t="shared" si="43"/>
        <v>0</v>
      </c>
      <c r="CR9" s="1060">
        <v>0</v>
      </c>
      <c r="CS9" s="193">
        <f t="shared" si="44"/>
        <v>0</v>
      </c>
      <c r="CT9" s="1060">
        <v>0</v>
      </c>
      <c r="CU9" s="193">
        <f t="shared" si="45"/>
        <v>0</v>
      </c>
      <c r="CV9" s="1060">
        <v>0</v>
      </c>
      <c r="CW9" s="193">
        <f t="shared" si="46"/>
        <v>0</v>
      </c>
      <c r="CX9" s="1060">
        <v>0</v>
      </c>
      <c r="CY9" s="193">
        <f t="shared" si="47"/>
        <v>0</v>
      </c>
      <c r="CZ9" s="1060">
        <v>0</v>
      </c>
      <c r="DA9" s="193">
        <f t="shared" si="48"/>
        <v>0</v>
      </c>
      <c r="DB9" s="1060">
        <v>0</v>
      </c>
      <c r="DC9" s="193">
        <f t="shared" si="49"/>
        <v>0</v>
      </c>
      <c r="DD9" s="1060">
        <v>0</v>
      </c>
      <c r="DE9" s="193">
        <f t="shared" si="50"/>
        <v>0</v>
      </c>
      <c r="DF9" s="1060">
        <v>0</v>
      </c>
      <c r="DG9" s="193">
        <f t="shared" si="51"/>
        <v>0</v>
      </c>
      <c r="DH9" s="1060">
        <v>0</v>
      </c>
      <c r="DI9" s="193">
        <f t="shared" si="52"/>
        <v>0</v>
      </c>
      <c r="DJ9" s="1060">
        <v>0</v>
      </c>
      <c r="DK9" s="193">
        <f t="shared" si="53"/>
        <v>0</v>
      </c>
      <c r="DL9" s="1060">
        <v>0</v>
      </c>
      <c r="DM9" s="193">
        <f t="shared" si="54"/>
        <v>0</v>
      </c>
      <c r="DN9" s="1060">
        <v>0</v>
      </c>
      <c r="DO9" s="193">
        <f t="shared" si="55"/>
        <v>0</v>
      </c>
      <c r="DP9" s="1060">
        <v>0</v>
      </c>
      <c r="DQ9" s="193">
        <f t="shared" si="56"/>
        <v>0</v>
      </c>
      <c r="DR9" s="1060">
        <v>0</v>
      </c>
      <c r="DS9" s="193">
        <f t="shared" si="57"/>
        <v>0</v>
      </c>
      <c r="DT9" s="1060">
        <v>0</v>
      </c>
      <c r="DU9" s="193">
        <f t="shared" si="58"/>
        <v>0</v>
      </c>
      <c r="DV9" s="1060">
        <v>0</v>
      </c>
      <c r="DW9" s="193">
        <f t="shared" si="59"/>
        <v>0</v>
      </c>
      <c r="DX9" s="1060">
        <v>0</v>
      </c>
      <c r="DY9" s="193">
        <f t="shared" si="60"/>
        <v>0</v>
      </c>
      <c r="DZ9" s="1060">
        <v>0</v>
      </c>
      <c r="EA9" s="193">
        <f t="shared" si="61"/>
        <v>0</v>
      </c>
      <c r="EB9" s="1060">
        <v>0</v>
      </c>
      <c r="EC9" s="193">
        <f t="shared" si="62"/>
        <v>0</v>
      </c>
      <c r="ED9" s="1060">
        <v>0</v>
      </c>
      <c r="EE9" s="193">
        <f t="shared" si="63"/>
        <v>0</v>
      </c>
      <c r="EF9" s="1060">
        <v>0</v>
      </c>
      <c r="EG9" s="193">
        <f t="shared" si="64"/>
        <v>0</v>
      </c>
      <c r="EH9" s="1018">
        <v>0</v>
      </c>
      <c r="EI9" s="193">
        <f t="shared" si="65"/>
        <v>0</v>
      </c>
      <c r="EJ9" s="1018">
        <v>0</v>
      </c>
      <c r="EK9" s="193">
        <f t="shared" si="66"/>
        <v>0</v>
      </c>
    </row>
    <row r="10" spans="1:141" s="87" customFormat="1" ht="123" customHeight="1" thickBot="1">
      <c r="A10" s="458"/>
      <c r="B10" s="1061" t="s">
        <v>450</v>
      </c>
      <c r="C10" s="1065" t="s">
        <v>564</v>
      </c>
      <c r="D10" s="460" t="e">
        <f>AVERAGE(#REF!+#REF!,#REF!+#REF!,#REF!+#REF!,#REF!+#REF!,#REF!+#REF!,#REF!+#REF!,#REF!+#REF!)</f>
        <v>#REF!</v>
      </c>
      <c r="E10" s="1062">
        <v>8</v>
      </c>
      <c r="F10" s="1060">
        <v>0</v>
      </c>
      <c r="G10" s="193">
        <f t="shared" si="67"/>
        <v>8</v>
      </c>
      <c r="H10" s="1060">
        <v>0</v>
      </c>
      <c r="I10" s="193">
        <f t="shared" si="0"/>
        <v>8</v>
      </c>
      <c r="J10" s="1060">
        <v>0</v>
      </c>
      <c r="K10" s="193">
        <f t="shared" si="1"/>
        <v>8</v>
      </c>
      <c r="L10" s="1060">
        <v>0</v>
      </c>
      <c r="M10" s="193">
        <f t="shared" si="2"/>
        <v>8</v>
      </c>
      <c r="N10" s="1060">
        <v>0</v>
      </c>
      <c r="O10" s="193">
        <f t="shared" si="3"/>
        <v>8</v>
      </c>
      <c r="P10" s="1060">
        <v>0</v>
      </c>
      <c r="Q10" s="193">
        <f t="shared" si="4"/>
        <v>8</v>
      </c>
      <c r="R10" s="1060">
        <v>0</v>
      </c>
      <c r="S10" s="193">
        <f t="shared" si="5"/>
        <v>8</v>
      </c>
      <c r="T10" s="1060">
        <v>0</v>
      </c>
      <c r="U10" s="193">
        <f t="shared" si="6"/>
        <v>8</v>
      </c>
      <c r="V10" s="1060">
        <v>0</v>
      </c>
      <c r="W10" s="193">
        <f t="shared" si="7"/>
        <v>8</v>
      </c>
      <c r="X10" s="1060">
        <v>0</v>
      </c>
      <c r="Y10" s="193">
        <f t="shared" si="8"/>
        <v>8</v>
      </c>
      <c r="Z10" s="1060">
        <v>0</v>
      </c>
      <c r="AA10" s="193">
        <f t="shared" si="9"/>
        <v>8</v>
      </c>
      <c r="AB10" s="1060">
        <v>0</v>
      </c>
      <c r="AC10" s="193">
        <f t="shared" si="10"/>
        <v>8</v>
      </c>
      <c r="AD10" s="1060">
        <v>0</v>
      </c>
      <c r="AE10" s="193">
        <f t="shared" si="11"/>
        <v>8</v>
      </c>
      <c r="AF10" s="1060">
        <v>0</v>
      </c>
      <c r="AG10" s="193">
        <f t="shared" si="12"/>
        <v>8</v>
      </c>
      <c r="AH10" s="1060">
        <v>0</v>
      </c>
      <c r="AI10" s="193">
        <f t="shared" si="13"/>
        <v>8</v>
      </c>
      <c r="AJ10" s="1064">
        <v>0</v>
      </c>
      <c r="AK10" s="193">
        <f t="shared" si="14"/>
        <v>8</v>
      </c>
      <c r="AL10" s="1060">
        <v>0</v>
      </c>
      <c r="AM10" s="193">
        <f t="shared" si="15"/>
        <v>8</v>
      </c>
      <c r="AN10" s="1060">
        <v>0</v>
      </c>
      <c r="AO10" s="193">
        <f t="shared" si="16"/>
        <v>8</v>
      </c>
      <c r="AP10" s="1060">
        <v>0</v>
      </c>
      <c r="AQ10" s="193">
        <f t="shared" si="17"/>
        <v>8</v>
      </c>
      <c r="AR10" s="1064">
        <v>0</v>
      </c>
      <c r="AS10" s="193">
        <f t="shared" si="18"/>
        <v>8</v>
      </c>
      <c r="AT10" s="1060">
        <v>0</v>
      </c>
      <c r="AU10" s="193">
        <f t="shared" si="19"/>
        <v>8</v>
      </c>
      <c r="AV10" s="1060">
        <v>0</v>
      </c>
      <c r="AW10" s="193">
        <f t="shared" si="20"/>
        <v>8</v>
      </c>
      <c r="AX10" s="1060">
        <v>0</v>
      </c>
      <c r="AY10" s="193">
        <f t="shared" si="21"/>
        <v>8</v>
      </c>
      <c r="AZ10" s="1060">
        <v>0</v>
      </c>
      <c r="BA10" s="193">
        <f t="shared" si="22"/>
        <v>8</v>
      </c>
      <c r="BB10" s="1060">
        <v>0</v>
      </c>
      <c r="BC10" s="193">
        <f t="shared" si="23"/>
        <v>8</v>
      </c>
      <c r="BD10" s="1060">
        <v>0</v>
      </c>
      <c r="BE10" s="193">
        <f t="shared" si="24"/>
        <v>8</v>
      </c>
      <c r="BF10" s="1060">
        <v>0</v>
      </c>
      <c r="BG10" s="193">
        <f t="shared" si="25"/>
        <v>8</v>
      </c>
      <c r="BH10" s="1060">
        <v>0</v>
      </c>
      <c r="BI10" s="193">
        <f t="shared" si="26"/>
        <v>8</v>
      </c>
      <c r="BJ10" s="1060">
        <v>0</v>
      </c>
      <c r="BK10" s="193">
        <f t="shared" si="27"/>
        <v>8</v>
      </c>
      <c r="BL10" s="1018">
        <v>0</v>
      </c>
      <c r="BM10" s="193">
        <f t="shared" si="28"/>
        <v>8</v>
      </c>
      <c r="BN10" s="1018">
        <v>0</v>
      </c>
      <c r="BO10" s="193">
        <f t="shared" si="29"/>
        <v>8</v>
      </c>
      <c r="BP10" s="1060">
        <v>0</v>
      </c>
      <c r="BQ10" s="193">
        <f t="shared" si="30"/>
        <v>8</v>
      </c>
      <c r="BR10" s="1060">
        <v>0</v>
      </c>
      <c r="BS10" s="193">
        <f t="shared" si="31"/>
        <v>8</v>
      </c>
      <c r="BT10" s="1060">
        <v>0</v>
      </c>
      <c r="BU10" s="193">
        <f t="shared" si="32"/>
        <v>8</v>
      </c>
      <c r="BV10" s="1060">
        <v>0</v>
      </c>
      <c r="BW10" s="193">
        <f t="shared" si="33"/>
        <v>8</v>
      </c>
      <c r="BX10" s="1060">
        <v>0</v>
      </c>
      <c r="BY10" s="193">
        <f t="shared" si="34"/>
        <v>8</v>
      </c>
      <c r="BZ10" s="1018">
        <v>0</v>
      </c>
      <c r="CA10" s="193">
        <f t="shared" si="35"/>
        <v>8</v>
      </c>
      <c r="CB10" s="1018">
        <v>0</v>
      </c>
      <c r="CC10" s="193">
        <f t="shared" si="36"/>
        <v>8</v>
      </c>
      <c r="CD10" s="1018">
        <v>0</v>
      </c>
      <c r="CE10" s="193">
        <f t="shared" si="37"/>
        <v>8</v>
      </c>
      <c r="CF10" s="1018">
        <v>0</v>
      </c>
      <c r="CG10" s="193">
        <f t="shared" si="38"/>
        <v>8</v>
      </c>
      <c r="CH10" s="1018">
        <v>0</v>
      </c>
      <c r="CI10" s="193">
        <f t="shared" si="39"/>
        <v>8</v>
      </c>
      <c r="CJ10" s="1060">
        <v>0</v>
      </c>
      <c r="CK10" s="193">
        <f t="shared" si="40"/>
        <v>8</v>
      </c>
      <c r="CL10" s="1060">
        <v>0</v>
      </c>
      <c r="CM10" s="193">
        <f t="shared" si="41"/>
        <v>8</v>
      </c>
      <c r="CN10" s="1060">
        <v>0</v>
      </c>
      <c r="CO10" s="193">
        <f t="shared" si="42"/>
        <v>8</v>
      </c>
      <c r="CP10" s="1060">
        <v>0</v>
      </c>
      <c r="CQ10" s="193">
        <f t="shared" si="43"/>
        <v>8</v>
      </c>
      <c r="CR10" s="1060">
        <v>0</v>
      </c>
      <c r="CS10" s="193">
        <f t="shared" si="44"/>
        <v>8</v>
      </c>
      <c r="CT10" s="1060">
        <v>0</v>
      </c>
      <c r="CU10" s="193">
        <f t="shared" si="45"/>
        <v>8</v>
      </c>
      <c r="CV10" s="1018">
        <v>0</v>
      </c>
      <c r="CW10" s="193">
        <f t="shared" si="46"/>
        <v>8</v>
      </c>
      <c r="CX10" s="1060">
        <v>0</v>
      </c>
      <c r="CY10" s="193">
        <f t="shared" si="47"/>
        <v>8</v>
      </c>
      <c r="CZ10" s="1060">
        <v>0</v>
      </c>
      <c r="DA10" s="193">
        <f t="shared" si="48"/>
        <v>8</v>
      </c>
      <c r="DB10" s="1060">
        <v>0</v>
      </c>
      <c r="DC10" s="193">
        <f t="shared" si="49"/>
        <v>8</v>
      </c>
      <c r="DD10" s="1060">
        <v>0</v>
      </c>
      <c r="DE10" s="193">
        <f t="shared" si="50"/>
        <v>8</v>
      </c>
      <c r="DF10" s="1060">
        <v>0</v>
      </c>
      <c r="DG10" s="193">
        <f t="shared" si="51"/>
        <v>8</v>
      </c>
      <c r="DH10" s="1060">
        <v>0</v>
      </c>
      <c r="DI10" s="193">
        <f t="shared" si="52"/>
        <v>8</v>
      </c>
      <c r="DJ10" s="1060">
        <v>0</v>
      </c>
      <c r="DK10" s="193">
        <f t="shared" si="53"/>
        <v>8</v>
      </c>
      <c r="DL10" s="1060">
        <v>0</v>
      </c>
      <c r="DM10" s="193">
        <f t="shared" si="54"/>
        <v>8</v>
      </c>
      <c r="DN10" s="1060">
        <v>0</v>
      </c>
      <c r="DO10" s="193">
        <f t="shared" si="55"/>
        <v>8</v>
      </c>
      <c r="DP10" s="1060">
        <v>0</v>
      </c>
      <c r="DQ10" s="193">
        <f t="shared" si="56"/>
        <v>8</v>
      </c>
      <c r="DR10" s="1060">
        <v>0</v>
      </c>
      <c r="DS10" s="193">
        <f t="shared" si="57"/>
        <v>8</v>
      </c>
      <c r="DT10" s="1060">
        <v>0</v>
      </c>
      <c r="DU10" s="193">
        <f t="shared" si="58"/>
        <v>8</v>
      </c>
      <c r="DV10" s="1060">
        <v>0</v>
      </c>
      <c r="DW10" s="193">
        <f t="shared" si="59"/>
        <v>8</v>
      </c>
      <c r="DX10" s="1060">
        <v>0</v>
      </c>
      <c r="DY10" s="193">
        <f t="shared" si="60"/>
        <v>8</v>
      </c>
      <c r="DZ10" s="1060">
        <v>0</v>
      </c>
      <c r="EA10" s="193">
        <f t="shared" si="61"/>
        <v>8</v>
      </c>
      <c r="EB10" s="1060">
        <v>0</v>
      </c>
      <c r="EC10" s="193">
        <f t="shared" si="62"/>
        <v>8</v>
      </c>
      <c r="ED10" s="1060">
        <v>0</v>
      </c>
      <c r="EE10" s="193">
        <f t="shared" si="63"/>
        <v>8</v>
      </c>
      <c r="EF10" s="1060">
        <v>0</v>
      </c>
      <c r="EG10" s="193">
        <f t="shared" si="64"/>
        <v>8</v>
      </c>
      <c r="EH10" s="1018">
        <v>0</v>
      </c>
      <c r="EI10" s="193">
        <f t="shared" si="65"/>
        <v>8</v>
      </c>
      <c r="EJ10" s="1018">
        <v>0</v>
      </c>
      <c r="EK10" s="193">
        <f t="shared" si="66"/>
        <v>8</v>
      </c>
    </row>
    <row r="11" spans="1:141" s="87" customFormat="1" ht="113.25" customHeight="1" thickBot="1">
      <c r="A11" s="458"/>
      <c r="B11" s="1061" t="s">
        <v>450</v>
      </c>
      <c r="C11" s="1251" t="s">
        <v>565</v>
      </c>
      <c r="D11" s="192" t="e">
        <f>AVERAGE(#REF!+#REF!,#REF!+#REF!,#REF!+#REF!,#REF!+#REF!,#REF!+#REF!,#REF!+#REF!,#REF!+#REF!)</f>
        <v>#REF!</v>
      </c>
      <c r="E11" s="1062">
        <v>32</v>
      </c>
      <c r="F11" s="1060">
        <v>0</v>
      </c>
      <c r="G11" s="193">
        <f t="shared" si="67"/>
        <v>32</v>
      </c>
      <c r="H11" s="1060">
        <v>0</v>
      </c>
      <c r="I11" s="193">
        <f t="shared" si="0"/>
        <v>32</v>
      </c>
      <c r="J11" s="1060">
        <v>0</v>
      </c>
      <c r="K11" s="193">
        <f t="shared" si="1"/>
        <v>32</v>
      </c>
      <c r="L11" s="1060">
        <v>0</v>
      </c>
      <c r="M11" s="193">
        <f t="shared" si="2"/>
        <v>32</v>
      </c>
      <c r="N11" s="1060">
        <v>0</v>
      </c>
      <c r="O11" s="193">
        <f t="shared" si="3"/>
        <v>32</v>
      </c>
      <c r="P11" s="1060">
        <v>0</v>
      </c>
      <c r="Q11" s="193">
        <f t="shared" si="4"/>
        <v>32</v>
      </c>
      <c r="R11" s="1060">
        <v>0</v>
      </c>
      <c r="S11" s="193">
        <f t="shared" si="5"/>
        <v>32</v>
      </c>
      <c r="T11" s="1060">
        <v>0</v>
      </c>
      <c r="U11" s="193">
        <f t="shared" si="6"/>
        <v>32</v>
      </c>
      <c r="V11" s="1060">
        <v>0</v>
      </c>
      <c r="W11" s="193">
        <f t="shared" si="7"/>
        <v>32</v>
      </c>
      <c r="X11" s="1060">
        <v>0</v>
      </c>
      <c r="Y11" s="193">
        <f t="shared" si="8"/>
        <v>32</v>
      </c>
      <c r="Z11" s="1060">
        <v>0</v>
      </c>
      <c r="AA11" s="193">
        <f t="shared" si="9"/>
        <v>32</v>
      </c>
      <c r="AB11" s="1060">
        <v>0</v>
      </c>
      <c r="AC11" s="193">
        <f t="shared" si="10"/>
        <v>32</v>
      </c>
      <c r="AD11" s="1060">
        <v>0</v>
      </c>
      <c r="AE11" s="193">
        <f t="shared" si="11"/>
        <v>32</v>
      </c>
      <c r="AF11" s="1060">
        <v>0</v>
      </c>
      <c r="AG11" s="193">
        <f t="shared" si="12"/>
        <v>32</v>
      </c>
      <c r="AH11" s="1060">
        <v>0</v>
      </c>
      <c r="AI11" s="193">
        <f t="shared" si="13"/>
        <v>32</v>
      </c>
      <c r="AJ11" s="1060">
        <v>0</v>
      </c>
      <c r="AK11" s="193">
        <f t="shared" si="14"/>
        <v>32</v>
      </c>
      <c r="AL11" s="1060">
        <v>0</v>
      </c>
      <c r="AM11" s="193">
        <f t="shared" si="15"/>
        <v>32</v>
      </c>
      <c r="AN11" s="1060">
        <v>0</v>
      </c>
      <c r="AO11" s="193">
        <f t="shared" si="16"/>
        <v>32</v>
      </c>
      <c r="AP11" s="1060">
        <v>0</v>
      </c>
      <c r="AQ11" s="193">
        <f t="shared" si="17"/>
        <v>32</v>
      </c>
      <c r="AR11" s="1060">
        <v>0</v>
      </c>
      <c r="AS11" s="193">
        <f t="shared" si="18"/>
        <v>32</v>
      </c>
      <c r="AT11" s="1060">
        <v>0</v>
      </c>
      <c r="AU11" s="193">
        <f t="shared" si="19"/>
        <v>32</v>
      </c>
      <c r="AV11" s="1060">
        <v>0</v>
      </c>
      <c r="AW11" s="193">
        <f t="shared" si="20"/>
        <v>32</v>
      </c>
      <c r="AX11" s="1060">
        <v>0</v>
      </c>
      <c r="AY11" s="193">
        <f t="shared" si="21"/>
        <v>32</v>
      </c>
      <c r="AZ11" s="1060">
        <v>0</v>
      </c>
      <c r="BA11" s="193">
        <f t="shared" si="22"/>
        <v>32</v>
      </c>
      <c r="BB11" s="1060">
        <v>0</v>
      </c>
      <c r="BC11" s="193">
        <f t="shared" si="23"/>
        <v>32</v>
      </c>
      <c r="BD11" s="1060">
        <v>0</v>
      </c>
      <c r="BE11" s="193">
        <f t="shared" si="24"/>
        <v>32</v>
      </c>
      <c r="BF11" s="1060">
        <v>0</v>
      </c>
      <c r="BG11" s="193">
        <f t="shared" si="25"/>
        <v>32</v>
      </c>
      <c r="BH11" s="1060">
        <v>0</v>
      </c>
      <c r="BI11" s="193">
        <f t="shared" si="26"/>
        <v>32</v>
      </c>
      <c r="BJ11" s="1060">
        <v>0</v>
      </c>
      <c r="BK11" s="193">
        <f t="shared" si="27"/>
        <v>32</v>
      </c>
      <c r="BL11" s="1060">
        <v>0</v>
      </c>
      <c r="BM11" s="193">
        <f t="shared" si="28"/>
        <v>32</v>
      </c>
      <c r="BN11" s="1060">
        <v>0</v>
      </c>
      <c r="BO11" s="193">
        <f t="shared" si="29"/>
        <v>32</v>
      </c>
      <c r="BP11" s="1060">
        <v>0</v>
      </c>
      <c r="BQ11" s="193">
        <f t="shared" si="30"/>
        <v>32</v>
      </c>
      <c r="BR11" s="1060">
        <v>0</v>
      </c>
      <c r="BS11" s="193">
        <f t="shared" si="31"/>
        <v>32</v>
      </c>
      <c r="BT11" s="1060">
        <v>0</v>
      </c>
      <c r="BU11" s="193">
        <f t="shared" si="32"/>
        <v>32</v>
      </c>
      <c r="BV11" s="1060">
        <v>0</v>
      </c>
      <c r="BW11" s="193">
        <f t="shared" si="33"/>
        <v>32</v>
      </c>
      <c r="BX11" s="1060">
        <v>0</v>
      </c>
      <c r="BY11" s="193">
        <f t="shared" si="34"/>
        <v>32</v>
      </c>
      <c r="BZ11" s="1060">
        <v>0</v>
      </c>
      <c r="CA11" s="193">
        <f t="shared" si="35"/>
        <v>32</v>
      </c>
      <c r="CB11" s="1060">
        <v>0</v>
      </c>
      <c r="CC11" s="193">
        <f t="shared" si="36"/>
        <v>32</v>
      </c>
      <c r="CD11" s="1060">
        <v>0</v>
      </c>
      <c r="CE11" s="193">
        <f t="shared" si="37"/>
        <v>32</v>
      </c>
      <c r="CF11" s="1060">
        <v>0</v>
      </c>
      <c r="CG11" s="193">
        <f t="shared" si="38"/>
        <v>32</v>
      </c>
      <c r="CH11" s="1060">
        <v>0</v>
      </c>
      <c r="CI11" s="193">
        <f t="shared" si="39"/>
        <v>32</v>
      </c>
      <c r="CJ11" s="1060">
        <v>0</v>
      </c>
      <c r="CK11" s="193">
        <f t="shared" si="40"/>
        <v>32</v>
      </c>
      <c r="CL11" s="1060">
        <v>0</v>
      </c>
      <c r="CM11" s="193">
        <f t="shared" si="41"/>
        <v>32</v>
      </c>
      <c r="CN11" s="1060">
        <v>0</v>
      </c>
      <c r="CO11" s="193">
        <f t="shared" si="42"/>
        <v>32</v>
      </c>
      <c r="CP11" s="1060">
        <v>0</v>
      </c>
      <c r="CQ11" s="193">
        <f t="shared" si="43"/>
        <v>32</v>
      </c>
      <c r="CR11" s="1060">
        <v>0</v>
      </c>
      <c r="CS11" s="193">
        <f t="shared" si="44"/>
        <v>32</v>
      </c>
      <c r="CT11" s="1060">
        <v>0</v>
      </c>
      <c r="CU11" s="193">
        <f t="shared" si="45"/>
        <v>32</v>
      </c>
      <c r="CV11" s="1060">
        <v>0</v>
      </c>
      <c r="CW11" s="193">
        <f t="shared" si="46"/>
        <v>32</v>
      </c>
      <c r="CX11" s="1060">
        <v>0</v>
      </c>
      <c r="CY11" s="193">
        <f t="shared" si="47"/>
        <v>32</v>
      </c>
      <c r="CZ11" s="1060">
        <v>0</v>
      </c>
      <c r="DA11" s="193">
        <f t="shared" si="48"/>
        <v>32</v>
      </c>
      <c r="DB11" s="1060">
        <v>0</v>
      </c>
      <c r="DC11" s="193">
        <f t="shared" si="49"/>
        <v>32</v>
      </c>
      <c r="DD11" s="1060">
        <v>0</v>
      </c>
      <c r="DE11" s="193">
        <f t="shared" si="50"/>
        <v>32</v>
      </c>
      <c r="DF11" s="1060">
        <v>0</v>
      </c>
      <c r="DG11" s="193">
        <f t="shared" si="51"/>
        <v>32</v>
      </c>
      <c r="DH11" s="1060">
        <v>0</v>
      </c>
      <c r="DI11" s="193">
        <f t="shared" si="52"/>
        <v>32</v>
      </c>
      <c r="DJ11" s="1060">
        <v>0</v>
      </c>
      <c r="DK11" s="193">
        <f t="shared" si="53"/>
        <v>32</v>
      </c>
      <c r="DL11" s="1060">
        <v>0</v>
      </c>
      <c r="DM11" s="193">
        <f t="shared" si="54"/>
        <v>32</v>
      </c>
      <c r="DN11" s="1060">
        <v>0</v>
      </c>
      <c r="DO11" s="193">
        <f t="shared" si="55"/>
        <v>32</v>
      </c>
      <c r="DP11" s="1060">
        <v>0</v>
      </c>
      <c r="DQ11" s="193">
        <f t="shared" si="56"/>
        <v>32</v>
      </c>
      <c r="DR11" s="1060">
        <v>0</v>
      </c>
      <c r="DS11" s="193">
        <f t="shared" si="57"/>
        <v>32</v>
      </c>
      <c r="DT11" s="1060">
        <v>0</v>
      </c>
      <c r="DU11" s="193">
        <f t="shared" si="58"/>
        <v>32</v>
      </c>
      <c r="DV11" s="1060">
        <v>0</v>
      </c>
      <c r="DW11" s="193">
        <f t="shared" si="59"/>
        <v>32</v>
      </c>
      <c r="DX11" s="1060">
        <v>0</v>
      </c>
      <c r="DY11" s="193">
        <f t="shared" si="60"/>
        <v>32</v>
      </c>
      <c r="DZ11" s="1060">
        <v>0</v>
      </c>
      <c r="EA11" s="193">
        <f t="shared" si="61"/>
        <v>32</v>
      </c>
      <c r="EB11" s="1060">
        <v>112</v>
      </c>
      <c r="EC11" s="193">
        <f t="shared" si="62"/>
        <v>-80</v>
      </c>
      <c r="ED11" s="1060">
        <v>192</v>
      </c>
      <c r="EE11" s="193">
        <f t="shared" si="63"/>
        <v>-272</v>
      </c>
      <c r="EF11" s="1060">
        <v>88</v>
      </c>
      <c r="EG11" s="193">
        <f t="shared" si="64"/>
        <v>-360</v>
      </c>
      <c r="EH11" s="1018">
        <v>136</v>
      </c>
      <c r="EI11" s="193">
        <f t="shared" si="65"/>
        <v>-496</v>
      </c>
      <c r="EJ11" s="1018">
        <v>0</v>
      </c>
      <c r="EK11" s="193">
        <f t="shared" si="66"/>
        <v>-496</v>
      </c>
    </row>
    <row r="12" spans="1:141" s="87" customFormat="1" ht="101.25" customHeight="1" thickBot="1">
      <c r="A12" s="458"/>
      <c r="B12" s="1058" t="s">
        <v>449</v>
      </c>
      <c r="C12" s="1252"/>
      <c r="D12" s="465" t="e">
        <f>AVERAGE(#REF!+#REF!,#REF!+#REF!,#REF!+#REF!,#REF!+#REF!,#REF!+#REF!,#REF!+#REF!,#REF!+#REF!)</f>
        <v>#REF!</v>
      </c>
      <c r="E12" s="1066">
        <v>80</v>
      </c>
      <c r="F12" s="1060">
        <v>0</v>
      </c>
      <c r="G12" s="193">
        <f t="shared" si="67"/>
        <v>80</v>
      </c>
      <c r="H12" s="1060">
        <v>0</v>
      </c>
      <c r="I12" s="193">
        <f t="shared" si="0"/>
        <v>80</v>
      </c>
      <c r="J12" s="1060">
        <v>0</v>
      </c>
      <c r="K12" s="193">
        <f t="shared" si="1"/>
        <v>80</v>
      </c>
      <c r="L12" s="1060">
        <v>0</v>
      </c>
      <c r="M12" s="193">
        <f t="shared" si="2"/>
        <v>80</v>
      </c>
      <c r="N12" s="1060">
        <v>0</v>
      </c>
      <c r="O12" s="193">
        <f t="shared" si="3"/>
        <v>80</v>
      </c>
      <c r="P12" s="1060">
        <v>0</v>
      </c>
      <c r="Q12" s="193">
        <f t="shared" si="4"/>
        <v>80</v>
      </c>
      <c r="R12" s="1060">
        <v>0</v>
      </c>
      <c r="S12" s="193">
        <f t="shared" si="5"/>
        <v>80</v>
      </c>
      <c r="T12" s="1060">
        <v>0</v>
      </c>
      <c r="U12" s="193">
        <f t="shared" si="6"/>
        <v>80</v>
      </c>
      <c r="V12" s="1060">
        <v>0</v>
      </c>
      <c r="W12" s="193">
        <f t="shared" si="7"/>
        <v>80</v>
      </c>
      <c r="X12" s="1060">
        <v>0</v>
      </c>
      <c r="Y12" s="193">
        <f t="shared" si="8"/>
        <v>80</v>
      </c>
      <c r="Z12" s="1060">
        <v>0</v>
      </c>
      <c r="AA12" s="193">
        <f t="shared" si="9"/>
        <v>80</v>
      </c>
      <c r="AB12" s="1060">
        <v>0</v>
      </c>
      <c r="AC12" s="193">
        <f t="shared" si="10"/>
        <v>80</v>
      </c>
      <c r="AD12" s="1060">
        <v>0</v>
      </c>
      <c r="AE12" s="193">
        <f t="shared" si="11"/>
        <v>80</v>
      </c>
      <c r="AF12" s="1060">
        <v>0</v>
      </c>
      <c r="AG12" s="193">
        <f t="shared" si="12"/>
        <v>80</v>
      </c>
      <c r="AH12" s="1060">
        <v>0</v>
      </c>
      <c r="AI12" s="193">
        <f t="shared" si="13"/>
        <v>80</v>
      </c>
      <c r="AJ12" s="1060">
        <v>0</v>
      </c>
      <c r="AK12" s="193">
        <f t="shared" si="14"/>
        <v>80</v>
      </c>
      <c r="AL12" s="1060">
        <v>0</v>
      </c>
      <c r="AM12" s="193">
        <f t="shared" si="15"/>
        <v>80</v>
      </c>
      <c r="AN12" s="1060">
        <v>0</v>
      </c>
      <c r="AO12" s="193">
        <f t="shared" si="16"/>
        <v>80</v>
      </c>
      <c r="AP12" s="1060">
        <v>0</v>
      </c>
      <c r="AQ12" s="193">
        <f t="shared" si="17"/>
        <v>80</v>
      </c>
      <c r="AR12" s="1060">
        <v>0</v>
      </c>
      <c r="AS12" s="193">
        <f t="shared" si="18"/>
        <v>80</v>
      </c>
      <c r="AT12" s="1060">
        <v>0</v>
      </c>
      <c r="AU12" s="193">
        <f t="shared" si="19"/>
        <v>80</v>
      </c>
      <c r="AV12" s="1060">
        <v>0</v>
      </c>
      <c r="AW12" s="193">
        <f t="shared" si="20"/>
        <v>80</v>
      </c>
      <c r="AX12" s="1060">
        <v>0</v>
      </c>
      <c r="AY12" s="193">
        <f t="shared" si="21"/>
        <v>80</v>
      </c>
      <c r="AZ12" s="1060">
        <v>0</v>
      </c>
      <c r="BA12" s="193">
        <f t="shared" si="22"/>
        <v>80</v>
      </c>
      <c r="BB12" s="1060">
        <v>0</v>
      </c>
      <c r="BC12" s="193">
        <f t="shared" si="23"/>
        <v>80</v>
      </c>
      <c r="BD12" s="1060">
        <v>0</v>
      </c>
      <c r="BE12" s="193">
        <f t="shared" si="24"/>
        <v>80</v>
      </c>
      <c r="BF12" s="1060">
        <v>0</v>
      </c>
      <c r="BG12" s="193">
        <f t="shared" si="25"/>
        <v>80</v>
      </c>
      <c r="BH12" s="1060">
        <v>0</v>
      </c>
      <c r="BI12" s="193">
        <f t="shared" si="26"/>
        <v>80</v>
      </c>
      <c r="BJ12" s="1060">
        <v>0</v>
      </c>
      <c r="BK12" s="193">
        <f t="shared" si="27"/>
        <v>80</v>
      </c>
      <c r="BL12" s="1060">
        <v>0</v>
      </c>
      <c r="BM12" s="193">
        <f t="shared" si="28"/>
        <v>80</v>
      </c>
      <c r="BN12" s="1060">
        <v>0</v>
      </c>
      <c r="BO12" s="193">
        <f t="shared" si="29"/>
        <v>80</v>
      </c>
      <c r="BP12" s="1060">
        <v>0</v>
      </c>
      <c r="BQ12" s="193">
        <f t="shared" si="30"/>
        <v>80</v>
      </c>
      <c r="BR12" s="1060">
        <v>0</v>
      </c>
      <c r="BS12" s="193">
        <f t="shared" si="31"/>
        <v>80</v>
      </c>
      <c r="BT12" s="1060">
        <v>0</v>
      </c>
      <c r="BU12" s="193">
        <f t="shared" si="32"/>
        <v>80</v>
      </c>
      <c r="BV12" s="1060">
        <v>0</v>
      </c>
      <c r="BW12" s="193">
        <f t="shared" si="33"/>
        <v>80</v>
      </c>
      <c r="BX12" s="1060">
        <v>0</v>
      </c>
      <c r="BY12" s="193">
        <f t="shared" si="34"/>
        <v>80</v>
      </c>
      <c r="BZ12" s="1060">
        <v>0</v>
      </c>
      <c r="CA12" s="193">
        <f t="shared" si="35"/>
        <v>80</v>
      </c>
      <c r="CB12" s="1060">
        <v>0</v>
      </c>
      <c r="CC12" s="193">
        <f t="shared" si="36"/>
        <v>80</v>
      </c>
      <c r="CD12" s="1060">
        <v>0</v>
      </c>
      <c r="CE12" s="193">
        <f t="shared" si="37"/>
        <v>80</v>
      </c>
      <c r="CF12" s="1060">
        <v>0</v>
      </c>
      <c r="CG12" s="193">
        <f t="shared" si="38"/>
        <v>80</v>
      </c>
      <c r="CH12" s="1018">
        <v>0</v>
      </c>
      <c r="CI12" s="193">
        <f t="shared" si="39"/>
        <v>80</v>
      </c>
      <c r="CJ12" s="1060">
        <v>0</v>
      </c>
      <c r="CK12" s="193">
        <f t="shared" si="40"/>
        <v>80</v>
      </c>
      <c r="CL12" s="1060">
        <v>0</v>
      </c>
      <c r="CM12" s="193">
        <f t="shared" si="41"/>
        <v>80</v>
      </c>
      <c r="CN12" s="1060">
        <v>0</v>
      </c>
      <c r="CO12" s="193">
        <f t="shared" si="42"/>
        <v>80</v>
      </c>
      <c r="CP12" s="1060">
        <v>0</v>
      </c>
      <c r="CQ12" s="193">
        <f t="shared" si="43"/>
        <v>80</v>
      </c>
      <c r="CR12" s="1060">
        <v>0</v>
      </c>
      <c r="CS12" s="193">
        <f t="shared" si="44"/>
        <v>80</v>
      </c>
      <c r="CT12" s="1060">
        <v>0</v>
      </c>
      <c r="CU12" s="193">
        <f t="shared" si="45"/>
        <v>80</v>
      </c>
      <c r="CV12" s="1060">
        <v>0</v>
      </c>
      <c r="CW12" s="193">
        <f t="shared" si="46"/>
        <v>80</v>
      </c>
      <c r="CX12" s="1060">
        <v>0</v>
      </c>
      <c r="CY12" s="193">
        <f t="shared" si="47"/>
        <v>80</v>
      </c>
      <c r="CZ12" s="1060">
        <v>0</v>
      </c>
      <c r="DA12" s="193">
        <f t="shared" si="48"/>
        <v>80</v>
      </c>
      <c r="DB12" s="1060">
        <v>0</v>
      </c>
      <c r="DC12" s="193">
        <f t="shared" si="49"/>
        <v>80</v>
      </c>
      <c r="DD12" s="1060">
        <v>0</v>
      </c>
      <c r="DE12" s="193">
        <f t="shared" si="50"/>
        <v>80</v>
      </c>
      <c r="DF12" s="1060">
        <v>0</v>
      </c>
      <c r="DG12" s="193">
        <f t="shared" si="51"/>
        <v>80</v>
      </c>
      <c r="DH12" s="1060">
        <v>0</v>
      </c>
      <c r="DI12" s="193">
        <f t="shared" si="52"/>
        <v>80</v>
      </c>
      <c r="DJ12" s="1060">
        <v>0</v>
      </c>
      <c r="DK12" s="193">
        <f t="shared" si="53"/>
        <v>80</v>
      </c>
      <c r="DL12" s="1060">
        <v>0</v>
      </c>
      <c r="DM12" s="193">
        <f t="shared" si="54"/>
        <v>80</v>
      </c>
      <c r="DN12" s="1060">
        <v>0</v>
      </c>
      <c r="DO12" s="193">
        <f t="shared" si="55"/>
        <v>80</v>
      </c>
      <c r="DP12" s="1060">
        <v>0</v>
      </c>
      <c r="DQ12" s="193">
        <f t="shared" si="56"/>
        <v>80</v>
      </c>
      <c r="DR12" s="1060">
        <v>0</v>
      </c>
      <c r="DS12" s="193">
        <f t="shared" si="57"/>
        <v>80</v>
      </c>
      <c r="DT12" s="1060">
        <v>0</v>
      </c>
      <c r="DU12" s="193">
        <f t="shared" si="58"/>
        <v>80</v>
      </c>
      <c r="DV12" s="1060">
        <v>0</v>
      </c>
      <c r="DW12" s="193">
        <f t="shared" si="59"/>
        <v>80</v>
      </c>
      <c r="DX12" s="1060">
        <v>40</v>
      </c>
      <c r="DY12" s="193">
        <f t="shared" si="60"/>
        <v>40</v>
      </c>
      <c r="DZ12" s="1060">
        <v>16</v>
      </c>
      <c r="EA12" s="193">
        <f t="shared" si="61"/>
        <v>24</v>
      </c>
      <c r="EB12" s="1060">
        <v>24</v>
      </c>
      <c r="EC12" s="193">
        <f t="shared" si="62"/>
        <v>0</v>
      </c>
      <c r="ED12" s="1018">
        <v>72</v>
      </c>
      <c r="EE12" s="193">
        <f t="shared" si="63"/>
        <v>-72</v>
      </c>
      <c r="EF12" s="1018">
        <v>56</v>
      </c>
      <c r="EG12" s="193">
        <f t="shared" si="64"/>
        <v>-128</v>
      </c>
      <c r="EH12" s="1018">
        <v>80</v>
      </c>
      <c r="EI12" s="193">
        <f t="shared" si="65"/>
        <v>-208</v>
      </c>
      <c r="EJ12" s="1018">
        <v>64</v>
      </c>
      <c r="EK12" s="193">
        <f t="shared" si="66"/>
        <v>-272</v>
      </c>
    </row>
    <row r="13" spans="1:141" ht="48.75" customHeight="1" thickBot="1">
      <c r="A13" s="85"/>
      <c r="B13" s="697"/>
      <c r="C13" s="457"/>
      <c r="D13" s="457"/>
      <c r="E13" s="1067">
        <f>E6+E7+E8+E9+E10+E11+E12</f>
        <v>1717</v>
      </c>
      <c r="F13" s="1067">
        <f>F6+F12+F7+F9+F11+F10+F8</f>
        <v>0</v>
      </c>
      <c r="G13" s="1067">
        <f>SUMIF(G6:G12,"&lt;0")</f>
        <v>0</v>
      </c>
      <c r="H13" s="1067">
        <f>H6+H12+H7+H9+H11+H10+H8</f>
        <v>0</v>
      </c>
      <c r="I13" s="1067">
        <f>SUMIF(I6:I12,"&lt;0")</f>
        <v>0</v>
      </c>
      <c r="J13" s="1067">
        <f>J6+J12+J7+J9+J11+J10+J8</f>
        <v>0</v>
      </c>
      <c r="K13" s="1067">
        <f>SUMIF(K6:K12,"&lt;0")</f>
        <v>0</v>
      </c>
      <c r="L13" s="1067">
        <f>L6+L12+L7+L9+L11+L10+L8</f>
        <v>0</v>
      </c>
      <c r="M13" s="1067">
        <f>SUMIF(M6:M12,"&lt;0")</f>
        <v>0</v>
      </c>
      <c r="N13" s="1067">
        <v>0</v>
      </c>
      <c r="O13" s="1067">
        <f>SUMIF(O6:O12,"&lt;0")</f>
        <v>0</v>
      </c>
      <c r="P13" s="1067">
        <v>0</v>
      </c>
      <c r="Q13" s="1067">
        <f>SUMIF(Q6:Q12,"&lt;0")</f>
        <v>0</v>
      </c>
      <c r="R13" s="1067">
        <f>R6+R12+R7+R9+R11+R10+R8</f>
        <v>0</v>
      </c>
      <c r="S13" s="1067">
        <f>SUMIF(S6:S12,"&lt;0")</f>
        <v>0</v>
      </c>
      <c r="T13" s="1067">
        <f>T6+T12+T7+T9+T11+T10+T8</f>
        <v>0</v>
      </c>
      <c r="U13" s="1067">
        <f>SUMIF(U6:U12,"&lt;0")</f>
        <v>0</v>
      </c>
      <c r="V13" s="1067">
        <f>V6+V12+V7+V9+V11+V10+V8</f>
        <v>0</v>
      </c>
      <c r="W13" s="1067">
        <f>SUMIF(W6:W12,"&lt;0")</f>
        <v>0</v>
      </c>
      <c r="X13" s="1067">
        <f>X6+X12+X7+X9+X11+X10+X8</f>
        <v>0</v>
      </c>
      <c r="Y13" s="1067">
        <f>SUMIF(Y6:Y12,"&lt;0")</f>
        <v>0</v>
      </c>
      <c r="Z13" s="1067">
        <f>Z6+Z12+Z7+Z9+Z11+Z10+Z8</f>
        <v>0</v>
      </c>
      <c r="AA13" s="1067">
        <f>SUMIF(AA6:AA12,"&lt;0")</f>
        <v>0</v>
      </c>
      <c r="AB13" s="1067">
        <f>AB6+AB12+AB7+AB9+AB11+AB10+AB8</f>
        <v>0</v>
      </c>
      <c r="AC13" s="1067">
        <f>SUMIF(AC6:AC12,"&lt;0")</f>
        <v>0</v>
      </c>
      <c r="AD13" s="1067">
        <f>AD6+AD12+AD7+AD9+AD11+AD10+AD8</f>
        <v>0</v>
      </c>
      <c r="AE13" s="1067">
        <f>SUMIF(AE6:AE12,"&lt;0")</f>
        <v>0</v>
      </c>
      <c r="AF13" s="1067">
        <f>AF6+AF12+AF7+AF9+AF11+AF10+AF8</f>
        <v>0</v>
      </c>
      <c r="AG13" s="1067">
        <f>SUMIF(AG6:AG12,"&lt;0")</f>
        <v>0</v>
      </c>
      <c r="AH13" s="1067">
        <f>AH6+AH12+AH7+AH9+AH11+AH10+AH8</f>
        <v>0</v>
      </c>
      <c r="AI13" s="1067">
        <f>SUMIF(AI6:AI12,"&lt;0")</f>
        <v>0</v>
      </c>
      <c r="AJ13" s="1067">
        <f>AJ6+AJ12+AJ7+AJ9+AJ11+AJ10+AJ8</f>
        <v>0</v>
      </c>
      <c r="AK13" s="1067">
        <f>SUMIF(AK6:AK12,"&lt;0")</f>
        <v>0</v>
      </c>
      <c r="AL13" s="1067">
        <f>AL6+AL12+AL7+AL9+AL11+AL10+AL8</f>
        <v>0</v>
      </c>
      <c r="AM13" s="1067">
        <f>SUMIF(AM6:AM12,"&lt;0")</f>
        <v>0</v>
      </c>
      <c r="AN13" s="1067">
        <f>AN6+AN12+AN7+AN9+AN11+AN10+AN8</f>
        <v>0</v>
      </c>
      <c r="AO13" s="1067">
        <f>SUMIF(AO6:AO12,"&lt;0")</f>
        <v>0</v>
      </c>
      <c r="AP13" s="1067">
        <f>AP6+AP12+AP7+AP9+AP11+AP10+AP8</f>
        <v>0</v>
      </c>
      <c r="AQ13" s="1067">
        <f>SUMIF(AQ6:AQ12,"&lt;0")</f>
        <v>0</v>
      </c>
      <c r="AR13" s="1067">
        <f>AR6+AR12+AR7+AR9+AR11+AR10+AR8</f>
        <v>0</v>
      </c>
      <c r="AS13" s="1067">
        <f>SUMIF(AS6:AS12,"&lt;0")</f>
        <v>0</v>
      </c>
      <c r="AT13" s="1067">
        <f>AT6+AT12+AT7+AT9+AT11+AT10+AT8</f>
        <v>0</v>
      </c>
      <c r="AU13" s="1067">
        <f>SUMIF(AU6:AU12,"&lt;0")</f>
        <v>0</v>
      </c>
      <c r="AV13" s="1067">
        <f>AV6+AV12+AV7+AV9+AV11+AV10+AV8</f>
        <v>0</v>
      </c>
      <c r="AW13" s="1067">
        <f>SUMIF(AW6:AW12,"&lt;0")</f>
        <v>0</v>
      </c>
      <c r="AX13" s="1067">
        <f>AX6+AX12+AX7+AX9+AX11+AX10+AX8</f>
        <v>0</v>
      </c>
      <c r="AY13" s="1067">
        <f>SUMIF(AY6:AY12,"&lt;0")</f>
        <v>0</v>
      </c>
      <c r="AZ13" s="1067">
        <f>AZ6+AZ12+AZ7+AZ9+AZ11+AZ10+AZ8</f>
        <v>0</v>
      </c>
      <c r="BA13" s="1067">
        <f>SUMIF(BA6:BA12,"&lt;0")</f>
        <v>0</v>
      </c>
      <c r="BB13" s="1067">
        <f>BB6+BB12+BB7+BB9+BB11+BB10+BB8</f>
        <v>0</v>
      </c>
      <c r="BC13" s="1067">
        <f>SUMIF(BC6:BC12,"&lt;0")</f>
        <v>0</v>
      </c>
      <c r="BD13" s="1067">
        <f>BD6+BD12+BD7+BD9+BD11+BD10+BD8</f>
        <v>0</v>
      </c>
      <c r="BE13" s="1067">
        <f>SUMIF(BE6:BE12,"&lt;0")</f>
        <v>0</v>
      </c>
      <c r="BF13" s="1067">
        <v>0</v>
      </c>
      <c r="BG13" s="1067">
        <f>SUMIF(BG6:BG12,"&lt;0")</f>
        <v>0</v>
      </c>
      <c r="BH13" s="1067">
        <f>BH6+BH12+BH7+BH9+BH11+BH10+BH8</f>
        <v>0</v>
      </c>
      <c r="BI13" s="1067">
        <f>SUMIF(BI6:BI12,"&lt;0")</f>
        <v>0</v>
      </c>
      <c r="BJ13" s="1067">
        <f>BJ6+BJ12+BJ7+BJ9+BJ11+BJ10+BJ8</f>
        <v>0</v>
      </c>
      <c r="BK13" s="1067">
        <f>SUMIF(BK6:BK12,"&lt;0")</f>
        <v>0</v>
      </c>
      <c r="BL13" s="1067">
        <f>BL6+BL12+BL7+BL9+BL11+BL10+BL8</f>
        <v>0</v>
      </c>
      <c r="BM13" s="1067">
        <f>SUMIF(BM6:BM12,"&lt;0")</f>
        <v>0</v>
      </c>
      <c r="BN13" s="1067">
        <f>BN6+BN12+BN7+BN9+BN11+BN10+BN8</f>
        <v>0</v>
      </c>
      <c r="BO13" s="1067">
        <f>SUMIF(BO6:BO12,"&lt;0")</f>
        <v>0</v>
      </c>
      <c r="BP13" s="1067">
        <f>BP6+BP12+BP7+BP9+BP11+BP10+BP8</f>
        <v>0</v>
      </c>
      <c r="BQ13" s="1067">
        <f>SUMIF(BQ6:BQ12,"&lt;0")</f>
        <v>0</v>
      </c>
      <c r="BR13" s="1067">
        <f>BR6+BR12+BR7+BR9+BR11+BR10+BR8</f>
        <v>0</v>
      </c>
      <c r="BS13" s="1067">
        <f>SUMIF(BS6:BS12,"&lt;0")</f>
        <v>0</v>
      </c>
      <c r="BT13" s="1067">
        <f>BT6+BT12+BT7+BT9+BT11+BT10+BT8</f>
        <v>0</v>
      </c>
      <c r="BU13" s="1067">
        <f>SUMIF(BU6:BU12,"&lt;0")</f>
        <v>0</v>
      </c>
      <c r="BV13" s="1067">
        <f>BV6+BV12+BV7+BV9+BV11+BV10+BV8</f>
        <v>0</v>
      </c>
      <c r="BW13" s="1067">
        <f>SUMIF(BW6:BW12,"&lt;0")</f>
        <v>0</v>
      </c>
      <c r="BX13" s="1067">
        <f>BX6+BX12+BX7+BX9+BX11+BX10+BX8</f>
        <v>0</v>
      </c>
      <c r="BY13" s="1067">
        <f>SUMIF(BY6:BY12,"&lt;0")</f>
        <v>0</v>
      </c>
      <c r="BZ13" s="1067">
        <f>BZ6+BZ12+BZ7+BZ9+BZ11+BZ10+BZ8</f>
        <v>0</v>
      </c>
      <c r="CA13" s="1067">
        <f>SUMIF(CA6:CA12,"&lt;0")</f>
        <v>0</v>
      </c>
      <c r="CB13" s="1067">
        <f>CB6+CB12+CB7+CB9+CB11+CB10+CB8</f>
        <v>0</v>
      </c>
      <c r="CC13" s="1067">
        <f>SUMIF(CC6:CC12,"&lt;0")</f>
        <v>0</v>
      </c>
      <c r="CD13" s="1067">
        <f>CD6+CD12+CD7+CD9+CD11+CD10+CD8</f>
        <v>0</v>
      </c>
      <c r="CE13" s="1067">
        <f>SUMIF(CE6:CE12,"&lt;0")</f>
        <v>0</v>
      </c>
      <c r="CF13" s="1067"/>
      <c r="CG13" s="1067">
        <f>SUMIF(CG6:CG12,"&lt;0")</f>
        <v>0</v>
      </c>
      <c r="CH13" s="1067">
        <f>CH6+CH12+CH7+CH9+CH11+CH10+CH8</f>
        <v>0</v>
      </c>
      <c r="CI13" s="1067">
        <f>SUMIF(CI6:CI12,"&lt;0")</f>
        <v>0</v>
      </c>
      <c r="CJ13" s="1067"/>
      <c r="CK13" s="1067">
        <f>SUMIF(CK6:CK12,"&lt;0")</f>
        <v>0</v>
      </c>
      <c r="CL13" s="1067">
        <f>CL6+CL12+CL7+CL9+CL11+CL10+CL8</f>
        <v>0</v>
      </c>
      <c r="CM13" s="1067">
        <f>SUMIF(CM6:CM12,"&lt;0")</f>
        <v>0</v>
      </c>
      <c r="CN13" s="1067">
        <v>0</v>
      </c>
      <c r="CO13" s="1067">
        <f>SUMIF(CO6:CO12,"&lt;0")</f>
        <v>0</v>
      </c>
      <c r="CP13" s="1067">
        <f>CP6+CP12+CP7+CP9+CP11+CP10+CP8</f>
        <v>0</v>
      </c>
      <c r="CQ13" s="1067">
        <f>SUMIF(CQ6:CQ12,"&lt;0")</f>
        <v>0</v>
      </c>
      <c r="CR13" s="1067">
        <v>0</v>
      </c>
      <c r="CS13" s="1067">
        <f>SUMIF(CS6:CS12,"&lt;0")</f>
        <v>0</v>
      </c>
      <c r="CT13" s="1067">
        <f>CT6+CT12+CT7+CT9+CT11+CT10+CT8</f>
        <v>0</v>
      </c>
      <c r="CU13" s="1067">
        <f>SUMIF(CU6:CU12,"&lt;0")</f>
        <v>0</v>
      </c>
      <c r="CV13" s="1067">
        <f>CV6+CV12+CV7+CV9+CV11+CV10+CV8</f>
        <v>0</v>
      </c>
      <c r="CW13" s="1067">
        <f>SUMIF(CW6:CW12,"&lt;0")</f>
        <v>0</v>
      </c>
      <c r="CX13" s="1067">
        <f>CX6+CX12+CX7+CX9+CX11+CX10+CX8</f>
        <v>0</v>
      </c>
      <c r="CY13" s="1067">
        <f>SUMIF(CY6:CY12,"&lt;0")</f>
        <v>0</v>
      </c>
      <c r="CZ13" s="1067">
        <f>CZ6+CZ12+CZ7+CZ9+CZ11+CZ10+CZ8</f>
        <v>0</v>
      </c>
      <c r="DA13" s="1067">
        <f>SUMIF(DA6:DA12,"&lt;0")</f>
        <v>0</v>
      </c>
      <c r="DB13" s="1067">
        <f>DB6+DB12+DB7+DB9+DB11+DB10+DB8</f>
        <v>0</v>
      </c>
      <c r="DC13" s="1067">
        <f>SUMIF(DC6:DC12,"&lt;0")</f>
        <v>0</v>
      </c>
      <c r="DD13" s="1067">
        <f>DD6+DD12+DD7+DD9+DD11+DD10+DD8</f>
        <v>0</v>
      </c>
      <c r="DE13" s="1067">
        <f>SUMIF(DE6:DE12,"&lt;0")</f>
        <v>0</v>
      </c>
      <c r="DF13" s="1067">
        <f>DF6+DF12+DF7+DF9+DF11+DF10+DF8</f>
        <v>0</v>
      </c>
      <c r="DG13" s="1067">
        <f>SUMIF(DG6:DG12,"&lt;0")</f>
        <v>0</v>
      </c>
      <c r="DH13" s="1067">
        <f>DH6+DH12+DH7+DH9+DH11+DH10+DH8</f>
        <v>0</v>
      </c>
      <c r="DI13" s="1067">
        <f>SUMIF(DI6:DI12,"&lt;0")</f>
        <v>0</v>
      </c>
      <c r="DJ13" s="1067">
        <f>DJ6+DJ12+DJ7+DJ9+DJ11+DJ10+DJ8</f>
        <v>0</v>
      </c>
      <c r="DK13" s="1067">
        <f>SUMIF(DK6:DK12,"&lt;0")</f>
        <v>0</v>
      </c>
      <c r="DL13" s="1067">
        <f>DL6+DL12+DL7+DL9+DL11+DL10+DL8</f>
        <v>0</v>
      </c>
      <c r="DM13" s="1067">
        <f>SUMIF(DM6:DM12,"&lt;0")</f>
        <v>0</v>
      </c>
      <c r="DN13" s="1067">
        <f>DN6+DN12+DN7+DN9+DN11+DN10+DN8</f>
        <v>0</v>
      </c>
      <c r="DO13" s="1067">
        <f>SUMIF(DO6:DO12,"&lt;0")</f>
        <v>0</v>
      </c>
      <c r="DP13" s="1067">
        <f>DP6+DP12+DP7+DP9+DP11+DP10+DP8</f>
        <v>0</v>
      </c>
      <c r="DQ13" s="1067">
        <f>SUMIF(DQ6:DQ12,"&lt;0")</f>
        <v>0</v>
      </c>
      <c r="DR13" s="1067">
        <f>DR6+DR12+DR7+DR9+DR11+DR10+DR8</f>
        <v>0</v>
      </c>
      <c r="DS13" s="1067">
        <f>SUMIF(DS6:DS12,"&lt;0")</f>
        <v>0</v>
      </c>
      <c r="DT13" s="1067">
        <f>DT6+DT12+DT7+DT9+DT11+DT10+DT8</f>
        <v>0</v>
      </c>
      <c r="DU13" s="1067">
        <f>SUMIF(DU6:DU12,"&lt;0")</f>
        <v>0</v>
      </c>
      <c r="DV13" s="1067">
        <v>0</v>
      </c>
      <c r="DW13" s="1067">
        <f>SUMIF(DW6:DW12,"&lt;0")</f>
        <v>0</v>
      </c>
      <c r="DX13" s="1067">
        <f>DX6+DX12+DX7+DX9+DX11+DX10+DX8</f>
        <v>312</v>
      </c>
      <c r="DY13" s="1067">
        <f>SUMIF(DY6:DY12,"&lt;0")</f>
        <v>0</v>
      </c>
      <c r="DZ13" s="1067">
        <f>DZ6+DZ12+DZ7+DZ9+DZ11+DZ10+DZ8</f>
        <v>384</v>
      </c>
      <c r="EA13" s="1067">
        <f>SUMIF(EA6:EA12,"&lt;0")</f>
        <v>0</v>
      </c>
      <c r="EB13" s="1067">
        <f>EB6+EB12+EB7+EB9+EB11+EB10+EB8</f>
        <v>536</v>
      </c>
      <c r="EC13" s="1067">
        <f>SUMIF(EC6:EC12,"&lt;0")</f>
        <v>-80</v>
      </c>
      <c r="ED13" s="1067">
        <f>ED6+ED12+ED7+ED9+ED11+ED10+ED8</f>
        <v>648</v>
      </c>
      <c r="EE13" s="1067">
        <f>SUMIF(EE6:EE12,"&lt;0")</f>
        <v>-344</v>
      </c>
      <c r="EF13" s="1067">
        <f>EF6+EF12+EF7+EF9+EF11+EF10+EF8</f>
        <v>592</v>
      </c>
      <c r="EG13" s="1067">
        <f>SUMIF(EG6:EG12,"&lt;0")</f>
        <v>-779</v>
      </c>
      <c r="EH13" s="1067">
        <f>EH6+EH12+EH7+EH9+EH11+EH10+EH8</f>
        <v>568</v>
      </c>
      <c r="EI13" s="1067">
        <f>SUMIF(EI6:EI12,"&lt;0")</f>
        <v>-1331</v>
      </c>
      <c r="EJ13" s="1067">
        <f>EJ6+EJ12+EJ7+EJ9+EJ11+EJ10+EJ8</f>
        <v>336</v>
      </c>
      <c r="EK13" s="1067">
        <f>SUMIF(EK6:EK12,"&lt;0")</f>
        <v>-1667</v>
      </c>
    </row>
    <row r="14" spans="1:141" ht="48.75" customHeight="1" thickBot="1">
      <c r="A14" s="85"/>
      <c r="B14" s="697"/>
      <c r="C14" s="1068" t="s">
        <v>644</v>
      </c>
      <c r="D14" s="457"/>
      <c r="E14" s="1069">
        <f>E13</f>
        <v>1717</v>
      </c>
      <c r="F14" s="1067"/>
      <c r="G14" s="1067"/>
      <c r="H14" s="1067"/>
      <c r="I14" s="1067"/>
      <c r="J14" s="1067"/>
      <c r="K14" s="1067"/>
      <c r="L14" s="1067"/>
      <c r="M14" s="1067"/>
      <c r="N14" s="1067"/>
      <c r="O14" s="1067"/>
      <c r="P14" s="1067"/>
      <c r="Q14" s="1067"/>
      <c r="R14" s="1067"/>
      <c r="S14" s="1067"/>
      <c r="T14" s="1067"/>
      <c r="U14" s="1067"/>
      <c r="V14" s="1067"/>
      <c r="W14" s="1067"/>
      <c r="X14" s="1067"/>
      <c r="Y14" s="1067"/>
      <c r="Z14" s="1067"/>
      <c r="AA14" s="1067"/>
      <c r="AB14" s="1067"/>
      <c r="AC14" s="1067"/>
      <c r="AD14" s="1067"/>
      <c r="AE14" s="1067"/>
      <c r="AF14" s="1067"/>
      <c r="AG14" s="1067"/>
      <c r="AH14" s="1067"/>
      <c r="AI14" s="1067"/>
      <c r="AJ14" s="1067"/>
      <c r="AK14" s="1067"/>
      <c r="AL14" s="1067"/>
      <c r="AM14" s="1067"/>
      <c r="AN14" s="1067"/>
      <c r="AO14" s="1067"/>
      <c r="AP14" s="1067"/>
      <c r="AQ14" s="1067"/>
      <c r="AR14" s="1067"/>
      <c r="AS14" s="1067"/>
      <c r="AT14" s="1067"/>
      <c r="AU14" s="1067"/>
      <c r="AV14" s="1067"/>
      <c r="AW14" s="1067"/>
      <c r="AX14" s="1067"/>
      <c r="AY14" s="1067"/>
      <c r="AZ14" s="1067"/>
      <c r="BA14" s="1067"/>
      <c r="BB14" s="1067"/>
      <c r="BC14" s="1067"/>
      <c r="BD14" s="1067"/>
      <c r="BE14" s="1067"/>
      <c r="BF14" s="1067"/>
      <c r="BG14" s="1067"/>
      <c r="BH14" s="1067"/>
      <c r="BI14" s="1067"/>
      <c r="BJ14" s="1067"/>
      <c r="BK14" s="1067"/>
      <c r="BL14" s="1067"/>
      <c r="BM14" s="1067"/>
      <c r="BN14" s="1067"/>
      <c r="BO14" s="1067"/>
      <c r="BP14" s="1067"/>
      <c r="BQ14" s="1067"/>
      <c r="BR14" s="1067"/>
      <c r="BS14" s="1067"/>
      <c r="BT14" s="1067"/>
      <c r="BU14" s="1067"/>
      <c r="BV14" s="1067"/>
      <c r="BW14" s="1067"/>
      <c r="BX14" s="1067"/>
      <c r="BY14" s="1067"/>
      <c r="BZ14" s="1067"/>
      <c r="CA14" s="1067"/>
      <c r="CB14" s="1067"/>
      <c r="CC14" s="1067"/>
      <c r="CD14" s="1067"/>
      <c r="CE14" s="1067"/>
      <c r="CF14" s="1067"/>
      <c r="CG14" s="1067"/>
      <c r="CH14" s="1067"/>
      <c r="CI14" s="1067"/>
      <c r="CJ14" s="1067"/>
      <c r="CK14" s="1067"/>
      <c r="CL14" s="1067"/>
      <c r="CM14" s="1067"/>
      <c r="CN14" s="1067"/>
      <c r="CO14" s="1067"/>
      <c r="CP14" s="1067"/>
      <c r="CQ14" s="1067"/>
      <c r="CR14" s="1067"/>
      <c r="CS14" s="1067"/>
      <c r="CT14" s="1067"/>
      <c r="CU14" s="1067"/>
      <c r="CV14" s="1067"/>
      <c r="CW14" s="1067"/>
      <c r="CX14" s="1067"/>
      <c r="CY14" s="1067"/>
      <c r="CZ14" s="1067"/>
      <c r="DA14" s="1067"/>
      <c r="DB14" s="1067"/>
      <c r="DC14" s="1067"/>
      <c r="DD14" s="1067"/>
      <c r="DE14" s="1067"/>
      <c r="DF14" s="1069">
        <v>0</v>
      </c>
      <c r="DG14" s="1069">
        <f>SUMIF(DG6:DG12,"&gt;0")+DF14</f>
        <v>1717</v>
      </c>
      <c r="DH14" s="1069">
        <v>0</v>
      </c>
      <c r="DI14" s="1069">
        <f>DG14-DH13+DH14</f>
        <v>1717</v>
      </c>
      <c r="DJ14" s="1069">
        <v>0</v>
      </c>
      <c r="DK14" s="1069">
        <f>DI14-DJ13+DJ14</f>
        <v>1717</v>
      </c>
      <c r="DL14" s="1069">
        <v>0</v>
      </c>
      <c r="DM14" s="1069">
        <f>DK14-DL13+DL14</f>
        <v>1717</v>
      </c>
      <c r="DN14" s="1069">
        <v>0</v>
      </c>
      <c r="DO14" s="1069">
        <f>E14+DN14-DN13</f>
        <v>1717</v>
      </c>
      <c r="DP14" s="1069">
        <v>0</v>
      </c>
      <c r="DQ14" s="1069">
        <f>DO14-DP13+DP14</f>
        <v>1717</v>
      </c>
      <c r="DR14" s="1069">
        <v>0</v>
      </c>
      <c r="DS14" s="1069">
        <f>DQ14-DR13+DR14</f>
        <v>1717</v>
      </c>
      <c r="DT14" s="1069">
        <v>0</v>
      </c>
      <c r="DU14" s="1069">
        <f>DS14-DT13+DT14</f>
        <v>1717</v>
      </c>
      <c r="DV14" s="1069">
        <v>0</v>
      </c>
      <c r="DW14" s="1069">
        <f>DU14-DV13+DV14</f>
        <v>1717</v>
      </c>
      <c r="DX14" s="1069">
        <v>560</v>
      </c>
      <c r="DY14" s="1069">
        <f>DW14-DX13+DX14</f>
        <v>1965</v>
      </c>
      <c r="DZ14" s="1069">
        <v>560</v>
      </c>
      <c r="EA14" s="1069">
        <f>DY14-DZ13+DZ14</f>
        <v>2141</v>
      </c>
      <c r="EB14" s="1069">
        <v>560</v>
      </c>
      <c r="EC14" s="1069">
        <f>EA14-EB13+EB14</f>
        <v>2165</v>
      </c>
      <c r="ED14" s="1069">
        <v>560</v>
      </c>
      <c r="EE14" s="1069">
        <f>EC14-ED13+ED14</f>
        <v>2077</v>
      </c>
      <c r="EF14" s="1069">
        <v>561</v>
      </c>
      <c r="EG14" s="1069">
        <f>EE14-EF13+EF14</f>
        <v>2046</v>
      </c>
      <c r="EH14" s="1069">
        <v>561</v>
      </c>
      <c r="EI14" s="1069">
        <f>EG14-EH13+EH14</f>
        <v>2039</v>
      </c>
      <c r="EJ14" s="1069">
        <v>562</v>
      </c>
      <c r="EK14" s="1069">
        <f>EI14-EJ13+EJ14</f>
        <v>2265</v>
      </c>
    </row>
    <row r="15" spans="1:141" ht="48.75" customHeight="1" thickBot="1">
      <c r="A15" s="85"/>
      <c r="B15" s="697"/>
      <c r="C15" s="1068" t="s">
        <v>474</v>
      </c>
      <c r="D15" s="575"/>
      <c r="E15" s="1069">
        <f>E13/8</f>
        <v>214.625</v>
      </c>
      <c r="F15" s="1069">
        <f t="shared" ref="F15:BQ15" si="68">F13/8</f>
        <v>0</v>
      </c>
      <c r="G15" s="1069">
        <f t="shared" si="68"/>
        <v>0</v>
      </c>
      <c r="H15" s="1069">
        <f t="shared" si="68"/>
        <v>0</v>
      </c>
      <c r="I15" s="1069">
        <f t="shared" si="68"/>
        <v>0</v>
      </c>
      <c r="J15" s="1069">
        <f t="shared" si="68"/>
        <v>0</v>
      </c>
      <c r="K15" s="1069">
        <f t="shared" si="68"/>
        <v>0</v>
      </c>
      <c r="L15" s="1069">
        <f t="shared" si="68"/>
        <v>0</v>
      </c>
      <c r="M15" s="1069">
        <f t="shared" si="68"/>
        <v>0</v>
      </c>
      <c r="N15" s="1069">
        <f t="shared" si="68"/>
        <v>0</v>
      </c>
      <c r="O15" s="1069">
        <f t="shared" si="68"/>
        <v>0</v>
      </c>
      <c r="P15" s="1069">
        <f t="shared" si="68"/>
        <v>0</v>
      </c>
      <c r="Q15" s="1069">
        <f t="shared" si="68"/>
        <v>0</v>
      </c>
      <c r="R15" s="1069">
        <f t="shared" si="68"/>
        <v>0</v>
      </c>
      <c r="S15" s="1069">
        <f t="shared" si="68"/>
        <v>0</v>
      </c>
      <c r="T15" s="1069">
        <f t="shared" si="68"/>
        <v>0</v>
      </c>
      <c r="U15" s="1069">
        <f t="shared" si="68"/>
        <v>0</v>
      </c>
      <c r="V15" s="1069">
        <f t="shared" si="68"/>
        <v>0</v>
      </c>
      <c r="W15" s="1069">
        <f t="shared" si="68"/>
        <v>0</v>
      </c>
      <c r="X15" s="1069">
        <f t="shared" si="68"/>
        <v>0</v>
      </c>
      <c r="Y15" s="1069">
        <f t="shared" si="68"/>
        <v>0</v>
      </c>
      <c r="Z15" s="1069">
        <f t="shared" si="68"/>
        <v>0</v>
      </c>
      <c r="AA15" s="1069">
        <f t="shared" si="68"/>
        <v>0</v>
      </c>
      <c r="AB15" s="1069">
        <f t="shared" si="68"/>
        <v>0</v>
      </c>
      <c r="AC15" s="1069">
        <f t="shared" si="68"/>
        <v>0</v>
      </c>
      <c r="AD15" s="1069">
        <f t="shared" si="68"/>
        <v>0</v>
      </c>
      <c r="AE15" s="1069">
        <f t="shared" si="68"/>
        <v>0</v>
      </c>
      <c r="AF15" s="1069">
        <f t="shared" si="68"/>
        <v>0</v>
      </c>
      <c r="AG15" s="1069">
        <f t="shared" si="68"/>
        <v>0</v>
      </c>
      <c r="AH15" s="1069">
        <f t="shared" si="68"/>
        <v>0</v>
      </c>
      <c r="AI15" s="1069">
        <f t="shared" si="68"/>
        <v>0</v>
      </c>
      <c r="AJ15" s="1069">
        <f t="shared" si="68"/>
        <v>0</v>
      </c>
      <c r="AK15" s="1069">
        <f t="shared" si="68"/>
        <v>0</v>
      </c>
      <c r="AL15" s="1069">
        <f t="shared" si="68"/>
        <v>0</v>
      </c>
      <c r="AM15" s="1069">
        <f t="shared" si="68"/>
        <v>0</v>
      </c>
      <c r="AN15" s="1069">
        <f t="shared" si="68"/>
        <v>0</v>
      </c>
      <c r="AO15" s="1069">
        <f t="shared" si="68"/>
        <v>0</v>
      </c>
      <c r="AP15" s="1069">
        <f t="shared" si="68"/>
        <v>0</v>
      </c>
      <c r="AQ15" s="1069">
        <f t="shared" si="68"/>
        <v>0</v>
      </c>
      <c r="AR15" s="1069">
        <f t="shared" si="68"/>
        <v>0</v>
      </c>
      <c r="AS15" s="1069">
        <f t="shared" si="68"/>
        <v>0</v>
      </c>
      <c r="AT15" s="1069">
        <f t="shared" si="68"/>
        <v>0</v>
      </c>
      <c r="AU15" s="1069">
        <f t="shared" si="68"/>
        <v>0</v>
      </c>
      <c r="AV15" s="1069">
        <f t="shared" si="68"/>
        <v>0</v>
      </c>
      <c r="AW15" s="1069">
        <f t="shared" si="68"/>
        <v>0</v>
      </c>
      <c r="AX15" s="1069">
        <f t="shared" si="68"/>
        <v>0</v>
      </c>
      <c r="AY15" s="1069">
        <f t="shared" si="68"/>
        <v>0</v>
      </c>
      <c r="AZ15" s="1069">
        <f t="shared" si="68"/>
        <v>0</v>
      </c>
      <c r="BA15" s="1069">
        <f t="shared" si="68"/>
        <v>0</v>
      </c>
      <c r="BB15" s="1069">
        <f t="shared" si="68"/>
        <v>0</v>
      </c>
      <c r="BC15" s="1069">
        <f t="shared" si="68"/>
        <v>0</v>
      </c>
      <c r="BD15" s="1069">
        <f t="shared" si="68"/>
        <v>0</v>
      </c>
      <c r="BE15" s="1069">
        <f t="shared" si="68"/>
        <v>0</v>
      </c>
      <c r="BF15" s="1069">
        <f t="shared" si="68"/>
        <v>0</v>
      </c>
      <c r="BG15" s="1069">
        <f t="shared" si="68"/>
        <v>0</v>
      </c>
      <c r="BH15" s="1069">
        <f t="shared" si="68"/>
        <v>0</v>
      </c>
      <c r="BI15" s="1069">
        <f t="shared" si="68"/>
        <v>0</v>
      </c>
      <c r="BJ15" s="1069">
        <f t="shared" si="68"/>
        <v>0</v>
      </c>
      <c r="BK15" s="1069">
        <f t="shared" si="68"/>
        <v>0</v>
      </c>
      <c r="BL15" s="1069">
        <f t="shared" si="68"/>
        <v>0</v>
      </c>
      <c r="BM15" s="1069">
        <f t="shared" si="68"/>
        <v>0</v>
      </c>
      <c r="BN15" s="1069">
        <f t="shared" si="68"/>
        <v>0</v>
      </c>
      <c r="BO15" s="1069">
        <f t="shared" si="68"/>
        <v>0</v>
      </c>
      <c r="BP15" s="1069">
        <f t="shared" si="68"/>
        <v>0</v>
      </c>
      <c r="BQ15" s="1069">
        <f t="shared" si="68"/>
        <v>0</v>
      </c>
      <c r="BR15" s="1069">
        <f t="shared" ref="BR15:DE15" si="69">BR13/8</f>
        <v>0</v>
      </c>
      <c r="BS15" s="1069">
        <f t="shared" si="69"/>
        <v>0</v>
      </c>
      <c r="BT15" s="1069">
        <f t="shared" si="69"/>
        <v>0</v>
      </c>
      <c r="BU15" s="1069">
        <f t="shared" si="69"/>
        <v>0</v>
      </c>
      <c r="BV15" s="1069">
        <f t="shared" si="69"/>
        <v>0</v>
      </c>
      <c r="BW15" s="1069">
        <f t="shared" si="69"/>
        <v>0</v>
      </c>
      <c r="BX15" s="1069">
        <f t="shared" si="69"/>
        <v>0</v>
      </c>
      <c r="BY15" s="1069">
        <f t="shared" si="69"/>
        <v>0</v>
      </c>
      <c r="BZ15" s="1069">
        <f t="shared" si="69"/>
        <v>0</v>
      </c>
      <c r="CA15" s="1069">
        <f t="shared" si="69"/>
        <v>0</v>
      </c>
      <c r="CB15" s="1069">
        <f t="shared" si="69"/>
        <v>0</v>
      </c>
      <c r="CC15" s="1069">
        <f t="shared" si="69"/>
        <v>0</v>
      </c>
      <c r="CD15" s="1069">
        <f t="shared" si="69"/>
        <v>0</v>
      </c>
      <c r="CE15" s="1069">
        <f t="shared" si="69"/>
        <v>0</v>
      </c>
      <c r="CF15" s="1069">
        <f t="shared" si="69"/>
        <v>0</v>
      </c>
      <c r="CG15" s="1069">
        <f t="shared" si="69"/>
        <v>0</v>
      </c>
      <c r="CH15" s="1069">
        <f t="shared" si="69"/>
        <v>0</v>
      </c>
      <c r="CI15" s="1069">
        <f t="shared" si="69"/>
        <v>0</v>
      </c>
      <c r="CJ15" s="1069">
        <f t="shared" si="69"/>
        <v>0</v>
      </c>
      <c r="CK15" s="1069">
        <f t="shared" si="69"/>
        <v>0</v>
      </c>
      <c r="CL15" s="1069">
        <f t="shared" si="69"/>
        <v>0</v>
      </c>
      <c r="CM15" s="1069">
        <f t="shared" si="69"/>
        <v>0</v>
      </c>
      <c r="CN15" s="1069">
        <f t="shared" si="69"/>
        <v>0</v>
      </c>
      <c r="CO15" s="1069">
        <f t="shared" si="69"/>
        <v>0</v>
      </c>
      <c r="CP15" s="1069">
        <f t="shared" si="69"/>
        <v>0</v>
      </c>
      <c r="CQ15" s="1069">
        <f t="shared" si="69"/>
        <v>0</v>
      </c>
      <c r="CR15" s="1069">
        <f t="shared" si="69"/>
        <v>0</v>
      </c>
      <c r="CS15" s="1069">
        <f t="shared" si="69"/>
        <v>0</v>
      </c>
      <c r="CT15" s="1069">
        <f t="shared" si="69"/>
        <v>0</v>
      </c>
      <c r="CU15" s="1069">
        <f t="shared" si="69"/>
        <v>0</v>
      </c>
      <c r="CV15" s="1069">
        <f t="shared" si="69"/>
        <v>0</v>
      </c>
      <c r="CW15" s="1069">
        <f t="shared" si="69"/>
        <v>0</v>
      </c>
      <c r="CX15" s="1069">
        <f t="shared" si="69"/>
        <v>0</v>
      </c>
      <c r="CY15" s="1069">
        <f t="shared" si="69"/>
        <v>0</v>
      </c>
      <c r="CZ15" s="1069">
        <f t="shared" si="69"/>
        <v>0</v>
      </c>
      <c r="DA15" s="1069">
        <f t="shared" si="69"/>
        <v>0</v>
      </c>
      <c r="DB15" s="1069">
        <f t="shared" si="69"/>
        <v>0</v>
      </c>
      <c r="DC15" s="1069">
        <f t="shared" si="69"/>
        <v>0</v>
      </c>
      <c r="DD15" s="1069">
        <f t="shared" si="69"/>
        <v>0</v>
      </c>
      <c r="DE15" s="1069">
        <f t="shared" si="69"/>
        <v>0</v>
      </c>
      <c r="DF15" s="1069">
        <f>DF14/8</f>
        <v>0</v>
      </c>
      <c r="DG15" s="1069">
        <f t="shared" ref="DG15:DQ15" si="70">DG14/8</f>
        <v>214.625</v>
      </c>
      <c r="DH15" s="1069">
        <f t="shared" si="70"/>
        <v>0</v>
      </c>
      <c r="DI15" s="1069">
        <f t="shared" si="70"/>
        <v>214.625</v>
      </c>
      <c r="DJ15" s="1069">
        <f t="shared" si="70"/>
        <v>0</v>
      </c>
      <c r="DK15" s="1069">
        <f t="shared" si="70"/>
        <v>214.625</v>
      </c>
      <c r="DL15" s="1069">
        <f t="shared" si="70"/>
        <v>0</v>
      </c>
      <c r="DM15" s="1069">
        <f t="shared" si="70"/>
        <v>214.625</v>
      </c>
      <c r="DN15" s="1069">
        <f t="shared" si="70"/>
        <v>0</v>
      </c>
      <c r="DO15" s="1069">
        <f t="shared" si="70"/>
        <v>214.625</v>
      </c>
      <c r="DP15" s="1069">
        <f t="shared" si="70"/>
        <v>0</v>
      </c>
      <c r="DQ15" s="1069">
        <f t="shared" si="70"/>
        <v>214.625</v>
      </c>
      <c r="DR15" s="1069">
        <f t="shared" ref="DR15:DY15" si="71">DR14/8</f>
        <v>0</v>
      </c>
      <c r="DS15" s="1069">
        <f t="shared" si="71"/>
        <v>214.625</v>
      </c>
      <c r="DT15" s="1069">
        <f t="shared" si="71"/>
        <v>0</v>
      </c>
      <c r="DU15" s="1069">
        <f t="shared" si="71"/>
        <v>214.625</v>
      </c>
      <c r="DV15" s="1069">
        <f t="shared" si="71"/>
        <v>0</v>
      </c>
      <c r="DW15" s="1069">
        <f t="shared" si="71"/>
        <v>214.625</v>
      </c>
      <c r="DX15" s="1069">
        <f t="shared" si="71"/>
        <v>70</v>
      </c>
      <c r="DY15" s="1069">
        <f t="shared" si="71"/>
        <v>245.625</v>
      </c>
      <c r="DZ15" s="1069">
        <f t="shared" ref="DZ15:EE15" si="72">DZ14/8</f>
        <v>70</v>
      </c>
      <c r="EA15" s="1069">
        <f t="shared" si="72"/>
        <v>267.625</v>
      </c>
      <c r="EB15" s="1069">
        <f t="shared" si="72"/>
        <v>70</v>
      </c>
      <c r="EC15" s="1069">
        <f t="shared" si="72"/>
        <v>270.625</v>
      </c>
      <c r="ED15" s="1069">
        <f t="shared" si="72"/>
        <v>70</v>
      </c>
      <c r="EE15" s="1069">
        <f t="shared" si="72"/>
        <v>259.625</v>
      </c>
      <c r="EF15" s="1069">
        <f t="shared" ref="EF15:EK15" si="73">EF14/8</f>
        <v>70.125</v>
      </c>
      <c r="EG15" s="1069">
        <f t="shared" si="73"/>
        <v>255.75</v>
      </c>
      <c r="EH15" s="1069">
        <f t="shared" si="73"/>
        <v>70.125</v>
      </c>
      <c r="EI15" s="1069">
        <f t="shared" si="73"/>
        <v>254.875</v>
      </c>
      <c r="EJ15" s="1069">
        <f t="shared" si="73"/>
        <v>70.25</v>
      </c>
      <c r="EK15" s="1069">
        <f t="shared" si="73"/>
        <v>283.125</v>
      </c>
    </row>
    <row r="16" spans="1:141" ht="48.75" customHeight="1" thickBot="1">
      <c r="A16" s="85"/>
      <c r="B16" s="697"/>
      <c r="C16" s="1068" t="s">
        <v>475</v>
      </c>
      <c r="D16" s="575"/>
      <c r="E16" s="1069">
        <v>53</v>
      </c>
      <c r="F16" s="191"/>
      <c r="G16" s="191"/>
      <c r="H16" s="191"/>
      <c r="I16" s="191"/>
      <c r="J16" s="191"/>
      <c r="K16" s="191"/>
      <c r="L16" s="191"/>
      <c r="M16" s="191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069" t="s">
        <v>591</v>
      </c>
      <c r="BC16" s="191"/>
      <c r="BD16" s="191"/>
      <c r="BE16" s="191"/>
      <c r="BF16" s="191"/>
      <c r="BG16" s="191"/>
      <c r="BH16" s="191"/>
      <c r="BI16" s="191"/>
      <c r="BJ16" s="191"/>
      <c r="BK16" s="191"/>
      <c r="BL16" s="191"/>
      <c r="BM16" s="191"/>
      <c r="BN16" s="191"/>
      <c r="BO16" s="191"/>
      <c r="BP16" s="191"/>
      <c r="BQ16" s="191"/>
      <c r="BR16" s="191"/>
      <c r="BS16" s="191"/>
      <c r="BT16" s="191"/>
      <c r="BU16" s="191"/>
      <c r="BV16" s="191"/>
      <c r="BW16" s="191"/>
      <c r="BX16" s="191"/>
      <c r="BY16" s="191"/>
      <c r="BZ16" s="191"/>
      <c r="CA16" s="191"/>
      <c r="CB16" s="191"/>
      <c r="CC16" s="191"/>
      <c r="CD16" s="191"/>
      <c r="CE16" s="191"/>
      <c r="CF16" s="191"/>
      <c r="CG16" s="191"/>
      <c r="CH16" s="191"/>
      <c r="CI16" s="191"/>
      <c r="CJ16" s="191"/>
      <c r="CK16" s="191"/>
      <c r="CL16" s="191"/>
      <c r="CM16" s="191"/>
      <c r="CN16" s="191"/>
      <c r="CO16" s="191"/>
      <c r="CP16" s="191"/>
      <c r="CQ16" s="191"/>
      <c r="CR16" s="191"/>
      <c r="CS16" s="191"/>
      <c r="CT16" s="191"/>
      <c r="CU16" s="191"/>
      <c r="CV16" s="191"/>
      <c r="CW16" s="191"/>
      <c r="CX16" s="191"/>
      <c r="CY16" s="191"/>
      <c r="CZ16" s="191"/>
      <c r="DA16" s="191"/>
      <c r="DB16" s="191"/>
      <c r="DC16" s="191"/>
      <c r="DD16" s="191"/>
      <c r="DE16" s="191"/>
      <c r="DF16" s="191"/>
      <c r="DG16" s="191"/>
      <c r="DH16" s="191"/>
      <c r="DI16" s="191"/>
      <c r="DJ16" s="191"/>
      <c r="DK16" s="191"/>
      <c r="DL16" s="191"/>
      <c r="DM16" s="191"/>
      <c r="DN16" s="191"/>
      <c r="DO16" s="191"/>
      <c r="DP16" s="191"/>
      <c r="DQ16" s="191"/>
      <c r="DR16" s="191"/>
      <c r="DS16" s="191"/>
      <c r="DT16" s="191"/>
      <c r="DU16" s="191"/>
      <c r="DV16" s="191"/>
      <c r="DW16" s="191"/>
      <c r="DX16" s="191"/>
      <c r="DY16" s="191"/>
      <c r="DZ16" s="191"/>
      <c r="EA16" s="191"/>
      <c r="EB16" s="191"/>
      <c r="EC16" s="191"/>
      <c r="ED16" s="191"/>
      <c r="EE16" s="191"/>
      <c r="EF16" s="191"/>
      <c r="EG16" s="191"/>
      <c r="EH16" s="191"/>
      <c r="EI16" s="191"/>
      <c r="EJ16" s="191"/>
      <c r="EK16" s="191"/>
    </row>
    <row r="17" spans="1:141" ht="36" customHeight="1" thickBot="1">
      <c r="A17" s="85"/>
      <c r="B17" s="1070"/>
      <c r="C17" s="86"/>
      <c r="D17" s="86"/>
      <c r="E17" s="86"/>
      <c r="F17" s="191"/>
      <c r="G17" s="191"/>
      <c r="H17" s="191"/>
      <c r="I17" s="191"/>
      <c r="J17" s="191"/>
      <c r="K17" s="191"/>
      <c r="L17" s="191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  <c r="BJ17" s="191"/>
      <c r="BK17" s="191"/>
      <c r="BL17" s="191"/>
      <c r="BM17" s="191"/>
      <c r="BN17" s="191"/>
      <c r="BO17" s="191"/>
      <c r="BP17" s="191"/>
      <c r="BQ17" s="191"/>
      <c r="BR17" s="191"/>
      <c r="BS17" s="191"/>
      <c r="BT17" s="191"/>
      <c r="BU17" s="191"/>
      <c r="BV17" s="191"/>
      <c r="BW17" s="191"/>
      <c r="BX17" s="191"/>
      <c r="BY17" s="191"/>
      <c r="BZ17" s="191"/>
      <c r="CA17" s="191"/>
      <c r="CB17" s="191"/>
      <c r="CC17" s="191"/>
      <c r="CD17" s="191"/>
      <c r="CE17" s="191"/>
      <c r="CF17" s="191"/>
      <c r="CG17" s="191"/>
      <c r="CH17" s="191"/>
      <c r="CI17" s="191"/>
      <c r="CJ17" s="191"/>
      <c r="CK17" s="191"/>
      <c r="CL17" s="191"/>
      <c r="CM17" s="191"/>
      <c r="CN17" s="191"/>
      <c r="CO17" s="191"/>
      <c r="CP17" s="191"/>
      <c r="CQ17" s="191"/>
      <c r="CR17" s="191"/>
      <c r="CS17" s="191"/>
      <c r="CT17" s="191"/>
      <c r="CU17" s="191"/>
      <c r="CV17" s="191"/>
      <c r="CW17" s="191"/>
      <c r="CX17" s="191"/>
      <c r="CY17" s="191"/>
      <c r="CZ17" s="191"/>
      <c r="DA17" s="191"/>
      <c r="DB17" s="191"/>
      <c r="DC17" s="191"/>
      <c r="DD17" s="191"/>
      <c r="DE17" s="191"/>
      <c r="DF17" s="191"/>
      <c r="DG17" s="191"/>
      <c r="DH17" s="191"/>
      <c r="DI17" s="191"/>
      <c r="DJ17" s="191"/>
      <c r="DK17" s="191"/>
      <c r="DL17" s="191"/>
      <c r="DM17" s="191"/>
      <c r="DN17" s="191"/>
      <c r="DO17" s="191"/>
      <c r="DP17" s="191"/>
      <c r="DQ17" s="191"/>
      <c r="DR17" s="191"/>
      <c r="DS17" s="191"/>
      <c r="DT17" s="191"/>
      <c r="DU17" s="191"/>
      <c r="DV17" s="191"/>
      <c r="DW17" s="191"/>
      <c r="DX17" s="191"/>
      <c r="DY17" s="191"/>
      <c r="DZ17" s="191"/>
      <c r="EA17" s="191"/>
      <c r="EB17" s="191"/>
      <c r="EC17" s="191"/>
      <c r="ED17" s="191"/>
      <c r="EE17" s="191"/>
      <c r="EF17" s="191"/>
      <c r="EG17" s="191"/>
      <c r="EH17" s="191"/>
      <c r="EI17" s="191"/>
      <c r="EJ17" s="191"/>
      <c r="EK17" s="191"/>
    </row>
    <row r="18" spans="1:141" s="87" customFormat="1" ht="105.75" customHeight="1">
      <c r="A18" s="458"/>
      <c r="B18" s="1245" t="s">
        <v>441</v>
      </c>
      <c r="C18" s="1071" t="s">
        <v>391</v>
      </c>
      <c r="D18" s="463" t="e">
        <f>AVERAGE(#REF!+#REF!,#REF!+#REF!,#REF!+#REF!,#REF!+#REF!,#REF!+#REF!,#REF!+#REF!,#REF!+#REF!)</f>
        <v>#REF!</v>
      </c>
      <c r="E18" s="1072">
        <f>E6+E7</f>
        <v>1405</v>
      </c>
      <c r="F18" s="1073">
        <f>F6+F7+F8</f>
        <v>0</v>
      </c>
      <c r="G18" s="217">
        <f>SUMIF(G6:G8,"&lt;0")</f>
        <v>0</v>
      </c>
      <c r="H18" s="1073">
        <f>H6+H7+H8</f>
        <v>0</v>
      </c>
      <c r="I18" s="217">
        <f>SUMIF(I6:I8,"&lt;0")</f>
        <v>0</v>
      </c>
      <c r="J18" s="1073">
        <f>J6+J7+J8</f>
        <v>0</v>
      </c>
      <c r="K18" s="217">
        <f>SUMIF(K6:K8,"&lt;0")</f>
        <v>0</v>
      </c>
      <c r="L18" s="1073">
        <f>L6+L7+L8</f>
        <v>0</v>
      </c>
      <c r="M18" s="217">
        <f>SUMIF(M6:M8,"&lt;0")</f>
        <v>0</v>
      </c>
      <c r="N18" s="1073">
        <f>N6+N7+N8</f>
        <v>0</v>
      </c>
      <c r="O18" s="217">
        <f>SUMIF(O6:O8,"&lt;0")</f>
        <v>0</v>
      </c>
      <c r="P18" s="1073">
        <f>P6+P7+P8</f>
        <v>0</v>
      </c>
      <c r="Q18" s="217">
        <f>SUMIF(Q6:Q8,"&lt;0")</f>
        <v>0</v>
      </c>
      <c r="R18" s="1073">
        <f>R6+R7+R8</f>
        <v>0</v>
      </c>
      <c r="S18" s="217">
        <f>SUMIF(S6:S8,"&lt;0")</f>
        <v>0</v>
      </c>
      <c r="T18" s="1073">
        <f>T6+T7+T8</f>
        <v>0</v>
      </c>
      <c r="U18" s="217">
        <f>SUMIF(U6:U8,"&lt;0")</f>
        <v>0</v>
      </c>
      <c r="V18" s="1073">
        <f>V6+V7+V8</f>
        <v>0</v>
      </c>
      <c r="W18" s="217">
        <f>SUMIF(W6:W8,"&lt;0")</f>
        <v>0</v>
      </c>
      <c r="X18" s="1073">
        <f>X6+X7+X8</f>
        <v>0</v>
      </c>
      <c r="Y18" s="217">
        <f>SUMIF(Y6:Y8,"&lt;0")</f>
        <v>0</v>
      </c>
      <c r="Z18" s="1073">
        <f>Z6+Z7+Z8</f>
        <v>0</v>
      </c>
      <c r="AA18" s="217">
        <f>SUMIF(AA6:AA8,"&lt;0")</f>
        <v>0</v>
      </c>
      <c r="AB18" s="1073">
        <f>AB6+AB7+AB8</f>
        <v>0</v>
      </c>
      <c r="AC18" s="217">
        <f>SUMIF(AC6:AC8,"&lt;0")</f>
        <v>0</v>
      </c>
      <c r="AD18" s="1073">
        <f>AD6+AD7+AD8</f>
        <v>0</v>
      </c>
      <c r="AE18" s="217">
        <f>SUMIF(AE6:AE8,"&lt;0")</f>
        <v>0</v>
      </c>
      <c r="AF18" s="1073">
        <f>AF6+AF7+AF8</f>
        <v>0</v>
      </c>
      <c r="AG18" s="217">
        <f>SUMIF(AG6:AG8,"&lt;0")</f>
        <v>0</v>
      </c>
      <c r="AH18" s="1073">
        <f>AH6+AH7+AH8</f>
        <v>0</v>
      </c>
      <c r="AI18" s="217">
        <f>SUMIF(AI6:AI8,"&lt;0")</f>
        <v>0</v>
      </c>
      <c r="AJ18" s="1073">
        <f>AJ6+AJ7+AJ8</f>
        <v>0</v>
      </c>
      <c r="AK18" s="217">
        <f>SUMIF(AK6:AK8,"&lt;0")</f>
        <v>0</v>
      </c>
      <c r="AL18" s="1073">
        <f>AL6+AL7+AL8</f>
        <v>0</v>
      </c>
      <c r="AM18" s="217">
        <f>SUMIF(AM6:AM8,"&lt;0")</f>
        <v>0</v>
      </c>
      <c r="AN18" s="1073">
        <f>AN6+AN7+AN8</f>
        <v>0</v>
      </c>
      <c r="AO18" s="217">
        <f>SUMIF(AO6:AO8,"&lt;0")</f>
        <v>0</v>
      </c>
      <c r="AP18" s="1073">
        <f>AP6+AP7+AP8</f>
        <v>0</v>
      </c>
      <c r="AQ18" s="217">
        <f>SUMIF(AQ6:AQ8,"&lt;0")</f>
        <v>0</v>
      </c>
      <c r="AR18" s="1073">
        <f>AR6+AR7+AR8</f>
        <v>0</v>
      </c>
      <c r="AS18" s="217">
        <f>SUMIF(AS6:AS8,"&lt;0")</f>
        <v>0</v>
      </c>
      <c r="AT18" s="1073">
        <f>AT6+AT7+AT8</f>
        <v>0</v>
      </c>
      <c r="AU18" s="217">
        <f>SUMIF(AU6:AU8,"&lt;0")</f>
        <v>0</v>
      </c>
      <c r="AV18" s="1073">
        <f>AV6+AV7+AV8</f>
        <v>0</v>
      </c>
      <c r="AW18" s="217">
        <f>SUMIF(AW6:AW8,"&lt;0")</f>
        <v>0</v>
      </c>
      <c r="AX18" s="1073">
        <f>AX6+AX7+AX8</f>
        <v>0</v>
      </c>
      <c r="AY18" s="217">
        <f>SUMIF(AY6:AY8,"&lt;0")</f>
        <v>0</v>
      </c>
      <c r="AZ18" s="1073">
        <f>AZ6+AZ7+AZ8</f>
        <v>0</v>
      </c>
      <c r="BA18" s="217">
        <f>SUMIF(BA6:BA8,"&lt;0")</f>
        <v>0</v>
      </c>
      <c r="BB18" s="1073">
        <f>BB6+BB7+BB8</f>
        <v>0</v>
      </c>
      <c r="BC18" s="217">
        <f>SUMIF(BC6:BC8,"&lt;0")</f>
        <v>0</v>
      </c>
      <c r="BD18" s="1073">
        <f>BD6+BD7+BD8</f>
        <v>0</v>
      </c>
      <c r="BE18" s="217">
        <f>SUMIF(BE6:BE8,"&lt;0")</f>
        <v>0</v>
      </c>
      <c r="BF18" s="1073">
        <f>BF6+BF7+BF8</f>
        <v>0</v>
      </c>
      <c r="BG18" s="217">
        <f>SUMIF(BG6:BG8,"&lt;0")</f>
        <v>0</v>
      </c>
      <c r="BH18" s="1073">
        <f>BH6+BH7+BH8</f>
        <v>0</v>
      </c>
      <c r="BI18" s="217">
        <f>SUMIF(BI6:BI8,"&lt;0")</f>
        <v>0</v>
      </c>
      <c r="BJ18" s="1073">
        <f>BJ6+BJ7+BJ8</f>
        <v>0</v>
      </c>
      <c r="BK18" s="217">
        <f>SUMIF(BK6:BK8,"&lt;0")</f>
        <v>0</v>
      </c>
      <c r="BL18" s="1073">
        <f>BL6+BL7+BL8</f>
        <v>0</v>
      </c>
      <c r="BM18" s="217">
        <f>SUMIF(BM6:BM8,"&lt;0")</f>
        <v>0</v>
      </c>
      <c r="BN18" s="1073">
        <f>BN6+BN7+BN8</f>
        <v>0</v>
      </c>
      <c r="BO18" s="217">
        <f>SUMIF(BO6:BO8,"&lt;0")</f>
        <v>0</v>
      </c>
      <c r="BP18" s="1073">
        <f>BP6+BP7+BP8</f>
        <v>0</v>
      </c>
      <c r="BQ18" s="217">
        <f>SUMIF(BQ6:BQ8,"&lt;0")</f>
        <v>0</v>
      </c>
      <c r="BR18" s="1073">
        <f>BR6+BR7+BR8</f>
        <v>0</v>
      </c>
      <c r="BS18" s="217">
        <f>SUMIF(BS6:BS8,"&lt;0")</f>
        <v>0</v>
      </c>
      <c r="BT18" s="1073">
        <f>BT6+BT7+BT8</f>
        <v>0</v>
      </c>
      <c r="BU18" s="217">
        <f>SUMIF(BU6:BU8,"&lt;0")</f>
        <v>0</v>
      </c>
      <c r="BV18" s="1073">
        <f>BV6+BV7+BV8</f>
        <v>0</v>
      </c>
      <c r="BW18" s="217">
        <f>SUMIF(BW6:BW8,"&lt;0")</f>
        <v>0</v>
      </c>
      <c r="BX18" s="1073">
        <f>BX6+BX7+BX8</f>
        <v>0</v>
      </c>
      <c r="BY18" s="217">
        <f>SUMIF(BY6:BY8,"&lt;0")</f>
        <v>0</v>
      </c>
      <c r="BZ18" s="1073">
        <f>BZ6+BZ7+BZ8</f>
        <v>0</v>
      </c>
      <c r="CA18" s="217">
        <f>SUMIF(CA6:CA8,"&lt;0")</f>
        <v>0</v>
      </c>
      <c r="CB18" s="1073">
        <f>CB6+CB7+CB8</f>
        <v>0</v>
      </c>
      <c r="CC18" s="217">
        <f>SUMIF(CC6:CC8,"&lt;0")</f>
        <v>0</v>
      </c>
      <c r="CD18" s="1073">
        <f>CD6+CD7+CD8</f>
        <v>0</v>
      </c>
      <c r="CE18" s="217">
        <f>SUMIF(CE6:CE8,"&lt;0")</f>
        <v>0</v>
      </c>
      <c r="CF18" s="1073">
        <f>CF6+CF7+CF8</f>
        <v>0</v>
      </c>
      <c r="CG18" s="217">
        <f>SUMIF(CG6:CG8,"&lt;0")</f>
        <v>0</v>
      </c>
      <c r="CH18" s="1073">
        <f>CH6+CH7+CH8</f>
        <v>0</v>
      </c>
      <c r="CI18" s="217">
        <f>SUMIF(CI6:CI8,"&lt;0")</f>
        <v>0</v>
      </c>
      <c r="CJ18" s="1073">
        <f>CJ6+CJ7+CJ8</f>
        <v>0</v>
      </c>
      <c r="CK18" s="217">
        <f>SUMIF(CK6:CK8,"&lt;0")</f>
        <v>0</v>
      </c>
      <c r="CL18" s="1073">
        <f>CL6+CL7+CL8</f>
        <v>0</v>
      </c>
      <c r="CM18" s="217">
        <f>SUMIF(CM6:CM8,"&lt;0")</f>
        <v>0</v>
      </c>
      <c r="CN18" s="1073">
        <f>CN6+CN7+CN8</f>
        <v>0</v>
      </c>
      <c r="CO18" s="217">
        <f>SUMIF(CO6:CO8,"&lt;0")</f>
        <v>0</v>
      </c>
      <c r="CP18" s="1073">
        <f>CP6+CP7+CP8</f>
        <v>0</v>
      </c>
      <c r="CQ18" s="217">
        <f>SUMIF(CQ6:CQ8,"&lt;0")</f>
        <v>0</v>
      </c>
      <c r="CR18" s="1073">
        <f>CR6+CR7+CR8</f>
        <v>0</v>
      </c>
      <c r="CS18" s="217">
        <f>SUMIF(CS6:CS8,"&lt;0")</f>
        <v>0</v>
      </c>
      <c r="CT18" s="1073">
        <f>CT6+CT7+CT8</f>
        <v>0</v>
      </c>
      <c r="CU18" s="217">
        <f>SUMIF(CU6:CU8,"&lt;0")</f>
        <v>0</v>
      </c>
      <c r="CV18" s="1073">
        <f>CV6+CV7+CV8</f>
        <v>0</v>
      </c>
      <c r="CW18" s="217">
        <f>SUMIF(CW6:CW8,"&lt;0")</f>
        <v>0</v>
      </c>
      <c r="CX18" s="1073">
        <f>CX6+CX7+CX8</f>
        <v>0</v>
      </c>
      <c r="CY18" s="217">
        <f>SUMIF(CY6:CY8,"&lt;0")</f>
        <v>0</v>
      </c>
      <c r="CZ18" s="1073">
        <f>CZ6+CZ7+CZ8</f>
        <v>0</v>
      </c>
      <c r="DA18" s="217">
        <f>SUMIF(DA6:DA8,"&lt;0")</f>
        <v>0</v>
      </c>
      <c r="DB18" s="1073">
        <f>DB6+DB7+DB8</f>
        <v>0</v>
      </c>
      <c r="DC18" s="217">
        <f>SUMIF(DC6:DC8,"&lt;0")</f>
        <v>0</v>
      </c>
      <c r="DD18" s="1073">
        <f>DD6+DD7+DD8</f>
        <v>0</v>
      </c>
      <c r="DE18" s="217">
        <f>SUMIF(DE6:DE8,"&lt;0")</f>
        <v>0</v>
      </c>
      <c r="DF18" s="1073">
        <f>DF6+DF7+DF8</f>
        <v>0</v>
      </c>
      <c r="DG18" s="217">
        <f>SUMIF(DG6:DG8,"&lt;0")</f>
        <v>0</v>
      </c>
      <c r="DH18" s="1073">
        <f>DH6+DH7+DH8</f>
        <v>0</v>
      </c>
      <c r="DI18" s="217">
        <f>SUMIF(DI6:DI8,"&lt;0")</f>
        <v>0</v>
      </c>
      <c r="DJ18" s="1073">
        <f>DJ6+DJ7+DJ8</f>
        <v>0</v>
      </c>
      <c r="DK18" s="217">
        <f>SUMIF(DK6:DK8,"&lt;0")</f>
        <v>0</v>
      </c>
      <c r="DL18" s="1073">
        <f>DL6+DL7+DL8</f>
        <v>0</v>
      </c>
      <c r="DM18" s="217">
        <f>SUMIF(DM6:DM8,"&lt;0")</f>
        <v>0</v>
      </c>
      <c r="DN18" s="1073">
        <f>DN6+DN7+DN8</f>
        <v>0</v>
      </c>
      <c r="DO18" s="217">
        <f>SUMIF(DO6:DO8,"&lt;0")</f>
        <v>0</v>
      </c>
      <c r="DP18" s="1073">
        <f>DP6+DP7+DP8</f>
        <v>0</v>
      </c>
      <c r="DQ18" s="217">
        <f>SUMIF(DQ6:DQ8,"&lt;0")</f>
        <v>0</v>
      </c>
      <c r="DR18" s="1073">
        <f>DR6+DR7+DR8</f>
        <v>0</v>
      </c>
      <c r="DS18" s="217">
        <f>SUMIF(DS6:DS8,"&lt;0")</f>
        <v>0</v>
      </c>
      <c r="DT18" s="1073">
        <f>DT6+DT7+DT8</f>
        <v>0</v>
      </c>
      <c r="DU18" s="217">
        <f>SUMIF(DU6:DU8,"&lt;0")</f>
        <v>0</v>
      </c>
      <c r="DV18" s="1073">
        <f>DV6+DV7+DV8</f>
        <v>0</v>
      </c>
      <c r="DW18" s="217">
        <f>SUMIF(DW6:DW8,"&lt;0")</f>
        <v>0</v>
      </c>
      <c r="DX18" s="1073">
        <f>DX6+DX7+DX8</f>
        <v>272</v>
      </c>
      <c r="DY18" s="217">
        <f>SUMIF(DY6:DY8,"&lt;0")</f>
        <v>0</v>
      </c>
      <c r="DZ18" s="1073">
        <f>DZ6+DZ7+DZ8</f>
        <v>368</v>
      </c>
      <c r="EA18" s="217">
        <f>SUMIF(EA6:EA8,"&lt;0")</f>
        <v>0</v>
      </c>
      <c r="EB18" s="1073">
        <f>EB6+EB7+EB8</f>
        <v>400</v>
      </c>
      <c r="EC18" s="217">
        <f>SUMIF(EC6:EC8,"&lt;0")</f>
        <v>0</v>
      </c>
      <c r="ED18" s="1073">
        <f>ED6+ED7+ED8</f>
        <v>384</v>
      </c>
      <c r="EE18" s="217">
        <f>SUMIF(EE6:EE8,"&lt;0")</f>
        <v>0</v>
      </c>
      <c r="EF18" s="1073">
        <f>EF6+EF7+EF8</f>
        <v>448</v>
      </c>
      <c r="EG18" s="217">
        <f>SUMIF(EG6:EG8,"&lt;0")</f>
        <v>-291</v>
      </c>
      <c r="EH18" s="1073">
        <f>EH6+EH7+EH8</f>
        <v>352</v>
      </c>
      <c r="EI18" s="217">
        <f>SUMIF(EI6:EI8,"&lt;0")</f>
        <v>-627</v>
      </c>
      <c r="EJ18" s="1073">
        <f>EJ6+EJ7+EJ8</f>
        <v>272</v>
      </c>
      <c r="EK18" s="217">
        <f>SUMIF(EK6:EK8,"&lt;0")</f>
        <v>-899</v>
      </c>
    </row>
    <row r="19" spans="1:141" s="87" customFormat="1" ht="84" customHeight="1">
      <c r="A19" s="458"/>
      <c r="B19" s="1255"/>
      <c r="C19" s="1074" t="s">
        <v>392</v>
      </c>
      <c r="D19" s="460" t="e">
        <f>AVERAGE(#REF!+#REF!,#REF!+#REF!,#REF!+#REF!,#REF!+#REF!,#REF!+#REF!,#REF!+#REF!,#REF!+#REF!)</f>
        <v>#REF!</v>
      </c>
      <c r="E19" s="1062">
        <f>E11+E12</f>
        <v>112</v>
      </c>
      <c r="F19" s="1073">
        <f>F11+F12+F10</f>
        <v>0</v>
      </c>
      <c r="G19" s="217">
        <f>SUMIF(G10:G12,"&lt;0")</f>
        <v>0</v>
      </c>
      <c r="H19" s="1073">
        <f>H11+H12+H10</f>
        <v>0</v>
      </c>
      <c r="I19" s="217">
        <f>SUMIF(I10:I12,"&lt;0")</f>
        <v>0</v>
      </c>
      <c r="J19" s="1073">
        <f>J11+J12+J10</f>
        <v>0</v>
      </c>
      <c r="K19" s="217">
        <f>SUMIF(K10:K12,"&lt;0")</f>
        <v>0</v>
      </c>
      <c r="L19" s="1073">
        <f>L11+L12+L10</f>
        <v>0</v>
      </c>
      <c r="M19" s="217">
        <f>SUMIF(M10:M12,"&lt;0")</f>
        <v>0</v>
      </c>
      <c r="N19" s="1073">
        <f>N11+N12+N10</f>
        <v>0</v>
      </c>
      <c r="O19" s="217">
        <f>SUMIF(O10:O12,"&lt;0")</f>
        <v>0</v>
      </c>
      <c r="P19" s="1073">
        <f>P11+P12+P10</f>
        <v>0</v>
      </c>
      <c r="Q19" s="217">
        <f>SUMIF(Q10:Q12,"&lt;0")</f>
        <v>0</v>
      </c>
      <c r="R19" s="1073">
        <f>R11+R12+R10</f>
        <v>0</v>
      </c>
      <c r="S19" s="217">
        <f>SUMIF(S10:S12,"&lt;0")</f>
        <v>0</v>
      </c>
      <c r="T19" s="1073">
        <f>T11+T12+T10</f>
        <v>0</v>
      </c>
      <c r="U19" s="217">
        <f>SUMIF(U10:U12,"&lt;0")</f>
        <v>0</v>
      </c>
      <c r="V19" s="1073">
        <f>V11+V12+V10</f>
        <v>0</v>
      </c>
      <c r="W19" s="217">
        <f>SUMIF(W10:W12,"&lt;0")</f>
        <v>0</v>
      </c>
      <c r="X19" s="1073">
        <f>X11+X12+X10</f>
        <v>0</v>
      </c>
      <c r="Y19" s="217">
        <f>SUMIF(Y10:Y12,"&lt;0")</f>
        <v>0</v>
      </c>
      <c r="Z19" s="1073">
        <f>Z11+Z12+Z10</f>
        <v>0</v>
      </c>
      <c r="AA19" s="217">
        <f>SUMIF(AA10:AA12,"&lt;0")</f>
        <v>0</v>
      </c>
      <c r="AB19" s="1073">
        <f>AB11+AB12+AB10</f>
        <v>0</v>
      </c>
      <c r="AC19" s="217">
        <f>SUMIF(AC10:AC12,"&lt;0")</f>
        <v>0</v>
      </c>
      <c r="AD19" s="1073">
        <f>AD11+AD12+AD10</f>
        <v>0</v>
      </c>
      <c r="AE19" s="217">
        <f>SUMIF(AE10:AE12,"&lt;0")</f>
        <v>0</v>
      </c>
      <c r="AF19" s="1073">
        <f>AF11+AF12+AF10</f>
        <v>0</v>
      </c>
      <c r="AG19" s="217">
        <f>SUMIF(AG10:AG12,"&lt;0")</f>
        <v>0</v>
      </c>
      <c r="AH19" s="1073">
        <f>AH11+AH12+AH10</f>
        <v>0</v>
      </c>
      <c r="AI19" s="217">
        <f>SUMIF(AI10:AI12,"&lt;0")</f>
        <v>0</v>
      </c>
      <c r="AJ19" s="1073">
        <f>AJ11+AJ12+AJ10</f>
        <v>0</v>
      </c>
      <c r="AK19" s="217">
        <f>SUMIF(AK10:AK12,"&lt;0")</f>
        <v>0</v>
      </c>
      <c r="AL19" s="1073">
        <f>AL11+AL12+AL10</f>
        <v>0</v>
      </c>
      <c r="AM19" s="217">
        <f>SUMIF(AM10:AM12,"&lt;0")</f>
        <v>0</v>
      </c>
      <c r="AN19" s="1073">
        <f>AN11+AN12+AN10</f>
        <v>0</v>
      </c>
      <c r="AO19" s="217">
        <f>SUMIF(AO10:AO12,"&lt;0")</f>
        <v>0</v>
      </c>
      <c r="AP19" s="1073">
        <f>AP11+AP12+AP10</f>
        <v>0</v>
      </c>
      <c r="AQ19" s="217">
        <f>SUMIF(AQ10:AQ12,"&lt;0")</f>
        <v>0</v>
      </c>
      <c r="AR19" s="1073">
        <f>AR11+AR12+AR10</f>
        <v>0</v>
      </c>
      <c r="AS19" s="217">
        <f>SUMIF(AS10:AS12,"&lt;0")</f>
        <v>0</v>
      </c>
      <c r="AT19" s="1073">
        <f>AT11+AT12+AT10</f>
        <v>0</v>
      </c>
      <c r="AU19" s="217">
        <f>SUMIF(AU10:AU12,"&lt;0")</f>
        <v>0</v>
      </c>
      <c r="AV19" s="1073">
        <f>AV11+AV12+AV10</f>
        <v>0</v>
      </c>
      <c r="AW19" s="217">
        <f>SUMIF(AW10:AW12,"&lt;0")</f>
        <v>0</v>
      </c>
      <c r="AX19" s="1073">
        <f>AX11+AX12+AX10</f>
        <v>0</v>
      </c>
      <c r="AY19" s="217">
        <f>SUMIF(AY10:AY12,"&lt;0")</f>
        <v>0</v>
      </c>
      <c r="AZ19" s="1073">
        <f>AZ11+AZ12+AZ10</f>
        <v>0</v>
      </c>
      <c r="BA19" s="217">
        <f>SUMIF(BA10:BA12,"&lt;0")</f>
        <v>0</v>
      </c>
      <c r="BB19" s="1073">
        <f>BB11+BB12+BB10</f>
        <v>0</v>
      </c>
      <c r="BC19" s="217">
        <f>SUMIF(BC10:BC12,"&lt;0")</f>
        <v>0</v>
      </c>
      <c r="BD19" s="1073">
        <f>BD11+BD12+BD10</f>
        <v>0</v>
      </c>
      <c r="BE19" s="217">
        <f>SUMIF(BE10:BE12,"&lt;0")</f>
        <v>0</v>
      </c>
      <c r="BF19" s="1073">
        <f>BF11+BF12+BF10</f>
        <v>0</v>
      </c>
      <c r="BG19" s="217">
        <f>SUMIF(BG10:BG12,"&lt;0")</f>
        <v>0</v>
      </c>
      <c r="BH19" s="1073">
        <f>BH11+BH12+BH10</f>
        <v>0</v>
      </c>
      <c r="BI19" s="217">
        <f>SUMIF(BI10:BI12,"&lt;0")</f>
        <v>0</v>
      </c>
      <c r="BJ19" s="1073">
        <f>BJ11+BJ12+BJ10</f>
        <v>0</v>
      </c>
      <c r="BK19" s="217">
        <f>SUMIF(BK10:BK12,"&lt;0")</f>
        <v>0</v>
      </c>
      <c r="BL19" s="1073">
        <f>BL11+BL12+BL10</f>
        <v>0</v>
      </c>
      <c r="BM19" s="217">
        <f>SUMIF(BM10:BM12,"&lt;0")</f>
        <v>0</v>
      </c>
      <c r="BN19" s="1073">
        <f>BN11+BN12+BN10</f>
        <v>0</v>
      </c>
      <c r="BO19" s="217">
        <f>SUMIF(BO10:BO12,"&lt;0")</f>
        <v>0</v>
      </c>
      <c r="BP19" s="1073">
        <f>BP11+BP12+BP10</f>
        <v>0</v>
      </c>
      <c r="BQ19" s="217">
        <f>SUMIF(BQ10:BQ12,"&lt;0")</f>
        <v>0</v>
      </c>
      <c r="BR19" s="1073">
        <f>BR11+BR12+BR10</f>
        <v>0</v>
      </c>
      <c r="BS19" s="217">
        <f>SUMIF(BS10:BS12,"&lt;0")</f>
        <v>0</v>
      </c>
      <c r="BT19" s="1073">
        <f>BT11+BT12+BT10</f>
        <v>0</v>
      </c>
      <c r="BU19" s="217">
        <f>SUMIF(BU10:BU12,"&lt;0")</f>
        <v>0</v>
      </c>
      <c r="BV19" s="1073">
        <f>BV11+BV12+BV10</f>
        <v>0</v>
      </c>
      <c r="BW19" s="217">
        <f>SUMIF(BW10:BW12,"&lt;0")</f>
        <v>0</v>
      </c>
      <c r="BX19" s="1073">
        <f>BX11+BX12+BX10</f>
        <v>0</v>
      </c>
      <c r="BY19" s="217">
        <f>SUMIF(BY10:BY12,"&lt;0")</f>
        <v>0</v>
      </c>
      <c r="BZ19" s="1073">
        <f>BZ11+BZ12+BZ10</f>
        <v>0</v>
      </c>
      <c r="CA19" s="217">
        <f>SUMIF(CA10:CA12,"&lt;0")</f>
        <v>0</v>
      </c>
      <c r="CB19" s="1073">
        <f>CB11+CB12+CB10</f>
        <v>0</v>
      </c>
      <c r="CC19" s="217">
        <f>SUMIF(CC10:CC12,"&lt;0")</f>
        <v>0</v>
      </c>
      <c r="CD19" s="1073">
        <f>CD11+CD12+CD10</f>
        <v>0</v>
      </c>
      <c r="CE19" s="217">
        <f>SUMIF(CE10:CE12,"&lt;0")</f>
        <v>0</v>
      </c>
      <c r="CF19" s="1073">
        <f>CF11+CF12+CF10</f>
        <v>0</v>
      </c>
      <c r="CG19" s="217">
        <f>SUMIF(CG10:CG12,"&lt;0")</f>
        <v>0</v>
      </c>
      <c r="CH19" s="1073">
        <f>CH11+CH12+CH10</f>
        <v>0</v>
      </c>
      <c r="CI19" s="217">
        <f>SUMIF(CI10:CI12,"&lt;0")</f>
        <v>0</v>
      </c>
      <c r="CJ19" s="1073">
        <f>CJ11+CJ12+CJ10</f>
        <v>0</v>
      </c>
      <c r="CK19" s="217">
        <f>SUMIF(CK10:CK12,"&lt;0")</f>
        <v>0</v>
      </c>
      <c r="CL19" s="1073">
        <f>CL11+CL12+CL10</f>
        <v>0</v>
      </c>
      <c r="CM19" s="217">
        <f>SUMIF(CM10:CM12,"&lt;0")</f>
        <v>0</v>
      </c>
      <c r="CN19" s="1073">
        <f>CN11+CN12+CN10</f>
        <v>0</v>
      </c>
      <c r="CO19" s="217">
        <f>SUMIF(CO10:CO12,"&lt;0")</f>
        <v>0</v>
      </c>
      <c r="CP19" s="1073">
        <f>CP11+CP12+CP10</f>
        <v>0</v>
      </c>
      <c r="CQ19" s="217">
        <f>SUMIF(CQ10:CQ12,"&lt;0")</f>
        <v>0</v>
      </c>
      <c r="CR19" s="1073">
        <f>CR11+CR12+CR10</f>
        <v>0</v>
      </c>
      <c r="CS19" s="217">
        <f>SUMIF(CS10:CS12,"&lt;0")</f>
        <v>0</v>
      </c>
      <c r="CT19" s="1073">
        <f>CT11+CT12+CT10</f>
        <v>0</v>
      </c>
      <c r="CU19" s="217">
        <f>SUMIF(CU10:CU12,"&lt;0")</f>
        <v>0</v>
      </c>
      <c r="CV19" s="1073">
        <f>CV11+CV12+CV10</f>
        <v>0</v>
      </c>
      <c r="CW19" s="217">
        <f>SUMIF(CW10:CW12,"&lt;0")</f>
        <v>0</v>
      </c>
      <c r="CX19" s="1073">
        <f>CX11+CX12+CX10</f>
        <v>0</v>
      </c>
      <c r="CY19" s="217">
        <f>SUMIF(CY10:CY12,"&lt;0")</f>
        <v>0</v>
      </c>
      <c r="CZ19" s="1073">
        <f>CZ11+CZ12+CZ10</f>
        <v>0</v>
      </c>
      <c r="DA19" s="217">
        <f>SUMIF(DA10:DA12,"&lt;0")</f>
        <v>0</v>
      </c>
      <c r="DB19" s="1073">
        <f>DB11+DB12+DB10</f>
        <v>0</v>
      </c>
      <c r="DC19" s="217">
        <f>SUMIF(DC10:DC12,"&lt;0")</f>
        <v>0</v>
      </c>
      <c r="DD19" s="1073">
        <f>DD11+DD12+DD10</f>
        <v>0</v>
      </c>
      <c r="DE19" s="217">
        <f>SUMIF(DE10:DE12,"&lt;0")</f>
        <v>0</v>
      </c>
      <c r="DF19" s="1073">
        <f>DF11+DF12+DF10</f>
        <v>0</v>
      </c>
      <c r="DG19" s="217">
        <f>SUMIF(DG10:DG12,"&lt;0")</f>
        <v>0</v>
      </c>
      <c r="DH19" s="1073">
        <f>DH11+DH12+DH10</f>
        <v>0</v>
      </c>
      <c r="DI19" s="217">
        <f>SUMIF(DI10:DI12,"&lt;0")</f>
        <v>0</v>
      </c>
      <c r="DJ19" s="1073">
        <f>DJ11+DJ12+DJ10</f>
        <v>0</v>
      </c>
      <c r="DK19" s="217">
        <f>SUMIF(DK10:DK12,"&lt;0")</f>
        <v>0</v>
      </c>
      <c r="DL19" s="1073">
        <f>DL11+DL12+DL10</f>
        <v>0</v>
      </c>
      <c r="DM19" s="217">
        <f>SUMIF(DM10:DM12,"&lt;0")</f>
        <v>0</v>
      </c>
      <c r="DN19" s="1073">
        <f>DN11+DN12+DN10</f>
        <v>0</v>
      </c>
      <c r="DO19" s="217">
        <f>SUMIF(DO10:DO12,"&lt;0")</f>
        <v>0</v>
      </c>
      <c r="DP19" s="1073">
        <f>DP11+DP12+DP10</f>
        <v>0</v>
      </c>
      <c r="DQ19" s="217">
        <f>SUMIF(DQ10:DQ12,"&lt;0")</f>
        <v>0</v>
      </c>
      <c r="DR19" s="1073">
        <f>DR11+DR12+DR10</f>
        <v>0</v>
      </c>
      <c r="DS19" s="217">
        <f>SUMIF(DS10:DS12,"&lt;0")</f>
        <v>0</v>
      </c>
      <c r="DT19" s="1073">
        <f>DT11+DT12+DT10</f>
        <v>0</v>
      </c>
      <c r="DU19" s="217">
        <f>SUMIF(DU10:DU12,"&lt;0")</f>
        <v>0</v>
      </c>
      <c r="DV19" s="1073">
        <f>DV11+DV12+DV10</f>
        <v>0</v>
      </c>
      <c r="DW19" s="217">
        <f>SUMIF(DW10:DW12,"&lt;0")</f>
        <v>0</v>
      </c>
      <c r="DX19" s="1073">
        <f>DX11+DX12+DX10</f>
        <v>40</v>
      </c>
      <c r="DY19" s="217">
        <f>SUMIF(DY10:DY12,"&lt;0")</f>
        <v>0</v>
      </c>
      <c r="DZ19" s="1073">
        <f>DZ11+DZ12+DZ10</f>
        <v>16</v>
      </c>
      <c r="EA19" s="217">
        <f>SUMIF(EA10:EA12,"&lt;0")</f>
        <v>0</v>
      </c>
      <c r="EB19" s="1073">
        <f>EB11+EB12+EB10</f>
        <v>136</v>
      </c>
      <c r="EC19" s="217">
        <f>SUMIF(EC10:EC12,"&lt;0")</f>
        <v>-80</v>
      </c>
      <c r="ED19" s="1073">
        <f>ED11+ED12+ED10</f>
        <v>264</v>
      </c>
      <c r="EE19" s="217">
        <f>SUMIF(EE10:EE12,"&lt;0")</f>
        <v>-344</v>
      </c>
      <c r="EF19" s="1073">
        <f>EF11+EF12+EF10</f>
        <v>144</v>
      </c>
      <c r="EG19" s="217">
        <f>SUMIF(EG10:EG12,"&lt;0")</f>
        <v>-488</v>
      </c>
      <c r="EH19" s="1073">
        <f>EH11+EH12+EH10</f>
        <v>216</v>
      </c>
      <c r="EI19" s="217">
        <f>SUMIF(EI10:EI12,"&lt;0")</f>
        <v>-704</v>
      </c>
      <c r="EJ19" s="1073">
        <f>EJ11+EJ12+EJ10</f>
        <v>64</v>
      </c>
      <c r="EK19" s="217">
        <f>SUMIF(EK10:EK12,"&lt;0")</f>
        <v>-768</v>
      </c>
    </row>
    <row r="20" spans="1:141" s="87" customFormat="1" ht="105" customHeight="1" thickBot="1">
      <c r="A20" s="458"/>
      <c r="B20" s="1246"/>
      <c r="C20" s="1075" t="s">
        <v>393</v>
      </c>
      <c r="D20" s="464" t="e">
        <f>AVERAGE(#REF!+#REF!,#REF!+#REF!,#REF!+#REF!,#REF!+#REF!,#REF!+#REF!,#REF!+#REF!,#REF!+#REF!)</f>
        <v>#REF!</v>
      </c>
      <c r="E20" s="1076">
        <f>E9</f>
        <v>0</v>
      </c>
      <c r="F20" s="1073">
        <f>F9</f>
        <v>0</v>
      </c>
      <c r="G20" s="217">
        <f>SUMIF(G9,"&lt;0")</f>
        <v>0</v>
      </c>
      <c r="H20" s="1073">
        <f>H9</f>
        <v>0</v>
      </c>
      <c r="I20" s="217">
        <f>SUMIF(I9,"&lt;0")</f>
        <v>0</v>
      </c>
      <c r="J20" s="1073">
        <f>J9</f>
        <v>0</v>
      </c>
      <c r="K20" s="217">
        <f>SUMIF(K9,"&lt;0")</f>
        <v>0</v>
      </c>
      <c r="L20" s="1073">
        <f>L9</f>
        <v>0</v>
      </c>
      <c r="M20" s="217">
        <f>SUMIF(M9,"&lt;0")</f>
        <v>0</v>
      </c>
      <c r="N20" s="1073">
        <f>N9</f>
        <v>0</v>
      </c>
      <c r="O20" s="217">
        <f>SUMIF(O9,"&lt;0")</f>
        <v>0</v>
      </c>
      <c r="P20" s="1073">
        <f>P9</f>
        <v>0</v>
      </c>
      <c r="Q20" s="217">
        <f>SUMIF(Q9,"&lt;0")</f>
        <v>0</v>
      </c>
      <c r="R20" s="1073">
        <f>R9</f>
        <v>0</v>
      </c>
      <c r="S20" s="217">
        <f>SUMIF(S9,"&lt;0")</f>
        <v>0</v>
      </c>
      <c r="T20" s="1073">
        <f>T9</f>
        <v>0</v>
      </c>
      <c r="U20" s="217">
        <f>SUMIF(U9,"&lt;0")</f>
        <v>0</v>
      </c>
      <c r="V20" s="1073">
        <f>V9</f>
        <v>0</v>
      </c>
      <c r="W20" s="217">
        <f>SUMIF(W9,"&lt;0")</f>
        <v>0</v>
      </c>
      <c r="X20" s="1073">
        <f>X9</f>
        <v>0</v>
      </c>
      <c r="Y20" s="217">
        <f>SUMIF(Y9,"&lt;0")</f>
        <v>0</v>
      </c>
      <c r="Z20" s="1073">
        <f>Z9</f>
        <v>0</v>
      </c>
      <c r="AA20" s="217">
        <f>SUMIF(AA9,"&lt;0")</f>
        <v>0</v>
      </c>
      <c r="AB20" s="1073">
        <f>AB9</f>
        <v>0</v>
      </c>
      <c r="AC20" s="217">
        <f>SUMIF(AC9,"&lt;0")</f>
        <v>0</v>
      </c>
      <c r="AD20" s="1073">
        <f>AD9</f>
        <v>0</v>
      </c>
      <c r="AE20" s="217">
        <f>SUMIF(AE9,"&lt;0")</f>
        <v>0</v>
      </c>
      <c r="AF20" s="1073">
        <f>AF9</f>
        <v>0</v>
      </c>
      <c r="AG20" s="217">
        <f>SUMIF(AG9,"&lt;0")</f>
        <v>0</v>
      </c>
      <c r="AH20" s="1073">
        <f>AH9</f>
        <v>0</v>
      </c>
      <c r="AI20" s="217">
        <f>SUMIF(AI9,"&lt;0")</f>
        <v>0</v>
      </c>
      <c r="AJ20" s="1073">
        <f>AJ9</f>
        <v>0</v>
      </c>
      <c r="AK20" s="217">
        <f>SUMIF(AK9,"&lt;0")</f>
        <v>0</v>
      </c>
      <c r="AL20" s="1073">
        <f>AL9</f>
        <v>0</v>
      </c>
      <c r="AM20" s="217">
        <f>SUMIF(AM9,"&lt;0")</f>
        <v>0</v>
      </c>
      <c r="AN20" s="1073">
        <f>AN9</f>
        <v>0</v>
      </c>
      <c r="AO20" s="217">
        <f>SUMIF(AO9,"&lt;0")</f>
        <v>0</v>
      </c>
      <c r="AP20" s="1073">
        <f>AP9</f>
        <v>0</v>
      </c>
      <c r="AQ20" s="217">
        <f>SUMIF(AQ9,"&lt;0")</f>
        <v>0</v>
      </c>
      <c r="AR20" s="1073">
        <f>AR9</f>
        <v>0</v>
      </c>
      <c r="AS20" s="217">
        <f>SUMIF(AS9,"&lt;0")</f>
        <v>0</v>
      </c>
      <c r="AT20" s="1073">
        <f>AT9</f>
        <v>0</v>
      </c>
      <c r="AU20" s="217">
        <f>SUMIF(AU9,"&lt;0")</f>
        <v>0</v>
      </c>
      <c r="AV20" s="1073">
        <f>AV9</f>
        <v>0</v>
      </c>
      <c r="AW20" s="217">
        <f>SUMIF(AW9,"&lt;0")</f>
        <v>0</v>
      </c>
      <c r="AX20" s="1073">
        <f>AX9</f>
        <v>0</v>
      </c>
      <c r="AY20" s="217">
        <f>SUMIF(AY9,"&lt;0")</f>
        <v>0</v>
      </c>
      <c r="AZ20" s="1073">
        <f>AZ9</f>
        <v>0</v>
      </c>
      <c r="BA20" s="217">
        <f>SUMIF(BA9,"&lt;0")</f>
        <v>0</v>
      </c>
      <c r="BB20" s="1073">
        <f>BB9</f>
        <v>0</v>
      </c>
      <c r="BC20" s="217">
        <f>SUMIF(BC9,"&lt;0")</f>
        <v>0</v>
      </c>
      <c r="BD20" s="1073">
        <f>BD9</f>
        <v>0</v>
      </c>
      <c r="BE20" s="217">
        <f>SUMIF(BE9,"&lt;0")</f>
        <v>0</v>
      </c>
      <c r="BF20" s="1073">
        <f>BF9</f>
        <v>0</v>
      </c>
      <c r="BG20" s="217">
        <f>SUMIF(BG9,"&lt;0")</f>
        <v>0</v>
      </c>
      <c r="BH20" s="1073">
        <f>BH9</f>
        <v>0</v>
      </c>
      <c r="BI20" s="217">
        <f>SUMIF(BI9,"&lt;0")</f>
        <v>0</v>
      </c>
      <c r="BJ20" s="1073">
        <f>BJ9</f>
        <v>0</v>
      </c>
      <c r="BK20" s="217">
        <f>SUMIF(BK9,"&lt;0")</f>
        <v>0</v>
      </c>
      <c r="BL20" s="1073">
        <f>BL9</f>
        <v>0</v>
      </c>
      <c r="BM20" s="217">
        <f>SUMIF(BM9,"&lt;0")</f>
        <v>0</v>
      </c>
      <c r="BN20" s="1073">
        <f>BN9</f>
        <v>0</v>
      </c>
      <c r="BO20" s="217">
        <f>SUMIF(BO9,"&lt;0")</f>
        <v>0</v>
      </c>
      <c r="BP20" s="1073">
        <f>BP9</f>
        <v>0</v>
      </c>
      <c r="BQ20" s="217">
        <f>SUMIF(BQ9,"&lt;0")</f>
        <v>0</v>
      </c>
      <c r="BR20" s="1073">
        <f>BR9</f>
        <v>0</v>
      </c>
      <c r="BS20" s="217">
        <f>SUMIF(BS9,"&lt;0")</f>
        <v>0</v>
      </c>
      <c r="BT20" s="1073">
        <f>BT9</f>
        <v>0</v>
      </c>
      <c r="BU20" s="217">
        <f>SUMIF(BU9,"&lt;0")</f>
        <v>0</v>
      </c>
      <c r="BV20" s="1073">
        <f>BV9</f>
        <v>0</v>
      </c>
      <c r="BW20" s="217">
        <f>SUMIF(BW9,"&lt;0")</f>
        <v>0</v>
      </c>
      <c r="BX20" s="1073">
        <f>BX9</f>
        <v>0</v>
      </c>
      <c r="BY20" s="217">
        <f>SUMIF(BY9,"&lt;0")</f>
        <v>0</v>
      </c>
      <c r="BZ20" s="1073">
        <f>BZ9</f>
        <v>0</v>
      </c>
      <c r="CA20" s="217">
        <f>SUMIF(CA9,"&lt;0")</f>
        <v>0</v>
      </c>
      <c r="CB20" s="1073">
        <f>CB9</f>
        <v>0</v>
      </c>
      <c r="CC20" s="217">
        <f>SUMIF(CC9,"&lt;0")</f>
        <v>0</v>
      </c>
      <c r="CD20" s="1073">
        <f>CD9</f>
        <v>0</v>
      </c>
      <c r="CE20" s="217">
        <f>SUMIF(CE9,"&lt;0")</f>
        <v>0</v>
      </c>
      <c r="CF20" s="1073">
        <f>CF9</f>
        <v>0</v>
      </c>
      <c r="CG20" s="217">
        <f>SUMIF(CG9,"&lt;0")</f>
        <v>0</v>
      </c>
      <c r="CH20" s="1073">
        <f>CH9</f>
        <v>0</v>
      </c>
      <c r="CI20" s="217">
        <f>SUMIF(CI9,"&lt;0")</f>
        <v>0</v>
      </c>
      <c r="CJ20" s="1073">
        <f>CJ9</f>
        <v>0</v>
      </c>
      <c r="CK20" s="217">
        <f>SUMIF(CK9,"&lt;0")</f>
        <v>0</v>
      </c>
      <c r="CL20" s="1073">
        <f>CL9</f>
        <v>0</v>
      </c>
      <c r="CM20" s="217">
        <f>SUMIF(CM9,"&lt;0")</f>
        <v>0</v>
      </c>
      <c r="CN20" s="1073">
        <f>CN9</f>
        <v>0</v>
      </c>
      <c r="CO20" s="217">
        <f>SUMIF(CO9,"&lt;0")</f>
        <v>0</v>
      </c>
      <c r="CP20" s="1073">
        <f>CP9</f>
        <v>0</v>
      </c>
      <c r="CQ20" s="217">
        <f>SUMIF(CQ9,"&lt;0")</f>
        <v>0</v>
      </c>
      <c r="CR20" s="1073">
        <f>CR9</f>
        <v>0</v>
      </c>
      <c r="CS20" s="217">
        <f>SUMIF(CS9,"&lt;0")</f>
        <v>0</v>
      </c>
      <c r="CT20" s="1073">
        <f>CT9</f>
        <v>0</v>
      </c>
      <c r="CU20" s="217">
        <f>SUMIF(CU9,"&lt;0")</f>
        <v>0</v>
      </c>
      <c r="CV20" s="1073">
        <f>CV9</f>
        <v>0</v>
      </c>
      <c r="CW20" s="217">
        <f>SUMIF(CW9,"&lt;0")</f>
        <v>0</v>
      </c>
      <c r="CX20" s="1073">
        <f>CX9</f>
        <v>0</v>
      </c>
      <c r="CY20" s="217">
        <f>SUMIF(CY9,"&lt;0")</f>
        <v>0</v>
      </c>
      <c r="CZ20" s="1073">
        <f>CZ9</f>
        <v>0</v>
      </c>
      <c r="DA20" s="217">
        <f>SUMIF(DA9,"&lt;0")</f>
        <v>0</v>
      </c>
      <c r="DB20" s="1073">
        <f>DB9</f>
        <v>0</v>
      </c>
      <c r="DC20" s="217">
        <f>SUMIF(DC9,"&lt;0")</f>
        <v>0</v>
      </c>
      <c r="DD20" s="1073">
        <f>DD9</f>
        <v>0</v>
      </c>
      <c r="DE20" s="217">
        <f>SUMIF(DE9,"&lt;0")</f>
        <v>0</v>
      </c>
      <c r="DF20" s="1073">
        <f>DF9</f>
        <v>0</v>
      </c>
      <c r="DG20" s="217">
        <f>SUMIF(DG9,"&lt;0")</f>
        <v>0</v>
      </c>
      <c r="DH20" s="1073">
        <f>DH9</f>
        <v>0</v>
      </c>
      <c r="DI20" s="217">
        <f>SUMIF(DI9,"&lt;0")</f>
        <v>0</v>
      </c>
      <c r="DJ20" s="1073">
        <f>DJ9</f>
        <v>0</v>
      </c>
      <c r="DK20" s="217">
        <f>SUMIF(DK9,"&lt;0")</f>
        <v>0</v>
      </c>
      <c r="DL20" s="1073">
        <f>DL9</f>
        <v>0</v>
      </c>
      <c r="DM20" s="217">
        <f>SUMIF(DM9,"&lt;0")</f>
        <v>0</v>
      </c>
      <c r="DN20" s="1073">
        <f>DN9</f>
        <v>0</v>
      </c>
      <c r="DO20" s="217">
        <f>SUMIF(DO9,"&lt;0")</f>
        <v>0</v>
      </c>
      <c r="DP20" s="1073">
        <f>DP9</f>
        <v>0</v>
      </c>
      <c r="DQ20" s="217">
        <f>SUMIF(DQ9,"&lt;0")</f>
        <v>0</v>
      </c>
      <c r="DR20" s="1073">
        <f>DR9</f>
        <v>0</v>
      </c>
      <c r="DS20" s="217">
        <f>SUMIF(DS9,"&lt;0")</f>
        <v>0</v>
      </c>
      <c r="DT20" s="1073">
        <f>DT9</f>
        <v>0</v>
      </c>
      <c r="DU20" s="217">
        <f>SUMIF(DU9,"&lt;0")</f>
        <v>0</v>
      </c>
      <c r="DV20" s="1073">
        <f>DV9</f>
        <v>0</v>
      </c>
      <c r="DW20" s="217">
        <f>SUMIF(DW9,"&lt;0")</f>
        <v>0</v>
      </c>
      <c r="DX20" s="1073">
        <f>DX9</f>
        <v>0</v>
      </c>
      <c r="DY20" s="217">
        <f>SUMIF(DY9,"&lt;0")</f>
        <v>0</v>
      </c>
      <c r="DZ20" s="1073">
        <f>DZ9</f>
        <v>0</v>
      </c>
      <c r="EA20" s="217">
        <f>SUMIF(EA9,"&lt;0")</f>
        <v>0</v>
      </c>
      <c r="EB20" s="1073">
        <f>EB9</f>
        <v>0</v>
      </c>
      <c r="EC20" s="217">
        <f>SUMIF(EC9,"&lt;0")</f>
        <v>0</v>
      </c>
      <c r="ED20" s="1073">
        <f>ED9</f>
        <v>0</v>
      </c>
      <c r="EE20" s="217">
        <f>SUMIF(EE9,"&lt;0")</f>
        <v>0</v>
      </c>
      <c r="EF20" s="1073">
        <f>EF9</f>
        <v>0</v>
      </c>
      <c r="EG20" s="217">
        <f>SUMIF(EG9,"&lt;0")</f>
        <v>0</v>
      </c>
      <c r="EH20" s="1073">
        <f>EH9</f>
        <v>0</v>
      </c>
      <c r="EI20" s="217">
        <f>SUMIF(EI9,"&lt;0")</f>
        <v>0</v>
      </c>
      <c r="EJ20" s="1073">
        <f>EJ9</f>
        <v>0</v>
      </c>
      <c r="EK20" s="217">
        <f>SUMIF(EK9,"&lt;0")</f>
        <v>0</v>
      </c>
    </row>
    <row r="21" spans="1:141" ht="54.75" customHeight="1">
      <c r="A21" s="85"/>
      <c r="B21" s="1245" t="s">
        <v>452</v>
      </c>
      <c r="C21" s="1074" t="s">
        <v>451</v>
      </c>
      <c r="D21" s="460" t="e">
        <f>AVERAGE(#REF!+#REF!,#REF!+#REF!,#REF!+#REF!,#REF!+#REF!,#REF!+#REF!,#REF!+#REF!,#REF!+#REF!)</f>
        <v>#REF!</v>
      </c>
      <c r="E21" s="1062"/>
      <c r="F21" s="1073">
        <f t="shared" ref="F21:Y21" si="74">F7+F8+F9+F10+F11</f>
        <v>0</v>
      </c>
      <c r="G21" s="217">
        <f t="shared" si="74"/>
        <v>624</v>
      </c>
      <c r="H21" s="1073">
        <f t="shared" si="74"/>
        <v>0</v>
      </c>
      <c r="I21" s="217">
        <f t="shared" si="74"/>
        <v>624</v>
      </c>
      <c r="J21" s="1073">
        <f t="shared" si="74"/>
        <v>0</v>
      </c>
      <c r="K21" s="217">
        <f t="shared" si="74"/>
        <v>624</v>
      </c>
      <c r="L21" s="1073">
        <f t="shared" si="74"/>
        <v>0</v>
      </c>
      <c r="M21" s="217">
        <f t="shared" si="74"/>
        <v>624</v>
      </c>
      <c r="N21" s="1073">
        <f>N7+N8+N9+N10+N11</f>
        <v>0</v>
      </c>
      <c r="O21" s="217">
        <f>O7+O8+O9+O10+O11</f>
        <v>624</v>
      </c>
      <c r="P21" s="1073">
        <f t="shared" si="74"/>
        <v>0</v>
      </c>
      <c r="Q21" s="217">
        <f t="shared" si="74"/>
        <v>624</v>
      </c>
      <c r="R21" s="1073">
        <f t="shared" si="74"/>
        <v>0</v>
      </c>
      <c r="S21" s="217">
        <f t="shared" si="74"/>
        <v>624</v>
      </c>
      <c r="T21" s="1073">
        <f t="shared" si="74"/>
        <v>0</v>
      </c>
      <c r="U21" s="217">
        <f t="shared" si="74"/>
        <v>624</v>
      </c>
      <c r="V21" s="1073">
        <f t="shared" si="74"/>
        <v>0</v>
      </c>
      <c r="W21" s="217">
        <f t="shared" si="74"/>
        <v>624</v>
      </c>
      <c r="X21" s="1073">
        <f t="shared" si="74"/>
        <v>0</v>
      </c>
      <c r="Y21" s="217">
        <f t="shared" si="74"/>
        <v>624</v>
      </c>
      <c r="Z21" s="1073">
        <f t="shared" ref="Z21:AE21" si="75">Z7+Z8+Z9+Z10+Z11</f>
        <v>0</v>
      </c>
      <c r="AA21" s="217">
        <f t="shared" si="75"/>
        <v>624</v>
      </c>
      <c r="AB21" s="1073">
        <f t="shared" si="75"/>
        <v>0</v>
      </c>
      <c r="AC21" s="217">
        <f t="shared" si="75"/>
        <v>624</v>
      </c>
      <c r="AD21" s="1073">
        <f t="shared" si="75"/>
        <v>0</v>
      </c>
      <c r="AE21" s="217">
        <f t="shared" si="75"/>
        <v>624</v>
      </c>
      <c r="AF21" s="1073">
        <f t="shared" ref="AF21:AK21" si="76">AF7+AF8+AF9+AF10+AF11</f>
        <v>0</v>
      </c>
      <c r="AG21" s="217">
        <f t="shared" si="76"/>
        <v>624</v>
      </c>
      <c r="AH21" s="1073">
        <f t="shared" si="76"/>
        <v>0</v>
      </c>
      <c r="AI21" s="217">
        <f t="shared" si="76"/>
        <v>624</v>
      </c>
      <c r="AJ21" s="1073">
        <f t="shared" si="76"/>
        <v>0</v>
      </c>
      <c r="AK21" s="217">
        <f t="shared" si="76"/>
        <v>624</v>
      </c>
      <c r="AL21" s="1073">
        <f t="shared" ref="AL21:AQ21" si="77">AL7+AL8+AL9+AL10+AL11</f>
        <v>0</v>
      </c>
      <c r="AM21" s="217">
        <f t="shared" si="77"/>
        <v>624</v>
      </c>
      <c r="AN21" s="1073">
        <f t="shared" si="77"/>
        <v>0</v>
      </c>
      <c r="AO21" s="217">
        <f t="shared" si="77"/>
        <v>624</v>
      </c>
      <c r="AP21" s="1073">
        <f t="shared" si="77"/>
        <v>0</v>
      </c>
      <c r="AQ21" s="217">
        <f t="shared" si="77"/>
        <v>624</v>
      </c>
      <c r="AR21" s="1073">
        <f t="shared" ref="AR21:AY21" si="78">AR7+AR8+AR9+AR10+AR11</f>
        <v>0</v>
      </c>
      <c r="AS21" s="217">
        <f t="shared" si="78"/>
        <v>624</v>
      </c>
      <c r="AT21" s="1073">
        <f t="shared" si="78"/>
        <v>0</v>
      </c>
      <c r="AU21" s="217">
        <f t="shared" si="78"/>
        <v>624</v>
      </c>
      <c r="AV21" s="1073">
        <f t="shared" si="78"/>
        <v>0</v>
      </c>
      <c r="AW21" s="217">
        <f t="shared" si="78"/>
        <v>624</v>
      </c>
      <c r="AX21" s="1073">
        <f t="shared" si="78"/>
        <v>0</v>
      </c>
      <c r="AY21" s="217">
        <f t="shared" si="78"/>
        <v>624</v>
      </c>
      <c r="AZ21" s="1073">
        <f t="shared" ref="AZ21:BE21" si="79">AZ7+AZ8+AZ9+AZ10+AZ11</f>
        <v>0</v>
      </c>
      <c r="BA21" s="217">
        <f t="shared" si="79"/>
        <v>624</v>
      </c>
      <c r="BB21" s="1073">
        <f t="shared" si="79"/>
        <v>0</v>
      </c>
      <c r="BC21" s="217">
        <f t="shared" si="79"/>
        <v>624</v>
      </c>
      <c r="BD21" s="1073">
        <f t="shared" si="79"/>
        <v>0</v>
      </c>
      <c r="BE21" s="217">
        <f t="shared" si="79"/>
        <v>624</v>
      </c>
      <c r="BF21" s="1073">
        <f t="shared" ref="BF21:BK21" si="80">BF7+BF8+BF9+BF10+BF11</f>
        <v>0</v>
      </c>
      <c r="BG21" s="217">
        <f t="shared" si="80"/>
        <v>624</v>
      </c>
      <c r="BH21" s="1073">
        <f t="shared" si="80"/>
        <v>0</v>
      </c>
      <c r="BI21" s="217">
        <f t="shared" si="80"/>
        <v>624</v>
      </c>
      <c r="BJ21" s="1073">
        <f t="shared" si="80"/>
        <v>0</v>
      </c>
      <c r="BK21" s="217">
        <f t="shared" si="80"/>
        <v>624</v>
      </c>
      <c r="BL21" s="1073">
        <f t="shared" ref="BL21:BQ21" si="81">BL7+BL8+BL9+BL10+BL11</f>
        <v>0</v>
      </c>
      <c r="BM21" s="217">
        <f t="shared" si="81"/>
        <v>624</v>
      </c>
      <c r="BN21" s="1073">
        <f t="shared" si="81"/>
        <v>0</v>
      </c>
      <c r="BO21" s="217">
        <f t="shared" si="81"/>
        <v>624</v>
      </c>
      <c r="BP21" s="1073">
        <f t="shared" si="81"/>
        <v>0</v>
      </c>
      <c r="BQ21" s="217">
        <f t="shared" si="81"/>
        <v>624</v>
      </c>
      <c r="BR21" s="1073">
        <f t="shared" ref="BR21:BW21" si="82">BR7+BR8+BR9+BR10+BR11</f>
        <v>0</v>
      </c>
      <c r="BS21" s="217">
        <f t="shared" si="82"/>
        <v>624</v>
      </c>
      <c r="BT21" s="1073">
        <f t="shared" si="82"/>
        <v>0</v>
      </c>
      <c r="BU21" s="217">
        <f t="shared" si="82"/>
        <v>624</v>
      </c>
      <c r="BV21" s="1073">
        <f t="shared" si="82"/>
        <v>0</v>
      </c>
      <c r="BW21" s="217">
        <f t="shared" si="82"/>
        <v>624</v>
      </c>
      <c r="BX21" s="1073">
        <f t="shared" ref="BX21:CE21" si="83">BX7+BX8+BX9+BX10+BX11</f>
        <v>0</v>
      </c>
      <c r="BY21" s="217">
        <f t="shared" si="83"/>
        <v>624</v>
      </c>
      <c r="BZ21" s="1073">
        <f t="shared" si="83"/>
        <v>0</v>
      </c>
      <c r="CA21" s="217">
        <f t="shared" si="83"/>
        <v>624</v>
      </c>
      <c r="CB21" s="1073">
        <f t="shared" si="83"/>
        <v>0</v>
      </c>
      <c r="CC21" s="217">
        <f t="shared" si="83"/>
        <v>624</v>
      </c>
      <c r="CD21" s="1073">
        <f t="shared" si="83"/>
        <v>0</v>
      </c>
      <c r="CE21" s="217">
        <f t="shared" si="83"/>
        <v>624</v>
      </c>
      <c r="CF21" s="1073">
        <f t="shared" ref="CF21:CK21" si="84">CF7+CF8+CF9+CF10+CF11</f>
        <v>0</v>
      </c>
      <c r="CG21" s="217">
        <f t="shared" si="84"/>
        <v>624</v>
      </c>
      <c r="CH21" s="1073">
        <f t="shared" si="84"/>
        <v>0</v>
      </c>
      <c r="CI21" s="217">
        <f t="shared" si="84"/>
        <v>624</v>
      </c>
      <c r="CJ21" s="1073">
        <f t="shared" si="84"/>
        <v>0</v>
      </c>
      <c r="CK21" s="217">
        <f t="shared" si="84"/>
        <v>624</v>
      </c>
      <c r="CL21" s="1073">
        <f t="shared" ref="CL21:CQ21" si="85">CL7+CL8+CL9+CL10+CL11</f>
        <v>0</v>
      </c>
      <c r="CM21" s="217">
        <f t="shared" si="85"/>
        <v>624</v>
      </c>
      <c r="CN21" s="1073">
        <f t="shared" si="85"/>
        <v>0</v>
      </c>
      <c r="CO21" s="217">
        <f t="shared" si="85"/>
        <v>624</v>
      </c>
      <c r="CP21" s="1073">
        <f t="shared" si="85"/>
        <v>0</v>
      </c>
      <c r="CQ21" s="217">
        <f t="shared" si="85"/>
        <v>624</v>
      </c>
      <c r="CR21" s="1073">
        <f t="shared" ref="CR21:CY21" si="86">CR7+CR8+CR9+CR10+CR11</f>
        <v>0</v>
      </c>
      <c r="CS21" s="217">
        <f t="shared" si="86"/>
        <v>624</v>
      </c>
      <c r="CT21" s="1073">
        <f t="shared" si="86"/>
        <v>0</v>
      </c>
      <c r="CU21" s="217">
        <f t="shared" si="86"/>
        <v>624</v>
      </c>
      <c r="CV21" s="1073">
        <f t="shared" si="86"/>
        <v>0</v>
      </c>
      <c r="CW21" s="217">
        <f t="shared" si="86"/>
        <v>624</v>
      </c>
      <c r="CX21" s="1073">
        <f t="shared" si="86"/>
        <v>0</v>
      </c>
      <c r="CY21" s="217">
        <f t="shared" si="86"/>
        <v>624</v>
      </c>
      <c r="CZ21" s="1073">
        <f t="shared" ref="CZ21:DG21" si="87">CZ7+CZ8+CZ9+CZ10+CZ11</f>
        <v>0</v>
      </c>
      <c r="DA21" s="217">
        <f t="shared" si="87"/>
        <v>624</v>
      </c>
      <c r="DB21" s="1073">
        <f t="shared" si="87"/>
        <v>0</v>
      </c>
      <c r="DC21" s="217">
        <f t="shared" si="87"/>
        <v>624</v>
      </c>
      <c r="DD21" s="1073">
        <f t="shared" si="87"/>
        <v>0</v>
      </c>
      <c r="DE21" s="217">
        <f t="shared" si="87"/>
        <v>624</v>
      </c>
      <c r="DF21" s="1073">
        <f t="shared" si="87"/>
        <v>0</v>
      </c>
      <c r="DG21" s="217">
        <f t="shared" si="87"/>
        <v>624</v>
      </c>
      <c r="DH21" s="1073">
        <f t="shared" ref="DH21:DQ21" si="88">DH7+DH8+DH9+DH10+DH11</f>
        <v>0</v>
      </c>
      <c r="DI21" s="217">
        <f t="shared" si="88"/>
        <v>624</v>
      </c>
      <c r="DJ21" s="1073">
        <f t="shared" si="88"/>
        <v>0</v>
      </c>
      <c r="DK21" s="217">
        <f t="shared" si="88"/>
        <v>624</v>
      </c>
      <c r="DL21" s="1073">
        <f t="shared" si="88"/>
        <v>0</v>
      </c>
      <c r="DM21" s="217">
        <f t="shared" si="88"/>
        <v>624</v>
      </c>
      <c r="DN21" s="1073">
        <f t="shared" si="88"/>
        <v>0</v>
      </c>
      <c r="DO21" s="217">
        <f t="shared" si="88"/>
        <v>624</v>
      </c>
      <c r="DP21" s="1073">
        <f t="shared" si="88"/>
        <v>0</v>
      </c>
      <c r="DQ21" s="217">
        <f t="shared" si="88"/>
        <v>624</v>
      </c>
      <c r="DR21" s="1073">
        <f t="shared" ref="DR21:DY21" si="89">DR7+DR8+DR9+DR10+DR11</f>
        <v>0</v>
      </c>
      <c r="DS21" s="217">
        <f t="shared" si="89"/>
        <v>624</v>
      </c>
      <c r="DT21" s="1073">
        <f t="shared" si="89"/>
        <v>0</v>
      </c>
      <c r="DU21" s="217">
        <f t="shared" si="89"/>
        <v>624</v>
      </c>
      <c r="DV21" s="1073">
        <f t="shared" si="89"/>
        <v>0</v>
      </c>
      <c r="DW21" s="217">
        <f t="shared" si="89"/>
        <v>624</v>
      </c>
      <c r="DX21" s="1073">
        <f t="shared" si="89"/>
        <v>0</v>
      </c>
      <c r="DY21" s="217">
        <f t="shared" si="89"/>
        <v>624</v>
      </c>
      <c r="DZ21" s="1073">
        <f t="shared" ref="DZ21:EE21" si="90">DZ7+DZ8+DZ9+DZ10+DZ11</f>
        <v>128</v>
      </c>
      <c r="EA21" s="217">
        <f t="shared" si="90"/>
        <v>496</v>
      </c>
      <c r="EB21" s="1073">
        <f t="shared" si="90"/>
        <v>280</v>
      </c>
      <c r="EC21" s="217">
        <f t="shared" si="90"/>
        <v>216</v>
      </c>
      <c r="ED21" s="1073">
        <f t="shared" si="90"/>
        <v>368</v>
      </c>
      <c r="EE21" s="217">
        <f t="shared" si="90"/>
        <v>-152</v>
      </c>
      <c r="EF21" s="1073">
        <f t="shared" ref="EF21:EK21" si="91">EF7+EF8+EF9+EF10+EF11</f>
        <v>184</v>
      </c>
      <c r="EG21" s="217">
        <f t="shared" si="91"/>
        <v>-336</v>
      </c>
      <c r="EH21" s="1073">
        <f t="shared" si="91"/>
        <v>232</v>
      </c>
      <c r="EI21" s="217">
        <f t="shared" si="91"/>
        <v>-568</v>
      </c>
      <c r="EJ21" s="1073">
        <f t="shared" si="91"/>
        <v>0</v>
      </c>
      <c r="EK21" s="217">
        <f t="shared" si="91"/>
        <v>-568</v>
      </c>
    </row>
    <row r="22" spans="1:141" ht="69.75" customHeight="1" thickBot="1">
      <c r="A22" s="85"/>
      <c r="B22" s="1246"/>
      <c r="C22" s="1075" t="s">
        <v>449</v>
      </c>
      <c r="D22" s="464" t="e">
        <f>AVERAGE(#REF!+#REF!,#REF!+#REF!,#REF!+#REF!,#REF!+#REF!,#REF!+#REF!,#REF!+#REF!,#REF!+#REF!)</f>
        <v>#REF!</v>
      </c>
      <c r="E22" s="1076"/>
      <c r="F22" s="1073">
        <f t="shared" ref="F22:Y22" si="92">F6+F12</f>
        <v>0</v>
      </c>
      <c r="G22" s="217">
        <f t="shared" si="92"/>
        <v>1093</v>
      </c>
      <c r="H22" s="1073">
        <f t="shared" si="92"/>
        <v>0</v>
      </c>
      <c r="I22" s="217">
        <f t="shared" si="92"/>
        <v>1093</v>
      </c>
      <c r="J22" s="1073">
        <f t="shared" si="92"/>
        <v>0</v>
      </c>
      <c r="K22" s="217">
        <f t="shared" si="92"/>
        <v>1093</v>
      </c>
      <c r="L22" s="1073">
        <f t="shared" si="92"/>
        <v>0</v>
      </c>
      <c r="M22" s="217">
        <f t="shared" si="92"/>
        <v>1093</v>
      </c>
      <c r="N22" s="1073">
        <f>N6+N12</f>
        <v>0</v>
      </c>
      <c r="O22" s="217">
        <f>O6+O12</f>
        <v>1093</v>
      </c>
      <c r="P22" s="1073">
        <f t="shared" si="92"/>
        <v>0</v>
      </c>
      <c r="Q22" s="217">
        <f t="shared" si="92"/>
        <v>1093</v>
      </c>
      <c r="R22" s="1073">
        <f t="shared" si="92"/>
        <v>0</v>
      </c>
      <c r="S22" s="217">
        <f t="shared" si="92"/>
        <v>1093</v>
      </c>
      <c r="T22" s="1073">
        <f t="shared" si="92"/>
        <v>0</v>
      </c>
      <c r="U22" s="217">
        <f t="shared" si="92"/>
        <v>1093</v>
      </c>
      <c r="V22" s="1073">
        <f t="shared" si="92"/>
        <v>0</v>
      </c>
      <c r="W22" s="217">
        <f t="shared" si="92"/>
        <v>1093</v>
      </c>
      <c r="X22" s="1073">
        <f t="shared" si="92"/>
        <v>0</v>
      </c>
      <c r="Y22" s="217">
        <f t="shared" si="92"/>
        <v>1093</v>
      </c>
      <c r="Z22" s="1073">
        <f t="shared" ref="Z22:AE22" si="93">Z6+Z12</f>
        <v>0</v>
      </c>
      <c r="AA22" s="217">
        <f t="shared" si="93"/>
        <v>1093</v>
      </c>
      <c r="AB22" s="1073">
        <f t="shared" si="93"/>
        <v>0</v>
      </c>
      <c r="AC22" s="217">
        <f t="shared" si="93"/>
        <v>1093</v>
      </c>
      <c r="AD22" s="1073">
        <f t="shared" si="93"/>
        <v>0</v>
      </c>
      <c r="AE22" s="217">
        <f t="shared" si="93"/>
        <v>1093</v>
      </c>
      <c r="AF22" s="1073">
        <f t="shared" ref="AF22:AK22" si="94">AF6+AF12</f>
        <v>0</v>
      </c>
      <c r="AG22" s="217">
        <f t="shared" si="94"/>
        <v>1093</v>
      </c>
      <c r="AH22" s="1073">
        <f t="shared" si="94"/>
        <v>0</v>
      </c>
      <c r="AI22" s="217">
        <f t="shared" si="94"/>
        <v>1093</v>
      </c>
      <c r="AJ22" s="1073">
        <f t="shared" si="94"/>
        <v>0</v>
      </c>
      <c r="AK22" s="217">
        <f t="shared" si="94"/>
        <v>1093</v>
      </c>
      <c r="AL22" s="1073">
        <f t="shared" ref="AL22:AQ22" si="95">AL6+AL12</f>
        <v>0</v>
      </c>
      <c r="AM22" s="217">
        <f t="shared" si="95"/>
        <v>1093</v>
      </c>
      <c r="AN22" s="1073">
        <f t="shared" si="95"/>
        <v>0</v>
      </c>
      <c r="AO22" s="217">
        <f t="shared" si="95"/>
        <v>1093</v>
      </c>
      <c r="AP22" s="1073">
        <f t="shared" si="95"/>
        <v>0</v>
      </c>
      <c r="AQ22" s="217">
        <f t="shared" si="95"/>
        <v>1093</v>
      </c>
      <c r="AR22" s="1073">
        <f t="shared" ref="AR22:AY22" si="96">AR6+AR12</f>
        <v>0</v>
      </c>
      <c r="AS22" s="217">
        <f t="shared" si="96"/>
        <v>1093</v>
      </c>
      <c r="AT22" s="1073">
        <f t="shared" si="96"/>
        <v>0</v>
      </c>
      <c r="AU22" s="217">
        <f t="shared" si="96"/>
        <v>1093</v>
      </c>
      <c r="AV22" s="1073">
        <f t="shared" si="96"/>
        <v>0</v>
      </c>
      <c r="AW22" s="217">
        <f t="shared" si="96"/>
        <v>1093</v>
      </c>
      <c r="AX22" s="1073">
        <f t="shared" si="96"/>
        <v>0</v>
      </c>
      <c r="AY22" s="217">
        <f t="shared" si="96"/>
        <v>1093</v>
      </c>
      <c r="AZ22" s="1073">
        <f t="shared" ref="AZ22:BE22" si="97">AZ6+AZ12</f>
        <v>0</v>
      </c>
      <c r="BA22" s="217">
        <f t="shared" si="97"/>
        <v>1093</v>
      </c>
      <c r="BB22" s="1073">
        <f t="shared" si="97"/>
        <v>0</v>
      </c>
      <c r="BC22" s="217">
        <f t="shared" si="97"/>
        <v>1093</v>
      </c>
      <c r="BD22" s="1073">
        <f t="shared" si="97"/>
        <v>0</v>
      </c>
      <c r="BE22" s="217">
        <f t="shared" si="97"/>
        <v>1093</v>
      </c>
      <c r="BF22" s="1073">
        <f t="shared" ref="BF22:BK22" si="98">BF6+BF12</f>
        <v>0</v>
      </c>
      <c r="BG22" s="217">
        <f t="shared" si="98"/>
        <v>1093</v>
      </c>
      <c r="BH22" s="1073">
        <f t="shared" si="98"/>
        <v>0</v>
      </c>
      <c r="BI22" s="217">
        <f t="shared" si="98"/>
        <v>1093</v>
      </c>
      <c r="BJ22" s="1073">
        <f t="shared" si="98"/>
        <v>0</v>
      </c>
      <c r="BK22" s="217">
        <f t="shared" si="98"/>
        <v>1093</v>
      </c>
      <c r="BL22" s="1073">
        <f t="shared" ref="BL22:BQ22" si="99">BL6+BL12</f>
        <v>0</v>
      </c>
      <c r="BM22" s="217">
        <f t="shared" si="99"/>
        <v>1093</v>
      </c>
      <c r="BN22" s="1073">
        <f t="shared" si="99"/>
        <v>0</v>
      </c>
      <c r="BO22" s="217">
        <f t="shared" si="99"/>
        <v>1093</v>
      </c>
      <c r="BP22" s="1073">
        <f t="shared" si="99"/>
        <v>0</v>
      </c>
      <c r="BQ22" s="217">
        <f t="shared" si="99"/>
        <v>1093</v>
      </c>
      <c r="BR22" s="1073">
        <f t="shared" ref="BR22:BW22" si="100">BR6+BR12</f>
        <v>0</v>
      </c>
      <c r="BS22" s="217">
        <f t="shared" si="100"/>
        <v>1093</v>
      </c>
      <c r="BT22" s="1073">
        <f t="shared" si="100"/>
        <v>0</v>
      </c>
      <c r="BU22" s="217">
        <f t="shared" si="100"/>
        <v>1093</v>
      </c>
      <c r="BV22" s="1073">
        <f t="shared" si="100"/>
        <v>0</v>
      </c>
      <c r="BW22" s="217">
        <f t="shared" si="100"/>
        <v>1093</v>
      </c>
      <c r="BX22" s="1073">
        <f t="shared" ref="BX22:CE22" si="101">BX6+BX12</f>
        <v>0</v>
      </c>
      <c r="BY22" s="217">
        <f t="shared" si="101"/>
        <v>1093</v>
      </c>
      <c r="BZ22" s="1073">
        <f t="shared" si="101"/>
        <v>0</v>
      </c>
      <c r="CA22" s="217">
        <f t="shared" si="101"/>
        <v>1093</v>
      </c>
      <c r="CB22" s="1073">
        <f t="shared" si="101"/>
        <v>0</v>
      </c>
      <c r="CC22" s="217">
        <f t="shared" si="101"/>
        <v>1093</v>
      </c>
      <c r="CD22" s="1073">
        <f t="shared" si="101"/>
        <v>0</v>
      </c>
      <c r="CE22" s="217">
        <f t="shared" si="101"/>
        <v>1093</v>
      </c>
      <c r="CF22" s="1073">
        <f t="shared" ref="CF22:CK22" si="102">CF6+CF12</f>
        <v>0</v>
      </c>
      <c r="CG22" s="217">
        <f t="shared" si="102"/>
        <v>1093</v>
      </c>
      <c r="CH22" s="1073">
        <f t="shared" si="102"/>
        <v>0</v>
      </c>
      <c r="CI22" s="217">
        <f t="shared" si="102"/>
        <v>1093</v>
      </c>
      <c r="CJ22" s="1073">
        <f t="shared" si="102"/>
        <v>0</v>
      </c>
      <c r="CK22" s="217">
        <f t="shared" si="102"/>
        <v>1093</v>
      </c>
      <c r="CL22" s="1073">
        <f t="shared" ref="CL22:CQ22" si="103">CL6+CL12</f>
        <v>0</v>
      </c>
      <c r="CM22" s="217">
        <f t="shared" si="103"/>
        <v>1093</v>
      </c>
      <c r="CN22" s="1073">
        <f t="shared" si="103"/>
        <v>0</v>
      </c>
      <c r="CO22" s="217">
        <f t="shared" si="103"/>
        <v>1093</v>
      </c>
      <c r="CP22" s="1073">
        <f t="shared" si="103"/>
        <v>0</v>
      </c>
      <c r="CQ22" s="217">
        <f t="shared" si="103"/>
        <v>1093</v>
      </c>
      <c r="CR22" s="1073">
        <f t="shared" ref="CR22:CY22" si="104">CR6+CR12</f>
        <v>0</v>
      </c>
      <c r="CS22" s="217">
        <f t="shared" si="104"/>
        <v>1093</v>
      </c>
      <c r="CT22" s="1073">
        <f t="shared" si="104"/>
        <v>0</v>
      </c>
      <c r="CU22" s="217">
        <f t="shared" si="104"/>
        <v>1093</v>
      </c>
      <c r="CV22" s="1073">
        <f t="shared" si="104"/>
        <v>0</v>
      </c>
      <c r="CW22" s="217">
        <f t="shared" si="104"/>
        <v>1093</v>
      </c>
      <c r="CX22" s="1073">
        <f t="shared" si="104"/>
        <v>0</v>
      </c>
      <c r="CY22" s="217">
        <f t="shared" si="104"/>
        <v>1093</v>
      </c>
      <c r="CZ22" s="1073">
        <f t="shared" ref="CZ22:DG22" si="105">CZ6+CZ12</f>
        <v>0</v>
      </c>
      <c r="DA22" s="217">
        <f t="shared" si="105"/>
        <v>1093</v>
      </c>
      <c r="DB22" s="1073">
        <f t="shared" si="105"/>
        <v>0</v>
      </c>
      <c r="DC22" s="217">
        <f t="shared" si="105"/>
        <v>1093</v>
      </c>
      <c r="DD22" s="1073">
        <f t="shared" si="105"/>
        <v>0</v>
      </c>
      <c r="DE22" s="217">
        <f t="shared" si="105"/>
        <v>1093</v>
      </c>
      <c r="DF22" s="1073">
        <f t="shared" si="105"/>
        <v>0</v>
      </c>
      <c r="DG22" s="217">
        <f t="shared" si="105"/>
        <v>1093</v>
      </c>
      <c r="DH22" s="1073">
        <f t="shared" ref="DH22:DQ22" si="106">DH6+DH12</f>
        <v>0</v>
      </c>
      <c r="DI22" s="217">
        <f t="shared" si="106"/>
        <v>1093</v>
      </c>
      <c r="DJ22" s="1073">
        <f t="shared" si="106"/>
        <v>0</v>
      </c>
      <c r="DK22" s="217">
        <f t="shared" si="106"/>
        <v>1093</v>
      </c>
      <c r="DL22" s="1073">
        <f t="shared" si="106"/>
        <v>0</v>
      </c>
      <c r="DM22" s="217">
        <f t="shared" si="106"/>
        <v>1093</v>
      </c>
      <c r="DN22" s="1073">
        <f t="shared" si="106"/>
        <v>0</v>
      </c>
      <c r="DO22" s="217">
        <f t="shared" si="106"/>
        <v>1093</v>
      </c>
      <c r="DP22" s="1073">
        <f t="shared" si="106"/>
        <v>0</v>
      </c>
      <c r="DQ22" s="217">
        <f t="shared" si="106"/>
        <v>1093</v>
      </c>
      <c r="DR22" s="1073">
        <f t="shared" ref="DR22:DY22" si="107">DR6+DR12</f>
        <v>0</v>
      </c>
      <c r="DS22" s="217">
        <f t="shared" si="107"/>
        <v>1093</v>
      </c>
      <c r="DT22" s="1073">
        <f t="shared" si="107"/>
        <v>0</v>
      </c>
      <c r="DU22" s="217">
        <f t="shared" si="107"/>
        <v>1093</v>
      </c>
      <c r="DV22" s="1073">
        <f t="shared" si="107"/>
        <v>0</v>
      </c>
      <c r="DW22" s="217">
        <f t="shared" si="107"/>
        <v>1093</v>
      </c>
      <c r="DX22" s="1073">
        <f t="shared" si="107"/>
        <v>312</v>
      </c>
      <c r="DY22" s="217">
        <f t="shared" si="107"/>
        <v>781</v>
      </c>
      <c r="DZ22" s="1073">
        <f t="shared" ref="DZ22:EE22" si="108">DZ6+DZ12</f>
        <v>256</v>
      </c>
      <c r="EA22" s="217">
        <f t="shared" si="108"/>
        <v>525</v>
      </c>
      <c r="EB22" s="1073">
        <f t="shared" si="108"/>
        <v>256</v>
      </c>
      <c r="EC22" s="217">
        <f t="shared" si="108"/>
        <v>269</v>
      </c>
      <c r="ED22" s="1073">
        <f t="shared" si="108"/>
        <v>280</v>
      </c>
      <c r="EE22" s="217">
        <f t="shared" si="108"/>
        <v>-11</v>
      </c>
      <c r="EF22" s="1073">
        <f t="shared" ref="EF22:EK22" si="109">EF6+EF12</f>
        <v>408</v>
      </c>
      <c r="EG22" s="217">
        <f t="shared" si="109"/>
        <v>-419</v>
      </c>
      <c r="EH22" s="1073">
        <f t="shared" si="109"/>
        <v>336</v>
      </c>
      <c r="EI22" s="217">
        <f t="shared" si="109"/>
        <v>-755</v>
      </c>
      <c r="EJ22" s="1073">
        <f t="shared" si="109"/>
        <v>336</v>
      </c>
      <c r="EK22" s="217">
        <f t="shared" si="109"/>
        <v>-1091</v>
      </c>
    </row>
    <row r="23" spans="1:141" ht="12.75">
      <c r="A23" s="85"/>
      <c r="B23" s="86"/>
      <c r="C23" s="85"/>
      <c r="D23" s="85"/>
      <c r="E23" s="85"/>
    </row>
    <row r="24" spans="1:141" ht="12.75">
      <c r="B24" s="86"/>
    </row>
    <row r="25" spans="1:141" ht="20.100000000000001" customHeight="1">
      <c r="B25" s="86"/>
    </row>
    <row r="26" spans="1:141" ht="20.100000000000001" customHeight="1">
      <c r="B26" s="86"/>
    </row>
    <row r="27" spans="1:141" ht="20.100000000000001" customHeight="1">
      <c r="B27" s="86"/>
    </row>
    <row r="28" spans="1:141" ht="20.100000000000001" customHeight="1">
      <c r="B28" s="86"/>
    </row>
    <row r="29" spans="1:141" ht="20.100000000000001" customHeight="1">
      <c r="B29" s="86"/>
    </row>
    <row r="30" spans="1:141" ht="20.100000000000001" customHeight="1">
      <c r="B30" s="86"/>
    </row>
    <row r="31" spans="1:141" ht="20.100000000000001" customHeight="1">
      <c r="B31" s="86"/>
      <c r="C31" s="86"/>
      <c r="D31" s="86"/>
      <c r="E31" s="86"/>
    </row>
    <row r="32" spans="1:141" ht="20.100000000000001" customHeight="1">
      <c r="B32" s="86"/>
      <c r="C32" s="86"/>
      <c r="D32" s="86"/>
      <c r="E32" s="86"/>
    </row>
    <row r="33" spans="2:5" ht="20.100000000000001" customHeight="1">
      <c r="B33" s="86"/>
      <c r="C33" s="86"/>
      <c r="D33" s="86"/>
      <c r="E33" s="86"/>
    </row>
    <row r="34" spans="2:5" ht="20.100000000000001" customHeight="1">
      <c r="B34" s="86"/>
      <c r="C34" s="86"/>
      <c r="D34" s="86"/>
      <c r="E34" s="86"/>
    </row>
    <row r="35" spans="2:5" ht="20.100000000000001" customHeight="1">
      <c r="B35" s="86"/>
      <c r="C35" s="86"/>
      <c r="D35" s="86"/>
      <c r="E35" s="86"/>
    </row>
    <row r="36" spans="2:5" ht="20.100000000000001" customHeight="1">
      <c r="B36" s="86"/>
      <c r="C36" s="86"/>
      <c r="D36" s="86"/>
      <c r="E36" s="86"/>
    </row>
    <row r="37" spans="2:5" ht="20.100000000000001" customHeight="1">
      <c r="B37" s="85"/>
      <c r="C37" s="85"/>
      <c r="D37" s="85"/>
      <c r="E37" s="85"/>
    </row>
    <row r="38" spans="2:5" ht="20.100000000000001" customHeight="1">
      <c r="B38" s="85"/>
      <c r="C38" s="85"/>
      <c r="D38" s="85"/>
      <c r="E38" s="85"/>
    </row>
    <row r="39" spans="2:5" ht="20.100000000000001" customHeight="1">
      <c r="B39" s="85"/>
      <c r="C39" s="85"/>
      <c r="D39" s="85"/>
      <c r="E39" s="85"/>
    </row>
  </sheetData>
  <mergeCells count="78">
    <mergeCell ref="EH4:EI4"/>
    <mergeCell ref="EJ4:EK4"/>
    <mergeCell ref="DZ4:EA4"/>
    <mergeCell ref="EB4:EC4"/>
    <mergeCell ref="ED4:EE4"/>
    <mergeCell ref="EF4:EG4"/>
    <mergeCell ref="BJ4:BK4"/>
    <mergeCell ref="CX4:CY4"/>
    <mergeCell ref="CT4:CU4"/>
    <mergeCell ref="CZ4:DA4"/>
    <mergeCell ref="DR4:DS4"/>
    <mergeCell ref="DP4:DQ4"/>
    <mergeCell ref="DN4:DO4"/>
    <mergeCell ref="DL4:DM4"/>
    <mergeCell ref="DB4:DC4"/>
    <mergeCell ref="BX4:BY4"/>
    <mergeCell ref="BV4:BW4"/>
    <mergeCell ref="BN4:BO4"/>
    <mergeCell ref="CN4:CO4"/>
    <mergeCell ref="CF4:CG4"/>
    <mergeCell ref="CL4:CM4"/>
    <mergeCell ref="BZ4:CA4"/>
    <mergeCell ref="B2:EE3"/>
    <mergeCell ref="DT4:DU4"/>
    <mergeCell ref="DV4:DW4"/>
    <mergeCell ref="DX4:DY4"/>
    <mergeCell ref="DH4:DI4"/>
    <mergeCell ref="CP4:CQ4"/>
    <mergeCell ref="CH4:CI4"/>
    <mergeCell ref="AT4:AU4"/>
    <mergeCell ref="BD4:BE4"/>
    <mergeCell ref="CJ4:CK4"/>
    <mergeCell ref="BP4:BQ4"/>
    <mergeCell ref="X4:Y4"/>
    <mergeCell ref="AR4:AS4"/>
    <mergeCell ref="BB4:BC4"/>
    <mergeCell ref="AV4:AW4"/>
    <mergeCell ref="AZ4:BA4"/>
    <mergeCell ref="H4:I4"/>
    <mergeCell ref="V4:W4"/>
    <mergeCell ref="L4:M4"/>
    <mergeCell ref="Z4:AA4"/>
    <mergeCell ref="N4:O4"/>
    <mergeCell ref="P4:Q4"/>
    <mergeCell ref="T4:U4"/>
    <mergeCell ref="J4:K4"/>
    <mergeCell ref="B21:B22"/>
    <mergeCell ref="C4:C5"/>
    <mergeCell ref="B4:B5"/>
    <mergeCell ref="F4:G4"/>
    <mergeCell ref="C11:C12"/>
    <mergeCell ref="E4:E5"/>
    <mergeCell ref="B18:B20"/>
    <mergeCell ref="D6:D7"/>
    <mergeCell ref="C6:C7"/>
    <mergeCell ref="D4:D5"/>
    <mergeCell ref="AD4:AE4"/>
    <mergeCell ref="CR4:CS4"/>
    <mergeCell ref="AH4:AI4"/>
    <mergeCell ref="AL4:AM4"/>
    <mergeCell ref="R4:S4"/>
    <mergeCell ref="AB4:AC4"/>
    <mergeCell ref="AJ4:AK4"/>
    <mergeCell ref="AX4:AY4"/>
    <mergeCell ref="AP4:AQ4"/>
    <mergeCell ref="AN4:AO4"/>
    <mergeCell ref="AF4:AG4"/>
    <mergeCell ref="BF4:BG4"/>
    <mergeCell ref="BH4:BI4"/>
    <mergeCell ref="BT4:BU4"/>
    <mergeCell ref="BL4:BM4"/>
    <mergeCell ref="CB4:CC4"/>
    <mergeCell ref="BR4:BS4"/>
    <mergeCell ref="DJ4:DK4"/>
    <mergeCell ref="CV4:CW4"/>
    <mergeCell ref="DD4:DE4"/>
    <mergeCell ref="DF4:DG4"/>
    <mergeCell ref="CD4:CE4"/>
  </mergeCells>
  <conditionalFormatting sqref="E4">
    <cfRule type="cellIs" dxfId="81" priority="335" stopIfTrue="1" operator="lessThan">
      <formula>0</formula>
    </cfRule>
  </conditionalFormatting>
  <conditionalFormatting sqref="I6:I12 K6:K12 M6:M12 Q7:Q11 S7:S11 U6:U12 W6:W12 Y6:Y12 G6:G12 G18:G22 I18:I22 K18:K22 M18:M22 Q18:Q22 S18:S22 U18:U22 W18:W22 Y18:Y22">
    <cfRule type="cellIs" dxfId="80" priority="331" stopIfTrue="1" operator="lessThan">
      <formula>0</formula>
    </cfRule>
    <cfRule type="cellIs" dxfId="79" priority="332" stopIfTrue="1" operator="between">
      <formula>0</formula>
      <formula>200</formula>
    </cfRule>
    <cfRule type="cellIs" dxfId="78" priority="333" stopIfTrue="1" operator="greaterThan">
      <formula>200</formula>
    </cfRule>
  </conditionalFormatting>
  <conditionalFormatting sqref="O7:O11 O18:O22">
    <cfRule type="cellIs" dxfId="77" priority="58" stopIfTrue="1" operator="lessThan">
      <formula>0</formula>
    </cfRule>
    <cfRule type="cellIs" dxfId="76" priority="59" stopIfTrue="1" operator="between">
      <formula>0</formula>
      <formula>200</formula>
    </cfRule>
    <cfRule type="cellIs" dxfId="75" priority="60" stopIfTrue="1" operator="greaterThan">
      <formula>200</formula>
    </cfRule>
  </conditionalFormatting>
  <conditionalFormatting sqref="O6">
    <cfRule type="cellIs" dxfId="74" priority="55" stopIfTrue="1" operator="lessThan">
      <formula>0</formula>
    </cfRule>
    <cfRule type="cellIs" dxfId="73" priority="56" stopIfTrue="1" operator="between">
      <formula>0</formula>
      <formula>200</formula>
    </cfRule>
    <cfRule type="cellIs" dxfId="72" priority="57" stopIfTrue="1" operator="greaterThan">
      <formula>200</formula>
    </cfRule>
  </conditionalFormatting>
  <conditionalFormatting sqref="Q6">
    <cfRule type="cellIs" dxfId="71" priority="52" stopIfTrue="1" operator="lessThan">
      <formula>0</formula>
    </cfRule>
    <cfRule type="cellIs" dxfId="70" priority="53" stopIfTrue="1" operator="between">
      <formula>0</formula>
      <formula>200</formula>
    </cfRule>
    <cfRule type="cellIs" dxfId="69" priority="54" stopIfTrue="1" operator="greaterThan">
      <formula>200</formula>
    </cfRule>
  </conditionalFormatting>
  <conditionalFormatting sqref="S6">
    <cfRule type="cellIs" dxfId="68" priority="49" stopIfTrue="1" operator="lessThan">
      <formula>0</formula>
    </cfRule>
    <cfRule type="cellIs" dxfId="67" priority="50" stopIfTrue="1" operator="between">
      <formula>0</formula>
      <formula>200</formula>
    </cfRule>
    <cfRule type="cellIs" dxfId="66" priority="51" stopIfTrue="1" operator="greaterThan">
      <formula>200</formula>
    </cfRule>
  </conditionalFormatting>
  <conditionalFormatting sqref="S12">
    <cfRule type="cellIs" dxfId="65" priority="46" stopIfTrue="1" operator="lessThan">
      <formula>0</formula>
    </cfRule>
    <cfRule type="cellIs" dxfId="64" priority="47" stopIfTrue="1" operator="between">
      <formula>0</formula>
      <formula>200</formula>
    </cfRule>
    <cfRule type="cellIs" dxfId="63" priority="48" stopIfTrue="1" operator="greaterThan">
      <formula>200</formula>
    </cfRule>
  </conditionalFormatting>
  <conditionalFormatting sqref="Q12">
    <cfRule type="cellIs" dxfId="62" priority="43" stopIfTrue="1" operator="lessThan">
      <formula>0</formula>
    </cfRule>
    <cfRule type="cellIs" dxfId="61" priority="44" stopIfTrue="1" operator="between">
      <formula>0</formula>
      <formula>200</formula>
    </cfRule>
    <cfRule type="cellIs" dxfId="60" priority="45" stopIfTrue="1" operator="greaterThan">
      <formula>200</formula>
    </cfRule>
  </conditionalFormatting>
  <conditionalFormatting sqref="O12">
    <cfRule type="cellIs" dxfId="59" priority="40" stopIfTrue="1" operator="lessThan">
      <formula>0</formula>
    </cfRule>
    <cfRule type="cellIs" dxfId="58" priority="41" stopIfTrue="1" operator="between">
      <formula>0</formula>
      <formula>200</formula>
    </cfRule>
    <cfRule type="cellIs" dxfId="57" priority="42" stopIfTrue="1" operator="greaterThan">
      <formula>200</formula>
    </cfRule>
  </conditionalFormatting>
  <conditionalFormatting sqref="AA7:AA11 AC6:AC12 AE6:AE12 AA18:AA22 AC18:AC22 AE18:AE22 AG6:AG12 AG18:AG22">
    <cfRule type="cellIs" dxfId="56" priority="37" stopIfTrue="1" operator="lessThan">
      <formula>0</formula>
    </cfRule>
    <cfRule type="cellIs" dxfId="55" priority="38" stopIfTrue="1" operator="between">
      <formula>0</formula>
      <formula>200</formula>
    </cfRule>
    <cfRule type="cellIs" dxfId="54" priority="39" stopIfTrue="1" operator="greaterThan">
      <formula>200</formula>
    </cfRule>
  </conditionalFormatting>
  <conditionalFormatting sqref="AA6">
    <cfRule type="cellIs" dxfId="53" priority="34" stopIfTrue="1" operator="lessThan">
      <formula>0</formula>
    </cfRule>
    <cfRule type="cellIs" dxfId="52" priority="35" stopIfTrue="1" operator="between">
      <formula>0</formula>
      <formula>200</formula>
    </cfRule>
    <cfRule type="cellIs" dxfId="51" priority="36" stopIfTrue="1" operator="greaterThan">
      <formula>200</formula>
    </cfRule>
  </conditionalFormatting>
  <conditionalFormatting sqref="AA12">
    <cfRule type="cellIs" dxfId="50" priority="31" stopIfTrue="1" operator="lessThan">
      <formula>0</formula>
    </cfRule>
    <cfRule type="cellIs" dxfId="49" priority="32" stopIfTrue="1" operator="between">
      <formula>0</formula>
      <formula>200</formula>
    </cfRule>
    <cfRule type="cellIs" dxfId="48" priority="33" stopIfTrue="1" operator="greaterThan">
      <formula>200</formula>
    </cfRule>
  </conditionalFormatting>
  <conditionalFormatting sqref="AI6:AI12 AI18:AI22">
    <cfRule type="cellIs" dxfId="47" priority="28" stopIfTrue="1" operator="lessThan">
      <formula>0</formula>
    </cfRule>
    <cfRule type="cellIs" dxfId="46" priority="29" stopIfTrue="1" operator="between">
      <formula>0</formula>
      <formula>200</formula>
    </cfRule>
    <cfRule type="cellIs" dxfId="45" priority="30" stopIfTrue="1" operator="greaterThan">
      <formula>200</formula>
    </cfRule>
  </conditionalFormatting>
  <conditionalFormatting sqref="AK6:AK12 AK18:AK22 AM6:AM12 AM18:AM22 AO6:AO12 AO18:AO22 AQ6:AQ12 AQ18:AQ22 AS6:AS12 AS18:AS22 AU6:AU12 AU18:AU22 AW6:AW12 AW18:AW22 AY6:AY12 AY18:AY22 BA6:BA12 BA18:BA22 BC6:BC12 BC18:BC22 BE6:BE12 BE18:BE22 BG6:BG12 BG18:BG22 BI6:BI12 BI18:BI22 BK6:BK12 BK18:BK22 BM6:BM12 BM18:BM22 BO6:BO12 BO18:BO22 BQ6:BQ12 BQ18:BQ22 BS6:BS12 BS18:BS22 BU6:BU12 BU18:BU22 BW6:BW12 BW18:BW22 BY6:BY12 BY18:BY22 CA6:CA12 CA18:CA22 CC6:CC12 CC18:CC22 CE6:CE12 CE18:CE22 CG6:CG12 CG18:CG22 CI6:CI12 CI18:CI22 CK6:CK12 CK18:CK22 CM6:CM12 CM18:CM22 CO6:CO12 CO18:CO22 CQ6:CQ12 CQ18:CQ22 CS6:CS12 CS18:CS22 CU6:CU12 CU18:CU22 CW6:CW12 CW18:CW22 CY6:CY12 CY18:CY22 DA6:DA12 DA18:DA22 DC6:DC12 DC18:DC22 DE6:DE12 DE18:DE22 DG6:DG12 DG18:DG22 DI6:DI12 DI18:DI22 DK6:DK12 DK18:DK22 DM6:DM12 DM18:DM22 DO6:DO12 DO18:DO22 DQ6:DQ12 DQ18:DQ22 DS6:DS12 DS18:DS22 DU6:DU12 DU18:DU22 DW6:DW12 DW18:DW22 DY6:DY12 DY18:DY22 EA6:EA12 EA18:EA22 EC6:EC12 EC18:EC22 EE6:EE12 EE18:EE22 EG6:EG12 EG18:EG22 EI6:EI12 EI18:EI22 EK6:EK12 EK18:EK22">
    <cfRule type="cellIs" dxfId="44" priority="25" stopIfTrue="1" operator="lessThan">
      <formula>0</formula>
    </cfRule>
    <cfRule type="cellIs" dxfId="43" priority="26" stopIfTrue="1" operator="between">
      <formula>0</formula>
      <formula>200</formula>
    </cfRule>
    <cfRule type="cellIs" dxfId="42" priority="27" stopIfTrue="1" operator="greaterThan">
      <formula>200</formula>
    </cfRule>
  </conditionalFormatting>
  <printOptions horizontalCentered="1" verticalCentered="1"/>
  <pageMargins left="0" right="0" top="0" bottom="0" header="0" footer="0"/>
  <pageSetup scale="30" orientation="landscape" r:id="rId1"/>
  <headerFooter>
    <oddHeader>&amp;C&amp;T&amp;R&amp;D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8"/>
  <sheetViews>
    <sheetView tabSelected="1" zoomScale="40" zoomScaleNormal="40" workbookViewId="0">
      <selection activeCell="G5" sqref="G5"/>
    </sheetView>
  </sheetViews>
  <sheetFormatPr baseColWidth="10" defaultRowHeight="12.75"/>
  <cols>
    <col min="1" max="1" width="65.85546875" bestFit="1" customWidth="1"/>
    <col min="2" max="2" width="14.42578125" customWidth="1"/>
    <col min="3" max="4" width="24.85546875" bestFit="1" customWidth="1"/>
    <col min="5" max="5" width="22" bestFit="1" customWidth="1"/>
    <col min="6" max="7" width="20.140625" bestFit="1" customWidth="1"/>
    <col min="8" max="8" width="24.85546875" bestFit="1" customWidth="1"/>
    <col min="9" max="9" width="25.5703125" bestFit="1" customWidth="1"/>
    <col min="10" max="10" width="20.140625" bestFit="1" customWidth="1"/>
    <col min="11" max="11" width="25.5703125" bestFit="1" customWidth="1"/>
    <col min="12" max="12" width="24.85546875" bestFit="1" customWidth="1"/>
    <col min="13" max="13" width="17.28515625" bestFit="1" customWidth="1"/>
    <col min="18" max="18" width="27.140625" customWidth="1"/>
    <col min="19" max="19" width="21.42578125" customWidth="1"/>
  </cols>
  <sheetData>
    <row r="1" spans="1:19" ht="122.25" customHeight="1" thickBot="1">
      <c r="A1" s="1150"/>
      <c r="B1" s="1262" t="s">
        <v>667</v>
      </c>
      <c r="C1" s="1262"/>
      <c r="D1" s="1262"/>
      <c r="E1" s="1262"/>
      <c r="F1" s="1262"/>
      <c r="G1" s="1262"/>
      <c r="H1" s="1262"/>
      <c r="I1" s="1262"/>
      <c r="J1" s="1262"/>
      <c r="K1" s="1262"/>
      <c r="L1" s="1262"/>
      <c r="M1" s="1262"/>
    </row>
    <row r="2" spans="1:19" ht="163.5" customHeight="1" thickBot="1">
      <c r="A2" s="1151" t="s">
        <v>170</v>
      </c>
      <c r="B2" s="1152" t="s">
        <v>542</v>
      </c>
      <c r="C2" s="1153" t="s">
        <v>654</v>
      </c>
      <c r="D2" s="1154" t="s">
        <v>643</v>
      </c>
      <c r="E2" s="1154" t="s">
        <v>364</v>
      </c>
      <c r="F2" s="1154" t="s">
        <v>106</v>
      </c>
      <c r="G2" s="1154" t="s">
        <v>380</v>
      </c>
      <c r="H2" s="1154" t="s">
        <v>290</v>
      </c>
      <c r="I2" s="1154" t="s">
        <v>394</v>
      </c>
      <c r="J2" s="1154" t="s">
        <v>105</v>
      </c>
      <c r="K2" s="1154" t="s">
        <v>655</v>
      </c>
      <c r="L2" s="1154" t="s">
        <v>656</v>
      </c>
      <c r="M2" s="1155" t="s">
        <v>104</v>
      </c>
    </row>
    <row r="3" spans="1:19" ht="31.5" customHeight="1">
      <c r="A3" s="1156" t="s">
        <v>440</v>
      </c>
      <c r="B3" s="1157" t="s">
        <v>331</v>
      </c>
      <c r="C3" s="1147"/>
      <c r="D3" s="1147"/>
      <c r="E3" s="1147"/>
      <c r="F3" s="1147">
        <v>83</v>
      </c>
      <c r="G3" s="1147"/>
      <c r="H3" s="1147">
        <v>65</v>
      </c>
      <c r="I3" s="1147"/>
      <c r="J3" s="1147"/>
      <c r="K3" s="1147"/>
      <c r="L3" s="1147"/>
      <c r="M3" s="1147"/>
    </row>
    <row r="4" spans="1:19" ht="31.5" customHeight="1">
      <c r="A4" s="1158" t="s">
        <v>610</v>
      </c>
      <c r="B4" s="1149" t="s">
        <v>657</v>
      </c>
      <c r="C4" s="1147"/>
      <c r="D4" s="1147"/>
      <c r="E4" s="1147">
        <v>44</v>
      </c>
      <c r="F4" s="1147"/>
      <c r="G4" s="1147"/>
      <c r="H4" s="1147"/>
      <c r="I4" s="1147"/>
      <c r="J4" s="1147"/>
      <c r="K4" s="1147"/>
      <c r="L4" s="1147"/>
      <c r="M4" s="1147"/>
    </row>
    <row r="5" spans="1:19" s="87" customFormat="1" ht="30.75" customHeight="1">
      <c r="A5" s="1158" t="s">
        <v>420</v>
      </c>
      <c r="B5" s="1149" t="s">
        <v>318</v>
      </c>
      <c r="C5" s="1147"/>
      <c r="D5" s="1147">
        <v>56</v>
      </c>
      <c r="E5" s="1147"/>
      <c r="F5" s="1147"/>
      <c r="G5" s="1656">
        <v>49</v>
      </c>
      <c r="H5" s="1147"/>
      <c r="I5" s="1147"/>
      <c r="J5" s="1147"/>
      <c r="K5" s="1147"/>
      <c r="L5" s="1147"/>
      <c r="M5" s="1147"/>
      <c r="R5" s="1145"/>
      <c r="S5" s="1145"/>
    </row>
    <row r="6" spans="1:19" s="87" customFormat="1" ht="30.75" customHeight="1">
      <c r="A6" s="1159" t="s">
        <v>413</v>
      </c>
      <c r="B6" s="1149" t="s">
        <v>332</v>
      </c>
      <c r="C6" s="1147"/>
      <c r="D6" s="1147"/>
      <c r="E6" s="1147"/>
      <c r="F6" s="1147">
        <v>58</v>
      </c>
      <c r="G6" s="1147"/>
      <c r="H6" s="1147">
        <v>62</v>
      </c>
      <c r="I6" s="1147"/>
      <c r="J6" s="1147"/>
      <c r="K6" s="1147"/>
      <c r="L6" s="1147"/>
      <c r="M6" s="1147"/>
      <c r="R6" s="1145"/>
      <c r="S6" s="1146"/>
    </row>
    <row r="7" spans="1:19" ht="30.75" customHeight="1">
      <c r="A7" s="1158" t="s">
        <v>539</v>
      </c>
      <c r="B7" s="1149" t="s">
        <v>333</v>
      </c>
      <c r="C7" s="1147"/>
      <c r="D7" s="1147"/>
      <c r="E7" s="1147"/>
      <c r="F7" s="1147">
        <v>57</v>
      </c>
      <c r="G7" s="1147"/>
      <c r="H7" s="1147">
        <v>60</v>
      </c>
      <c r="I7" s="1147"/>
      <c r="J7" s="1147"/>
      <c r="K7" s="1147"/>
      <c r="L7" s="1147"/>
      <c r="M7" s="1147"/>
    </row>
    <row r="8" spans="1:19" ht="30.75" customHeight="1">
      <c r="A8" s="1158" t="s">
        <v>402</v>
      </c>
      <c r="B8" s="1149" t="s">
        <v>319</v>
      </c>
      <c r="C8" s="1147">
        <v>48</v>
      </c>
      <c r="D8" s="1147"/>
      <c r="E8" s="1147"/>
      <c r="F8" s="1147"/>
      <c r="G8" s="1147">
        <v>52</v>
      </c>
      <c r="H8" s="1147"/>
      <c r="I8" s="1147"/>
      <c r="J8" s="1147">
        <v>48</v>
      </c>
      <c r="K8" s="1147"/>
      <c r="L8" s="1147"/>
      <c r="M8" s="1147"/>
    </row>
    <row r="9" spans="1:19" ht="31.5" customHeight="1">
      <c r="A9" s="1158" t="s">
        <v>423</v>
      </c>
      <c r="B9" s="1149" t="s">
        <v>321</v>
      </c>
      <c r="C9" s="1147"/>
      <c r="D9" s="1147"/>
      <c r="E9" s="1147"/>
      <c r="F9" s="1147"/>
      <c r="G9" s="1147">
        <v>48</v>
      </c>
      <c r="H9" s="1147"/>
      <c r="I9" s="1147"/>
      <c r="J9" s="1147"/>
      <c r="K9" s="1147"/>
      <c r="L9" s="1147"/>
      <c r="M9" s="1147"/>
    </row>
    <row r="10" spans="1:19" s="87" customFormat="1" ht="30.75" customHeight="1">
      <c r="A10" s="1158" t="s">
        <v>264</v>
      </c>
      <c r="B10" s="1149" t="s">
        <v>314</v>
      </c>
      <c r="C10" s="1147">
        <v>47</v>
      </c>
      <c r="D10" s="1147"/>
      <c r="E10" s="1147"/>
      <c r="F10" s="1147"/>
      <c r="G10" s="1147">
        <v>46</v>
      </c>
      <c r="H10" s="1147"/>
      <c r="I10" s="1147"/>
      <c r="J10" s="1147"/>
      <c r="K10" s="1147"/>
      <c r="L10" s="1147"/>
      <c r="M10" s="1147">
        <v>46</v>
      </c>
    </row>
    <row r="11" spans="1:19" ht="30.75" customHeight="1">
      <c r="A11" s="1158" t="s">
        <v>411</v>
      </c>
      <c r="B11" s="1149" t="s">
        <v>310</v>
      </c>
      <c r="C11" s="1147"/>
      <c r="D11" s="1147"/>
      <c r="E11" s="1147">
        <v>45</v>
      </c>
      <c r="F11" s="1147"/>
      <c r="G11" s="1147"/>
      <c r="H11" s="1147"/>
      <c r="I11" s="1147"/>
      <c r="J11" s="1147"/>
      <c r="K11" s="1147"/>
      <c r="L11" s="1147"/>
      <c r="M11" s="1147"/>
    </row>
    <row r="12" spans="1:19" ht="30.75" customHeight="1">
      <c r="A12" s="1158" t="s">
        <v>659</v>
      </c>
      <c r="B12" s="1149" t="s">
        <v>309</v>
      </c>
      <c r="C12" s="1147"/>
      <c r="D12" s="1147"/>
      <c r="E12" s="1147">
        <v>44</v>
      </c>
      <c r="F12" s="1147"/>
      <c r="G12" s="1147"/>
      <c r="H12" s="1147"/>
      <c r="I12" s="1147"/>
      <c r="J12" s="1147"/>
      <c r="K12" s="1147"/>
      <c r="L12" s="1147"/>
      <c r="M12" s="1147"/>
    </row>
    <row r="13" spans="1:19" ht="30.75" customHeight="1">
      <c r="A13" s="1158" t="s">
        <v>405</v>
      </c>
      <c r="B13" s="1149" t="s">
        <v>322</v>
      </c>
      <c r="C13" s="1147"/>
      <c r="D13" s="1147"/>
      <c r="E13" s="1147"/>
      <c r="F13" s="1147"/>
      <c r="G13" s="1147">
        <v>50</v>
      </c>
      <c r="H13" s="1147"/>
      <c r="I13" s="1147"/>
      <c r="J13" s="1147">
        <v>55</v>
      </c>
      <c r="K13" s="1147"/>
      <c r="L13" s="1147"/>
      <c r="M13" s="1147"/>
    </row>
    <row r="14" spans="1:19" ht="31.5" customHeight="1">
      <c r="A14" s="1158" t="s">
        <v>537</v>
      </c>
      <c r="B14" s="1149" t="s">
        <v>320</v>
      </c>
      <c r="C14" s="1147">
        <v>55</v>
      </c>
      <c r="D14" s="1147"/>
      <c r="E14" s="1147"/>
      <c r="F14" s="1147"/>
      <c r="G14" s="1147">
        <v>48</v>
      </c>
      <c r="H14" s="1147"/>
      <c r="I14" s="1147"/>
      <c r="J14" s="1147"/>
      <c r="K14" s="1147"/>
      <c r="L14" s="1147"/>
      <c r="M14" s="1147"/>
    </row>
    <row r="15" spans="1:19" s="87" customFormat="1" ht="30.75" customHeight="1">
      <c r="A15" s="1158" t="s">
        <v>435</v>
      </c>
      <c r="B15" s="1149" t="s">
        <v>315</v>
      </c>
      <c r="C15" s="1147">
        <v>45</v>
      </c>
      <c r="D15" s="1147"/>
      <c r="E15" s="1147"/>
      <c r="F15" s="1147"/>
      <c r="G15" s="1147">
        <v>48</v>
      </c>
      <c r="H15" s="1147"/>
      <c r="I15" s="1147"/>
      <c r="J15" s="1147"/>
      <c r="K15" s="1147"/>
      <c r="L15" s="1147"/>
      <c r="M15" s="1147"/>
    </row>
    <row r="16" spans="1:19" s="87" customFormat="1" ht="31.5" customHeight="1">
      <c r="A16" s="1158" t="s">
        <v>658</v>
      </c>
      <c r="B16" s="1149" t="s">
        <v>311</v>
      </c>
      <c r="C16" s="1147"/>
      <c r="D16" s="1147"/>
      <c r="E16" s="1147"/>
      <c r="F16" s="1147"/>
      <c r="G16" s="1147"/>
      <c r="H16" s="1147"/>
      <c r="I16" s="1147"/>
      <c r="J16" s="1147"/>
      <c r="K16" s="1147"/>
      <c r="L16" s="1147"/>
      <c r="M16" s="1147">
        <v>60</v>
      </c>
    </row>
    <row r="17" spans="1:13" ht="30.75" customHeight="1">
      <c r="A17" s="1158" t="s">
        <v>261</v>
      </c>
      <c r="B17" s="1149" t="s">
        <v>323</v>
      </c>
      <c r="C17" s="1147">
        <v>46</v>
      </c>
      <c r="D17" s="1147"/>
      <c r="E17" s="1147"/>
      <c r="F17" s="1147"/>
      <c r="G17" s="1147">
        <v>47</v>
      </c>
      <c r="H17" s="1147"/>
      <c r="I17" s="1147"/>
      <c r="J17" s="1147">
        <v>48</v>
      </c>
      <c r="K17" s="1147"/>
      <c r="L17" s="1147"/>
      <c r="M17" s="1147"/>
    </row>
    <row r="18" spans="1:13" ht="30.75" customHeight="1">
      <c r="A18" s="1158" t="s">
        <v>259</v>
      </c>
      <c r="B18" s="1149" t="s">
        <v>324</v>
      </c>
      <c r="C18" s="1147"/>
      <c r="D18" s="1147"/>
      <c r="E18" s="1147"/>
      <c r="F18" s="1147"/>
      <c r="G18" s="1147"/>
      <c r="H18" s="1147"/>
      <c r="I18" s="1147">
        <v>65</v>
      </c>
      <c r="J18" s="1147">
        <v>62</v>
      </c>
      <c r="K18" s="1147"/>
      <c r="L18" s="1147"/>
      <c r="M18" s="1147"/>
    </row>
    <row r="19" spans="1:13" ht="30.75" customHeight="1">
      <c r="A19" s="1158" t="s">
        <v>412</v>
      </c>
      <c r="B19" s="1149" t="s">
        <v>312</v>
      </c>
      <c r="C19" s="1147"/>
      <c r="D19" s="1147"/>
      <c r="E19" s="1147">
        <v>50</v>
      </c>
      <c r="F19" s="1147"/>
      <c r="G19" s="1147"/>
      <c r="H19" s="1147"/>
      <c r="I19" s="1147"/>
      <c r="J19" s="1147"/>
      <c r="K19" s="1147"/>
      <c r="L19" s="1147"/>
      <c r="M19" s="1147"/>
    </row>
    <row r="20" spans="1:13" ht="31.5" customHeight="1">
      <c r="A20" s="1160" t="s">
        <v>27</v>
      </c>
      <c r="B20" s="1149" t="s">
        <v>325</v>
      </c>
      <c r="C20" s="1147"/>
      <c r="D20" s="1147"/>
      <c r="E20" s="1147"/>
      <c r="F20" s="1147"/>
      <c r="G20" s="1147">
        <v>55</v>
      </c>
      <c r="H20" s="1147"/>
      <c r="I20" s="1147"/>
      <c r="J20" s="1147">
        <v>47</v>
      </c>
      <c r="K20" s="1147"/>
      <c r="L20" s="1147"/>
      <c r="M20" s="1147"/>
    </row>
    <row r="21" spans="1:13" ht="30.75" customHeight="1">
      <c r="A21" s="1158" t="s">
        <v>111</v>
      </c>
      <c r="B21" s="1149" t="s">
        <v>317</v>
      </c>
      <c r="C21" s="1147">
        <v>48</v>
      </c>
      <c r="D21" s="1147"/>
      <c r="E21" s="1147"/>
      <c r="F21" s="1147"/>
      <c r="G21" s="1147"/>
      <c r="H21" s="1147"/>
      <c r="I21" s="1147"/>
      <c r="J21" s="1147"/>
      <c r="K21" s="1147"/>
      <c r="L21" s="1147"/>
      <c r="M21" s="1147"/>
    </row>
    <row r="22" spans="1:13" ht="31.5" customHeight="1">
      <c r="A22" s="1158" t="s">
        <v>255</v>
      </c>
      <c r="B22" s="1149" t="s">
        <v>329</v>
      </c>
      <c r="C22" s="1147"/>
      <c r="D22" s="1147"/>
      <c r="E22" s="1147"/>
      <c r="F22" s="1147">
        <v>60</v>
      </c>
      <c r="G22" s="1147"/>
      <c r="H22" s="1147"/>
      <c r="I22" s="1147"/>
      <c r="J22" s="1147">
        <v>54</v>
      </c>
      <c r="K22" s="1147"/>
      <c r="L22" s="1147"/>
      <c r="M22" s="1147"/>
    </row>
    <row r="23" spans="1:13" ht="31.5" customHeight="1">
      <c r="A23" s="1158" t="s">
        <v>257</v>
      </c>
      <c r="B23" s="1149" t="s">
        <v>330</v>
      </c>
      <c r="C23" s="1147"/>
      <c r="D23" s="1147"/>
      <c r="E23" s="1147"/>
      <c r="F23" s="1147">
        <v>60</v>
      </c>
      <c r="G23" s="1147"/>
      <c r="H23" s="1147"/>
      <c r="I23" s="1147"/>
      <c r="J23" s="1147">
        <v>54</v>
      </c>
      <c r="K23" s="1147"/>
      <c r="L23" s="1147"/>
      <c r="M23" s="1147"/>
    </row>
    <row r="24" spans="1:13" ht="30.75" customHeight="1">
      <c r="A24" s="1158" t="s">
        <v>414</v>
      </c>
      <c r="B24" s="1149" t="s">
        <v>334</v>
      </c>
      <c r="C24" s="1147"/>
      <c r="D24" s="1147"/>
      <c r="E24" s="1147"/>
      <c r="F24" s="1147">
        <v>61</v>
      </c>
      <c r="G24" s="1147"/>
      <c r="H24" s="1147"/>
      <c r="I24" s="1147"/>
      <c r="J24" s="1147"/>
      <c r="K24" s="1147"/>
      <c r="L24" s="1147"/>
      <c r="M24" s="1147"/>
    </row>
    <row r="25" spans="1:13" ht="30.75" customHeight="1">
      <c r="A25" s="1158" t="s">
        <v>417</v>
      </c>
      <c r="B25" s="1149" t="s">
        <v>335</v>
      </c>
      <c r="C25" s="1147"/>
      <c r="D25" s="1147"/>
      <c r="E25" s="1147"/>
      <c r="F25" s="1147">
        <v>64</v>
      </c>
      <c r="G25" s="1147"/>
      <c r="H25" s="1147"/>
      <c r="I25" s="1147"/>
      <c r="J25" s="1147"/>
      <c r="K25" s="1147"/>
      <c r="L25" s="1147"/>
      <c r="M25" s="1147"/>
    </row>
    <row r="26" spans="1:13" ht="30.75" customHeight="1">
      <c r="A26" s="1158" t="s">
        <v>660</v>
      </c>
      <c r="B26" s="1149" t="s">
        <v>316</v>
      </c>
      <c r="C26" s="1147"/>
      <c r="D26" s="1147"/>
      <c r="E26" s="1147">
        <v>48</v>
      </c>
      <c r="F26" s="1147"/>
      <c r="G26" s="1147"/>
      <c r="H26" s="1147"/>
      <c r="I26" s="1147"/>
      <c r="J26" s="1147"/>
      <c r="K26" s="1147"/>
      <c r="L26" s="1147"/>
      <c r="M26" s="1147">
        <v>52</v>
      </c>
    </row>
    <row r="27" spans="1:13" ht="31.5" customHeight="1">
      <c r="A27" s="1158" t="s">
        <v>661</v>
      </c>
      <c r="B27" s="1149" t="s">
        <v>326</v>
      </c>
      <c r="C27" s="1147"/>
      <c r="D27" s="1147"/>
      <c r="E27" s="1147"/>
      <c r="F27" s="1147"/>
      <c r="G27" s="1147"/>
      <c r="H27" s="1147"/>
      <c r="I27" s="1147"/>
      <c r="J27" s="1147">
        <v>55</v>
      </c>
      <c r="K27" s="1147"/>
      <c r="L27" s="1147"/>
      <c r="M27" s="1147"/>
    </row>
    <row r="28" spans="1:13" s="87" customFormat="1" ht="31.5" customHeight="1">
      <c r="A28" s="1158" t="s">
        <v>662</v>
      </c>
      <c r="B28" s="1149" t="s">
        <v>308</v>
      </c>
      <c r="C28" s="1147"/>
      <c r="D28" s="1147"/>
      <c r="E28" s="1147">
        <v>47</v>
      </c>
      <c r="F28" s="1147"/>
      <c r="G28" s="1147"/>
      <c r="H28" s="1147"/>
      <c r="I28" s="1147"/>
      <c r="J28" s="1147"/>
      <c r="K28" s="1147"/>
      <c r="L28" s="1147"/>
      <c r="M28" s="1147"/>
    </row>
    <row r="29" spans="1:13" ht="31.5" customHeight="1">
      <c r="A29" s="1158" t="s">
        <v>509</v>
      </c>
      <c r="B29" s="1149" t="s">
        <v>327</v>
      </c>
      <c r="C29" s="1147"/>
      <c r="D29" s="1147"/>
      <c r="E29" s="1147"/>
      <c r="F29" s="1147"/>
      <c r="G29" s="1147">
        <v>47</v>
      </c>
      <c r="H29" s="1147"/>
      <c r="I29" s="1147"/>
      <c r="J29" s="1147">
        <v>52</v>
      </c>
      <c r="K29" s="1147"/>
      <c r="L29" s="1147"/>
      <c r="M29" s="1147"/>
    </row>
    <row r="30" spans="1:13" ht="31.5" customHeight="1">
      <c r="A30" s="1158" t="s">
        <v>428</v>
      </c>
      <c r="B30" s="1149" t="s">
        <v>336</v>
      </c>
      <c r="C30" s="1147"/>
      <c r="D30" s="1147"/>
      <c r="E30" s="1147"/>
      <c r="F30" s="1147">
        <v>58</v>
      </c>
      <c r="G30" s="1147"/>
      <c r="H30" s="1147"/>
      <c r="I30" s="1147"/>
      <c r="J30" s="1147"/>
      <c r="K30" s="1147"/>
      <c r="L30" s="1147"/>
      <c r="M30" s="1147"/>
    </row>
    <row r="31" spans="1:13" ht="31.5" customHeight="1">
      <c r="A31" s="1158" t="s">
        <v>430</v>
      </c>
      <c r="B31" s="1149" t="s">
        <v>337</v>
      </c>
      <c r="C31" s="1147"/>
      <c r="D31" s="1147"/>
      <c r="E31" s="1147"/>
      <c r="F31" s="1147">
        <v>58</v>
      </c>
      <c r="G31" s="1147"/>
      <c r="H31" s="1147"/>
      <c r="I31" s="1147"/>
      <c r="J31" s="1147"/>
      <c r="K31" s="1147"/>
      <c r="L31" s="1147"/>
      <c r="M31" s="1147"/>
    </row>
    <row r="32" spans="1:13" ht="30.75">
      <c r="A32" s="1160" t="s">
        <v>663</v>
      </c>
      <c r="B32" s="1149" t="s">
        <v>328</v>
      </c>
      <c r="C32" s="1147">
        <v>55</v>
      </c>
      <c r="D32" s="1147"/>
      <c r="E32" s="1147"/>
      <c r="F32" s="1147"/>
      <c r="G32" s="1147"/>
      <c r="H32" s="1147"/>
      <c r="I32" s="1147"/>
      <c r="J32" s="1147">
        <v>58</v>
      </c>
      <c r="K32" s="1147"/>
      <c r="L32" s="1147"/>
      <c r="M32" s="1147">
        <v>50</v>
      </c>
    </row>
    <row r="33" spans="1:13" s="87" customFormat="1" ht="30.75" customHeight="1">
      <c r="A33" s="1158" t="s">
        <v>666</v>
      </c>
      <c r="B33" s="1149" t="s">
        <v>557</v>
      </c>
      <c r="C33" s="1147"/>
      <c r="D33" s="1147"/>
      <c r="E33" s="1147"/>
      <c r="F33" s="1147"/>
      <c r="G33" s="1147">
        <v>50</v>
      </c>
      <c r="H33" s="1147"/>
      <c r="I33" s="1147"/>
      <c r="J33" s="1147"/>
      <c r="K33" s="1147"/>
      <c r="L33" s="1147"/>
      <c r="M33" s="1147"/>
    </row>
    <row r="34" spans="1:13" s="87" customFormat="1" ht="30.75" customHeight="1">
      <c r="A34" s="1159" t="s">
        <v>664</v>
      </c>
      <c r="B34" s="1149" t="s">
        <v>399</v>
      </c>
      <c r="C34" s="1147"/>
      <c r="D34" s="1147"/>
      <c r="E34" s="1147"/>
      <c r="F34" s="1147"/>
      <c r="G34" s="1147"/>
      <c r="H34" s="1147">
        <v>58</v>
      </c>
      <c r="I34" s="1147"/>
      <c r="J34" s="1147"/>
      <c r="K34" s="1147"/>
      <c r="L34" s="1147"/>
      <c r="M34" s="1147"/>
    </row>
    <row r="35" spans="1:13" ht="30.75" customHeight="1">
      <c r="A35" s="1158" t="s">
        <v>291</v>
      </c>
      <c r="B35" s="1149" t="s">
        <v>395</v>
      </c>
      <c r="C35" s="1147"/>
      <c r="D35" s="1147"/>
      <c r="E35" s="1147"/>
      <c r="F35" s="1147">
        <v>64</v>
      </c>
      <c r="G35" s="1147"/>
      <c r="H35" s="1147">
        <v>68</v>
      </c>
      <c r="I35" s="1147">
        <v>65</v>
      </c>
      <c r="J35" s="1147"/>
      <c r="K35" s="1147"/>
      <c r="L35" s="1147"/>
      <c r="M35" s="1147"/>
    </row>
    <row r="36" spans="1:13" ht="30.75" customHeight="1">
      <c r="A36" s="1158" t="s">
        <v>292</v>
      </c>
      <c r="B36" s="1149" t="s">
        <v>396</v>
      </c>
      <c r="C36" s="1147"/>
      <c r="D36" s="1147">
        <v>58</v>
      </c>
      <c r="E36" s="1147"/>
      <c r="F36" s="1147"/>
      <c r="G36" s="1147"/>
      <c r="H36" s="1147">
        <v>51</v>
      </c>
      <c r="I36" s="1147">
        <v>58</v>
      </c>
      <c r="J36" s="1147"/>
      <c r="K36" s="1147"/>
      <c r="L36" s="1147"/>
      <c r="M36" s="1147"/>
    </row>
    <row r="37" spans="1:13" ht="30.75" customHeight="1" thickBot="1">
      <c r="A37" s="1158" t="s">
        <v>665</v>
      </c>
      <c r="B37" s="1148" t="s">
        <v>397</v>
      </c>
      <c r="C37" s="1147"/>
      <c r="D37" s="1147"/>
      <c r="E37" s="1147"/>
      <c r="F37" s="1147"/>
      <c r="G37" s="1147">
        <v>60</v>
      </c>
      <c r="H37" s="1147"/>
      <c r="I37" s="1147"/>
      <c r="J37" s="1147">
        <v>56</v>
      </c>
      <c r="K37" s="1147"/>
      <c r="L37" s="1147"/>
      <c r="M37" s="1147"/>
    </row>
    <row r="38" spans="1:13" ht="30.75" customHeight="1" thickBot="1">
      <c r="A38" s="1161" t="s">
        <v>293</v>
      </c>
      <c r="B38" s="1148" t="s">
        <v>398</v>
      </c>
      <c r="C38" s="1147"/>
      <c r="D38" s="1147"/>
      <c r="E38" s="1147"/>
      <c r="F38" s="1147"/>
      <c r="G38" s="1147">
        <v>38</v>
      </c>
      <c r="H38" s="1147"/>
      <c r="I38" s="1147"/>
      <c r="J38" s="1147">
        <v>38</v>
      </c>
      <c r="K38" s="1147"/>
      <c r="L38" s="1147"/>
      <c r="M38" s="1147">
        <v>37</v>
      </c>
    </row>
  </sheetData>
  <mergeCells count="1">
    <mergeCell ref="B1:M1"/>
  </mergeCells>
  <printOptions horizontalCentered="1" verticalCentered="1"/>
  <pageMargins left="0" right="0" top="0" bottom="0" header="0" footer="0"/>
  <pageSetup paperSize="9" scale="41" orientation="landscape" r:id="rId1"/>
  <headerFooter>
    <oddHeader>&amp;C&amp;T&amp;R&amp;D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0"/>
  <sheetViews>
    <sheetView zoomScale="40" zoomScaleNormal="40" workbookViewId="0">
      <selection activeCell="B57" sqref="B57:B63"/>
    </sheetView>
  </sheetViews>
  <sheetFormatPr baseColWidth="10" defaultRowHeight="12.75"/>
  <cols>
    <col min="1" max="1" width="39.7109375" customWidth="1"/>
    <col min="2" max="2" width="25.42578125" bestFit="1" customWidth="1"/>
    <col min="3" max="3" width="74" bestFit="1" customWidth="1"/>
    <col min="4" max="4" width="19.42578125" bestFit="1" customWidth="1"/>
    <col min="5" max="5" width="13" hidden="1" customWidth="1"/>
    <col min="6" max="6" width="13.7109375" hidden="1" customWidth="1"/>
    <col min="7" max="7" width="19.42578125" hidden="1" customWidth="1"/>
    <col min="8" max="8" width="0" hidden="1" customWidth="1"/>
    <col min="9" max="9" width="13.7109375" hidden="1" customWidth="1"/>
    <col min="10" max="10" width="19.42578125" hidden="1" customWidth="1"/>
    <col min="11" max="11" width="0" hidden="1" customWidth="1"/>
    <col min="12" max="12" width="13.7109375" hidden="1" customWidth="1"/>
    <col min="13" max="13" width="19.42578125" hidden="1" customWidth="1"/>
  </cols>
  <sheetData>
    <row r="1" spans="1:13" ht="139.5" customHeight="1" thickBot="1">
      <c r="A1" s="1263" t="s">
        <v>639</v>
      </c>
      <c r="B1" s="1263"/>
      <c r="C1" s="1263"/>
      <c r="D1" s="1263"/>
    </row>
    <row r="2" spans="1:13" ht="25.5" customHeight="1" thickBot="1">
      <c r="A2" s="1116" t="s">
        <v>541</v>
      </c>
      <c r="B2" s="1116" t="s">
        <v>575</v>
      </c>
      <c r="C2" s="1117" t="s">
        <v>170</v>
      </c>
      <c r="D2" s="1116" t="s">
        <v>636</v>
      </c>
      <c r="E2" s="1118" t="s">
        <v>625</v>
      </c>
      <c r="F2" s="1119"/>
      <c r="G2" s="1120"/>
      <c r="H2" s="1118" t="s">
        <v>629</v>
      </c>
      <c r="I2" s="1119"/>
      <c r="J2" s="1120"/>
      <c r="K2" s="1118" t="s">
        <v>630</v>
      </c>
      <c r="L2" s="1119"/>
      <c r="M2" s="1120"/>
    </row>
    <row r="3" spans="1:13" s="87" customFormat="1" ht="30.75" customHeight="1" thickBot="1">
      <c r="A3" s="1079" t="s">
        <v>285</v>
      </c>
      <c r="B3" s="1089" t="s">
        <v>576</v>
      </c>
      <c r="C3" s="930" t="s">
        <v>284</v>
      </c>
      <c r="D3" s="1112" t="s">
        <v>637</v>
      </c>
      <c r="E3" s="1103">
        <v>0</v>
      </c>
      <c r="F3" s="959" t="e">
        <f>#REF!-E3</f>
        <v>#REF!</v>
      </c>
      <c r="G3" s="947" t="s">
        <v>252</v>
      </c>
      <c r="H3" s="945">
        <v>0</v>
      </c>
      <c r="I3" s="959" t="e">
        <f t="shared" ref="I3:I34" si="0">F3-H3</f>
        <v>#REF!</v>
      </c>
      <c r="J3" s="947" t="s">
        <v>252</v>
      </c>
      <c r="K3" s="945">
        <v>0</v>
      </c>
      <c r="L3" s="959" t="e">
        <f t="shared" ref="L3:L34" si="1">I3-K3</f>
        <v>#REF!</v>
      </c>
      <c r="M3" s="947" t="s">
        <v>252</v>
      </c>
    </row>
    <row r="4" spans="1:13" s="87" customFormat="1" ht="30.75" thickBot="1">
      <c r="A4" s="1080" t="s">
        <v>283</v>
      </c>
      <c r="B4" s="1090" t="s">
        <v>576</v>
      </c>
      <c r="C4" s="924" t="s">
        <v>282</v>
      </c>
      <c r="D4" s="1112" t="s">
        <v>637</v>
      </c>
      <c r="E4" s="1104">
        <v>0</v>
      </c>
      <c r="F4" s="959" t="e">
        <f>#REF!-E4</f>
        <v>#REF!</v>
      </c>
      <c r="G4" s="950" t="s">
        <v>252</v>
      </c>
      <c r="H4" s="948">
        <v>0</v>
      </c>
      <c r="I4" s="960" t="e">
        <f t="shared" si="0"/>
        <v>#REF!</v>
      </c>
      <c r="J4" s="950" t="s">
        <v>252</v>
      </c>
      <c r="K4" s="948">
        <v>0</v>
      </c>
      <c r="L4" s="960" t="e">
        <f t="shared" si="1"/>
        <v>#REF!</v>
      </c>
      <c r="M4" s="950" t="s">
        <v>252</v>
      </c>
    </row>
    <row r="5" spans="1:13" s="87" customFormat="1" ht="30.75" thickBot="1">
      <c r="A5" s="1080" t="s">
        <v>281</v>
      </c>
      <c r="B5" s="1090" t="s">
        <v>576</v>
      </c>
      <c r="C5" s="988" t="s">
        <v>280</v>
      </c>
      <c r="D5" s="1112" t="s">
        <v>637</v>
      </c>
      <c r="E5" s="1104">
        <v>0</v>
      </c>
      <c r="F5" s="959" t="e">
        <f>#REF!-E5</f>
        <v>#REF!</v>
      </c>
      <c r="G5" s="950" t="s">
        <v>252</v>
      </c>
      <c r="H5" s="948">
        <v>0</v>
      </c>
      <c r="I5" s="960" t="e">
        <f t="shared" si="0"/>
        <v>#REF!</v>
      </c>
      <c r="J5" s="950" t="s">
        <v>252</v>
      </c>
      <c r="K5" s="948">
        <v>0</v>
      </c>
      <c r="L5" s="960" t="e">
        <f t="shared" si="1"/>
        <v>#REF!</v>
      </c>
      <c r="M5" s="950" t="s">
        <v>252</v>
      </c>
    </row>
    <row r="6" spans="1:13" s="87" customFormat="1" ht="30.75" thickBot="1">
      <c r="A6" s="1080" t="s">
        <v>279</v>
      </c>
      <c r="B6" s="1090" t="s">
        <v>576</v>
      </c>
      <c r="C6" s="924" t="s">
        <v>278</v>
      </c>
      <c r="D6" s="1112" t="s">
        <v>637</v>
      </c>
      <c r="E6" s="1104">
        <v>0</v>
      </c>
      <c r="F6" s="959" t="e">
        <f>#REF!-E6</f>
        <v>#REF!</v>
      </c>
      <c r="G6" s="950" t="s">
        <v>252</v>
      </c>
      <c r="H6" s="948">
        <v>0</v>
      </c>
      <c r="I6" s="960" t="e">
        <f t="shared" si="0"/>
        <v>#REF!</v>
      </c>
      <c r="J6" s="950" t="s">
        <v>252</v>
      </c>
      <c r="K6" s="948">
        <v>0</v>
      </c>
      <c r="L6" s="960" t="e">
        <f t="shared" si="1"/>
        <v>#REF!</v>
      </c>
      <c r="M6" s="950" t="s">
        <v>252</v>
      </c>
    </row>
    <row r="7" spans="1:13" s="87" customFormat="1" ht="30.75" thickBot="1">
      <c r="A7" s="1080" t="s">
        <v>277</v>
      </c>
      <c r="B7" s="1090" t="s">
        <v>576</v>
      </c>
      <c r="C7" s="924" t="s">
        <v>276</v>
      </c>
      <c r="D7" s="1112" t="s">
        <v>637</v>
      </c>
      <c r="E7" s="1104">
        <v>0</v>
      </c>
      <c r="F7" s="959" t="e">
        <f>#REF!-E7</f>
        <v>#REF!</v>
      </c>
      <c r="G7" s="950" t="s">
        <v>252</v>
      </c>
      <c r="H7" s="948">
        <v>0</v>
      </c>
      <c r="I7" s="960" t="e">
        <f t="shared" si="0"/>
        <v>#REF!</v>
      </c>
      <c r="J7" s="950" t="s">
        <v>252</v>
      </c>
      <c r="K7" s="948">
        <v>0</v>
      </c>
      <c r="L7" s="960" t="e">
        <f t="shared" si="1"/>
        <v>#REF!</v>
      </c>
      <c r="M7" s="950" t="s">
        <v>252</v>
      </c>
    </row>
    <row r="8" spans="1:13" s="87" customFormat="1" ht="30.75" thickBot="1">
      <c r="A8" s="1080" t="s">
        <v>274</v>
      </c>
      <c r="B8" s="1090" t="s">
        <v>576</v>
      </c>
      <c r="C8" s="924" t="s">
        <v>446</v>
      </c>
      <c r="D8" s="1112" t="s">
        <v>637</v>
      </c>
      <c r="E8" s="1105">
        <v>0</v>
      </c>
      <c r="F8" s="959" t="e">
        <f>#REF!-E8</f>
        <v>#REF!</v>
      </c>
      <c r="G8" s="950" t="s">
        <v>252</v>
      </c>
      <c r="H8" s="951">
        <v>0</v>
      </c>
      <c r="I8" s="960" t="e">
        <f t="shared" si="0"/>
        <v>#REF!</v>
      </c>
      <c r="J8" s="950" t="s">
        <v>252</v>
      </c>
      <c r="K8" s="951">
        <v>0</v>
      </c>
      <c r="L8" s="960" t="e">
        <f t="shared" si="1"/>
        <v>#REF!</v>
      </c>
      <c r="M8" s="950" t="s">
        <v>252</v>
      </c>
    </row>
    <row r="9" spans="1:13" s="87" customFormat="1" ht="30.75" thickBot="1">
      <c r="A9" s="1080" t="s">
        <v>273</v>
      </c>
      <c r="B9" s="1090" t="s">
        <v>576</v>
      </c>
      <c r="C9" s="924" t="s">
        <v>272</v>
      </c>
      <c r="D9" s="1112" t="s">
        <v>637</v>
      </c>
      <c r="E9" s="1105">
        <v>0</v>
      </c>
      <c r="F9" s="959" t="e">
        <f>#REF!-E9</f>
        <v>#REF!</v>
      </c>
      <c r="G9" s="950" t="s">
        <v>252</v>
      </c>
      <c r="H9" s="951">
        <v>0</v>
      </c>
      <c r="I9" s="960" t="e">
        <f t="shared" si="0"/>
        <v>#REF!</v>
      </c>
      <c r="J9" s="950" t="s">
        <v>252</v>
      </c>
      <c r="K9" s="951">
        <v>0</v>
      </c>
      <c r="L9" s="960" t="e">
        <f t="shared" si="1"/>
        <v>#REF!</v>
      </c>
      <c r="M9" s="950" t="s">
        <v>252</v>
      </c>
    </row>
    <row r="10" spans="1:13" s="87" customFormat="1" ht="30.75" thickBot="1">
      <c r="A10" s="1081" t="s">
        <v>271</v>
      </c>
      <c r="B10" s="1091" t="s">
        <v>576</v>
      </c>
      <c r="C10" s="989" t="s">
        <v>270</v>
      </c>
      <c r="D10" s="1112" t="s">
        <v>637</v>
      </c>
      <c r="E10" s="1106">
        <v>0</v>
      </c>
      <c r="F10" s="959" t="e">
        <f>#REF!-E10</f>
        <v>#REF!</v>
      </c>
      <c r="G10" s="954" t="s">
        <v>252</v>
      </c>
      <c r="H10" s="952">
        <v>0</v>
      </c>
      <c r="I10" s="961" t="e">
        <f t="shared" si="0"/>
        <v>#REF!</v>
      </c>
      <c r="J10" s="954" t="s">
        <v>252</v>
      </c>
      <c r="K10" s="952">
        <v>0</v>
      </c>
      <c r="L10" s="961" t="e">
        <f t="shared" si="1"/>
        <v>#REF!</v>
      </c>
      <c r="M10" s="954" t="s">
        <v>252</v>
      </c>
    </row>
    <row r="11" spans="1:13" ht="28.5" customHeight="1" thickBot="1">
      <c r="A11" s="1083" t="s">
        <v>263</v>
      </c>
      <c r="B11" s="1090" t="s">
        <v>576</v>
      </c>
      <c r="C11" s="924" t="s">
        <v>111</v>
      </c>
      <c r="D11" s="1112" t="s">
        <v>637</v>
      </c>
      <c r="E11" s="1104">
        <v>0</v>
      </c>
      <c r="F11" s="959" t="e">
        <f>#REF!-E11</f>
        <v>#REF!</v>
      </c>
      <c r="G11" s="950" t="e">
        <f>F11/#REF!</f>
        <v>#REF!</v>
      </c>
      <c r="H11" s="948">
        <v>0</v>
      </c>
      <c r="I11" s="960" t="e">
        <f t="shared" si="0"/>
        <v>#REF!</v>
      </c>
      <c r="J11" s="950" t="e">
        <f>I11/#REF!</f>
        <v>#REF!</v>
      </c>
      <c r="K11" s="948">
        <v>0</v>
      </c>
      <c r="L11" s="960" t="e">
        <f t="shared" si="1"/>
        <v>#REF!</v>
      </c>
      <c r="M11" s="950" t="e">
        <f>L11/#REF!</f>
        <v>#REF!</v>
      </c>
    </row>
    <row r="12" spans="1:13" ht="28.5" customHeight="1" thickBot="1">
      <c r="A12" s="1083" t="s">
        <v>262</v>
      </c>
      <c r="B12" s="1090" t="s">
        <v>576</v>
      </c>
      <c r="C12" s="924" t="s">
        <v>261</v>
      </c>
      <c r="D12" s="1112" t="s">
        <v>637</v>
      </c>
      <c r="E12" s="1104">
        <v>0</v>
      </c>
      <c r="F12" s="959" t="e">
        <f>#REF!-E12</f>
        <v>#REF!</v>
      </c>
      <c r="G12" s="950" t="e">
        <f>F12/#REF!</f>
        <v>#REF!</v>
      </c>
      <c r="H12" s="948">
        <v>0</v>
      </c>
      <c r="I12" s="960" t="e">
        <f t="shared" si="0"/>
        <v>#REF!</v>
      </c>
      <c r="J12" s="950" t="e">
        <f>I12/#REF!</f>
        <v>#REF!</v>
      </c>
      <c r="K12" s="948">
        <v>0</v>
      </c>
      <c r="L12" s="960" t="e">
        <f t="shared" si="1"/>
        <v>#REF!</v>
      </c>
      <c r="M12" s="950" t="e">
        <f>L12/#REF!</f>
        <v>#REF!</v>
      </c>
    </row>
    <row r="13" spans="1:13" ht="28.5" customHeight="1" thickBot="1">
      <c r="A13" s="1083" t="s">
        <v>275</v>
      </c>
      <c r="B13" s="1094" t="s">
        <v>576</v>
      </c>
      <c r="C13" s="924" t="s">
        <v>610</v>
      </c>
      <c r="D13" s="1112" t="s">
        <v>637</v>
      </c>
      <c r="E13" s="1105">
        <v>0</v>
      </c>
      <c r="F13" s="959" t="e">
        <f>#REF!-E13</f>
        <v>#REF!</v>
      </c>
      <c r="G13" s="950" t="e">
        <f>F13/#REF!</f>
        <v>#REF!</v>
      </c>
      <c r="H13" s="951">
        <v>0</v>
      </c>
      <c r="I13" s="960" t="e">
        <f t="shared" si="0"/>
        <v>#REF!</v>
      </c>
      <c r="J13" s="950" t="e">
        <f>I13/#REF!</f>
        <v>#REF!</v>
      </c>
      <c r="K13" s="951">
        <v>0</v>
      </c>
      <c r="L13" s="960" t="e">
        <f t="shared" si="1"/>
        <v>#REF!</v>
      </c>
      <c r="M13" s="950" t="e">
        <f>L13/#REF!</f>
        <v>#REF!</v>
      </c>
    </row>
    <row r="14" spans="1:13" ht="28.5" customHeight="1" thickBot="1">
      <c r="A14" s="1083" t="s">
        <v>258</v>
      </c>
      <c r="B14" s="1096" t="s">
        <v>576</v>
      </c>
      <c r="C14" s="924" t="s">
        <v>257</v>
      </c>
      <c r="D14" s="1112" t="s">
        <v>637</v>
      </c>
      <c r="E14" s="1104">
        <v>0</v>
      </c>
      <c r="F14" s="959" t="e">
        <f>#REF!-E14</f>
        <v>#REF!</v>
      </c>
      <c r="G14" s="950" t="e">
        <f>F14/#REF!</f>
        <v>#REF!</v>
      </c>
      <c r="H14" s="948">
        <v>0</v>
      </c>
      <c r="I14" s="960" t="e">
        <f t="shared" si="0"/>
        <v>#REF!</v>
      </c>
      <c r="J14" s="950" t="e">
        <f>I14/#REF!</f>
        <v>#REF!</v>
      </c>
      <c r="K14" s="948">
        <v>0</v>
      </c>
      <c r="L14" s="960" t="e">
        <f t="shared" si="1"/>
        <v>#REF!</v>
      </c>
      <c r="M14" s="950" t="e">
        <f>L14/#REF!</f>
        <v>#REF!</v>
      </c>
    </row>
    <row r="15" spans="1:13" s="87" customFormat="1" ht="37.5" customHeight="1" thickBot="1">
      <c r="A15" s="1082" t="s">
        <v>256</v>
      </c>
      <c r="B15" s="1096" t="s">
        <v>576</v>
      </c>
      <c r="C15" s="930" t="s">
        <v>255</v>
      </c>
      <c r="D15" s="1112" t="s">
        <v>637</v>
      </c>
      <c r="E15" s="1107">
        <v>0</v>
      </c>
      <c r="F15" s="959" t="e">
        <f>#REF!-E15</f>
        <v>#REF!</v>
      </c>
      <c r="G15" s="947" t="e">
        <f>F15/#REF!</f>
        <v>#REF!</v>
      </c>
      <c r="H15" s="955">
        <v>0</v>
      </c>
      <c r="I15" s="959" t="e">
        <f t="shared" si="0"/>
        <v>#REF!</v>
      </c>
      <c r="J15" s="947" t="e">
        <f>I15/#REF!</f>
        <v>#REF!</v>
      </c>
      <c r="K15" s="955">
        <v>0</v>
      </c>
      <c r="L15" s="959" t="e">
        <f t="shared" si="1"/>
        <v>#REF!</v>
      </c>
      <c r="M15" s="947" t="e">
        <f>L15/#REF!</f>
        <v>#REF!</v>
      </c>
    </row>
    <row r="16" spans="1:13" s="87" customFormat="1" ht="30.75" customHeight="1" thickBot="1">
      <c r="A16" s="1083" t="s">
        <v>260</v>
      </c>
      <c r="B16" s="1096" t="s">
        <v>576</v>
      </c>
      <c r="C16" s="924" t="s">
        <v>259</v>
      </c>
      <c r="D16" s="1112" t="s">
        <v>637</v>
      </c>
      <c r="E16" s="1104">
        <v>0</v>
      </c>
      <c r="F16" s="959" t="e">
        <f>#REF!-E16</f>
        <v>#REF!</v>
      </c>
      <c r="G16" s="950" t="e">
        <f>F16/#REF!</f>
        <v>#REF!</v>
      </c>
      <c r="H16" s="948">
        <v>0</v>
      </c>
      <c r="I16" s="960" t="e">
        <f t="shared" si="0"/>
        <v>#REF!</v>
      </c>
      <c r="J16" s="950" t="e">
        <f>I16/#REF!</f>
        <v>#REF!</v>
      </c>
      <c r="K16" s="948">
        <v>0</v>
      </c>
      <c r="L16" s="960" t="e">
        <f t="shared" si="1"/>
        <v>#REF!</v>
      </c>
      <c r="M16" s="950" t="e">
        <f>L16/#REF!</f>
        <v>#REF!</v>
      </c>
    </row>
    <row r="17" spans="1:13" ht="28.5" customHeight="1" thickBot="1">
      <c r="A17" s="1083" t="s">
        <v>269</v>
      </c>
      <c r="B17" s="1096" t="s">
        <v>576</v>
      </c>
      <c r="C17" s="924" t="s">
        <v>268</v>
      </c>
      <c r="D17" s="1112" t="s">
        <v>637</v>
      </c>
      <c r="E17" s="1104">
        <v>0</v>
      </c>
      <c r="F17" s="959" t="e">
        <f>#REF!-E17</f>
        <v>#REF!</v>
      </c>
      <c r="G17" s="950" t="e">
        <f>F17/#REF!</f>
        <v>#REF!</v>
      </c>
      <c r="H17" s="948">
        <v>0</v>
      </c>
      <c r="I17" s="960" t="e">
        <f t="shared" si="0"/>
        <v>#REF!</v>
      </c>
      <c r="J17" s="950" t="e">
        <f>I17/#REF!</f>
        <v>#REF!</v>
      </c>
      <c r="K17" s="948">
        <v>0</v>
      </c>
      <c r="L17" s="960" t="e">
        <f t="shared" si="1"/>
        <v>#REF!</v>
      </c>
      <c r="M17" s="950" t="e">
        <f>L17/#REF!</f>
        <v>#REF!</v>
      </c>
    </row>
    <row r="18" spans="1:13" ht="28.5" customHeight="1" thickBot="1">
      <c r="A18" s="1083" t="s">
        <v>267</v>
      </c>
      <c r="B18" s="1096" t="s">
        <v>576</v>
      </c>
      <c r="C18" s="924" t="s">
        <v>266</v>
      </c>
      <c r="D18" s="1112" t="s">
        <v>637</v>
      </c>
      <c r="E18" s="1111">
        <v>0</v>
      </c>
      <c r="F18" s="959" t="e">
        <f>#REF!-E18</f>
        <v>#REF!</v>
      </c>
      <c r="G18" s="950" t="e">
        <f>F18/#REF!</f>
        <v>#REF!</v>
      </c>
      <c r="H18" s="958">
        <v>0</v>
      </c>
      <c r="I18" s="960" t="e">
        <f t="shared" si="0"/>
        <v>#REF!</v>
      </c>
      <c r="J18" s="950" t="e">
        <f>I18/#REF!</f>
        <v>#REF!</v>
      </c>
      <c r="K18" s="958">
        <v>0</v>
      </c>
      <c r="L18" s="960" t="e">
        <f t="shared" si="1"/>
        <v>#REF!</v>
      </c>
      <c r="M18" s="950" t="e">
        <f>L18/#REF!</f>
        <v>#REF!</v>
      </c>
    </row>
    <row r="19" spans="1:13" ht="36" customHeight="1" thickBot="1">
      <c r="A19" s="1083" t="s">
        <v>265</v>
      </c>
      <c r="B19" s="1096" t="s">
        <v>576</v>
      </c>
      <c r="C19" s="924" t="s">
        <v>264</v>
      </c>
      <c r="D19" s="1112" t="s">
        <v>637</v>
      </c>
      <c r="E19" s="1105">
        <v>0</v>
      </c>
      <c r="F19" s="959" t="e">
        <f>#REF!-E19</f>
        <v>#REF!</v>
      </c>
      <c r="G19" s="950" t="e">
        <f>F19/#REF!</f>
        <v>#REF!</v>
      </c>
      <c r="H19" s="951">
        <v>0</v>
      </c>
      <c r="I19" s="960" t="e">
        <f t="shared" si="0"/>
        <v>#REF!</v>
      </c>
      <c r="J19" s="950" t="e">
        <f>I19/#REF!</f>
        <v>#REF!</v>
      </c>
      <c r="K19" s="951">
        <v>0</v>
      </c>
      <c r="L19" s="960" t="e">
        <f t="shared" si="1"/>
        <v>#REF!</v>
      </c>
      <c r="M19" s="950" t="e">
        <f>L19/#REF!</f>
        <v>#REF!</v>
      </c>
    </row>
    <row r="20" spans="1:13" ht="28.5" customHeight="1" thickBot="1">
      <c r="A20" s="1084" t="s">
        <v>82</v>
      </c>
      <c r="B20" s="1090" t="s">
        <v>577</v>
      </c>
      <c r="C20" s="644" t="s">
        <v>509</v>
      </c>
      <c r="D20" s="1113" t="s">
        <v>638</v>
      </c>
      <c r="E20" s="1104">
        <v>0</v>
      </c>
      <c r="F20" s="959" t="e">
        <f>#REF!-E20</f>
        <v>#REF!</v>
      </c>
      <c r="G20" s="950" t="e">
        <f>F20/#REF!</f>
        <v>#REF!</v>
      </c>
      <c r="H20" s="948">
        <v>0</v>
      </c>
      <c r="I20" s="960" t="e">
        <f t="shared" si="0"/>
        <v>#REF!</v>
      </c>
      <c r="J20" s="950" t="e">
        <f>I20/#REF!</f>
        <v>#REF!</v>
      </c>
      <c r="K20" s="948">
        <v>0</v>
      </c>
      <c r="L20" s="960" t="e">
        <f t="shared" si="1"/>
        <v>#REF!</v>
      </c>
      <c r="M20" s="950" t="e">
        <f>L20/#REF!</f>
        <v>#REF!</v>
      </c>
    </row>
    <row r="21" spans="1:13" ht="28.5" customHeight="1" thickBot="1">
      <c r="A21" s="1080" t="s">
        <v>83</v>
      </c>
      <c r="B21" s="1090" t="s">
        <v>577</v>
      </c>
      <c r="C21" s="637" t="s">
        <v>510</v>
      </c>
      <c r="D21" s="1113" t="s">
        <v>638</v>
      </c>
      <c r="E21" s="1104">
        <v>0</v>
      </c>
      <c r="F21" s="959" t="e">
        <f>#REF!-E21</f>
        <v>#REF!</v>
      </c>
      <c r="G21" s="950" t="e">
        <f>F21/#REF!</f>
        <v>#REF!</v>
      </c>
      <c r="H21" s="948">
        <v>0</v>
      </c>
      <c r="I21" s="960" t="e">
        <f t="shared" si="0"/>
        <v>#REF!</v>
      </c>
      <c r="J21" s="950" t="e">
        <f>I21/#REF!</f>
        <v>#REF!</v>
      </c>
      <c r="K21" s="948">
        <v>0</v>
      </c>
      <c r="L21" s="960" t="e">
        <f t="shared" si="1"/>
        <v>#REF!</v>
      </c>
      <c r="M21" s="950" t="e">
        <f>L21/#REF!</f>
        <v>#REF!</v>
      </c>
    </row>
    <row r="22" spans="1:13" ht="28.5" customHeight="1" thickBot="1">
      <c r="A22" s="1081" t="s">
        <v>84</v>
      </c>
      <c r="B22" s="1093" t="s">
        <v>577</v>
      </c>
      <c r="C22" s="921" t="s">
        <v>400</v>
      </c>
      <c r="D22" s="1113" t="s">
        <v>638</v>
      </c>
      <c r="E22" s="1106">
        <v>0</v>
      </c>
      <c r="F22" s="959" t="e">
        <f>#REF!-E22</f>
        <v>#REF!</v>
      </c>
      <c r="G22" s="954" t="e">
        <f>F22/#REF!</f>
        <v>#REF!</v>
      </c>
      <c r="H22" s="952">
        <v>0</v>
      </c>
      <c r="I22" s="961" t="e">
        <f t="shared" si="0"/>
        <v>#REF!</v>
      </c>
      <c r="J22" s="954" t="e">
        <f>I22/#REF!</f>
        <v>#REF!</v>
      </c>
      <c r="K22" s="952">
        <v>0</v>
      </c>
      <c r="L22" s="961" t="e">
        <f t="shared" si="1"/>
        <v>#REF!</v>
      </c>
      <c r="M22" s="954" t="e">
        <f>L22/#REF!</f>
        <v>#REF!</v>
      </c>
    </row>
    <row r="23" spans="1:13" s="87" customFormat="1" ht="37.5" customHeight="1" thickBot="1">
      <c r="A23" s="1079" t="s">
        <v>85</v>
      </c>
      <c r="B23" s="1098" t="s">
        <v>577</v>
      </c>
      <c r="C23" s="629" t="s">
        <v>401</v>
      </c>
      <c r="D23" s="1113" t="s">
        <v>638</v>
      </c>
      <c r="E23" s="1107">
        <v>0</v>
      </c>
      <c r="F23" s="959" t="e">
        <f>#REF!-E23</f>
        <v>#REF!</v>
      </c>
      <c r="G23" s="947" t="e">
        <f>F23/#REF!</f>
        <v>#REF!</v>
      </c>
      <c r="H23" s="955">
        <v>0</v>
      </c>
      <c r="I23" s="959" t="e">
        <f t="shared" si="0"/>
        <v>#REF!</v>
      </c>
      <c r="J23" s="947" t="e">
        <f>I23/#REF!</f>
        <v>#REF!</v>
      </c>
      <c r="K23" s="955">
        <v>0</v>
      </c>
      <c r="L23" s="959" t="e">
        <f t="shared" si="1"/>
        <v>#REF!</v>
      </c>
      <c r="M23" s="947" t="e">
        <f>L23/#REF!</f>
        <v>#REF!</v>
      </c>
    </row>
    <row r="24" spans="1:13" ht="31.5" thickBot="1">
      <c r="A24" s="1084" t="s">
        <v>61</v>
      </c>
      <c r="B24" s="1095" t="s">
        <v>577</v>
      </c>
      <c r="C24" s="644" t="s">
        <v>412</v>
      </c>
      <c r="D24" s="1113" t="s">
        <v>638</v>
      </c>
      <c r="E24" s="1104">
        <v>0</v>
      </c>
      <c r="F24" s="959" t="e">
        <f>#REF!-E24</f>
        <v>#REF!</v>
      </c>
      <c r="G24" s="950" t="e">
        <f>F24/#REF!</f>
        <v>#REF!</v>
      </c>
      <c r="H24" s="948">
        <v>0</v>
      </c>
      <c r="I24" s="960" t="e">
        <f t="shared" si="0"/>
        <v>#REF!</v>
      </c>
      <c r="J24" s="950" t="e">
        <f>I24/#REF!</f>
        <v>#REF!</v>
      </c>
      <c r="K24" s="948">
        <v>0</v>
      </c>
      <c r="L24" s="960" t="e">
        <f t="shared" si="1"/>
        <v>#REF!</v>
      </c>
      <c r="M24" s="950" t="e">
        <f>L24/#REF!</f>
        <v>#REF!</v>
      </c>
    </row>
    <row r="25" spans="1:13" ht="31.5" thickBot="1">
      <c r="A25" s="1084" t="s">
        <v>51</v>
      </c>
      <c r="B25" s="1095" t="s">
        <v>577</v>
      </c>
      <c r="C25" s="644" t="s">
        <v>407</v>
      </c>
      <c r="D25" s="1113" t="s">
        <v>638</v>
      </c>
      <c r="E25" s="1104">
        <v>0</v>
      </c>
      <c r="F25" s="959" t="e">
        <f>#REF!-E25</f>
        <v>#REF!</v>
      </c>
      <c r="G25" s="950" t="e">
        <f>F25/#REF!</f>
        <v>#REF!</v>
      </c>
      <c r="H25" s="948">
        <v>0</v>
      </c>
      <c r="I25" s="960" t="e">
        <f t="shared" si="0"/>
        <v>#REF!</v>
      </c>
      <c r="J25" s="950" t="e">
        <f>I25/#REF!</f>
        <v>#REF!</v>
      </c>
      <c r="K25" s="948">
        <v>0</v>
      </c>
      <c r="L25" s="960" t="e">
        <f t="shared" si="1"/>
        <v>#REF!</v>
      </c>
      <c r="M25" s="950" t="e">
        <f>L25/#REF!</f>
        <v>#REF!</v>
      </c>
    </row>
    <row r="26" spans="1:13" ht="28.5" customHeight="1" thickBot="1">
      <c r="A26" s="1084" t="s">
        <v>52</v>
      </c>
      <c r="B26" s="1095" t="s">
        <v>577</v>
      </c>
      <c r="C26" s="644" t="s">
        <v>408</v>
      </c>
      <c r="D26" s="1113" t="s">
        <v>638</v>
      </c>
      <c r="E26" s="1104">
        <v>0</v>
      </c>
      <c r="F26" s="959" t="e">
        <f>#REF!-E26</f>
        <v>#REF!</v>
      </c>
      <c r="G26" s="950" t="e">
        <f>F26/#REF!</f>
        <v>#REF!</v>
      </c>
      <c r="H26" s="948">
        <v>0</v>
      </c>
      <c r="I26" s="960" t="e">
        <f t="shared" si="0"/>
        <v>#REF!</v>
      </c>
      <c r="J26" s="950" t="e">
        <f>I26/#REF!</f>
        <v>#REF!</v>
      </c>
      <c r="K26" s="948">
        <v>0</v>
      </c>
      <c r="L26" s="960" t="e">
        <f t="shared" si="1"/>
        <v>#REF!</v>
      </c>
      <c r="M26" s="950" t="e">
        <f>L26/#REF!</f>
        <v>#REF!</v>
      </c>
    </row>
    <row r="27" spans="1:13" ht="28.5" customHeight="1" thickBot="1">
      <c r="A27" s="1080" t="s">
        <v>80</v>
      </c>
      <c r="B27" s="1092" t="s">
        <v>577</v>
      </c>
      <c r="C27" s="644" t="s">
        <v>425</v>
      </c>
      <c r="D27" s="1113" t="s">
        <v>638</v>
      </c>
      <c r="E27" s="1104">
        <v>0</v>
      </c>
      <c r="F27" s="959" t="e">
        <f>#REF!-E27</f>
        <v>#REF!</v>
      </c>
      <c r="G27" s="950" t="e">
        <f>F27/#REF!</f>
        <v>#REF!</v>
      </c>
      <c r="H27" s="948">
        <v>0</v>
      </c>
      <c r="I27" s="960" t="e">
        <f t="shared" si="0"/>
        <v>#REF!</v>
      </c>
      <c r="J27" s="950" t="e">
        <f>I27/#REF!</f>
        <v>#REF!</v>
      </c>
      <c r="K27" s="948">
        <v>0</v>
      </c>
      <c r="L27" s="960" t="e">
        <f t="shared" si="1"/>
        <v>#REF!</v>
      </c>
      <c r="M27" s="950" t="e">
        <f>L27/#REF!</f>
        <v>#REF!</v>
      </c>
    </row>
    <row r="28" spans="1:13" ht="28.5" customHeight="1" thickBot="1">
      <c r="A28" s="1080" t="s">
        <v>81</v>
      </c>
      <c r="B28" s="1092" t="s">
        <v>577</v>
      </c>
      <c r="C28" s="644" t="s">
        <v>508</v>
      </c>
      <c r="D28" s="1113" t="s">
        <v>638</v>
      </c>
      <c r="E28" s="1104">
        <v>0</v>
      </c>
      <c r="F28" s="959" t="e">
        <f>#REF!-E28</f>
        <v>#REF!</v>
      </c>
      <c r="G28" s="950" t="e">
        <f>F28/#REF!</f>
        <v>#REF!</v>
      </c>
      <c r="H28" s="948">
        <v>0</v>
      </c>
      <c r="I28" s="960" t="e">
        <f t="shared" si="0"/>
        <v>#REF!</v>
      </c>
      <c r="J28" s="950" t="e">
        <f>I28/#REF!</f>
        <v>#REF!</v>
      </c>
      <c r="K28" s="948">
        <v>0</v>
      </c>
      <c r="L28" s="960" t="e">
        <f t="shared" si="1"/>
        <v>#REF!</v>
      </c>
      <c r="M28" s="950" t="e">
        <f>L28/#REF!</f>
        <v>#REF!</v>
      </c>
    </row>
    <row r="29" spans="1:13" ht="28.5" customHeight="1" thickBot="1">
      <c r="A29" s="1080" t="s">
        <v>67</v>
      </c>
      <c r="B29" s="1092" t="s">
        <v>577</v>
      </c>
      <c r="C29" s="644" t="s">
        <v>409</v>
      </c>
      <c r="D29" s="1113" t="s">
        <v>638</v>
      </c>
      <c r="E29" s="1104">
        <v>0</v>
      </c>
      <c r="F29" s="959" t="e">
        <f>#REF!-E29</f>
        <v>#REF!</v>
      </c>
      <c r="G29" s="950" t="e">
        <f>F29/#REF!</f>
        <v>#REF!</v>
      </c>
      <c r="H29" s="948">
        <v>0</v>
      </c>
      <c r="I29" s="960" t="e">
        <f t="shared" si="0"/>
        <v>#REF!</v>
      </c>
      <c r="J29" s="950" t="e">
        <f>I29/#REF!</f>
        <v>#REF!</v>
      </c>
      <c r="K29" s="948">
        <v>0</v>
      </c>
      <c r="L29" s="960" t="e">
        <f t="shared" si="1"/>
        <v>#REF!</v>
      </c>
      <c r="M29" s="950" t="e">
        <f>L29/#REF!</f>
        <v>#REF!</v>
      </c>
    </row>
    <row r="30" spans="1:13" ht="28.5" customHeight="1" thickBot="1">
      <c r="A30" s="1086" t="s">
        <v>68</v>
      </c>
      <c r="B30" s="1093" t="s">
        <v>577</v>
      </c>
      <c r="C30" s="648" t="s">
        <v>410</v>
      </c>
      <c r="D30" s="1113" t="s">
        <v>638</v>
      </c>
      <c r="E30" s="1106">
        <v>0</v>
      </c>
      <c r="F30" s="959" t="e">
        <f>#REF!-E30</f>
        <v>#REF!</v>
      </c>
      <c r="G30" s="954" t="e">
        <f>F30/#REF!</f>
        <v>#REF!</v>
      </c>
      <c r="H30" s="952">
        <v>0</v>
      </c>
      <c r="I30" s="961" t="e">
        <f t="shared" si="0"/>
        <v>#REF!</v>
      </c>
      <c r="J30" s="954" t="e">
        <f>I30/#REF!</f>
        <v>#REF!</v>
      </c>
      <c r="K30" s="952">
        <v>0</v>
      </c>
      <c r="L30" s="961" t="e">
        <f t="shared" si="1"/>
        <v>#REF!</v>
      </c>
      <c r="M30" s="954" t="e">
        <f>L30/#REF!</f>
        <v>#REF!</v>
      </c>
    </row>
    <row r="31" spans="1:13" s="87" customFormat="1" ht="31.5" thickBot="1">
      <c r="A31" s="1084" t="s">
        <v>72</v>
      </c>
      <c r="B31" s="196" t="s">
        <v>471</v>
      </c>
      <c r="C31" s="644" t="s">
        <v>537</v>
      </c>
      <c r="D31" s="1114"/>
      <c r="E31" s="1104">
        <v>0</v>
      </c>
      <c r="F31" s="959" t="e">
        <f>#REF!-E31</f>
        <v>#REF!</v>
      </c>
      <c r="G31" s="950" t="e">
        <f>F31/#REF!</f>
        <v>#REF!</v>
      </c>
      <c r="H31" s="948">
        <v>0</v>
      </c>
      <c r="I31" s="960" t="e">
        <f t="shared" si="0"/>
        <v>#REF!</v>
      </c>
      <c r="J31" s="950" t="e">
        <f>I31/#REF!</f>
        <v>#REF!</v>
      </c>
      <c r="K31" s="948">
        <v>0</v>
      </c>
      <c r="L31" s="960" t="e">
        <f t="shared" si="1"/>
        <v>#REF!</v>
      </c>
      <c r="M31" s="950" t="e">
        <f>L31/#REF!</f>
        <v>#REF!</v>
      </c>
    </row>
    <row r="32" spans="1:13" s="87" customFormat="1" ht="31.5" thickBot="1">
      <c r="A32" s="1084" t="s">
        <v>73</v>
      </c>
      <c r="B32" s="199" t="s">
        <v>471</v>
      </c>
      <c r="C32" s="644" t="s">
        <v>538</v>
      </c>
      <c r="D32" s="1114"/>
      <c r="E32" s="1104">
        <v>0</v>
      </c>
      <c r="F32" s="959" t="e">
        <f>#REF!-E32</f>
        <v>#REF!</v>
      </c>
      <c r="G32" s="950" t="e">
        <f>F32/#REF!</f>
        <v>#REF!</v>
      </c>
      <c r="H32" s="948">
        <v>0</v>
      </c>
      <c r="I32" s="960" t="e">
        <f t="shared" si="0"/>
        <v>#REF!</v>
      </c>
      <c r="J32" s="950" t="e">
        <f>I32/#REF!</f>
        <v>#REF!</v>
      </c>
      <c r="K32" s="948">
        <v>0</v>
      </c>
      <c r="L32" s="960" t="e">
        <f t="shared" si="1"/>
        <v>#REF!</v>
      </c>
      <c r="M32" s="950" t="e">
        <f>L32/#REF!</f>
        <v>#REF!</v>
      </c>
    </row>
    <row r="33" spans="1:13" ht="28.5" customHeight="1" thickBot="1">
      <c r="A33" s="1079" t="s">
        <v>75</v>
      </c>
      <c r="B33" s="1092" t="s">
        <v>471</v>
      </c>
      <c r="C33" s="911" t="s">
        <v>405</v>
      </c>
      <c r="D33" s="1114"/>
      <c r="E33" s="1107">
        <v>0</v>
      </c>
      <c r="F33" s="959" t="e">
        <f>#REF!-E33</f>
        <v>#REF!</v>
      </c>
      <c r="G33" s="947" t="e">
        <f>F33/#REF!</f>
        <v>#REF!</v>
      </c>
      <c r="H33" s="946">
        <v>0</v>
      </c>
      <c r="I33" s="959" t="e">
        <f t="shared" si="0"/>
        <v>#REF!</v>
      </c>
      <c r="J33" s="947" t="e">
        <f>I33/#REF!</f>
        <v>#REF!</v>
      </c>
      <c r="K33" s="946">
        <v>0</v>
      </c>
      <c r="L33" s="959" t="e">
        <f t="shared" si="1"/>
        <v>#REF!</v>
      </c>
      <c r="M33" s="947" t="e">
        <f>L33/#REF!</f>
        <v>#REF!</v>
      </c>
    </row>
    <row r="34" spans="1:13" ht="30" customHeight="1" thickBot="1">
      <c r="A34" s="1080" t="s">
        <v>76</v>
      </c>
      <c r="B34" s="1092" t="s">
        <v>471</v>
      </c>
      <c r="C34" s="644" t="s">
        <v>406</v>
      </c>
      <c r="D34" s="1114"/>
      <c r="E34" s="1104">
        <v>0</v>
      </c>
      <c r="F34" s="959" t="e">
        <f>#REF!-E34</f>
        <v>#REF!</v>
      </c>
      <c r="G34" s="950" t="e">
        <f>F34/#REF!</f>
        <v>#REF!</v>
      </c>
      <c r="H34" s="949">
        <v>0</v>
      </c>
      <c r="I34" s="960" t="e">
        <f t="shared" si="0"/>
        <v>#REF!</v>
      </c>
      <c r="J34" s="950" t="e">
        <f>I34/#REF!</f>
        <v>#REF!</v>
      </c>
      <c r="K34" s="949">
        <v>0</v>
      </c>
      <c r="L34" s="960" t="e">
        <f t="shared" si="1"/>
        <v>#REF!</v>
      </c>
      <c r="M34" s="950" t="e">
        <f>L34/#REF!</f>
        <v>#REF!</v>
      </c>
    </row>
    <row r="35" spans="1:13" ht="28.5" customHeight="1" thickBot="1">
      <c r="A35" s="1080" t="s">
        <v>70</v>
      </c>
      <c r="B35" s="1092" t="s">
        <v>471</v>
      </c>
      <c r="C35" s="644" t="s">
        <v>402</v>
      </c>
      <c r="D35" s="1114"/>
      <c r="E35" s="1104">
        <v>0</v>
      </c>
      <c r="F35" s="959" t="e">
        <f>#REF!-E35</f>
        <v>#REF!</v>
      </c>
      <c r="G35" s="950" t="e">
        <f>F35/#REF!</f>
        <v>#REF!</v>
      </c>
      <c r="H35" s="949">
        <v>0</v>
      </c>
      <c r="I35" s="960" t="e">
        <f t="shared" ref="I35:I66" si="2">F35-H35</f>
        <v>#REF!</v>
      </c>
      <c r="J35" s="950" t="e">
        <f>I35/#REF!</f>
        <v>#REF!</v>
      </c>
      <c r="K35" s="949">
        <v>0</v>
      </c>
      <c r="L35" s="960" t="e">
        <f t="shared" ref="L35:L66" si="3">I35-K35</f>
        <v>#REF!</v>
      </c>
      <c r="M35" s="950" t="e">
        <f>L35/#REF!</f>
        <v>#REF!</v>
      </c>
    </row>
    <row r="36" spans="1:13" ht="28.5" customHeight="1" thickBot="1">
      <c r="A36" s="1080" t="s">
        <v>71</v>
      </c>
      <c r="B36" s="1092" t="s">
        <v>471</v>
      </c>
      <c r="C36" s="644" t="s">
        <v>403</v>
      </c>
      <c r="D36" s="1114"/>
      <c r="E36" s="1104">
        <v>0</v>
      </c>
      <c r="F36" s="959" t="e">
        <f>#REF!-E36</f>
        <v>#REF!</v>
      </c>
      <c r="G36" s="950" t="e">
        <f>F36/#REF!</f>
        <v>#REF!</v>
      </c>
      <c r="H36" s="949">
        <v>0</v>
      </c>
      <c r="I36" s="960" t="e">
        <f t="shared" si="2"/>
        <v>#REF!</v>
      </c>
      <c r="J36" s="950" t="e">
        <f>I36/#REF!</f>
        <v>#REF!</v>
      </c>
      <c r="K36" s="949">
        <v>0</v>
      </c>
      <c r="L36" s="960" t="e">
        <f t="shared" si="3"/>
        <v>#REF!</v>
      </c>
      <c r="M36" s="950" t="e">
        <f>L36/#REF!</f>
        <v>#REF!</v>
      </c>
    </row>
    <row r="37" spans="1:13" ht="28.5" customHeight="1" thickBot="1">
      <c r="A37" s="1080" t="s">
        <v>56</v>
      </c>
      <c r="B37" s="1092" t="s">
        <v>471</v>
      </c>
      <c r="C37" s="644" t="s">
        <v>411</v>
      </c>
      <c r="D37" s="1115"/>
      <c r="E37" s="1104">
        <v>0</v>
      </c>
      <c r="F37" s="959" t="e">
        <f>#REF!-E37</f>
        <v>#REF!</v>
      </c>
      <c r="G37" s="950" t="e">
        <f>F37/#REF!</f>
        <v>#REF!</v>
      </c>
      <c r="H37" s="949">
        <v>0</v>
      </c>
      <c r="I37" s="960" t="e">
        <f t="shared" si="2"/>
        <v>#REF!</v>
      </c>
      <c r="J37" s="950" t="e">
        <f>I37/#REF!</f>
        <v>#REF!</v>
      </c>
      <c r="K37" s="949">
        <v>0</v>
      </c>
      <c r="L37" s="960" t="e">
        <f t="shared" si="3"/>
        <v>#REF!</v>
      </c>
      <c r="M37" s="950" t="e">
        <f>L37/#REF!</f>
        <v>#REF!</v>
      </c>
    </row>
    <row r="38" spans="1:13" ht="28.5" customHeight="1" thickBot="1">
      <c r="A38" s="1080" t="s">
        <v>53</v>
      </c>
      <c r="B38" s="1092" t="s">
        <v>471</v>
      </c>
      <c r="C38" s="644" t="s">
        <v>10</v>
      </c>
      <c r="D38" s="1114"/>
      <c r="E38" s="1104">
        <v>0</v>
      </c>
      <c r="F38" s="959" t="e">
        <f>#REF!-E38</f>
        <v>#REF!</v>
      </c>
      <c r="G38" s="950" t="e">
        <f>F38/#REF!</f>
        <v>#REF!</v>
      </c>
      <c r="H38" s="949">
        <v>0</v>
      </c>
      <c r="I38" s="960" t="e">
        <f t="shared" si="2"/>
        <v>#REF!</v>
      </c>
      <c r="J38" s="950" t="e">
        <f>I38/#REF!</f>
        <v>#REF!</v>
      </c>
      <c r="K38" s="949">
        <v>0</v>
      </c>
      <c r="L38" s="960" t="e">
        <f t="shared" si="3"/>
        <v>#REF!</v>
      </c>
      <c r="M38" s="950" t="e">
        <f>L38/#REF!</f>
        <v>#REF!</v>
      </c>
    </row>
    <row r="39" spans="1:13" ht="28.5" customHeight="1" thickBot="1">
      <c r="A39" s="1080" t="s">
        <v>54</v>
      </c>
      <c r="B39" s="1092" t="s">
        <v>471</v>
      </c>
      <c r="C39" s="644" t="s">
        <v>11</v>
      </c>
      <c r="D39" s="1114"/>
      <c r="E39" s="1104">
        <v>0</v>
      </c>
      <c r="F39" s="959" t="e">
        <f>#REF!-E39</f>
        <v>#REF!</v>
      </c>
      <c r="G39" s="950" t="e">
        <f>F39/#REF!</f>
        <v>#REF!</v>
      </c>
      <c r="H39" s="949">
        <v>0</v>
      </c>
      <c r="I39" s="960" t="e">
        <f t="shared" si="2"/>
        <v>#REF!</v>
      </c>
      <c r="J39" s="950" t="e">
        <f>I39/#REF!</f>
        <v>#REF!</v>
      </c>
      <c r="K39" s="949">
        <v>0</v>
      </c>
      <c r="L39" s="960" t="e">
        <f t="shared" si="3"/>
        <v>#REF!</v>
      </c>
      <c r="M39" s="950" t="e">
        <f>L39/#REF!</f>
        <v>#REF!</v>
      </c>
    </row>
    <row r="40" spans="1:13" ht="28.5" customHeight="1" thickBot="1">
      <c r="A40" s="1080" t="s">
        <v>55</v>
      </c>
      <c r="B40" s="1092" t="s">
        <v>471</v>
      </c>
      <c r="C40" s="644" t="s">
        <v>438</v>
      </c>
      <c r="D40" s="1114"/>
      <c r="E40" s="1104">
        <v>0</v>
      </c>
      <c r="F40" s="959" t="e">
        <f>#REF!-E40</f>
        <v>#REF!</v>
      </c>
      <c r="G40" s="950" t="e">
        <f>F40/#REF!</f>
        <v>#REF!</v>
      </c>
      <c r="H40" s="949">
        <v>0</v>
      </c>
      <c r="I40" s="960" t="e">
        <f t="shared" si="2"/>
        <v>#REF!</v>
      </c>
      <c r="J40" s="950" t="e">
        <f>I40/#REF!</f>
        <v>#REF!</v>
      </c>
      <c r="K40" s="949">
        <v>0</v>
      </c>
      <c r="L40" s="960" t="e">
        <f t="shared" si="3"/>
        <v>#REF!</v>
      </c>
      <c r="M40" s="950" t="e">
        <f>L40/#REF!</f>
        <v>#REF!</v>
      </c>
    </row>
    <row r="41" spans="1:13" ht="28.5" customHeight="1" thickBot="1">
      <c r="A41" s="1084" t="s">
        <v>93</v>
      </c>
      <c r="B41" s="1095" t="s">
        <v>577</v>
      </c>
      <c r="C41" s="644" t="s">
        <v>414</v>
      </c>
      <c r="D41" s="1114"/>
      <c r="E41" s="1104">
        <v>0</v>
      </c>
      <c r="F41" s="959" t="e">
        <f>#REF!-E41</f>
        <v>#REF!</v>
      </c>
      <c r="G41" s="950" t="e">
        <f>F41/#REF!</f>
        <v>#REF!</v>
      </c>
      <c r="H41" s="949">
        <v>0</v>
      </c>
      <c r="I41" s="960" t="e">
        <f t="shared" si="2"/>
        <v>#REF!</v>
      </c>
      <c r="J41" s="950" t="e">
        <f>I41/#REF!</f>
        <v>#REF!</v>
      </c>
      <c r="K41" s="949">
        <v>0</v>
      </c>
      <c r="L41" s="960" t="e">
        <f t="shared" si="3"/>
        <v>#REF!</v>
      </c>
      <c r="M41" s="950" t="e">
        <f>L41/#REF!</f>
        <v>#REF!</v>
      </c>
    </row>
    <row r="42" spans="1:13" ht="28.5" customHeight="1" thickBot="1">
      <c r="A42" s="1086" t="s">
        <v>92</v>
      </c>
      <c r="B42" s="1097" t="s">
        <v>577</v>
      </c>
      <c r="C42" s="648" t="s">
        <v>416</v>
      </c>
      <c r="D42" s="1114"/>
      <c r="E42" s="1106">
        <v>0</v>
      </c>
      <c r="F42" s="959" t="e">
        <f>#REF!-E42</f>
        <v>#REF!</v>
      </c>
      <c r="G42" s="954" t="e">
        <f>F42/#REF!</f>
        <v>#REF!</v>
      </c>
      <c r="H42" s="953">
        <v>0</v>
      </c>
      <c r="I42" s="961" t="e">
        <f t="shared" si="2"/>
        <v>#REF!</v>
      </c>
      <c r="J42" s="954" t="e">
        <f>I42/#REF!</f>
        <v>#REF!</v>
      </c>
      <c r="K42" s="953">
        <v>0</v>
      </c>
      <c r="L42" s="961" t="e">
        <f t="shared" si="3"/>
        <v>#REF!</v>
      </c>
      <c r="M42" s="954" t="e">
        <f>L42/#REF!</f>
        <v>#REF!</v>
      </c>
    </row>
    <row r="43" spans="1:13" ht="31.5" thickBot="1">
      <c r="A43" s="1125" t="s">
        <v>94</v>
      </c>
      <c r="B43" s="1129" t="s">
        <v>577</v>
      </c>
      <c r="C43" s="981" t="s">
        <v>415</v>
      </c>
      <c r="D43" s="1114"/>
      <c r="E43" s="1108">
        <v>0</v>
      </c>
      <c r="F43" s="959" t="e">
        <f>#REF!-E43</f>
        <v>#REF!</v>
      </c>
      <c r="G43" s="985" t="e">
        <f>F43/#REF!</f>
        <v>#REF!</v>
      </c>
      <c r="H43" s="956">
        <v>0</v>
      </c>
      <c r="I43" s="984" t="e">
        <f t="shared" si="2"/>
        <v>#REF!</v>
      </c>
      <c r="J43" s="985" t="e">
        <f>I43/#REF!</f>
        <v>#REF!</v>
      </c>
      <c r="K43" s="956">
        <v>0</v>
      </c>
      <c r="L43" s="984" t="e">
        <f t="shared" si="3"/>
        <v>#REF!</v>
      </c>
      <c r="M43" s="985" t="e">
        <f>L43/#REF!</f>
        <v>#REF!</v>
      </c>
    </row>
    <row r="44" spans="1:13" ht="31.5" thickBot="1">
      <c r="A44" s="1084" t="s">
        <v>96</v>
      </c>
      <c r="B44" s="1100" t="s">
        <v>577</v>
      </c>
      <c r="C44" s="644" t="s">
        <v>417</v>
      </c>
      <c r="D44" s="1114"/>
      <c r="E44" s="1104">
        <v>0</v>
      </c>
      <c r="F44" s="959" t="e">
        <f>#REF!-E44</f>
        <v>#REF!</v>
      </c>
      <c r="G44" s="950" t="e">
        <f>F44/#REF!</f>
        <v>#REF!</v>
      </c>
      <c r="H44" s="948">
        <v>0</v>
      </c>
      <c r="I44" s="960" t="e">
        <f t="shared" si="2"/>
        <v>#REF!</v>
      </c>
      <c r="J44" s="950" t="e">
        <f>I44/#REF!</f>
        <v>#REF!</v>
      </c>
      <c r="K44" s="948">
        <v>0</v>
      </c>
      <c r="L44" s="960" t="e">
        <f t="shared" si="3"/>
        <v>#REF!</v>
      </c>
      <c r="M44" s="950" t="e">
        <f>L44/#REF!</f>
        <v>#REF!</v>
      </c>
    </row>
    <row r="45" spans="1:13" ht="31.5" thickBot="1">
      <c r="A45" s="1086" t="s">
        <v>95</v>
      </c>
      <c r="B45" s="1100" t="s">
        <v>577</v>
      </c>
      <c r="C45" s="648" t="s">
        <v>419</v>
      </c>
      <c r="D45" s="1114"/>
      <c r="E45" s="1106">
        <v>0</v>
      </c>
      <c r="F45" s="959" t="e">
        <f>#REF!-E45</f>
        <v>#REF!</v>
      </c>
      <c r="G45" s="954" t="e">
        <f>F45/#REF!</f>
        <v>#REF!</v>
      </c>
      <c r="H45" s="952">
        <v>0</v>
      </c>
      <c r="I45" s="961" t="e">
        <f t="shared" si="2"/>
        <v>#REF!</v>
      </c>
      <c r="J45" s="954" t="e">
        <f>I45/#REF!</f>
        <v>#REF!</v>
      </c>
      <c r="K45" s="952">
        <v>0</v>
      </c>
      <c r="L45" s="961" t="e">
        <f t="shared" si="3"/>
        <v>#REF!</v>
      </c>
      <c r="M45" s="954" t="e">
        <f>L45/#REF!</f>
        <v>#REF!</v>
      </c>
    </row>
    <row r="46" spans="1:13" ht="30" customHeight="1" thickBot="1">
      <c r="A46" s="1084" t="s">
        <v>97</v>
      </c>
      <c r="B46" s="1100" t="s">
        <v>577</v>
      </c>
      <c r="C46" s="644" t="s">
        <v>418</v>
      </c>
      <c r="D46" s="1114"/>
      <c r="E46" s="1104">
        <v>0</v>
      </c>
      <c r="F46" s="959" t="e">
        <f>#REF!-E46</f>
        <v>#REF!</v>
      </c>
      <c r="G46" s="950" t="e">
        <f>F46/#REF!</f>
        <v>#REF!</v>
      </c>
      <c r="H46" s="948">
        <v>0</v>
      </c>
      <c r="I46" s="960" t="e">
        <f t="shared" si="2"/>
        <v>#REF!</v>
      </c>
      <c r="J46" s="950" t="e">
        <f>I46/#REF!</f>
        <v>#REF!</v>
      </c>
      <c r="K46" s="948">
        <v>0</v>
      </c>
      <c r="L46" s="960" t="e">
        <f t="shared" si="3"/>
        <v>#REF!</v>
      </c>
      <c r="M46" s="950" t="e">
        <f>L46/#REF!</f>
        <v>#REF!</v>
      </c>
    </row>
    <row r="47" spans="1:13" ht="28.5" customHeight="1" thickBot="1">
      <c r="A47" s="1084" t="s">
        <v>98</v>
      </c>
      <c r="B47" s="1100" t="s">
        <v>577</v>
      </c>
      <c r="C47" s="644" t="s">
        <v>428</v>
      </c>
      <c r="D47" s="1114"/>
      <c r="E47" s="1104">
        <v>0</v>
      </c>
      <c r="F47" s="959" t="e">
        <f>#REF!-E47</f>
        <v>#REF!</v>
      </c>
      <c r="G47" s="950" t="e">
        <f>F47/#REF!</f>
        <v>#REF!</v>
      </c>
      <c r="H47" s="948">
        <v>0</v>
      </c>
      <c r="I47" s="960" t="e">
        <f t="shared" si="2"/>
        <v>#REF!</v>
      </c>
      <c r="J47" s="950" t="e">
        <f>I47/#REF!</f>
        <v>#REF!</v>
      </c>
      <c r="K47" s="948">
        <v>0</v>
      </c>
      <c r="L47" s="960" t="e">
        <f t="shared" si="3"/>
        <v>#REF!</v>
      </c>
      <c r="M47" s="950" t="e">
        <f>L47/#REF!</f>
        <v>#REF!</v>
      </c>
    </row>
    <row r="48" spans="1:13" ht="28.5" customHeight="1" thickBot="1">
      <c r="A48" s="1086" t="s">
        <v>99</v>
      </c>
      <c r="B48" s="1101" t="s">
        <v>577</v>
      </c>
      <c r="C48" s="648" t="s">
        <v>429</v>
      </c>
      <c r="D48" s="1114"/>
      <c r="E48" s="1106">
        <v>0</v>
      </c>
      <c r="F48" s="959" t="e">
        <f>#REF!-E48</f>
        <v>#REF!</v>
      </c>
      <c r="G48" s="954" t="e">
        <f>F48/#REF!</f>
        <v>#REF!</v>
      </c>
      <c r="H48" s="952">
        <v>0</v>
      </c>
      <c r="I48" s="961" t="e">
        <f t="shared" si="2"/>
        <v>#REF!</v>
      </c>
      <c r="J48" s="954" t="e">
        <f>I48/#REF!</f>
        <v>#REF!</v>
      </c>
      <c r="K48" s="952">
        <v>0</v>
      </c>
      <c r="L48" s="961" t="e">
        <f t="shared" si="3"/>
        <v>#REF!</v>
      </c>
      <c r="M48" s="954" t="e">
        <f>L48/#REF!</f>
        <v>#REF!</v>
      </c>
    </row>
    <row r="49" spans="1:13" ht="30" customHeight="1" thickBot="1">
      <c r="A49" s="1085" t="s">
        <v>100</v>
      </c>
      <c r="B49" s="1127" t="s">
        <v>577</v>
      </c>
      <c r="C49" s="911" t="s">
        <v>430</v>
      </c>
      <c r="D49" s="1114"/>
      <c r="E49" s="1107">
        <v>0</v>
      </c>
      <c r="F49" s="959" t="e">
        <f>#REF!-E49</f>
        <v>#REF!</v>
      </c>
      <c r="G49" s="947" t="e">
        <f>F49/#REF!</f>
        <v>#REF!</v>
      </c>
      <c r="H49" s="955">
        <v>0</v>
      </c>
      <c r="I49" s="959" t="e">
        <f t="shared" si="2"/>
        <v>#REF!</v>
      </c>
      <c r="J49" s="947" t="e">
        <f>I49/#REF!</f>
        <v>#REF!</v>
      </c>
      <c r="K49" s="955">
        <v>0</v>
      </c>
      <c r="L49" s="959" t="e">
        <f t="shared" si="3"/>
        <v>#REF!</v>
      </c>
      <c r="M49" s="947" t="e">
        <f>L49/#REF!</f>
        <v>#REF!</v>
      </c>
    </row>
    <row r="50" spans="1:13" ht="31.5" thickBot="1">
      <c r="A50" s="1084" t="s">
        <v>101</v>
      </c>
      <c r="B50" s="1095" t="s">
        <v>577</v>
      </c>
      <c r="C50" s="644" t="s">
        <v>431</v>
      </c>
      <c r="D50" s="1114"/>
      <c r="E50" s="1104">
        <v>0</v>
      </c>
      <c r="F50" s="959" t="e">
        <f>#REF!-E50</f>
        <v>#REF!</v>
      </c>
      <c r="G50" s="950" t="e">
        <f>F50/#REF!</f>
        <v>#REF!</v>
      </c>
      <c r="H50" s="948">
        <v>0</v>
      </c>
      <c r="I50" s="960" t="e">
        <f t="shared" si="2"/>
        <v>#REF!</v>
      </c>
      <c r="J50" s="950" t="e">
        <f>I50/#REF!</f>
        <v>#REF!</v>
      </c>
      <c r="K50" s="948">
        <v>0</v>
      </c>
      <c r="L50" s="960" t="e">
        <f t="shared" si="3"/>
        <v>#REF!</v>
      </c>
      <c r="M50" s="950" t="e">
        <f>L50/#REF!</f>
        <v>#REF!</v>
      </c>
    </row>
    <row r="51" spans="1:13" ht="31.5" thickBot="1">
      <c r="A51" s="1124" t="s">
        <v>69</v>
      </c>
      <c r="B51" s="199" t="s">
        <v>471</v>
      </c>
      <c r="C51" s="644" t="s">
        <v>420</v>
      </c>
      <c r="D51" s="1115"/>
      <c r="E51" s="1104">
        <v>0</v>
      </c>
      <c r="F51" s="959" t="e">
        <f>#REF!-E51</f>
        <v>#REF!</v>
      </c>
      <c r="G51" s="950" t="e">
        <f>F51/#REF!</f>
        <v>#REF!</v>
      </c>
      <c r="H51" s="948">
        <v>0</v>
      </c>
      <c r="I51" s="960" t="e">
        <f t="shared" si="2"/>
        <v>#REF!</v>
      </c>
      <c r="J51" s="950" t="e">
        <f>I51/#REF!</f>
        <v>#REF!</v>
      </c>
      <c r="K51" s="948">
        <v>0</v>
      </c>
      <c r="L51" s="960" t="e">
        <f t="shared" si="3"/>
        <v>#REF!</v>
      </c>
      <c r="M51" s="950" t="e">
        <f>L51/#REF!</f>
        <v>#REF!</v>
      </c>
    </row>
    <row r="52" spans="1:13" ht="30" customHeight="1" thickBot="1">
      <c r="A52" s="1080" t="s">
        <v>74</v>
      </c>
      <c r="B52" s="199" t="s">
        <v>471</v>
      </c>
      <c r="C52" s="644" t="s">
        <v>423</v>
      </c>
      <c r="D52" s="1115"/>
      <c r="E52" s="1104">
        <v>0</v>
      </c>
      <c r="F52" s="959" t="e">
        <f>#REF!-E52</f>
        <v>#REF!</v>
      </c>
      <c r="G52" s="950" t="e">
        <f>F52/#REF!</f>
        <v>#REF!</v>
      </c>
      <c r="H52" s="948">
        <v>0</v>
      </c>
      <c r="I52" s="960" t="e">
        <f t="shared" si="2"/>
        <v>#REF!</v>
      </c>
      <c r="J52" s="950" t="e">
        <f>I52/#REF!</f>
        <v>#REF!</v>
      </c>
      <c r="K52" s="948">
        <v>0</v>
      </c>
      <c r="L52" s="960" t="e">
        <f t="shared" si="3"/>
        <v>#REF!</v>
      </c>
      <c r="M52" s="950" t="e">
        <f>L52/#REF!</f>
        <v>#REF!</v>
      </c>
    </row>
    <row r="53" spans="1:13" ht="28.5" customHeight="1" thickBot="1">
      <c r="A53" s="1080" t="s">
        <v>79</v>
      </c>
      <c r="B53" s="1092" t="s">
        <v>577</v>
      </c>
      <c r="C53" s="637" t="s">
        <v>27</v>
      </c>
      <c r="D53" s="1115"/>
      <c r="E53" s="1104">
        <v>0</v>
      </c>
      <c r="F53" s="959" t="e">
        <f>#REF!-E53</f>
        <v>#REF!</v>
      </c>
      <c r="G53" s="950" t="e">
        <f>F53/#REF!</f>
        <v>#REF!</v>
      </c>
      <c r="H53" s="948">
        <v>0</v>
      </c>
      <c r="I53" s="960" t="e">
        <f t="shared" si="2"/>
        <v>#REF!</v>
      </c>
      <c r="J53" s="950" t="e">
        <f>I53/#REF!</f>
        <v>#REF!</v>
      </c>
      <c r="K53" s="948">
        <v>0</v>
      </c>
      <c r="L53" s="960" t="e">
        <f t="shared" si="3"/>
        <v>#REF!</v>
      </c>
      <c r="M53" s="950" t="e">
        <f>L53/#REF!</f>
        <v>#REF!</v>
      </c>
    </row>
    <row r="54" spans="1:13" ht="30" customHeight="1" thickBot="1">
      <c r="A54" s="1086" t="s">
        <v>389</v>
      </c>
      <c r="B54" s="1097" t="s">
        <v>472</v>
      </c>
      <c r="C54" s="648" t="s">
        <v>548</v>
      </c>
      <c r="D54" s="1114"/>
      <c r="E54" s="1106">
        <v>0</v>
      </c>
      <c r="F54" s="959" t="e">
        <f>#REF!-E54</f>
        <v>#REF!</v>
      </c>
      <c r="G54" s="954" t="e">
        <f>F54/#REF!</f>
        <v>#REF!</v>
      </c>
      <c r="H54" s="952">
        <v>0</v>
      </c>
      <c r="I54" s="961" t="e">
        <f t="shared" si="2"/>
        <v>#REF!</v>
      </c>
      <c r="J54" s="954" t="e">
        <f>I54/#REF!</f>
        <v>#REF!</v>
      </c>
      <c r="K54" s="952">
        <v>0</v>
      </c>
      <c r="L54" s="961" t="e">
        <f t="shared" si="3"/>
        <v>#REF!</v>
      </c>
      <c r="M54" s="954" t="e">
        <f>L54/#REF!</f>
        <v>#REF!</v>
      </c>
    </row>
    <row r="55" spans="1:13" s="87" customFormat="1" ht="31.5" thickBot="1">
      <c r="A55" s="1121" t="s">
        <v>388</v>
      </c>
      <c r="B55" s="1127" t="s">
        <v>472</v>
      </c>
      <c r="C55" s="629" t="s">
        <v>549</v>
      </c>
      <c r="D55" s="1114"/>
      <c r="E55" s="1107">
        <v>0</v>
      </c>
      <c r="F55" s="959" t="e">
        <f>#REF!-E55</f>
        <v>#REF!</v>
      </c>
      <c r="G55" s="947" t="e">
        <f>F55/#REF!</f>
        <v>#REF!</v>
      </c>
      <c r="H55" s="955">
        <v>0</v>
      </c>
      <c r="I55" s="959" t="e">
        <f t="shared" si="2"/>
        <v>#REF!</v>
      </c>
      <c r="J55" s="947" t="e">
        <f>I55/#REF!</f>
        <v>#REF!</v>
      </c>
      <c r="K55" s="955">
        <v>0</v>
      </c>
      <c r="L55" s="959" t="e">
        <f t="shared" si="3"/>
        <v>#REF!</v>
      </c>
      <c r="M55" s="947" t="e">
        <f>L55/#REF!</f>
        <v>#REF!</v>
      </c>
    </row>
    <row r="56" spans="1:13" ht="31.5" thickBot="1">
      <c r="A56" s="1126" t="s">
        <v>390</v>
      </c>
      <c r="B56" s="1097" t="s">
        <v>472</v>
      </c>
      <c r="C56" s="1131" t="s">
        <v>550</v>
      </c>
      <c r="D56" s="1114"/>
      <c r="E56" s="1109">
        <v>0</v>
      </c>
      <c r="F56" s="959" t="e">
        <f>#REF!-E56</f>
        <v>#REF!</v>
      </c>
      <c r="G56" s="1002" t="e">
        <f>F56/#REF!</f>
        <v>#REF!</v>
      </c>
      <c r="H56" s="1000">
        <v>0</v>
      </c>
      <c r="I56" s="1001" t="e">
        <f t="shared" si="2"/>
        <v>#REF!</v>
      </c>
      <c r="J56" s="1002" t="e">
        <f>I56/#REF!</f>
        <v>#REF!</v>
      </c>
      <c r="K56" s="1000">
        <v>0</v>
      </c>
      <c r="L56" s="1001" t="e">
        <f t="shared" si="3"/>
        <v>#REF!</v>
      </c>
      <c r="M56" s="1002" t="e">
        <f>L56/#REF!</f>
        <v>#REF!</v>
      </c>
    </row>
    <row r="57" spans="1:13" ht="31.5" thickBot="1">
      <c r="A57" s="1122" t="s">
        <v>87</v>
      </c>
      <c r="B57" s="1102" t="s">
        <v>471</v>
      </c>
      <c r="C57" s="1005" t="s">
        <v>440</v>
      </c>
      <c r="D57" s="1115"/>
      <c r="E57" s="1110">
        <v>0</v>
      </c>
      <c r="F57" s="959" t="e">
        <f>#REF!-E57</f>
        <v>#REF!</v>
      </c>
      <c r="G57" s="1010" t="e">
        <f>F57/#REF!</f>
        <v>#REF!</v>
      </c>
      <c r="H57" s="1008">
        <v>0</v>
      </c>
      <c r="I57" s="1009" t="e">
        <f t="shared" si="2"/>
        <v>#REF!</v>
      </c>
      <c r="J57" s="1010" t="e">
        <f>I57/#REF!</f>
        <v>#REF!</v>
      </c>
      <c r="K57" s="1008">
        <v>0</v>
      </c>
      <c r="L57" s="1009" t="e">
        <f t="shared" si="3"/>
        <v>#REF!</v>
      </c>
      <c r="M57" s="1010" t="e">
        <f>L57/#REF!</f>
        <v>#REF!</v>
      </c>
    </row>
    <row r="58" spans="1:13" ht="28.5" customHeight="1" thickBot="1">
      <c r="A58" s="1080" t="s">
        <v>89</v>
      </c>
      <c r="B58" s="1098" t="s">
        <v>471</v>
      </c>
      <c r="C58" s="644" t="s">
        <v>539</v>
      </c>
      <c r="D58" s="1115"/>
      <c r="E58" s="1104">
        <v>0</v>
      </c>
      <c r="F58" s="959" t="e">
        <f>#REF!-E58</f>
        <v>#REF!</v>
      </c>
      <c r="G58" s="950" t="e">
        <f>F58/#REF!</f>
        <v>#REF!</v>
      </c>
      <c r="H58" s="948">
        <v>0</v>
      </c>
      <c r="I58" s="960" t="e">
        <f t="shared" si="2"/>
        <v>#REF!</v>
      </c>
      <c r="J58" s="950" t="e">
        <f>I58/#REF!</f>
        <v>#REF!</v>
      </c>
      <c r="K58" s="948">
        <v>0</v>
      </c>
      <c r="L58" s="960" t="e">
        <f t="shared" si="3"/>
        <v>#REF!</v>
      </c>
      <c r="M58" s="950" t="e">
        <f>L58/#REF!</f>
        <v>#REF!</v>
      </c>
    </row>
    <row r="59" spans="1:13" ht="28.5" customHeight="1" thickBot="1">
      <c r="A59" s="1080" t="s">
        <v>88</v>
      </c>
      <c r="B59" s="1093" t="s">
        <v>471</v>
      </c>
      <c r="C59" s="909" t="s">
        <v>413</v>
      </c>
      <c r="D59" s="1115"/>
      <c r="E59" s="1104">
        <v>0</v>
      </c>
      <c r="F59" s="959" t="e">
        <f>#REF!-E59</f>
        <v>#REF!</v>
      </c>
      <c r="G59" s="950" t="e">
        <f>F59/#REF!</f>
        <v>#REF!</v>
      </c>
      <c r="H59" s="948">
        <v>0</v>
      </c>
      <c r="I59" s="960" t="e">
        <f t="shared" si="2"/>
        <v>#REF!</v>
      </c>
      <c r="J59" s="950" t="e">
        <f>I59/#REF!</f>
        <v>#REF!</v>
      </c>
      <c r="K59" s="948">
        <v>0</v>
      </c>
      <c r="L59" s="960" t="e">
        <f t="shared" si="3"/>
        <v>#REF!</v>
      </c>
      <c r="M59" s="950" t="e">
        <f>L59/#REF!</f>
        <v>#REF!</v>
      </c>
    </row>
    <row r="60" spans="1:13" s="87" customFormat="1" ht="36.75" customHeight="1" thickBot="1">
      <c r="A60" s="1123" t="s">
        <v>383</v>
      </c>
      <c r="B60" s="1128" t="s">
        <v>472</v>
      </c>
      <c r="C60" s="1130" t="s">
        <v>551</v>
      </c>
      <c r="D60" s="1114"/>
      <c r="E60" s="1107">
        <v>0</v>
      </c>
      <c r="F60" s="959" t="e">
        <f>#REF!-E60</f>
        <v>#REF!</v>
      </c>
      <c r="G60" s="947" t="e">
        <f>F60/#REF!</f>
        <v>#REF!</v>
      </c>
      <c r="H60" s="955">
        <v>0</v>
      </c>
      <c r="I60" s="959" t="e">
        <f t="shared" si="2"/>
        <v>#REF!</v>
      </c>
      <c r="J60" s="947" t="e">
        <f>I60/#REF!</f>
        <v>#REF!</v>
      </c>
      <c r="K60" s="955">
        <v>0</v>
      </c>
      <c r="L60" s="959" t="e">
        <f t="shared" si="3"/>
        <v>#REF!</v>
      </c>
      <c r="M60" s="947" t="e">
        <f>L60/#REF!</f>
        <v>#REF!</v>
      </c>
    </row>
    <row r="61" spans="1:13" s="87" customFormat="1" ht="28.5" customHeight="1" thickBot="1">
      <c r="A61" s="1087" t="s">
        <v>382</v>
      </c>
      <c r="B61" s="1099" t="s">
        <v>472</v>
      </c>
      <c r="C61" s="909" t="s">
        <v>553</v>
      </c>
      <c r="D61" s="1114"/>
      <c r="E61" s="1104">
        <v>0</v>
      </c>
      <c r="F61" s="959" t="e">
        <f>#REF!-E61</f>
        <v>#REF!</v>
      </c>
      <c r="G61" s="950" t="e">
        <f>F61/#REF!</f>
        <v>#REF!</v>
      </c>
      <c r="H61" s="948">
        <v>0</v>
      </c>
      <c r="I61" s="960" t="e">
        <f t="shared" si="2"/>
        <v>#REF!</v>
      </c>
      <c r="J61" s="950" t="e">
        <f>I61/#REF!</f>
        <v>#REF!</v>
      </c>
      <c r="K61" s="948">
        <v>0</v>
      </c>
      <c r="L61" s="960" t="e">
        <f t="shared" si="3"/>
        <v>#REF!</v>
      </c>
      <c r="M61" s="950" t="e">
        <f>L61/#REF!</f>
        <v>#REF!</v>
      </c>
    </row>
    <row r="62" spans="1:13" s="87" customFormat="1" ht="31.5" thickBot="1">
      <c r="A62" s="1087" t="s">
        <v>384</v>
      </c>
      <c r="B62" s="1099" t="s">
        <v>472</v>
      </c>
      <c r="C62" s="909" t="s">
        <v>552</v>
      </c>
      <c r="D62" s="1114"/>
      <c r="E62" s="1104">
        <v>0</v>
      </c>
      <c r="F62" s="959" t="e">
        <f>#REF!-E62</f>
        <v>#REF!</v>
      </c>
      <c r="G62" s="950" t="e">
        <f>F62/#REF!</f>
        <v>#REF!</v>
      </c>
      <c r="H62" s="948">
        <v>0</v>
      </c>
      <c r="I62" s="960" t="e">
        <f t="shared" si="2"/>
        <v>#REF!</v>
      </c>
      <c r="J62" s="950" t="e">
        <f>I62/#REF!</f>
        <v>#REF!</v>
      </c>
      <c r="K62" s="948">
        <v>0</v>
      </c>
      <c r="L62" s="960" t="e">
        <f t="shared" si="3"/>
        <v>#REF!</v>
      </c>
      <c r="M62" s="950" t="e">
        <f>L62/#REF!</f>
        <v>#REF!</v>
      </c>
    </row>
    <row r="63" spans="1:13" ht="34.5" customHeight="1" thickBot="1">
      <c r="A63" s="1087" t="s">
        <v>385</v>
      </c>
      <c r="B63" s="1099" t="s">
        <v>472</v>
      </c>
      <c r="C63" s="644" t="s">
        <v>291</v>
      </c>
      <c r="D63" s="1115"/>
      <c r="E63" s="1104">
        <v>0</v>
      </c>
      <c r="F63" s="959" t="e">
        <f>#REF!-E63</f>
        <v>#REF!</v>
      </c>
      <c r="G63" s="950" t="e">
        <f>F63/#REF!</f>
        <v>#REF!</v>
      </c>
      <c r="H63" s="948">
        <v>0</v>
      </c>
      <c r="I63" s="960" t="e">
        <f t="shared" si="2"/>
        <v>#REF!</v>
      </c>
      <c r="J63" s="950" t="e">
        <f>I63/#REF!</f>
        <v>#REF!</v>
      </c>
      <c r="K63" s="948">
        <v>0</v>
      </c>
      <c r="L63" s="960" t="e">
        <f t="shared" si="3"/>
        <v>#REF!</v>
      </c>
      <c r="M63" s="950" t="e">
        <f>L63/#REF!</f>
        <v>#REF!</v>
      </c>
    </row>
    <row r="64" spans="1:13" ht="28.5" customHeight="1" thickBot="1">
      <c r="A64" s="1087" t="s">
        <v>387</v>
      </c>
      <c r="B64" s="1099" t="s">
        <v>472</v>
      </c>
      <c r="C64" s="644" t="s">
        <v>292</v>
      </c>
      <c r="D64" s="1115"/>
      <c r="E64" s="1104">
        <v>0</v>
      </c>
      <c r="F64" s="959" t="e">
        <f>#REF!-E64</f>
        <v>#REF!</v>
      </c>
      <c r="G64" s="950" t="e">
        <f>F64/#REF!</f>
        <v>#REF!</v>
      </c>
      <c r="H64" s="948">
        <v>0</v>
      </c>
      <c r="I64" s="960" t="e">
        <f t="shared" si="2"/>
        <v>#REF!</v>
      </c>
      <c r="J64" s="950" t="e">
        <f>I64/#REF!</f>
        <v>#REF!</v>
      </c>
      <c r="K64" s="948">
        <v>0</v>
      </c>
      <c r="L64" s="960" t="e">
        <f t="shared" si="3"/>
        <v>#REF!</v>
      </c>
      <c r="M64" s="950" t="e">
        <f>L64/#REF!</f>
        <v>#REF!</v>
      </c>
    </row>
    <row r="65" spans="1:13" ht="28.5" customHeight="1" thickBot="1">
      <c r="A65" s="1080" t="s">
        <v>66</v>
      </c>
      <c r="B65" s="1092" t="s">
        <v>471</v>
      </c>
      <c r="C65" s="644" t="s">
        <v>435</v>
      </c>
      <c r="D65" s="1115"/>
      <c r="E65" s="1104">
        <v>0</v>
      </c>
      <c r="F65" s="959" t="e">
        <f>#REF!-E65</f>
        <v>#REF!</v>
      </c>
      <c r="G65" s="950" t="e">
        <f>F65/#REF!</f>
        <v>#REF!</v>
      </c>
      <c r="H65" s="948">
        <v>0</v>
      </c>
      <c r="I65" s="960" t="e">
        <f t="shared" si="2"/>
        <v>#REF!</v>
      </c>
      <c r="J65" s="950" t="e">
        <f>I65/#REF!</f>
        <v>#REF!</v>
      </c>
      <c r="K65" s="948">
        <v>0</v>
      </c>
      <c r="L65" s="960" t="e">
        <f t="shared" si="3"/>
        <v>#REF!</v>
      </c>
      <c r="M65" s="950" t="e">
        <f>L65/#REF!</f>
        <v>#REF!</v>
      </c>
    </row>
    <row r="66" spans="1:13" ht="32.25" customHeight="1" thickBot="1">
      <c r="A66" s="1088" t="s">
        <v>58</v>
      </c>
      <c r="B66" s="1092" t="s">
        <v>471</v>
      </c>
      <c r="C66" s="644" t="s">
        <v>436</v>
      </c>
      <c r="D66" s="1114"/>
      <c r="E66" s="1104">
        <v>0</v>
      </c>
      <c r="F66" s="959" t="e">
        <f>#REF!-E66</f>
        <v>#REF!</v>
      </c>
      <c r="G66" s="950" t="e">
        <f>F66/#REF!</f>
        <v>#REF!</v>
      </c>
      <c r="H66" s="948">
        <v>0</v>
      </c>
      <c r="I66" s="960" t="e">
        <f t="shared" si="2"/>
        <v>#REF!</v>
      </c>
      <c r="J66" s="950" t="e">
        <f>I66/#REF!</f>
        <v>#REF!</v>
      </c>
      <c r="K66" s="948">
        <v>0</v>
      </c>
      <c r="L66" s="960" t="e">
        <f t="shared" si="3"/>
        <v>#REF!</v>
      </c>
      <c r="M66" s="950" t="e">
        <f>L66/#REF!</f>
        <v>#REF!</v>
      </c>
    </row>
    <row r="67" spans="1:13" ht="34.5" customHeight="1" thickBot="1">
      <c r="A67" s="1088" t="s">
        <v>59</v>
      </c>
      <c r="B67" s="1092" t="s">
        <v>471</v>
      </c>
      <c r="C67" s="644" t="s">
        <v>437</v>
      </c>
      <c r="D67" s="1114"/>
      <c r="E67" s="1104">
        <v>0</v>
      </c>
      <c r="F67" s="959" t="e">
        <f>#REF!-E67</f>
        <v>#REF!</v>
      </c>
      <c r="G67" s="950" t="e">
        <f>F67/#REF!</f>
        <v>#REF!</v>
      </c>
      <c r="H67" s="948">
        <v>0</v>
      </c>
      <c r="I67" s="960" t="e">
        <f>F67-H67</f>
        <v>#REF!</v>
      </c>
      <c r="J67" s="950" t="e">
        <f>I67/#REF!</f>
        <v>#REF!</v>
      </c>
      <c r="K67" s="948">
        <v>0</v>
      </c>
      <c r="L67" s="960" t="e">
        <f>I67-K67</f>
        <v>#REF!</v>
      </c>
      <c r="M67" s="950" t="e">
        <f>L67/#REF!</f>
        <v>#REF!</v>
      </c>
    </row>
    <row r="68" spans="1:13" ht="28.5" customHeight="1" thickBot="1">
      <c r="A68" s="1088" t="s">
        <v>64</v>
      </c>
      <c r="B68" s="1092" t="s">
        <v>471</v>
      </c>
      <c r="C68" s="644" t="s">
        <v>114</v>
      </c>
      <c r="D68" s="1114"/>
      <c r="E68" s="1104">
        <v>0</v>
      </c>
      <c r="F68" s="959" t="e">
        <f>#REF!-E68</f>
        <v>#REF!</v>
      </c>
      <c r="G68" s="950" t="e">
        <f>F68/#REF!</f>
        <v>#REF!</v>
      </c>
      <c r="H68" s="948">
        <v>0</v>
      </c>
      <c r="I68" s="960" t="e">
        <f>F68-H68</f>
        <v>#REF!</v>
      </c>
      <c r="J68" s="950" t="e">
        <f>I68/#REF!</f>
        <v>#REF!</v>
      </c>
      <c r="K68" s="948">
        <v>0</v>
      </c>
      <c r="L68" s="960" t="e">
        <f>I68-K68</f>
        <v>#REF!</v>
      </c>
      <c r="M68" s="950" t="e">
        <f>L68/#REF!</f>
        <v>#REF!</v>
      </c>
    </row>
    <row r="69" spans="1:13" ht="28.5" customHeight="1" thickBot="1">
      <c r="A69" s="1086" t="s">
        <v>386</v>
      </c>
      <c r="B69" s="1097" t="s">
        <v>472</v>
      </c>
      <c r="C69" s="648" t="s">
        <v>293</v>
      </c>
      <c r="D69" s="1115"/>
      <c r="E69" s="1106">
        <v>0</v>
      </c>
      <c r="F69" s="959" t="e">
        <f>#REF!-E69</f>
        <v>#REF!</v>
      </c>
      <c r="G69" s="954" t="e">
        <f>F69/#REF!</f>
        <v>#REF!</v>
      </c>
      <c r="H69" s="952">
        <v>0</v>
      </c>
      <c r="I69" s="961" t="e">
        <f>F69-H69</f>
        <v>#REF!</v>
      </c>
      <c r="J69" s="954" t="e">
        <f>I69/#REF!</f>
        <v>#REF!</v>
      </c>
      <c r="K69" s="952">
        <v>0</v>
      </c>
      <c r="L69" s="961" t="e">
        <f>I69-K69</f>
        <v>#REF!</v>
      </c>
      <c r="M69" s="954" t="e">
        <f>L69/#REF!</f>
        <v>#REF!</v>
      </c>
    </row>
    <row r="70" spans="1:13" ht="13.5" customHeight="1">
      <c r="K70" s="991"/>
    </row>
  </sheetData>
  <autoFilter ref="D2:D74"/>
  <mergeCells count="1">
    <mergeCell ref="A1:D1"/>
  </mergeCells>
  <conditionalFormatting sqref="G34:G35 I34:J35 L34:M35 G37:G43 F33:F43 F44:G69 F3:G32 L37:M69 L3:M32 I37:J69 I3:J32">
    <cfRule type="cellIs" dxfId="41" priority="10" stopIfTrue="1" operator="lessThan">
      <formula>0</formula>
    </cfRule>
    <cfRule type="cellIs" dxfId="40" priority="11" stopIfTrue="1" operator="between">
      <formula>0</formula>
      <formula>200</formula>
    </cfRule>
    <cfRule type="cellIs" dxfId="39" priority="12" stopIfTrue="1" operator="greaterThan">
      <formula>200</formula>
    </cfRule>
  </conditionalFormatting>
  <conditionalFormatting sqref="G33 I33:J33 L33:M33">
    <cfRule type="cellIs" dxfId="38" priority="7" stopIfTrue="1" operator="lessThan">
      <formula>0</formula>
    </cfRule>
    <cfRule type="cellIs" dxfId="37" priority="8" stopIfTrue="1" operator="between">
      <formula>0</formula>
      <formula>200</formula>
    </cfRule>
    <cfRule type="cellIs" dxfId="36" priority="9" stopIfTrue="1" operator="greaterThan">
      <formula>200</formula>
    </cfRule>
  </conditionalFormatting>
  <conditionalFormatting sqref="G36 I36:J36 L36:M36">
    <cfRule type="cellIs" dxfId="35" priority="4" stopIfTrue="1" operator="lessThan">
      <formula>0</formula>
    </cfRule>
    <cfRule type="cellIs" dxfId="34" priority="5" stopIfTrue="1" operator="between">
      <formula>0</formula>
      <formula>200</formula>
    </cfRule>
    <cfRule type="cellIs" dxfId="33" priority="6" stopIfTrue="1" operator="greaterThan">
      <formula>200</formula>
    </cfRule>
  </conditionalFormatting>
  <printOptions horizontalCentered="1" verticalCentered="1"/>
  <pageMargins left="0" right="0" top="0" bottom="0" header="0" footer="0"/>
  <pageSetup paperSize="9" scale="22" orientation="landscape" r:id="rId1"/>
  <headerFooter>
    <oddHeader>&amp;C&amp;T&amp;R&amp;D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75"/>
  <sheetViews>
    <sheetView topLeftCell="D11" zoomScale="40" zoomScaleNormal="40" workbookViewId="0">
      <selection activeCell="I17" sqref="I17"/>
    </sheetView>
  </sheetViews>
  <sheetFormatPr baseColWidth="10" defaultRowHeight="12.75"/>
  <cols>
    <col min="1" max="1" width="28.5703125" customWidth="1"/>
    <col min="2" max="2" width="22" bestFit="1" customWidth="1"/>
    <col min="3" max="3" width="39.7109375" customWidth="1"/>
    <col min="4" max="5" width="25.42578125" bestFit="1" customWidth="1"/>
    <col min="6" max="6" width="22" bestFit="1" customWidth="1"/>
    <col min="7" max="7" width="74" bestFit="1" customWidth="1"/>
    <col min="8" max="8" width="18.42578125" customWidth="1"/>
    <col min="9" max="9" width="22.28515625" bestFit="1" customWidth="1"/>
    <col min="10" max="10" width="16.28515625" hidden="1" customWidth="1"/>
    <col min="11" max="11" width="22.7109375" hidden="1" customWidth="1"/>
    <col min="12" max="12" width="16.5703125" hidden="1" customWidth="1"/>
    <col min="13" max="13" width="16.28515625" hidden="1" customWidth="1"/>
    <col min="14" max="14" width="13.7109375" hidden="1" customWidth="1"/>
    <col min="15" max="15" width="16.5703125" hidden="1" customWidth="1"/>
    <col min="16" max="16" width="21.140625" hidden="1" customWidth="1"/>
    <col min="17" max="17" width="18.28515625" hidden="1" customWidth="1"/>
    <col min="18" max="18" width="20.140625" hidden="1" customWidth="1"/>
    <col min="19" max="19" width="21.140625" hidden="1" customWidth="1"/>
    <col min="20" max="20" width="18.85546875" hidden="1" customWidth="1"/>
    <col min="21" max="21" width="20.140625" hidden="1" customWidth="1"/>
    <col min="22" max="22" width="21.140625" hidden="1" customWidth="1"/>
    <col min="23" max="23" width="18.28515625" hidden="1" customWidth="1"/>
    <col min="24" max="24" width="20.140625" hidden="1" customWidth="1"/>
    <col min="25" max="25" width="21.140625" hidden="1" customWidth="1"/>
    <col min="26" max="26" width="18.28515625" hidden="1" customWidth="1"/>
    <col min="27" max="27" width="20.140625" hidden="1" customWidth="1"/>
    <col min="28" max="28" width="21.140625" hidden="1" customWidth="1"/>
    <col min="29" max="29" width="18.28515625" hidden="1" customWidth="1"/>
    <col min="30" max="30" width="20.140625" hidden="1" customWidth="1"/>
    <col min="31" max="31" width="21.140625" bestFit="1" customWidth="1"/>
    <col min="32" max="32" width="18.28515625" customWidth="1"/>
    <col min="33" max="33" width="20.140625" bestFit="1" customWidth="1"/>
    <col min="34" max="34" width="21.140625" bestFit="1" customWidth="1"/>
    <col min="35" max="35" width="18.28515625" customWidth="1"/>
    <col min="36" max="36" width="20.140625" bestFit="1" customWidth="1"/>
    <col min="37" max="37" width="21.140625" bestFit="1" customWidth="1"/>
    <col min="38" max="38" width="18.28515625" bestFit="1" customWidth="1"/>
    <col min="39" max="39" width="21.5703125" bestFit="1" customWidth="1"/>
    <col min="40" max="40" width="21.140625" bestFit="1" customWidth="1"/>
    <col min="41" max="41" width="18.28515625" bestFit="1" customWidth="1"/>
    <col min="42" max="42" width="20.140625" bestFit="1" customWidth="1"/>
    <col min="43" max="43" width="21.140625" bestFit="1" customWidth="1"/>
    <col min="44" max="44" width="18.28515625" bestFit="1" customWidth="1"/>
    <col min="45" max="45" width="20.140625" bestFit="1" customWidth="1"/>
    <col min="46" max="46" width="21.140625" bestFit="1" customWidth="1"/>
    <col min="47" max="47" width="18.28515625" bestFit="1" customWidth="1"/>
    <col min="48" max="48" width="20.140625" bestFit="1" customWidth="1"/>
    <col min="49" max="49" width="21.140625" bestFit="1" customWidth="1"/>
    <col min="50" max="50" width="18.28515625" bestFit="1" customWidth="1"/>
    <col min="51" max="51" width="20.140625" bestFit="1" customWidth="1"/>
    <col min="52" max="52" width="21.140625" bestFit="1" customWidth="1"/>
    <col min="53" max="53" width="18.28515625" bestFit="1" customWidth="1"/>
    <col min="54" max="54" width="20.140625" bestFit="1" customWidth="1"/>
  </cols>
  <sheetData>
    <row r="1" spans="1:54" s="696" customFormat="1" ht="21.75" hidden="1" customHeight="1">
      <c r="A1" s="969" t="s">
        <v>442</v>
      </c>
      <c r="B1" s="867">
        <v>280</v>
      </c>
      <c r="C1" s="1174"/>
      <c r="D1" s="1175"/>
      <c r="E1" s="1175"/>
      <c r="F1" s="1175"/>
      <c r="G1" s="1175"/>
      <c r="H1" s="1175"/>
      <c r="I1" s="1175"/>
    </row>
    <row r="2" spans="1:54" s="696" customFormat="1" ht="21.75" hidden="1" customHeight="1">
      <c r="A2" s="969" t="s">
        <v>443</v>
      </c>
      <c r="B2" s="867">
        <v>360</v>
      </c>
      <c r="C2" s="1174"/>
      <c r="D2" s="1175"/>
      <c r="E2" s="1175"/>
      <c r="F2" s="1175"/>
      <c r="G2" s="1175"/>
      <c r="H2" s="1175"/>
      <c r="I2" s="1175"/>
    </row>
    <row r="3" spans="1:54" s="696" customFormat="1" ht="20.25" hidden="1" customHeight="1">
      <c r="A3" s="969" t="s">
        <v>444</v>
      </c>
      <c r="B3" s="934">
        <f>B2*0.64</f>
        <v>230.4</v>
      </c>
      <c r="C3" s="1174"/>
      <c r="D3" s="1175"/>
      <c r="E3" s="1175"/>
      <c r="F3" s="1175"/>
      <c r="G3" s="1175"/>
      <c r="H3" s="1175"/>
      <c r="I3" s="1175"/>
    </row>
    <row r="4" spans="1:54" s="696" customFormat="1" ht="39.75" hidden="1" customHeight="1" thickBot="1">
      <c r="A4" s="969" t="s">
        <v>445</v>
      </c>
      <c r="B4" s="934">
        <f>B2-B3</f>
        <v>129.6</v>
      </c>
      <c r="C4" s="1274"/>
      <c r="D4" s="1275"/>
      <c r="E4" s="1275"/>
      <c r="F4" s="1275"/>
      <c r="G4" s="1275"/>
      <c r="H4" s="1275"/>
      <c r="I4" s="1275"/>
    </row>
    <row r="5" spans="1:54" s="696" customFormat="1" ht="128.25" customHeight="1" thickBot="1">
      <c r="A5" s="1175" t="s">
        <v>615</v>
      </c>
      <c r="B5" s="1175"/>
      <c r="C5" s="1175"/>
      <c r="D5" s="1175"/>
      <c r="E5" s="1175"/>
      <c r="F5" s="1175"/>
      <c r="G5" s="1175"/>
      <c r="H5" s="1175"/>
      <c r="I5" s="1273"/>
      <c r="J5" s="1264" t="s">
        <v>156</v>
      </c>
      <c r="K5" s="1265"/>
      <c r="L5" s="1265"/>
      <c r="M5" s="1265"/>
      <c r="N5" s="1265"/>
      <c r="O5" s="1265"/>
      <c r="P5" s="1265"/>
      <c r="Q5" s="1265"/>
      <c r="R5" s="1266"/>
      <c r="S5" s="1264" t="s">
        <v>157</v>
      </c>
      <c r="T5" s="1265"/>
      <c r="U5" s="1265"/>
      <c r="V5" s="1265"/>
      <c r="W5" s="1265"/>
      <c r="X5" s="1265"/>
      <c r="Y5" s="1265"/>
      <c r="Z5" s="1265"/>
      <c r="AA5" s="1266"/>
      <c r="AB5" s="1264" t="s">
        <v>603</v>
      </c>
      <c r="AC5" s="1265"/>
      <c r="AD5" s="1265"/>
      <c r="AE5" s="1265"/>
      <c r="AF5" s="1265"/>
      <c r="AG5" s="1265"/>
      <c r="AH5" s="1265"/>
      <c r="AI5" s="1265"/>
      <c r="AJ5" s="1266"/>
      <c r="AK5" s="1264" t="s">
        <v>605</v>
      </c>
      <c r="AL5" s="1265"/>
      <c r="AM5" s="1265"/>
      <c r="AN5" s="1265"/>
      <c r="AO5" s="1265"/>
      <c r="AP5" s="1265"/>
      <c r="AQ5" s="1265"/>
      <c r="AR5" s="1265"/>
      <c r="AS5" s="1266"/>
      <c r="AT5" s="1264" t="s">
        <v>606</v>
      </c>
      <c r="AU5" s="1265"/>
      <c r="AV5" s="1265"/>
      <c r="AW5" s="1265"/>
      <c r="AX5" s="1265"/>
      <c r="AY5" s="1265"/>
      <c r="AZ5" s="1265"/>
      <c r="BA5" s="1265"/>
      <c r="BB5" s="1266"/>
    </row>
    <row r="6" spans="1:54" ht="50.25" customHeight="1" thickBot="1">
      <c r="A6" s="1169" t="s">
        <v>556</v>
      </c>
      <c r="B6" s="1238" t="s">
        <v>504</v>
      </c>
      <c r="C6" s="1168" t="s">
        <v>541</v>
      </c>
      <c r="D6" s="1168" t="s">
        <v>575</v>
      </c>
      <c r="E6" s="1168" t="s">
        <v>253</v>
      </c>
      <c r="F6" s="1224" t="s">
        <v>547</v>
      </c>
      <c r="G6" s="1224" t="s">
        <v>170</v>
      </c>
      <c r="H6" s="1168" t="s">
        <v>542</v>
      </c>
      <c r="I6" s="1222" t="s">
        <v>0</v>
      </c>
      <c r="J6" s="1270" t="s">
        <v>159</v>
      </c>
      <c r="K6" s="1271"/>
      <c r="L6" s="1272"/>
      <c r="M6" s="1270" t="s">
        <v>161</v>
      </c>
      <c r="N6" s="1271"/>
      <c r="O6" s="1272"/>
      <c r="P6" s="1267" t="s">
        <v>160</v>
      </c>
      <c r="Q6" s="1268"/>
      <c r="R6" s="1269"/>
      <c r="S6" s="1267" t="s">
        <v>159</v>
      </c>
      <c r="T6" s="1268"/>
      <c r="U6" s="1269"/>
      <c r="V6" s="1267" t="s">
        <v>161</v>
      </c>
      <c r="W6" s="1268"/>
      <c r="X6" s="1269"/>
      <c r="Y6" s="1267" t="s">
        <v>160</v>
      </c>
      <c r="Z6" s="1268"/>
      <c r="AA6" s="1269"/>
      <c r="AB6" s="1267" t="s">
        <v>159</v>
      </c>
      <c r="AC6" s="1268"/>
      <c r="AD6" s="1269"/>
      <c r="AE6" s="1267" t="s">
        <v>161</v>
      </c>
      <c r="AF6" s="1268"/>
      <c r="AG6" s="1269"/>
      <c r="AH6" s="1267" t="s">
        <v>160</v>
      </c>
      <c r="AI6" s="1268"/>
      <c r="AJ6" s="1269"/>
      <c r="AK6" s="1267" t="s">
        <v>159</v>
      </c>
      <c r="AL6" s="1268"/>
      <c r="AM6" s="1269"/>
      <c r="AN6" s="1267" t="s">
        <v>161</v>
      </c>
      <c r="AO6" s="1268"/>
      <c r="AP6" s="1269"/>
      <c r="AQ6" s="1267" t="s">
        <v>160</v>
      </c>
      <c r="AR6" s="1268"/>
      <c r="AS6" s="1269"/>
      <c r="AT6" s="1267" t="s">
        <v>159</v>
      </c>
      <c r="AU6" s="1268"/>
      <c r="AV6" s="1269"/>
      <c r="AW6" s="1267" t="s">
        <v>161</v>
      </c>
      <c r="AX6" s="1268"/>
      <c r="AY6" s="1269"/>
      <c r="AZ6" s="1267" t="s">
        <v>160</v>
      </c>
      <c r="BA6" s="1268"/>
      <c r="BB6" s="1269"/>
    </row>
    <row r="7" spans="1:54" ht="60.75" customHeight="1" thickBot="1">
      <c r="A7" s="1169"/>
      <c r="B7" s="1238"/>
      <c r="C7" s="1169"/>
      <c r="D7" s="1169"/>
      <c r="E7" s="1169"/>
      <c r="F7" s="1225"/>
      <c r="G7" s="1225"/>
      <c r="H7" s="1229"/>
      <c r="I7" s="1223"/>
      <c r="J7" s="1049" t="s">
        <v>2</v>
      </c>
      <c r="K7" s="1034" t="s">
        <v>286</v>
      </c>
      <c r="L7" s="1034" t="s">
        <v>614</v>
      </c>
      <c r="M7" s="1049" t="s">
        <v>2</v>
      </c>
      <c r="N7" s="1034" t="s">
        <v>286</v>
      </c>
      <c r="O7" s="1034" t="s">
        <v>614</v>
      </c>
      <c r="P7" s="1049" t="s">
        <v>2</v>
      </c>
      <c r="Q7" s="1034" t="s">
        <v>286</v>
      </c>
      <c r="R7" s="1034" t="s">
        <v>614</v>
      </c>
      <c r="S7" s="1049" t="s">
        <v>2</v>
      </c>
      <c r="T7" s="1034" t="s">
        <v>286</v>
      </c>
      <c r="U7" s="1034" t="s">
        <v>614</v>
      </c>
      <c r="V7" s="1049" t="s">
        <v>2</v>
      </c>
      <c r="W7" s="1034" t="s">
        <v>286</v>
      </c>
      <c r="X7" s="1034" t="s">
        <v>614</v>
      </c>
      <c r="Y7" s="1049" t="s">
        <v>2</v>
      </c>
      <c r="Z7" s="1034" t="s">
        <v>286</v>
      </c>
      <c r="AA7" s="1034" t="s">
        <v>614</v>
      </c>
      <c r="AB7" s="1049" t="s">
        <v>2</v>
      </c>
      <c r="AC7" s="1034" t="s">
        <v>286</v>
      </c>
      <c r="AD7" s="1034" t="s">
        <v>614</v>
      </c>
      <c r="AE7" s="1049" t="s">
        <v>2</v>
      </c>
      <c r="AF7" s="1034" t="s">
        <v>286</v>
      </c>
      <c r="AG7" s="1034" t="s">
        <v>614</v>
      </c>
      <c r="AH7" s="1049" t="s">
        <v>2</v>
      </c>
      <c r="AI7" s="1034" t="s">
        <v>286</v>
      </c>
      <c r="AJ7" s="1034" t="s">
        <v>614</v>
      </c>
      <c r="AK7" s="1049" t="s">
        <v>2</v>
      </c>
      <c r="AL7" s="1034" t="s">
        <v>286</v>
      </c>
      <c r="AM7" s="1034" t="s">
        <v>614</v>
      </c>
      <c r="AN7" s="1049" t="s">
        <v>2</v>
      </c>
      <c r="AO7" s="1034" t="s">
        <v>286</v>
      </c>
      <c r="AP7" s="1034" t="s">
        <v>614</v>
      </c>
      <c r="AQ7" s="1049" t="s">
        <v>2</v>
      </c>
      <c r="AR7" s="1034" t="s">
        <v>286</v>
      </c>
      <c r="AS7" s="1034" t="s">
        <v>614</v>
      </c>
      <c r="AT7" s="1049" t="s">
        <v>2</v>
      </c>
      <c r="AU7" s="1034" t="s">
        <v>286</v>
      </c>
      <c r="AV7" s="1034" t="s">
        <v>614</v>
      </c>
      <c r="AW7" s="1049" t="s">
        <v>2</v>
      </c>
      <c r="AX7" s="1034" t="s">
        <v>286</v>
      </c>
      <c r="AY7" s="1034" t="s">
        <v>614</v>
      </c>
      <c r="AZ7" s="1049" t="s">
        <v>2</v>
      </c>
      <c r="BA7" s="1034" t="s">
        <v>286</v>
      </c>
      <c r="BB7" s="1034" t="s">
        <v>614</v>
      </c>
    </row>
    <row r="8" spans="1:54" s="87" customFormat="1" ht="30.75" customHeight="1" thickBot="1">
      <c r="A8" s="1231" t="s">
        <v>559</v>
      </c>
      <c r="B8" s="910"/>
      <c r="C8" s="628" t="s">
        <v>285</v>
      </c>
      <c r="D8" s="1226" t="s">
        <v>576</v>
      </c>
      <c r="E8" s="900">
        <v>306</v>
      </c>
      <c r="F8" s="895" t="s">
        <v>252</v>
      </c>
      <c r="G8" s="930" t="s">
        <v>284</v>
      </c>
      <c r="H8" s="970"/>
      <c r="I8" s="962">
        <v>320</v>
      </c>
      <c r="J8" s="945">
        <v>0</v>
      </c>
      <c r="K8" s="959">
        <f>I8-J8</f>
        <v>320</v>
      </c>
      <c r="L8" s="947" t="s">
        <v>252</v>
      </c>
      <c r="M8" s="945">
        <v>0</v>
      </c>
      <c r="N8" s="959">
        <f>K8-M8</f>
        <v>320</v>
      </c>
      <c r="O8" s="947" t="s">
        <v>252</v>
      </c>
      <c r="P8" s="945">
        <v>0</v>
      </c>
      <c r="Q8" s="959">
        <f>N8-P8</f>
        <v>320</v>
      </c>
      <c r="R8" s="947" t="s">
        <v>252</v>
      </c>
      <c r="S8" s="945">
        <v>0</v>
      </c>
      <c r="T8" s="959">
        <f>Q8-S8</f>
        <v>320</v>
      </c>
      <c r="U8" s="947" t="s">
        <v>252</v>
      </c>
      <c r="V8" s="945">
        <v>0</v>
      </c>
      <c r="W8" s="959">
        <f>T8-V8</f>
        <v>320</v>
      </c>
      <c r="X8" s="947" t="s">
        <v>252</v>
      </c>
      <c r="Y8" s="945">
        <v>0</v>
      </c>
      <c r="Z8" s="959">
        <f>W8-Y8</f>
        <v>320</v>
      </c>
      <c r="AA8" s="947" t="s">
        <v>252</v>
      </c>
      <c r="AB8" s="945">
        <v>0</v>
      </c>
      <c r="AC8" s="959">
        <f>Z8-AB8</f>
        <v>320</v>
      </c>
      <c r="AD8" s="947" t="s">
        <v>252</v>
      </c>
      <c r="AE8" s="945">
        <v>560</v>
      </c>
      <c r="AF8" s="959">
        <f>AC8-AE8</f>
        <v>-240</v>
      </c>
      <c r="AG8" s="947" t="s">
        <v>252</v>
      </c>
      <c r="AH8" s="945">
        <v>0</v>
      </c>
      <c r="AI8" s="959">
        <f>AF8-AH8</f>
        <v>-240</v>
      </c>
      <c r="AJ8" s="947" t="s">
        <v>252</v>
      </c>
      <c r="AK8" s="945">
        <v>0</v>
      </c>
      <c r="AL8" s="959">
        <f t="shared" ref="AL8:AL71" si="0">AI8-AK8</f>
        <v>-240</v>
      </c>
      <c r="AM8" s="947" t="s">
        <v>252</v>
      </c>
      <c r="AN8" s="945">
        <v>560</v>
      </c>
      <c r="AO8" s="959">
        <f t="shared" ref="AO8:AO71" si="1">AL8-AN8</f>
        <v>-800</v>
      </c>
      <c r="AP8" s="947" t="s">
        <v>252</v>
      </c>
      <c r="AQ8" s="945">
        <v>0</v>
      </c>
      <c r="AR8" s="959">
        <f t="shared" ref="AR8:AR71" si="2">AO8-AQ8</f>
        <v>-800</v>
      </c>
      <c r="AS8" s="947" t="s">
        <v>252</v>
      </c>
      <c r="AT8" s="945">
        <v>0</v>
      </c>
      <c r="AU8" s="959">
        <f t="shared" ref="AU8:AU71" si="3">AR8-AT8</f>
        <v>-800</v>
      </c>
      <c r="AV8" s="947" t="s">
        <v>252</v>
      </c>
      <c r="AW8" s="945">
        <v>560</v>
      </c>
      <c r="AX8" s="959">
        <f t="shared" ref="AX8:AX71" si="4">AU8-AW8</f>
        <v>-1360</v>
      </c>
      <c r="AY8" s="947" t="s">
        <v>252</v>
      </c>
      <c r="AZ8" s="945">
        <v>0</v>
      </c>
      <c r="BA8" s="959">
        <f t="shared" ref="BA8:BA71" si="5">AX8-AZ8</f>
        <v>-1360</v>
      </c>
      <c r="BB8" s="947" t="s">
        <v>252</v>
      </c>
    </row>
    <row r="9" spans="1:54" s="87" customFormat="1" ht="38.25" thickBot="1">
      <c r="A9" s="1232"/>
      <c r="B9" s="908"/>
      <c r="C9" s="1039" t="s">
        <v>283</v>
      </c>
      <c r="D9" s="1227"/>
      <c r="E9" s="1230">
        <v>15</v>
      </c>
      <c r="F9" s="88" t="s">
        <v>252</v>
      </c>
      <c r="G9" s="924" t="s">
        <v>282</v>
      </c>
      <c r="H9" s="971"/>
      <c r="I9" s="963">
        <v>1420</v>
      </c>
      <c r="J9" s="948">
        <v>0</v>
      </c>
      <c r="K9" s="959">
        <f t="shared" ref="K9:K72" si="6">I9-J9</f>
        <v>1420</v>
      </c>
      <c r="L9" s="950" t="s">
        <v>252</v>
      </c>
      <c r="M9" s="948">
        <v>0</v>
      </c>
      <c r="N9" s="959">
        <f t="shared" ref="N9:N72" si="7">K9-M9</f>
        <v>1420</v>
      </c>
      <c r="O9" s="950" t="s">
        <v>252</v>
      </c>
      <c r="P9" s="948">
        <v>0</v>
      </c>
      <c r="Q9" s="959">
        <f t="shared" ref="Q9:Q72" si="8">N9-P9</f>
        <v>1420</v>
      </c>
      <c r="R9" s="950" t="s">
        <v>252</v>
      </c>
      <c r="S9" s="948">
        <v>0</v>
      </c>
      <c r="T9" s="959">
        <f t="shared" ref="T9:T72" si="9">Q9-S9</f>
        <v>1420</v>
      </c>
      <c r="U9" s="950" t="s">
        <v>252</v>
      </c>
      <c r="V9" s="948">
        <v>0</v>
      </c>
      <c r="W9" s="959">
        <f t="shared" ref="W9:W67" si="10">T9-V9</f>
        <v>1420</v>
      </c>
      <c r="X9" s="950" t="s">
        <v>252</v>
      </c>
      <c r="Y9" s="948">
        <v>0</v>
      </c>
      <c r="Z9" s="959">
        <f t="shared" ref="Z9:Z72" si="11">W9-Y9</f>
        <v>1420</v>
      </c>
      <c r="AA9" s="950" t="s">
        <v>252</v>
      </c>
      <c r="AB9" s="948">
        <v>0</v>
      </c>
      <c r="AC9" s="959">
        <f t="shared" ref="AC9:AC72" si="12">Z9-AB9</f>
        <v>1420</v>
      </c>
      <c r="AD9" s="950" t="s">
        <v>252</v>
      </c>
      <c r="AE9" s="948">
        <v>0</v>
      </c>
      <c r="AF9" s="959">
        <f t="shared" ref="AF9:AF72" si="13">AC9-AE9</f>
        <v>1420</v>
      </c>
      <c r="AG9" s="950" t="s">
        <v>252</v>
      </c>
      <c r="AH9" s="948">
        <v>0</v>
      </c>
      <c r="AI9" s="959">
        <f t="shared" ref="AI9:AI72" si="14">AF9-AH9</f>
        <v>1420</v>
      </c>
      <c r="AJ9" s="950" t="s">
        <v>252</v>
      </c>
      <c r="AK9" s="948">
        <v>0</v>
      </c>
      <c r="AL9" s="959">
        <f t="shared" si="0"/>
        <v>1420</v>
      </c>
      <c r="AM9" s="950" t="s">
        <v>252</v>
      </c>
      <c r="AN9" s="948">
        <v>0</v>
      </c>
      <c r="AO9" s="959">
        <f t="shared" si="1"/>
        <v>1420</v>
      </c>
      <c r="AP9" s="950" t="s">
        <v>252</v>
      </c>
      <c r="AQ9" s="948">
        <v>0</v>
      </c>
      <c r="AR9" s="959">
        <f t="shared" si="2"/>
        <v>1420</v>
      </c>
      <c r="AS9" s="950" t="s">
        <v>252</v>
      </c>
      <c r="AT9" s="948">
        <v>0</v>
      </c>
      <c r="AU9" s="959">
        <f t="shared" si="3"/>
        <v>1420</v>
      </c>
      <c r="AV9" s="950" t="s">
        <v>252</v>
      </c>
      <c r="AW9" s="948">
        <v>0</v>
      </c>
      <c r="AX9" s="959">
        <f t="shared" si="4"/>
        <v>1420</v>
      </c>
      <c r="AY9" s="950" t="s">
        <v>252</v>
      </c>
      <c r="AZ9" s="948">
        <v>0</v>
      </c>
      <c r="BA9" s="959">
        <f t="shared" si="5"/>
        <v>1420</v>
      </c>
      <c r="BB9" s="950" t="s">
        <v>252</v>
      </c>
    </row>
    <row r="10" spans="1:54" s="87" customFormat="1" ht="38.25" thickBot="1">
      <c r="A10" s="1232"/>
      <c r="B10" s="908"/>
      <c r="C10" s="1039" t="s">
        <v>281</v>
      </c>
      <c r="D10" s="1227"/>
      <c r="E10" s="1230"/>
      <c r="F10" s="88" t="s">
        <v>252</v>
      </c>
      <c r="G10" s="988" t="s">
        <v>280</v>
      </c>
      <c r="H10" s="971"/>
      <c r="I10" s="963">
        <v>1924</v>
      </c>
      <c r="J10" s="948">
        <v>0</v>
      </c>
      <c r="K10" s="959">
        <f t="shared" si="6"/>
        <v>1924</v>
      </c>
      <c r="L10" s="950" t="s">
        <v>252</v>
      </c>
      <c r="M10" s="948">
        <v>0</v>
      </c>
      <c r="N10" s="959">
        <f t="shared" si="7"/>
        <v>1924</v>
      </c>
      <c r="O10" s="950" t="s">
        <v>252</v>
      </c>
      <c r="P10" s="948">
        <v>0</v>
      </c>
      <c r="Q10" s="959">
        <f t="shared" si="8"/>
        <v>1924</v>
      </c>
      <c r="R10" s="950" t="s">
        <v>252</v>
      </c>
      <c r="S10" s="948">
        <v>0</v>
      </c>
      <c r="T10" s="959">
        <f t="shared" si="9"/>
        <v>1924</v>
      </c>
      <c r="U10" s="950" t="s">
        <v>252</v>
      </c>
      <c r="V10" s="948">
        <v>0</v>
      </c>
      <c r="W10" s="959">
        <f t="shared" si="10"/>
        <v>1924</v>
      </c>
      <c r="X10" s="950" t="s">
        <v>252</v>
      </c>
      <c r="Y10" s="948">
        <v>0</v>
      </c>
      <c r="Z10" s="959">
        <f t="shared" si="11"/>
        <v>1924</v>
      </c>
      <c r="AA10" s="950" t="s">
        <v>252</v>
      </c>
      <c r="AB10" s="948">
        <v>0</v>
      </c>
      <c r="AC10" s="959">
        <f t="shared" si="12"/>
        <v>1924</v>
      </c>
      <c r="AD10" s="950" t="s">
        <v>252</v>
      </c>
      <c r="AE10" s="948">
        <v>360</v>
      </c>
      <c r="AF10" s="959">
        <f t="shared" si="13"/>
        <v>1564</v>
      </c>
      <c r="AG10" s="950" t="s">
        <v>252</v>
      </c>
      <c r="AH10" s="948">
        <v>0</v>
      </c>
      <c r="AI10" s="959">
        <f t="shared" si="14"/>
        <v>1564</v>
      </c>
      <c r="AJ10" s="950" t="s">
        <v>252</v>
      </c>
      <c r="AK10" s="948">
        <v>0</v>
      </c>
      <c r="AL10" s="959">
        <f t="shared" si="0"/>
        <v>1564</v>
      </c>
      <c r="AM10" s="950" t="s">
        <v>252</v>
      </c>
      <c r="AN10" s="948">
        <v>360</v>
      </c>
      <c r="AO10" s="959">
        <f t="shared" si="1"/>
        <v>1204</v>
      </c>
      <c r="AP10" s="950" t="s">
        <v>252</v>
      </c>
      <c r="AQ10" s="948">
        <v>0</v>
      </c>
      <c r="AR10" s="959">
        <f t="shared" si="2"/>
        <v>1204</v>
      </c>
      <c r="AS10" s="950" t="s">
        <v>252</v>
      </c>
      <c r="AT10" s="948">
        <v>0</v>
      </c>
      <c r="AU10" s="959">
        <f t="shared" si="3"/>
        <v>1204</v>
      </c>
      <c r="AV10" s="950" t="s">
        <v>252</v>
      </c>
      <c r="AW10" s="948">
        <v>360</v>
      </c>
      <c r="AX10" s="959">
        <f t="shared" si="4"/>
        <v>844</v>
      </c>
      <c r="AY10" s="950" t="s">
        <v>252</v>
      </c>
      <c r="AZ10" s="948">
        <v>0</v>
      </c>
      <c r="BA10" s="959">
        <f t="shared" si="5"/>
        <v>844</v>
      </c>
      <c r="BB10" s="950" t="s">
        <v>252</v>
      </c>
    </row>
    <row r="11" spans="1:54" s="87" customFormat="1" ht="38.25" thickBot="1">
      <c r="A11" s="1232"/>
      <c r="B11" s="908"/>
      <c r="C11" s="1039" t="s">
        <v>279</v>
      </c>
      <c r="D11" s="1227"/>
      <c r="E11" s="1230"/>
      <c r="F11" s="88" t="s">
        <v>252</v>
      </c>
      <c r="G11" s="924" t="s">
        <v>278</v>
      </c>
      <c r="H11" s="971"/>
      <c r="I11" s="963">
        <v>1440</v>
      </c>
      <c r="J11" s="948">
        <v>0</v>
      </c>
      <c r="K11" s="959">
        <f t="shared" si="6"/>
        <v>1440</v>
      </c>
      <c r="L11" s="950" t="s">
        <v>252</v>
      </c>
      <c r="M11" s="948">
        <v>0</v>
      </c>
      <c r="N11" s="959">
        <f t="shared" si="7"/>
        <v>1440</v>
      </c>
      <c r="O11" s="950" t="s">
        <v>252</v>
      </c>
      <c r="P11" s="948">
        <v>0</v>
      </c>
      <c r="Q11" s="959">
        <f t="shared" si="8"/>
        <v>1440</v>
      </c>
      <c r="R11" s="950" t="s">
        <v>252</v>
      </c>
      <c r="S11" s="948">
        <v>0</v>
      </c>
      <c r="T11" s="959">
        <f t="shared" si="9"/>
        <v>1440</v>
      </c>
      <c r="U11" s="950" t="s">
        <v>252</v>
      </c>
      <c r="V11" s="948">
        <v>0</v>
      </c>
      <c r="W11" s="959">
        <f t="shared" si="10"/>
        <v>1440</v>
      </c>
      <c r="X11" s="950" t="s">
        <v>252</v>
      </c>
      <c r="Y11" s="948">
        <v>0</v>
      </c>
      <c r="Z11" s="959">
        <f t="shared" si="11"/>
        <v>1440</v>
      </c>
      <c r="AA11" s="950" t="s">
        <v>252</v>
      </c>
      <c r="AB11" s="948">
        <v>0</v>
      </c>
      <c r="AC11" s="959">
        <f t="shared" si="12"/>
        <v>1440</v>
      </c>
      <c r="AD11" s="950" t="s">
        <v>252</v>
      </c>
      <c r="AE11" s="948">
        <v>0</v>
      </c>
      <c r="AF11" s="959">
        <f t="shared" si="13"/>
        <v>1440</v>
      </c>
      <c r="AG11" s="950" t="s">
        <v>252</v>
      </c>
      <c r="AH11" s="948">
        <v>0</v>
      </c>
      <c r="AI11" s="959">
        <f t="shared" si="14"/>
        <v>1440</v>
      </c>
      <c r="AJ11" s="950" t="s">
        <v>252</v>
      </c>
      <c r="AK11" s="948">
        <v>0</v>
      </c>
      <c r="AL11" s="959">
        <f t="shared" si="0"/>
        <v>1440</v>
      </c>
      <c r="AM11" s="950" t="s">
        <v>252</v>
      </c>
      <c r="AN11" s="948">
        <v>0</v>
      </c>
      <c r="AO11" s="959">
        <f t="shared" si="1"/>
        <v>1440</v>
      </c>
      <c r="AP11" s="950" t="s">
        <v>252</v>
      </c>
      <c r="AQ11" s="948">
        <v>0</v>
      </c>
      <c r="AR11" s="959">
        <f t="shared" si="2"/>
        <v>1440</v>
      </c>
      <c r="AS11" s="950" t="s">
        <v>252</v>
      </c>
      <c r="AT11" s="948">
        <v>0</v>
      </c>
      <c r="AU11" s="959">
        <f t="shared" si="3"/>
        <v>1440</v>
      </c>
      <c r="AV11" s="950" t="s">
        <v>252</v>
      </c>
      <c r="AW11" s="948">
        <v>0</v>
      </c>
      <c r="AX11" s="959">
        <f t="shared" si="4"/>
        <v>1440</v>
      </c>
      <c r="AY11" s="950" t="s">
        <v>252</v>
      </c>
      <c r="AZ11" s="948">
        <v>0</v>
      </c>
      <c r="BA11" s="959">
        <f t="shared" si="5"/>
        <v>1440</v>
      </c>
      <c r="BB11" s="950" t="s">
        <v>252</v>
      </c>
    </row>
    <row r="12" spans="1:54" s="87" customFormat="1" ht="38.25" thickBot="1">
      <c r="A12" s="1232"/>
      <c r="B12" s="908"/>
      <c r="C12" s="1039" t="s">
        <v>277</v>
      </c>
      <c r="D12" s="1227"/>
      <c r="E12" s="1230"/>
      <c r="F12" s="88" t="s">
        <v>252</v>
      </c>
      <c r="G12" s="924" t="s">
        <v>276</v>
      </c>
      <c r="H12" s="971"/>
      <c r="I12" s="963">
        <v>1140</v>
      </c>
      <c r="J12" s="948">
        <v>0</v>
      </c>
      <c r="K12" s="959">
        <f t="shared" si="6"/>
        <v>1140</v>
      </c>
      <c r="L12" s="950" t="s">
        <v>252</v>
      </c>
      <c r="M12" s="948">
        <v>0</v>
      </c>
      <c r="N12" s="959">
        <f t="shared" si="7"/>
        <v>1140</v>
      </c>
      <c r="O12" s="950" t="s">
        <v>252</v>
      </c>
      <c r="P12" s="948">
        <v>0</v>
      </c>
      <c r="Q12" s="959">
        <f t="shared" si="8"/>
        <v>1140</v>
      </c>
      <c r="R12" s="950" t="s">
        <v>252</v>
      </c>
      <c r="S12" s="948">
        <v>0</v>
      </c>
      <c r="T12" s="959">
        <f t="shared" si="9"/>
        <v>1140</v>
      </c>
      <c r="U12" s="950" t="s">
        <v>252</v>
      </c>
      <c r="V12" s="948">
        <v>0</v>
      </c>
      <c r="W12" s="959">
        <f t="shared" si="10"/>
        <v>1140</v>
      </c>
      <c r="X12" s="950" t="s">
        <v>252</v>
      </c>
      <c r="Y12" s="948">
        <v>0</v>
      </c>
      <c r="Z12" s="959">
        <f t="shared" si="11"/>
        <v>1140</v>
      </c>
      <c r="AA12" s="950" t="s">
        <v>252</v>
      </c>
      <c r="AB12" s="948">
        <v>0</v>
      </c>
      <c r="AC12" s="959">
        <f t="shared" si="12"/>
        <v>1140</v>
      </c>
      <c r="AD12" s="950" t="s">
        <v>252</v>
      </c>
      <c r="AE12" s="948">
        <v>0</v>
      </c>
      <c r="AF12" s="959">
        <f t="shared" si="13"/>
        <v>1140</v>
      </c>
      <c r="AG12" s="950" t="s">
        <v>252</v>
      </c>
      <c r="AH12" s="948">
        <v>0</v>
      </c>
      <c r="AI12" s="959">
        <f t="shared" si="14"/>
        <v>1140</v>
      </c>
      <c r="AJ12" s="950" t="s">
        <v>252</v>
      </c>
      <c r="AK12" s="948">
        <v>0</v>
      </c>
      <c r="AL12" s="959">
        <f t="shared" si="0"/>
        <v>1140</v>
      </c>
      <c r="AM12" s="950" t="s">
        <v>252</v>
      </c>
      <c r="AN12" s="948">
        <v>0</v>
      </c>
      <c r="AO12" s="959">
        <f t="shared" si="1"/>
        <v>1140</v>
      </c>
      <c r="AP12" s="950" t="s">
        <v>252</v>
      </c>
      <c r="AQ12" s="948">
        <v>0</v>
      </c>
      <c r="AR12" s="959">
        <f t="shared" si="2"/>
        <v>1140</v>
      </c>
      <c r="AS12" s="950" t="s">
        <v>252</v>
      </c>
      <c r="AT12" s="948">
        <v>0</v>
      </c>
      <c r="AU12" s="959">
        <f t="shared" si="3"/>
        <v>1140</v>
      </c>
      <c r="AV12" s="950" t="s">
        <v>252</v>
      </c>
      <c r="AW12" s="948">
        <v>0</v>
      </c>
      <c r="AX12" s="959">
        <f t="shared" si="4"/>
        <v>1140</v>
      </c>
      <c r="AY12" s="950" t="s">
        <v>252</v>
      </c>
      <c r="AZ12" s="948">
        <v>0</v>
      </c>
      <c r="BA12" s="959">
        <f t="shared" si="5"/>
        <v>1140</v>
      </c>
      <c r="BB12" s="950" t="s">
        <v>252</v>
      </c>
    </row>
    <row r="13" spans="1:54" s="87" customFormat="1" ht="38.25" thickBot="1">
      <c r="A13" s="1232"/>
      <c r="B13" s="908"/>
      <c r="C13" s="1039" t="s">
        <v>274</v>
      </c>
      <c r="D13" s="1227"/>
      <c r="E13" s="1047">
        <v>62</v>
      </c>
      <c r="F13" s="88" t="s">
        <v>252</v>
      </c>
      <c r="G13" s="924" t="s">
        <v>446</v>
      </c>
      <c r="H13" s="971"/>
      <c r="I13" s="963">
        <v>1107</v>
      </c>
      <c r="J13" s="951">
        <v>0</v>
      </c>
      <c r="K13" s="959">
        <f t="shared" si="6"/>
        <v>1107</v>
      </c>
      <c r="L13" s="950" t="s">
        <v>252</v>
      </c>
      <c r="M13" s="951">
        <v>0</v>
      </c>
      <c r="N13" s="959">
        <f t="shared" si="7"/>
        <v>1107</v>
      </c>
      <c r="O13" s="950" t="s">
        <v>252</v>
      </c>
      <c r="P13" s="951">
        <v>0</v>
      </c>
      <c r="Q13" s="959">
        <f t="shared" si="8"/>
        <v>1107</v>
      </c>
      <c r="R13" s="950" t="s">
        <v>252</v>
      </c>
      <c r="S13" s="951">
        <v>0</v>
      </c>
      <c r="T13" s="959">
        <f t="shared" si="9"/>
        <v>1107</v>
      </c>
      <c r="U13" s="950" t="s">
        <v>252</v>
      </c>
      <c r="V13" s="951">
        <v>0</v>
      </c>
      <c r="W13" s="959">
        <f t="shared" si="10"/>
        <v>1107</v>
      </c>
      <c r="X13" s="950" t="s">
        <v>252</v>
      </c>
      <c r="Y13" s="951">
        <v>0</v>
      </c>
      <c r="Z13" s="959">
        <f t="shared" si="11"/>
        <v>1107</v>
      </c>
      <c r="AA13" s="950" t="s">
        <v>252</v>
      </c>
      <c r="AB13" s="951">
        <v>0</v>
      </c>
      <c r="AC13" s="959">
        <f t="shared" si="12"/>
        <v>1107</v>
      </c>
      <c r="AD13" s="950" t="s">
        <v>252</v>
      </c>
      <c r="AE13" s="951">
        <v>162</v>
      </c>
      <c r="AF13" s="959">
        <f t="shared" si="13"/>
        <v>945</v>
      </c>
      <c r="AG13" s="950" t="s">
        <v>252</v>
      </c>
      <c r="AH13" s="951">
        <v>0</v>
      </c>
      <c r="AI13" s="959">
        <f t="shared" si="14"/>
        <v>945</v>
      </c>
      <c r="AJ13" s="950" t="s">
        <v>252</v>
      </c>
      <c r="AK13" s="951">
        <v>0</v>
      </c>
      <c r="AL13" s="959">
        <f t="shared" si="0"/>
        <v>945</v>
      </c>
      <c r="AM13" s="950" t="s">
        <v>252</v>
      </c>
      <c r="AN13" s="951">
        <v>162</v>
      </c>
      <c r="AO13" s="959">
        <f t="shared" si="1"/>
        <v>783</v>
      </c>
      <c r="AP13" s="950" t="s">
        <v>252</v>
      </c>
      <c r="AQ13" s="951">
        <v>0</v>
      </c>
      <c r="AR13" s="959">
        <f t="shared" si="2"/>
        <v>783</v>
      </c>
      <c r="AS13" s="950" t="s">
        <v>252</v>
      </c>
      <c r="AT13" s="951">
        <v>0</v>
      </c>
      <c r="AU13" s="959">
        <f t="shared" si="3"/>
        <v>783</v>
      </c>
      <c r="AV13" s="950" t="s">
        <v>252</v>
      </c>
      <c r="AW13" s="951">
        <v>162</v>
      </c>
      <c r="AX13" s="959">
        <f t="shared" si="4"/>
        <v>621</v>
      </c>
      <c r="AY13" s="950" t="s">
        <v>252</v>
      </c>
      <c r="AZ13" s="951">
        <v>0</v>
      </c>
      <c r="BA13" s="959">
        <f t="shared" si="5"/>
        <v>621</v>
      </c>
      <c r="BB13" s="950" t="s">
        <v>252</v>
      </c>
    </row>
    <row r="14" spans="1:54" s="87" customFormat="1" ht="38.25" thickBot="1">
      <c r="A14" s="1232"/>
      <c r="B14" s="908"/>
      <c r="C14" s="1039" t="s">
        <v>273</v>
      </c>
      <c r="D14" s="1227"/>
      <c r="E14" s="1047">
        <v>112</v>
      </c>
      <c r="F14" s="88" t="s">
        <v>252</v>
      </c>
      <c r="G14" s="924" t="s">
        <v>272</v>
      </c>
      <c r="H14" s="971"/>
      <c r="I14" s="963">
        <v>1560</v>
      </c>
      <c r="J14" s="951">
        <v>0</v>
      </c>
      <c r="K14" s="959">
        <f t="shared" si="6"/>
        <v>1560</v>
      </c>
      <c r="L14" s="950" t="s">
        <v>252</v>
      </c>
      <c r="M14" s="951">
        <v>0</v>
      </c>
      <c r="N14" s="959">
        <f t="shared" si="7"/>
        <v>1560</v>
      </c>
      <c r="O14" s="950" t="s">
        <v>252</v>
      </c>
      <c r="P14" s="951">
        <v>0</v>
      </c>
      <c r="Q14" s="959">
        <f t="shared" si="8"/>
        <v>1560</v>
      </c>
      <c r="R14" s="950" t="s">
        <v>252</v>
      </c>
      <c r="S14" s="951">
        <v>0</v>
      </c>
      <c r="T14" s="959">
        <f t="shared" si="9"/>
        <v>1560</v>
      </c>
      <c r="U14" s="950" t="s">
        <v>252</v>
      </c>
      <c r="V14" s="951">
        <v>0</v>
      </c>
      <c r="W14" s="959">
        <f t="shared" si="10"/>
        <v>1560</v>
      </c>
      <c r="X14" s="950" t="s">
        <v>252</v>
      </c>
      <c r="Y14" s="951">
        <v>0</v>
      </c>
      <c r="Z14" s="959">
        <f t="shared" si="11"/>
        <v>1560</v>
      </c>
      <c r="AA14" s="950" t="s">
        <v>252</v>
      </c>
      <c r="AB14" s="951">
        <v>0</v>
      </c>
      <c r="AC14" s="959">
        <f t="shared" si="12"/>
        <v>1560</v>
      </c>
      <c r="AD14" s="950" t="s">
        <v>252</v>
      </c>
      <c r="AE14" s="951">
        <v>264</v>
      </c>
      <c r="AF14" s="959">
        <f t="shared" si="13"/>
        <v>1296</v>
      </c>
      <c r="AG14" s="950" t="s">
        <v>252</v>
      </c>
      <c r="AH14" s="951">
        <v>0</v>
      </c>
      <c r="AI14" s="959">
        <f t="shared" si="14"/>
        <v>1296</v>
      </c>
      <c r="AJ14" s="950" t="s">
        <v>252</v>
      </c>
      <c r="AK14" s="951">
        <v>0</v>
      </c>
      <c r="AL14" s="959">
        <f t="shared" si="0"/>
        <v>1296</v>
      </c>
      <c r="AM14" s="950" t="s">
        <v>252</v>
      </c>
      <c r="AN14" s="951">
        <v>264</v>
      </c>
      <c r="AO14" s="959">
        <f t="shared" si="1"/>
        <v>1032</v>
      </c>
      <c r="AP14" s="950" t="s">
        <v>252</v>
      </c>
      <c r="AQ14" s="951">
        <v>0</v>
      </c>
      <c r="AR14" s="959">
        <f t="shared" si="2"/>
        <v>1032</v>
      </c>
      <c r="AS14" s="950" t="s">
        <v>252</v>
      </c>
      <c r="AT14" s="951">
        <v>0</v>
      </c>
      <c r="AU14" s="959">
        <f t="shared" si="3"/>
        <v>1032</v>
      </c>
      <c r="AV14" s="950" t="s">
        <v>252</v>
      </c>
      <c r="AW14" s="951">
        <v>264</v>
      </c>
      <c r="AX14" s="959">
        <f t="shared" si="4"/>
        <v>768</v>
      </c>
      <c r="AY14" s="950" t="s">
        <v>252</v>
      </c>
      <c r="AZ14" s="951">
        <v>0</v>
      </c>
      <c r="BA14" s="959">
        <f t="shared" si="5"/>
        <v>768</v>
      </c>
      <c r="BB14" s="950" t="s">
        <v>252</v>
      </c>
    </row>
    <row r="15" spans="1:54" s="87" customFormat="1" ht="38.25" thickBot="1">
      <c r="A15" s="1233"/>
      <c r="B15" s="912"/>
      <c r="C15" s="1040" t="s">
        <v>271</v>
      </c>
      <c r="D15" s="1227"/>
      <c r="E15" s="901">
        <v>12</v>
      </c>
      <c r="F15" s="896" t="s">
        <v>252</v>
      </c>
      <c r="G15" s="989" t="s">
        <v>270</v>
      </c>
      <c r="H15" s="972"/>
      <c r="I15" s="964">
        <v>430</v>
      </c>
      <c r="J15" s="952">
        <v>0</v>
      </c>
      <c r="K15" s="959">
        <f t="shared" si="6"/>
        <v>430</v>
      </c>
      <c r="L15" s="954" t="s">
        <v>252</v>
      </c>
      <c r="M15" s="952">
        <v>0</v>
      </c>
      <c r="N15" s="959">
        <f t="shared" si="7"/>
        <v>430</v>
      </c>
      <c r="O15" s="954" t="s">
        <v>252</v>
      </c>
      <c r="P15" s="952">
        <v>0</v>
      </c>
      <c r="Q15" s="959">
        <f t="shared" si="8"/>
        <v>430</v>
      </c>
      <c r="R15" s="954" t="s">
        <v>252</v>
      </c>
      <c r="S15" s="952">
        <v>0</v>
      </c>
      <c r="T15" s="959">
        <f t="shared" si="9"/>
        <v>430</v>
      </c>
      <c r="U15" s="954" t="s">
        <v>252</v>
      </c>
      <c r="V15" s="952">
        <v>0</v>
      </c>
      <c r="W15" s="959">
        <f t="shared" si="10"/>
        <v>430</v>
      </c>
      <c r="X15" s="954" t="s">
        <v>252</v>
      </c>
      <c r="Y15" s="952">
        <v>0</v>
      </c>
      <c r="Z15" s="959">
        <f t="shared" si="11"/>
        <v>430</v>
      </c>
      <c r="AA15" s="954" t="s">
        <v>252</v>
      </c>
      <c r="AB15" s="952">
        <v>0</v>
      </c>
      <c r="AC15" s="959">
        <f t="shared" si="12"/>
        <v>430</v>
      </c>
      <c r="AD15" s="954" t="s">
        <v>252</v>
      </c>
      <c r="AE15" s="952">
        <v>280</v>
      </c>
      <c r="AF15" s="959">
        <f t="shared" si="13"/>
        <v>150</v>
      </c>
      <c r="AG15" s="954" t="s">
        <v>252</v>
      </c>
      <c r="AH15" s="952">
        <v>0</v>
      </c>
      <c r="AI15" s="959">
        <f t="shared" si="14"/>
        <v>150</v>
      </c>
      <c r="AJ15" s="954" t="s">
        <v>252</v>
      </c>
      <c r="AK15" s="952">
        <v>0</v>
      </c>
      <c r="AL15" s="959">
        <f t="shared" si="0"/>
        <v>150</v>
      </c>
      <c r="AM15" s="954" t="s">
        <v>252</v>
      </c>
      <c r="AN15" s="952">
        <v>280</v>
      </c>
      <c r="AO15" s="959">
        <f t="shared" si="1"/>
        <v>-130</v>
      </c>
      <c r="AP15" s="954" t="s">
        <v>252</v>
      </c>
      <c r="AQ15" s="952">
        <v>0</v>
      </c>
      <c r="AR15" s="959">
        <f t="shared" si="2"/>
        <v>-130</v>
      </c>
      <c r="AS15" s="954" t="s">
        <v>252</v>
      </c>
      <c r="AT15" s="952">
        <v>0</v>
      </c>
      <c r="AU15" s="959">
        <f t="shared" si="3"/>
        <v>-130</v>
      </c>
      <c r="AV15" s="954" t="s">
        <v>252</v>
      </c>
      <c r="AW15" s="952">
        <v>280</v>
      </c>
      <c r="AX15" s="959">
        <f t="shared" si="4"/>
        <v>-410</v>
      </c>
      <c r="AY15" s="954" t="s">
        <v>252</v>
      </c>
      <c r="AZ15" s="952">
        <v>0</v>
      </c>
      <c r="BA15" s="959">
        <f t="shared" si="5"/>
        <v>-410</v>
      </c>
      <c r="BB15" s="954" t="s">
        <v>252</v>
      </c>
    </row>
    <row r="16" spans="1:54" s="87" customFormat="1" ht="37.5" customHeight="1" thickBot="1">
      <c r="A16" s="1205" t="s">
        <v>363</v>
      </c>
      <c r="B16" s="935"/>
      <c r="C16" s="927" t="s">
        <v>263</v>
      </c>
      <c r="D16" s="1227"/>
      <c r="E16" s="928">
        <v>8</v>
      </c>
      <c r="F16" s="936">
        <v>66</v>
      </c>
      <c r="G16" s="930" t="s">
        <v>111</v>
      </c>
      <c r="H16" s="1032" t="s">
        <v>317</v>
      </c>
      <c r="I16" s="965">
        <v>843</v>
      </c>
      <c r="J16" s="955">
        <v>0</v>
      </c>
      <c r="K16" s="959">
        <f t="shared" si="6"/>
        <v>843</v>
      </c>
      <c r="L16" s="947">
        <f t="shared" ref="L16:L34" si="15">K16/$F16</f>
        <v>12.772727272727273</v>
      </c>
      <c r="M16" s="955">
        <v>0</v>
      </c>
      <c r="N16" s="959">
        <f t="shared" si="7"/>
        <v>843</v>
      </c>
      <c r="O16" s="947">
        <f t="shared" ref="O16:O34" si="16">N16/$F16</f>
        <v>12.772727272727273</v>
      </c>
      <c r="P16" s="955">
        <v>0</v>
      </c>
      <c r="Q16" s="959">
        <f t="shared" si="8"/>
        <v>843</v>
      </c>
      <c r="R16" s="947">
        <f t="shared" ref="R16:R34" si="17">Q16/$F16</f>
        <v>12.772727272727273</v>
      </c>
      <c r="S16" s="955">
        <v>0</v>
      </c>
      <c r="T16" s="959">
        <f t="shared" si="9"/>
        <v>843</v>
      </c>
      <c r="U16" s="947">
        <f t="shared" ref="U16:U34" si="18">T16/$F16</f>
        <v>12.772727272727273</v>
      </c>
      <c r="V16" s="955">
        <v>0</v>
      </c>
      <c r="W16" s="959">
        <f t="shared" si="10"/>
        <v>843</v>
      </c>
      <c r="X16" s="947">
        <f t="shared" ref="X16:X34" si="19">W16/$F16</f>
        <v>12.772727272727273</v>
      </c>
      <c r="Y16" s="955">
        <v>0</v>
      </c>
      <c r="Z16" s="959">
        <f t="shared" si="11"/>
        <v>843</v>
      </c>
      <c r="AA16" s="947">
        <f t="shared" ref="AA16:AA34" si="20">Z16/$F16</f>
        <v>12.772727272727273</v>
      </c>
      <c r="AB16" s="955">
        <v>0</v>
      </c>
      <c r="AC16" s="959">
        <f t="shared" si="12"/>
        <v>843</v>
      </c>
      <c r="AD16" s="947">
        <f t="shared" ref="AD16:AD34" si="21">AC16/$F16</f>
        <v>12.772727272727273</v>
      </c>
      <c r="AE16" s="955">
        <v>144</v>
      </c>
      <c r="AF16" s="959">
        <f t="shared" si="13"/>
        <v>699</v>
      </c>
      <c r="AG16" s="947">
        <f t="shared" ref="AG16:AG34" si="22">AF16/$F16</f>
        <v>10.590909090909092</v>
      </c>
      <c r="AH16" s="955">
        <v>0</v>
      </c>
      <c r="AI16" s="959">
        <f t="shared" si="14"/>
        <v>699</v>
      </c>
      <c r="AJ16" s="947">
        <f t="shared" ref="AJ16:AJ34" si="23">AI16/$F16</f>
        <v>10.590909090909092</v>
      </c>
      <c r="AK16" s="955">
        <v>0</v>
      </c>
      <c r="AL16" s="959">
        <f t="shared" si="0"/>
        <v>699</v>
      </c>
      <c r="AM16" s="947">
        <f t="shared" ref="AM16:AM74" si="24">AL16/$F16</f>
        <v>10.590909090909092</v>
      </c>
      <c r="AN16" s="955">
        <v>144</v>
      </c>
      <c r="AO16" s="959">
        <f t="shared" si="1"/>
        <v>555</v>
      </c>
      <c r="AP16" s="947">
        <f t="shared" ref="AP16:AP74" si="25">AO16/$F16</f>
        <v>8.4090909090909083</v>
      </c>
      <c r="AQ16" s="955">
        <v>0</v>
      </c>
      <c r="AR16" s="959">
        <f t="shared" si="2"/>
        <v>555</v>
      </c>
      <c r="AS16" s="947">
        <f t="shared" ref="AS16:AS74" si="26">AR16/$F16</f>
        <v>8.4090909090909083</v>
      </c>
      <c r="AT16" s="955">
        <v>0</v>
      </c>
      <c r="AU16" s="959">
        <f t="shared" si="3"/>
        <v>555</v>
      </c>
      <c r="AV16" s="947">
        <f t="shared" ref="AV16:AV74" si="27">AU16/$F16</f>
        <v>8.4090909090909083</v>
      </c>
      <c r="AW16" s="955">
        <v>144</v>
      </c>
      <c r="AX16" s="959">
        <f t="shared" si="4"/>
        <v>411</v>
      </c>
      <c r="AY16" s="947">
        <f t="shared" ref="AY16:AY74" si="28">AX16/$F16</f>
        <v>6.2272727272727275</v>
      </c>
      <c r="AZ16" s="955">
        <v>0</v>
      </c>
      <c r="BA16" s="959">
        <f t="shared" si="5"/>
        <v>411</v>
      </c>
      <c r="BB16" s="947">
        <f t="shared" ref="BB16:BB74" si="29">BA16/$F16</f>
        <v>6.2272727272727275</v>
      </c>
    </row>
    <row r="17" spans="1:54" s="87" customFormat="1" ht="30.75" customHeight="1" thickBot="1">
      <c r="A17" s="1206"/>
      <c r="B17" s="925"/>
      <c r="C17" s="922" t="s">
        <v>262</v>
      </c>
      <c r="D17" s="1228"/>
      <c r="E17" s="922">
        <v>6</v>
      </c>
      <c r="F17" s="926">
        <v>86</v>
      </c>
      <c r="G17" s="924" t="s">
        <v>261</v>
      </c>
      <c r="H17" s="1033" t="s">
        <v>323</v>
      </c>
      <c r="I17" s="966">
        <v>296</v>
      </c>
      <c r="J17" s="948">
        <v>0</v>
      </c>
      <c r="K17" s="959">
        <f t="shared" si="6"/>
        <v>296</v>
      </c>
      <c r="L17" s="950">
        <f t="shared" si="15"/>
        <v>3.441860465116279</v>
      </c>
      <c r="M17" s="948">
        <v>0</v>
      </c>
      <c r="N17" s="959">
        <f t="shared" si="7"/>
        <v>296</v>
      </c>
      <c r="O17" s="950">
        <f t="shared" si="16"/>
        <v>3.441860465116279</v>
      </c>
      <c r="P17" s="948">
        <v>0</v>
      </c>
      <c r="Q17" s="959">
        <f t="shared" si="8"/>
        <v>296</v>
      </c>
      <c r="R17" s="950">
        <f t="shared" si="17"/>
        <v>3.441860465116279</v>
      </c>
      <c r="S17" s="948">
        <v>0</v>
      </c>
      <c r="T17" s="959">
        <f t="shared" si="9"/>
        <v>296</v>
      </c>
      <c r="U17" s="950">
        <f t="shared" si="18"/>
        <v>3.441860465116279</v>
      </c>
      <c r="V17" s="948">
        <v>0</v>
      </c>
      <c r="W17" s="959">
        <f t="shared" si="10"/>
        <v>296</v>
      </c>
      <c r="X17" s="950">
        <f t="shared" si="19"/>
        <v>3.441860465116279</v>
      </c>
      <c r="Y17" s="948">
        <v>0</v>
      </c>
      <c r="Z17" s="959">
        <f t="shared" si="11"/>
        <v>296</v>
      </c>
      <c r="AA17" s="950">
        <f t="shared" si="20"/>
        <v>3.441860465116279</v>
      </c>
      <c r="AB17" s="948">
        <v>0</v>
      </c>
      <c r="AC17" s="959">
        <f t="shared" si="12"/>
        <v>296</v>
      </c>
      <c r="AD17" s="950">
        <f t="shared" si="21"/>
        <v>3.441860465116279</v>
      </c>
      <c r="AE17" s="948">
        <v>0</v>
      </c>
      <c r="AF17" s="959">
        <f t="shared" si="13"/>
        <v>296</v>
      </c>
      <c r="AG17" s="950">
        <f t="shared" si="22"/>
        <v>3.441860465116279</v>
      </c>
      <c r="AH17" s="948">
        <v>0</v>
      </c>
      <c r="AI17" s="959">
        <f t="shared" si="14"/>
        <v>296</v>
      </c>
      <c r="AJ17" s="950">
        <f t="shared" si="23"/>
        <v>3.441860465116279</v>
      </c>
      <c r="AK17" s="948">
        <v>0</v>
      </c>
      <c r="AL17" s="959">
        <f t="shared" si="0"/>
        <v>296</v>
      </c>
      <c r="AM17" s="950">
        <f t="shared" si="24"/>
        <v>3.441860465116279</v>
      </c>
      <c r="AN17" s="948">
        <v>0</v>
      </c>
      <c r="AO17" s="959">
        <f t="shared" si="1"/>
        <v>296</v>
      </c>
      <c r="AP17" s="950">
        <f t="shared" si="25"/>
        <v>3.441860465116279</v>
      </c>
      <c r="AQ17" s="948">
        <v>0</v>
      </c>
      <c r="AR17" s="959">
        <f t="shared" si="2"/>
        <v>296</v>
      </c>
      <c r="AS17" s="950">
        <f t="shared" si="26"/>
        <v>3.441860465116279</v>
      </c>
      <c r="AT17" s="948">
        <v>0</v>
      </c>
      <c r="AU17" s="959">
        <f t="shared" si="3"/>
        <v>296</v>
      </c>
      <c r="AV17" s="950">
        <f t="shared" si="27"/>
        <v>3.441860465116279</v>
      </c>
      <c r="AW17" s="948">
        <v>0</v>
      </c>
      <c r="AX17" s="959">
        <f t="shared" si="4"/>
        <v>296</v>
      </c>
      <c r="AY17" s="950">
        <f t="shared" si="28"/>
        <v>3.441860465116279</v>
      </c>
      <c r="AZ17" s="948">
        <v>0</v>
      </c>
      <c r="BA17" s="959">
        <f t="shared" si="5"/>
        <v>296</v>
      </c>
      <c r="BB17" s="950">
        <f t="shared" si="29"/>
        <v>3.441860465116279</v>
      </c>
    </row>
    <row r="18" spans="1:54" ht="38.25" thickBot="1">
      <c r="A18" s="1206"/>
      <c r="B18" s="1202" t="s">
        <v>513</v>
      </c>
      <c r="C18" s="1039" t="s">
        <v>75</v>
      </c>
      <c r="D18" s="1179" t="s">
        <v>471</v>
      </c>
      <c r="E18" s="1170">
        <v>576</v>
      </c>
      <c r="F18" s="897">
        <v>75</v>
      </c>
      <c r="G18" s="644" t="s">
        <v>405</v>
      </c>
      <c r="H18" s="1162" t="s">
        <v>322</v>
      </c>
      <c r="I18" s="966">
        <f>288-214</f>
        <v>74</v>
      </c>
      <c r="J18" s="948">
        <v>0</v>
      </c>
      <c r="K18" s="959">
        <f t="shared" si="6"/>
        <v>74</v>
      </c>
      <c r="L18" s="950">
        <f t="shared" si="15"/>
        <v>0.98666666666666669</v>
      </c>
      <c r="M18" s="948">
        <v>0</v>
      </c>
      <c r="N18" s="959">
        <f t="shared" si="7"/>
        <v>74</v>
      </c>
      <c r="O18" s="950">
        <f t="shared" si="16"/>
        <v>0.98666666666666669</v>
      </c>
      <c r="P18" s="948">
        <v>0</v>
      </c>
      <c r="Q18" s="959">
        <f t="shared" si="8"/>
        <v>74</v>
      </c>
      <c r="R18" s="950">
        <f t="shared" si="17"/>
        <v>0.98666666666666669</v>
      </c>
      <c r="S18" s="948">
        <v>0</v>
      </c>
      <c r="T18" s="959">
        <f t="shared" si="9"/>
        <v>74</v>
      </c>
      <c r="U18" s="950">
        <f t="shared" si="18"/>
        <v>0.98666666666666669</v>
      </c>
      <c r="V18" s="948">
        <v>0</v>
      </c>
      <c r="W18" s="959">
        <f t="shared" si="10"/>
        <v>74</v>
      </c>
      <c r="X18" s="950">
        <f t="shared" si="19"/>
        <v>0.98666666666666669</v>
      </c>
      <c r="Y18" s="948">
        <v>0</v>
      </c>
      <c r="Z18" s="959">
        <f t="shared" si="11"/>
        <v>74</v>
      </c>
      <c r="AA18" s="950">
        <f t="shared" si="20"/>
        <v>0.98666666666666669</v>
      </c>
      <c r="AB18" s="948">
        <v>0</v>
      </c>
      <c r="AC18" s="959">
        <f t="shared" si="12"/>
        <v>74</v>
      </c>
      <c r="AD18" s="950">
        <f t="shared" si="21"/>
        <v>0.98666666666666669</v>
      </c>
      <c r="AE18" s="948">
        <v>0</v>
      </c>
      <c r="AF18" s="959">
        <f t="shared" si="13"/>
        <v>74</v>
      </c>
      <c r="AG18" s="950">
        <f t="shared" si="22"/>
        <v>0.98666666666666669</v>
      </c>
      <c r="AH18" s="948">
        <v>59</v>
      </c>
      <c r="AI18" s="959">
        <f t="shared" si="14"/>
        <v>15</v>
      </c>
      <c r="AJ18" s="950">
        <f t="shared" si="23"/>
        <v>0.2</v>
      </c>
      <c r="AK18" s="948">
        <v>59</v>
      </c>
      <c r="AL18" s="959">
        <f t="shared" si="0"/>
        <v>-44</v>
      </c>
      <c r="AM18" s="950">
        <f t="shared" si="24"/>
        <v>-0.58666666666666667</v>
      </c>
      <c r="AN18" s="948">
        <v>0</v>
      </c>
      <c r="AO18" s="959">
        <f t="shared" si="1"/>
        <v>-44</v>
      </c>
      <c r="AP18" s="950">
        <f t="shared" si="25"/>
        <v>-0.58666666666666667</v>
      </c>
      <c r="AQ18" s="948">
        <v>59</v>
      </c>
      <c r="AR18" s="959">
        <f t="shared" si="2"/>
        <v>-103</v>
      </c>
      <c r="AS18" s="950">
        <f t="shared" si="26"/>
        <v>-1.3733333333333333</v>
      </c>
      <c r="AT18" s="948">
        <v>59</v>
      </c>
      <c r="AU18" s="959">
        <f t="shared" si="3"/>
        <v>-162</v>
      </c>
      <c r="AV18" s="950">
        <f t="shared" si="27"/>
        <v>-2.16</v>
      </c>
      <c r="AW18" s="948">
        <v>0</v>
      </c>
      <c r="AX18" s="959">
        <f t="shared" si="4"/>
        <v>-162</v>
      </c>
      <c r="AY18" s="950">
        <f t="shared" si="28"/>
        <v>-2.16</v>
      </c>
      <c r="AZ18" s="948">
        <v>59</v>
      </c>
      <c r="BA18" s="959">
        <f t="shared" si="5"/>
        <v>-221</v>
      </c>
      <c r="BB18" s="950">
        <f t="shared" si="29"/>
        <v>-2.9466666666666668</v>
      </c>
    </row>
    <row r="19" spans="1:54" ht="38.25" thickBot="1">
      <c r="A19" s="1206"/>
      <c r="B19" s="1202"/>
      <c r="C19" s="1039" t="s">
        <v>76</v>
      </c>
      <c r="D19" s="1180"/>
      <c r="E19" s="1170"/>
      <c r="F19" s="897">
        <v>75</v>
      </c>
      <c r="G19" s="644" t="s">
        <v>406</v>
      </c>
      <c r="H19" s="1162"/>
      <c r="I19" s="966">
        <v>74</v>
      </c>
      <c r="J19" s="948">
        <v>0</v>
      </c>
      <c r="K19" s="959">
        <f t="shared" si="6"/>
        <v>74</v>
      </c>
      <c r="L19" s="950">
        <f t="shared" si="15"/>
        <v>0.98666666666666669</v>
      </c>
      <c r="M19" s="948">
        <v>0</v>
      </c>
      <c r="N19" s="959">
        <f t="shared" si="7"/>
        <v>74</v>
      </c>
      <c r="O19" s="950">
        <f t="shared" si="16"/>
        <v>0.98666666666666669</v>
      </c>
      <c r="P19" s="948">
        <v>0</v>
      </c>
      <c r="Q19" s="959">
        <f t="shared" si="8"/>
        <v>74</v>
      </c>
      <c r="R19" s="950">
        <f t="shared" si="17"/>
        <v>0.98666666666666669</v>
      </c>
      <c r="S19" s="948">
        <v>0</v>
      </c>
      <c r="T19" s="959">
        <f t="shared" si="9"/>
        <v>74</v>
      </c>
      <c r="U19" s="950">
        <f t="shared" si="18"/>
        <v>0.98666666666666669</v>
      </c>
      <c r="V19" s="948">
        <v>0</v>
      </c>
      <c r="W19" s="959">
        <f t="shared" si="10"/>
        <v>74</v>
      </c>
      <c r="X19" s="950">
        <f t="shared" si="19"/>
        <v>0.98666666666666669</v>
      </c>
      <c r="Y19" s="948">
        <v>0</v>
      </c>
      <c r="Z19" s="959">
        <f t="shared" si="11"/>
        <v>74</v>
      </c>
      <c r="AA19" s="950">
        <f t="shared" si="20"/>
        <v>0.98666666666666669</v>
      </c>
      <c r="AB19" s="948">
        <v>0</v>
      </c>
      <c r="AC19" s="959">
        <f t="shared" si="12"/>
        <v>74</v>
      </c>
      <c r="AD19" s="950">
        <f t="shared" si="21"/>
        <v>0.98666666666666669</v>
      </c>
      <c r="AE19" s="948">
        <v>0</v>
      </c>
      <c r="AF19" s="959">
        <f t="shared" si="13"/>
        <v>74</v>
      </c>
      <c r="AG19" s="950">
        <f t="shared" si="22"/>
        <v>0.98666666666666669</v>
      </c>
      <c r="AH19" s="948">
        <v>59</v>
      </c>
      <c r="AI19" s="959">
        <f t="shared" si="14"/>
        <v>15</v>
      </c>
      <c r="AJ19" s="950">
        <f t="shared" si="23"/>
        <v>0.2</v>
      </c>
      <c r="AK19" s="948">
        <v>59</v>
      </c>
      <c r="AL19" s="959">
        <f t="shared" si="0"/>
        <v>-44</v>
      </c>
      <c r="AM19" s="950">
        <f t="shared" si="24"/>
        <v>-0.58666666666666667</v>
      </c>
      <c r="AN19" s="948">
        <v>0</v>
      </c>
      <c r="AO19" s="959">
        <f t="shared" si="1"/>
        <v>-44</v>
      </c>
      <c r="AP19" s="950">
        <f t="shared" si="25"/>
        <v>-0.58666666666666667</v>
      </c>
      <c r="AQ19" s="948">
        <v>59</v>
      </c>
      <c r="AR19" s="959">
        <f t="shared" si="2"/>
        <v>-103</v>
      </c>
      <c r="AS19" s="950">
        <f t="shared" si="26"/>
        <v>-1.3733333333333333</v>
      </c>
      <c r="AT19" s="948">
        <v>59</v>
      </c>
      <c r="AU19" s="959">
        <f t="shared" si="3"/>
        <v>-162</v>
      </c>
      <c r="AV19" s="950">
        <f t="shared" si="27"/>
        <v>-2.16</v>
      </c>
      <c r="AW19" s="948">
        <v>0</v>
      </c>
      <c r="AX19" s="959">
        <f t="shared" si="4"/>
        <v>-162</v>
      </c>
      <c r="AY19" s="950">
        <f t="shared" si="28"/>
        <v>-2.16</v>
      </c>
      <c r="AZ19" s="948">
        <v>59</v>
      </c>
      <c r="BA19" s="959">
        <f t="shared" si="5"/>
        <v>-221</v>
      </c>
      <c r="BB19" s="950">
        <f t="shared" si="29"/>
        <v>-2.9466666666666668</v>
      </c>
    </row>
    <row r="20" spans="1:54" ht="36" customHeight="1" thickBot="1">
      <c r="A20" s="1206"/>
      <c r="B20" s="1202" t="s">
        <v>513</v>
      </c>
      <c r="C20" s="1039" t="s">
        <v>70</v>
      </c>
      <c r="D20" s="1180"/>
      <c r="E20" s="1170">
        <v>800</v>
      </c>
      <c r="F20" s="897">
        <v>73</v>
      </c>
      <c r="G20" s="644" t="s">
        <v>402</v>
      </c>
      <c r="H20" s="1162" t="s">
        <v>319</v>
      </c>
      <c r="I20" s="966">
        <f>253+347+452-714</f>
        <v>338</v>
      </c>
      <c r="J20" s="948">
        <v>0</v>
      </c>
      <c r="K20" s="959">
        <f t="shared" si="6"/>
        <v>338</v>
      </c>
      <c r="L20" s="950">
        <f t="shared" si="15"/>
        <v>4.6301369863013697</v>
      </c>
      <c r="M20" s="948">
        <v>0</v>
      </c>
      <c r="N20" s="959">
        <f t="shared" si="7"/>
        <v>338</v>
      </c>
      <c r="O20" s="950">
        <f t="shared" si="16"/>
        <v>4.6301369863013697</v>
      </c>
      <c r="P20" s="948">
        <v>0</v>
      </c>
      <c r="Q20" s="959">
        <f t="shared" si="8"/>
        <v>338</v>
      </c>
      <c r="R20" s="950">
        <f t="shared" si="17"/>
        <v>4.6301369863013697</v>
      </c>
      <c r="S20" s="948">
        <v>0</v>
      </c>
      <c r="T20" s="959">
        <f t="shared" si="9"/>
        <v>338</v>
      </c>
      <c r="U20" s="950">
        <f t="shared" si="18"/>
        <v>4.6301369863013697</v>
      </c>
      <c r="V20" s="948">
        <v>0</v>
      </c>
      <c r="W20" s="959">
        <f t="shared" si="10"/>
        <v>338</v>
      </c>
      <c r="X20" s="950">
        <f t="shared" si="19"/>
        <v>4.6301369863013697</v>
      </c>
      <c r="Y20" s="948">
        <v>0</v>
      </c>
      <c r="Z20" s="959">
        <f t="shared" si="11"/>
        <v>338</v>
      </c>
      <c r="AA20" s="950">
        <f t="shared" si="20"/>
        <v>4.6301369863013697</v>
      </c>
      <c r="AB20" s="948">
        <v>0</v>
      </c>
      <c r="AC20" s="959">
        <f t="shared" si="12"/>
        <v>338</v>
      </c>
      <c r="AD20" s="950">
        <f t="shared" si="21"/>
        <v>4.6301369863013697</v>
      </c>
      <c r="AE20" s="948">
        <v>0</v>
      </c>
      <c r="AF20" s="959">
        <f t="shared" si="13"/>
        <v>338</v>
      </c>
      <c r="AG20" s="950">
        <f t="shared" si="22"/>
        <v>4.6301369863013697</v>
      </c>
      <c r="AH20" s="948">
        <v>185</v>
      </c>
      <c r="AI20" s="959">
        <f t="shared" si="14"/>
        <v>153</v>
      </c>
      <c r="AJ20" s="950">
        <f t="shared" si="23"/>
        <v>2.095890410958904</v>
      </c>
      <c r="AK20" s="948">
        <v>185</v>
      </c>
      <c r="AL20" s="959">
        <f t="shared" si="0"/>
        <v>-32</v>
      </c>
      <c r="AM20" s="950">
        <f t="shared" si="24"/>
        <v>-0.43835616438356162</v>
      </c>
      <c r="AN20" s="948">
        <v>0</v>
      </c>
      <c r="AO20" s="959">
        <f t="shared" si="1"/>
        <v>-32</v>
      </c>
      <c r="AP20" s="950">
        <f t="shared" si="25"/>
        <v>-0.43835616438356162</v>
      </c>
      <c r="AQ20" s="948">
        <v>185</v>
      </c>
      <c r="AR20" s="959">
        <f t="shared" si="2"/>
        <v>-217</v>
      </c>
      <c r="AS20" s="950">
        <f t="shared" si="26"/>
        <v>-2.9726027397260273</v>
      </c>
      <c r="AT20" s="948">
        <v>185</v>
      </c>
      <c r="AU20" s="959">
        <f t="shared" si="3"/>
        <v>-402</v>
      </c>
      <c r="AV20" s="950">
        <f t="shared" si="27"/>
        <v>-5.506849315068493</v>
      </c>
      <c r="AW20" s="948">
        <v>0</v>
      </c>
      <c r="AX20" s="959">
        <f t="shared" si="4"/>
        <v>-402</v>
      </c>
      <c r="AY20" s="950">
        <f t="shared" si="28"/>
        <v>-5.506849315068493</v>
      </c>
      <c r="AZ20" s="948">
        <v>185</v>
      </c>
      <c r="BA20" s="959">
        <f t="shared" si="5"/>
        <v>-587</v>
      </c>
      <c r="BB20" s="950">
        <f t="shared" si="29"/>
        <v>-8.0410958904109595</v>
      </c>
    </row>
    <row r="21" spans="1:54" ht="38.25" thickBot="1">
      <c r="A21" s="1206"/>
      <c r="B21" s="1202"/>
      <c r="C21" s="1039" t="s">
        <v>71</v>
      </c>
      <c r="D21" s="1181"/>
      <c r="E21" s="1170"/>
      <c r="F21" s="897">
        <v>73</v>
      </c>
      <c r="G21" s="644" t="s">
        <v>403</v>
      </c>
      <c r="H21" s="1162"/>
      <c r="I21" s="966">
        <v>338</v>
      </c>
      <c r="J21" s="948">
        <v>0</v>
      </c>
      <c r="K21" s="959">
        <f t="shared" si="6"/>
        <v>338</v>
      </c>
      <c r="L21" s="950">
        <f t="shared" si="15"/>
        <v>4.6301369863013697</v>
      </c>
      <c r="M21" s="948">
        <v>0</v>
      </c>
      <c r="N21" s="959">
        <f t="shared" si="7"/>
        <v>338</v>
      </c>
      <c r="O21" s="950">
        <f t="shared" si="16"/>
        <v>4.6301369863013697</v>
      </c>
      <c r="P21" s="948">
        <v>0</v>
      </c>
      <c r="Q21" s="959">
        <f t="shared" si="8"/>
        <v>338</v>
      </c>
      <c r="R21" s="950">
        <f t="shared" si="17"/>
        <v>4.6301369863013697</v>
      </c>
      <c r="S21" s="948">
        <v>0</v>
      </c>
      <c r="T21" s="959">
        <f t="shared" si="9"/>
        <v>338</v>
      </c>
      <c r="U21" s="950">
        <f t="shared" si="18"/>
        <v>4.6301369863013697</v>
      </c>
      <c r="V21" s="948">
        <v>0</v>
      </c>
      <c r="W21" s="959">
        <f t="shared" si="10"/>
        <v>338</v>
      </c>
      <c r="X21" s="950">
        <f t="shared" si="19"/>
        <v>4.6301369863013697</v>
      </c>
      <c r="Y21" s="948">
        <v>0</v>
      </c>
      <c r="Z21" s="959">
        <f t="shared" si="11"/>
        <v>338</v>
      </c>
      <c r="AA21" s="950">
        <f t="shared" si="20"/>
        <v>4.6301369863013697</v>
      </c>
      <c r="AB21" s="948">
        <v>0</v>
      </c>
      <c r="AC21" s="959">
        <f t="shared" si="12"/>
        <v>338</v>
      </c>
      <c r="AD21" s="950">
        <f t="shared" si="21"/>
        <v>4.6301369863013697</v>
      </c>
      <c r="AE21" s="948">
        <v>0</v>
      </c>
      <c r="AF21" s="959">
        <f t="shared" si="13"/>
        <v>338</v>
      </c>
      <c r="AG21" s="950">
        <f t="shared" si="22"/>
        <v>4.6301369863013697</v>
      </c>
      <c r="AH21" s="948">
        <v>185</v>
      </c>
      <c r="AI21" s="959">
        <f t="shared" si="14"/>
        <v>153</v>
      </c>
      <c r="AJ21" s="950">
        <f t="shared" si="23"/>
        <v>2.095890410958904</v>
      </c>
      <c r="AK21" s="948">
        <v>185</v>
      </c>
      <c r="AL21" s="959">
        <f t="shared" si="0"/>
        <v>-32</v>
      </c>
      <c r="AM21" s="950">
        <f t="shared" si="24"/>
        <v>-0.43835616438356162</v>
      </c>
      <c r="AN21" s="948">
        <v>0</v>
      </c>
      <c r="AO21" s="959">
        <f t="shared" si="1"/>
        <v>-32</v>
      </c>
      <c r="AP21" s="950">
        <f t="shared" si="25"/>
        <v>-0.43835616438356162</v>
      </c>
      <c r="AQ21" s="948">
        <v>185</v>
      </c>
      <c r="AR21" s="959">
        <f t="shared" si="2"/>
        <v>-217</v>
      </c>
      <c r="AS21" s="950">
        <f t="shared" si="26"/>
        <v>-2.9726027397260273</v>
      </c>
      <c r="AT21" s="948">
        <v>185</v>
      </c>
      <c r="AU21" s="959">
        <f t="shared" si="3"/>
        <v>-402</v>
      </c>
      <c r="AV21" s="950">
        <f t="shared" si="27"/>
        <v>-5.506849315068493</v>
      </c>
      <c r="AW21" s="948">
        <v>0</v>
      </c>
      <c r="AX21" s="959">
        <f t="shared" si="4"/>
        <v>-402</v>
      </c>
      <c r="AY21" s="950">
        <f t="shared" si="28"/>
        <v>-5.506849315068493</v>
      </c>
      <c r="AZ21" s="948">
        <v>185</v>
      </c>
      <c r="BA21" s="959">
        <f t="shared" si="5"/>
        <v>-587</v>
      </c>
      <c r="BB21" s="950">
        <f t="shared" si="29"/>
        <v>-8.0410958904109595</v>
      </c>
    </row>
    <row r="22" spans="1:54" ht="28.5" customHeight="1" thickBot="1">
      <c r="A22" s="1206"/>
      <c r="B22" s="1202" t="s">
        <v>506</v>
      </c>
      <c r="C22" s="1039" t="s">
        <v>84</v>
      </c>
      <c r="D22" s="1179" t="s">
        <v>577</v>
      </c>
      <c r="E22" s="1039">
        <v>935</v>
      </c>
      <c r="F22" s="913">
        <v>138</v>
      </c>
      <c r="G22" s="637" t="s">
        <v>400</v>
      </c>
      <c r="H22" s="1162" t="s">
        <v>328</v>
      </c>
      <c r="I22" s="966">
        <v>263</v>
      </c>
      <c r="J22" s="948">
        <v>0</v>
      </c>
      <c r="K22" s="959">
        <f t="shared" si="6"/>
        <v>263</v>
      </c>
      <c r="L22" s="950">
        <f t="shared" si="15"/>
        <v>1.9057971014492754</v>
      </c>
      <c r="M22" s="948">
        <v>0</v>
      </c>
      <c r="N22" s="959">
        <f t="shared" si="7"/>
        <v>263</v>
      </c>
      <c r="O22" s="950">
        <f t="shared" si="16"/>
        <v>1.9057971014492754</v>
      </c>
      <c r="P22" s="948">
        <v>0</v>
      </c>
      <c r="Q22" s="959">
        <f t="shared" si="8"/>
        <v>263</v>
      </c>
      <c r="R22" s="950">
        <f t="shared" si="17"/>
        <v>1.9057971014492754</v>
      </c>
      <c r="S22" s="948">
        <v>0</v>
      </c>
      <c r="T22" s="959">
        <f t="shared" si="9"/>
        <v>263</v>
      </c>
      <c r="U22" s="950">
        <f t="shared" si="18"/>
        <v>1.9057971014492754</v>
      </c>
      <c r="V22" s="948">
        <v>0</v>
      </c>
      <c r="W22" s="959">
        <f t="shared" si="10"/>
        <v>263</v>
      </c>
      <c r="X22" s="950">
        <f t="shared" si="19"/>
        <v>1.9057971014492754</v>
      </c>
      <c r="Y22" s="948">
        <v>0</v>
      </c>
      <c r="Z22" s="959">
        <f t="shared" si="11"/>
        <v>263</v>
      </c>
      <c r="AA22" s="950">
        <f t="shared" si="20"/>
        <v>1.9057971014492754</v>
      </c>
      <c r="AB22" s="948">
        <v>0</v>
      </c>
      <c r="AC22" s="959">
        <f t="shared" si="12"/>
        <v>263</v>
      </c>
      <c r="AD22" s="950">
        <f t="shared" si="21"/>
        <v>1.9057971014492754</v>
      </c>
      <c r="AE22" s="948">
        <v>55</v>
      </c>
      <c r="AF22" s="959">
        <f t="shared" si="13"/>
        <v>208</v>
      </c>
      <c r="AG22" s="950">
        <f t="shared" si="22"/>
        <v>1.5072463768115942</v>
      </c>
      <c r="AH22" s="948">
        <v>55</v>
      </c>
      <c r="AI22" s="959">
        <f t="shared" si="14"/>
        <v>153</v>
      </c>
      <c r="AJ22" s="950">
        <f t="shared" si="23"/>
        <v>1.1086956521739131</v>
      </c>
      <c r="AK22" s="948">
        <v>55</v>
      </c>
      <c r="AL22" s="959">
        <f t="shared" si="0"/>
        <v>98</v>
      </c>
      <c r="AM22" s="950">
        <f t="shared" si="24"/>
        <v>0.71014492753623193</v>
      </c>
      <c r="AN22" s="948">
        <v>0</v>
      </c>
      <c r="AO22" s="959">
        <f t="shared" si="1"/>
        <v>98</v>
      </c>
      <c r="AP22" s="950">
        <f t="shared" si="25"/>
        <v>0.71014492753623193</v>
      </c>
      <c r="AQ22" s="948">
        <v>55</v>
      </c>
      <c r="AR22" s="959">
        <f t="shared" si="2"/>
        <v>43</v>
      </c>
      <c r="AS22" s="950">
        <f t="shared" si="26"/>
        <v>0.31159420289855072</v>
      </c>
      <c r="AT22" s="948">
        <v>55</v>
      </c>
      <c r="AU22" s="959">
        <f t="shared" si="3"/>
        <v>-12</v>
      </c>
      <c r="AV22" s="950">
        <f t="shared" si="27"/>
        <v>-8.6956521739130432E-2</v>
      </c>
      <c r="AW22" s="948">
        <v>0</v>
      </c>
      <c r="AX22" s="959">
        <f t="shared" si="4"/>
        <v>-12</v>
      </c>
      <c r="AY22" s="950">
        <f t="shared" si="28"/>
        <v>-8.6956521739130432E-2</v>
      </c>
      <c r="AZ22" s="948">
        <v>55</v>
      </c>
      <c r="BA22" s="959">
        <f t="shared" si="5"/>
        <v>-67</v>
      </c>
      <c r="BB22" s="950">
        <f t="shared" si="29"/>
        <v>-0.48550724637681159</v>
      </c>
    </row>
    <row r="23" spans="1:54" ht="38.25" thickBot="1">
      <c r="A23" s="1207"/>
      <c r="B23" s="1237"/>
      <c r="C23" s="1040" t="s">
        <v>85</v>
      </c>
      <c r="D23" s="1194"/>
      <c r="E23" s="1040">
        <v>935</v>
      </c>
      <c r="F23" s="920">
        <v>138</v>
      </c>
      <c r="G23" s="921" t="s">
        <v>401</v>
      </c>
      <c r="H23" s="1182"/>
      <c r="I23" s="967">
        <v>120</v>
      </c>
      <c r="J23" s="952">
        <v>0</v>
      </c>
      <c r="K23" s="959">
        <f t="shared" si="6"/>
        <v>120</v>
      </c>
      <c r="L23" s="954">
        <f t="shared" si="15"/>
        <v>0.86956521739130432</v>
      </c>
      <c r="M23" s="952">
        <v>0</v>
      </c>
      <c r="N23" s="959">
        <f t="shared" si="7"/>
        <v>120</v>
      </c>
      <c r="O23" s="954">
        <f t="shared" si="16"/>
        <v>0.86956521739130432</v>
      </c>
      <c r="P23" s="952">
        <v>0</v>
      </c>
      <c r="Q23" s="959">
        <f t="shared" si="8"/>
        <v>120</v>
      </c>
      <c r="R23" s="954">
        <f t="shared" si="17"/>
        <v>0.86956521739130432</v>
      </c>
      <c r="S23" s="952">
        <v>0</v>
      </c>
      <c r="T23" s="959">
        <f t="shared" si="9"/>
        <v>120</v>
      </c>
      <c r="U23" s="954">
        <f t="shared" si="18"/>
        <v>0.86956521739130432</v>
      </c>
      <c r="V23" s="952">
        <v>0</v>
      </c>
      <c r="W23" s="959">
        <f t="shared" si="10"/>
        <v>120</v>
      </c>
      <c r="X23" s="954">
        <f t="shared" si="19"/>
        <v>0.86956521739130432</v>
      </c>
      <c r="Y23" s="952">
        <v>0</v>
      </c>
      <c r="Z23" s="959">
        <f t="shared" si="11"/>
        <v>120</v>
      </c>
      <c r="AA23" s="954">
        <f t="shared" si="20"/>
        <v>0.86956521739130432</v>
      </c>
      <c r="AB23" s="952">
        <v>0</v>
      </c>
      <c r="AC23" s="959">
        <f t="shared" si="12"/>
        <v>120</v>
      </c>
      <c r="AD23" s="954">
        <f t="shared" si="21"/>
        <v>0.86956521739130432</v>
      </c>
      <c r="AE23" s="952">
        <v>55</v>
      </c>
      <c r="AF23" s="959">
        <f t="shared" si="13"/>
        <v>65</v>
      </c>
      <c r="AG23" s="954">
        <f t="shared" si="22"/>
        <v>0.47101449275362317</v>
      </c>
      <c r="AH23" s="952">
        <v>55</v>
      </c>
      <c r="AI23" s="959">
        <f t="shared" si="14"/>
        <v>10</v>
      </c>
      <c r="AJ23" s="954">
        <f t="shared" si="23"/>
        <v>7.2463768115942032E-2</v>
      </c>
      <c r="AK23" s="952">
        <v>55</v>
      </c>
      <c r="AL23" s="959">
        <f t="shared" si="0"/>
        <v>-45</v>
      </c>
      <c r="AM23" s="954">
        <f t="shared" si="24"/>
        <v>-0.32608695652173914</v>
      </c>
      <c r="AN23" s="952">
        <v>0</v>
      </c>
      <c r="AO23" s="959">
        <f t="shared" si="1"/>
        <v>-45</v>
      </c>
      <c r="AP23" s="954">
        <f t="shared" si="25"/>
        <v>-0.32608695652173914</v>
      </c>
      <c r="AQ23" s="952">
        <v>55</v>
      </c>
      <c r="AR23" s="959">
        <f t="shared" si="2"/>
        <v>-100</v>
      </c>
      <c r="AS23" s="954">
        <f t="shared" si="26"/>
        <v>-0.72463768115942029</v>
      </c>
      <c r="AT23" s="952">
        <v>55</v>
      </c>
      <c r="AU23" s="959">
        <f t="shared" si="3"/>
        <v>-155</v>
      </c>
      <c r="AV23" s="954">
        <f t="shared" si="27"/>
        <v>-1.1231884057971016</v>
      </c>
      <c r="AW23" s="952">
        <v>0</v>
      </c>
      <c r="AX23" s="959">
        <f t="shared" si="4"/>
        <v>-155</v>
      </c>
      <c r="AY23" s="954">
        <f t="shared" si="28"/>
        <v>-1.1231884057971016</v>
      </c>
      <c r="AZ23" s="952">
        <v>55</v>
      </c>
      <c r="BA23" s="959">
        <f t="shared" si="5"/>
        <v>-210</v>
      </c>
      <c r="BB23" s="954">
        <f t="shared" si="29"/>
        <v>-1.5217391304347827</v>
      </c>
    </row>
    <row r="24" spans="1:54" s="87" customFormat="1" ht="37.5" customHeight="1" thickBot="1">
      <c r="A24" s="1205" t="s">
        <v>364</v>
      </c>
      <c r="B24" s="935" t="s">
        <v>568</v>
      </c>
      <c r="C24" s="927" t="s">
        <v>275</v>
      </c>
      <c r="D24" s="928" t="s">
        <v>576</v>
      </c>
      <c r="E24" s="928">
        <v>375</v>
      </c>
      <c r="F24" s="936">
        <v>120</v>
      </c>
      <c r="G24" s="930" t="s">
        <v>610</v>
      </c>
      <c r="H24" s="1032" t="s">
        <v>558</v>
      </c>
      <c r="I24" s="965">
        <v>244</v>
      </c>
      <c r="J24" s="957">
        <v>0</v>
      </c>
      <c r="K24" s="959">
        <f t="shared" si="6"/>
        <v>244</v>
      </c>
      <c r="L24" s="947">
        <f t="shared" si="15"/>
        <v>2.0333333333333332</v>
      </c>
      <c r="M24" s="957">
        <v>0</v>
      </c>
      <c r="N24" s="959">
        <f t="shared" si="7"/>
        <v>244</v>
      </c>
      <c r="O24" s="947">
        <f t="shared" si="16"/>
        <v>2.0333333333333332</v>
      </c>
      <c r="P24" s="957">
        <v>0</v>
      </c>
      <c r="Q24" s="959">
        <f t="shared" si="8"/>
        <v>244</v>
      </c>
      <c r="R24" s="947">
        <f t="shared" si="17"/>
        <v>2.0333333333333332</v>
      </c>
      <c r="S24" s="957">
        <v>0</v>
      </c>
      <c r="T24" s="959">
        <f t="shared" si="9"/>
        <v>244</v>
      </c>
      <c r="U24" s="947">
        <f t="shared" si="18"/>
        <v>2.0333333333333332</v>
      </c>
      <c r="V24" s="957">
        <v>0</v>
      </c>
      <c r="W24" s="959">
        <f t="shared" si="10"/>
        <v>244</v>
      </c>
      <c r="X24" s="947">
        <f t="shared" si="19"/>
        <v>2.0333333333333332</v>
      </c>
      <c r="Y24" s="957">
        <v>0</v>
      </c>
      <c r="Z24" s="959">
        <f t="shared" si="11"/>
        <v>244</v>
      </c>
      <c r="AA24" s="947">
        <f t="shared" si="20"/>
        <v>2.0333333333333332</v>
      </c>
      <c r="AB24" s="957">
        <v>0</v>
      </c>
      <c r="AC24" s="959">
        <f t="shared" si="12"/>
        <v>244</v>
      </c>
      <c r="AD24" s="947">
        <f t="shared" si="21"/>
        <v>2.0333333333333332</v>
      </c>
      <c r="AE24" s="957">
        <f>11+55+55+22+275</f>
        <v>418</v>
      </c>
      <c r="AF24" s="959">
        <f t="shared" si="13"/>
        <v>-174</v>
      </c>
      <c r="AG24" s="947">
        <f t="shared" si="22"/>
        <v>-1.45</v>
      </c>
      <c r="AH24" s="957">
        <v>0</v>
      </c>
      <c r="AI24" s="959">
        <f t="shared" si="14"/>
        <v>-174</v>
      </c>
      <c r="AJ24" s="947">
        <f t="shared" si="23"/>
        <v>-1.45</v>
      </c>
      <c r="AK24" s="957">
        <v>0</v>
      </c>
      <c r="AL24" s="959">
        <f t="shared" si="0"/>
        <v>-174</v>
      </c>
      <c r="AM24" s="947">
        <f t="shared" si="24"/>
        <v>-1.45</v>
      </c>
      <c r="AN24" s="957">
        <f>11+55+55+22+275</f>
        <v>418</v>
      </c>
      <c r="AO24" s="959">
        <f t="shared" si="1"/>
        <v>-592</v>
      </c>
      <c r="AP24" s="947">
        <f t="shared" si="25"/>
        <v>-4.9333333333333336</v>
      </c>
      <c r="AQ24" s="957">
        <v>0</v>
      </c>
      <c r="AR24" s="959">
        <f t="shared" si="2"/>
        <v>-592</v>
      </c>
      <c r="AS24" s="947">
        <f t="shared" si="26"/>
        <v>-4.9333333333333336</v>
      </c>
      <c r="AT24" s="957">
        <v>0</v>
      </c>
      <c r="AU24" s="959">
        <f t="shared" si="3"/>
        <v>-592</v>
      </c>
      <c r="AV24" s="947">
        <f t="shared" si="27"/>
        <v>-4.9333333333333336</v>
      </c>
      <c r="AW24" s="957">
        <f>11+55+55+22+275</f>
        <v>418</v>
      </c>
      <c r="AX24" s="959">
        <f t="shared" si="4"/>
        <v>-1010</v>
      </c>
      <c r="AY24" s="947">
        <f t="shared" si="28"/>
        <v>-8.4166666666666661</v>
      </c>
      <c r="AZ24" s="957">
        <v>0</v>
      </c>
      <c r="BA24" s="959">
        <f t="shared" si="5"/>
        <v>-1010</v>
      </c>
      <c r="BB24" s="947">
        <f t="shared" si="29"/>
        <v>-8.4166666666666661</v>
      </c>
    </row>
    <row r="25" spans="1:54" ht="38.25" thickBot="1">
      <c r="A25" s="1206"/>
      <c r="B25" s="1035" t="s">
        <v>540</v>
      </c>
      <c r="C25" s="1039" t="s">
        <v>56</v>
      </c>
      <c r="D25" s="1039" t="s">
        <v>471</v>
      </c>
      <c r="E25" s="1039">
        <v>1536</v>
      </c>
      <c r="F25" s="897">
        <v>80</v>
      </c>
      <c r="G25" s="644" t="s">
        <v>411</v>
      </c>
      <c r="H25" s="1030" t="s">
        <v>310</v>
      </c>
      <c r="I25" s="966">
        <v>250</v>
      </c>
      <c r="J25" s="948">
        <v>0</v>
      </c>
      <c r="K25" s="959">
        <f t="shared" si="6"/>
        <v>250</v>
      </c>
      <c r="L25" s="950">
        <f t="shared" si="15"/>
        <v>3.125</v>
      </c>
      <c r="M25" s="948">
        <v>0</v>
      </c>
      <c r="N25" s="959">
        <f t="shared" si="7"/>
        <v>250</v>
      </c>
      <c r="O25" s="950">
        <f t="shared" si="16"/>
        <v>3.125</v>
      </c>
      <c r="P25" s="948">
        <v>0</v>
      </c>
      <c r="Q25" s="959">
        <f t="shared" si="8"/>
        <v>250</v>
      </c>
      <c r="R25" s="950">
        <f t="shared" si="17"/>
        <v>3.125</v>
      </c>
      <c r="S25" s="948">
        <v>0</v>
      </c>
      <c r="T25" s="959">
        <f t="shared" si="9"/>
        <v>250</v>
      </c>
      <c r="U25" s="950">
        <f t="shared" si="18"/>
        <v>3.125</v>
      </c>
      <c r="V25" s="948">
        <v>0</v>
      </c>
      <c r="W25" s="959">
        <f t="shared" si="10"/>
        <v>250</v>
      </c>
      <c r="X25" s="950">
        <f t="shared" si="19"/>
        <v>3.125</v>
      </c>
      <c r="Y25" s="948">
        <v>0</v>
      </c>
      <c r="Z25" s="959">
        <f t="shared" si="11"/>
        <v>250</v>
      </c>
      <c r="AA25" s="950">
        <f t="shared" si="20"/>
        <v>3.125</v>
      </c>
      <c r="AB25" s="948">
        <v>0</v>
      </c>
      <c r="AC25" s="959">
        <f t="shared" si="12"/>
        <v>250</v>
      </c>
      <c r="AD25" s="950">
        <f t="shared" si="21"/>
        <v>3.125</v>
      </c>
      <c r="AE25" s="948">
        <v>0</v>
      </c>
      <c r="AF25" s="959">
        <f t="shared" si="13"/>
        <v>250</v>
      </c>
      <c r="AG25" s="950">
        <f t="shared" si="22"/>
        <v>3.125</v>
      </c>
      <c r="AH25" s="948">
        <v>45</v>
      </c>
      <c r="AI25" s="959">
        <f t="shared" si="14"/>
        <v>205</v>
      </c>
      <c r="AJ25" s="950">
        <f t="shared" si="23"/>
        <v>2.5625</v>
      </c>
      <c r="AK25" s="948">
        <v>45</v>
      </c>
      <c r="AL25" s="959">
        <f t="shared" si="0"/>
        <v>160</v>
      </c>
      <c r="AM25" s="950">
        <f t="shared" si="24"/>
        <v>2</v>
      </c>
      <c r="AN25" s="948">
        <v>0</v>
      </c>
      <c r="AO25" s="959">
        <f t="shared" si="1"/>
        <v>160</v>
      </c>
      <c r="AP25" s="950">
        <f t="shared" si="25"/>
        <v>2</v>
      </c>
      <c r="AQ25" s="948">
        <v>45</v>
      </c>
      <c r="AR25" s="959">
        <f t="shared" si="2"/>
        <v>115</v>
      </c>
      <c r="AS25" s="950">
        <f t="shared" si="26"/>
        <v>1.4375</v>
      </c>
      <c r="AT25" s="948">
        <v>45</v>
      </c>
      <c r="AU25" s="959">
        <f t="shared" si="3"/>
        <v>70</v>
      </c>
      <c r="AV25" s="950">
        <f t="shared" si="27"/>
        <v>0.875</v>
      </c>
      <c r="AW25" s="948">
        <v>0</v>
      </c>
      <c r="AX25" s="959">
        <f t="shared" si="4"/>
        <v>70</v>
      </c>
      <c r="AY25" s="950">
        <f t="shared" si="28"/>
        <v>0.875</v>
      </c>
      <c r="AZ25" s="948">
        <v>45</v>
      </c>
      <c r="BA25" s="959">
        <f t="shared" si="5"/>
        <v>25</v>
      </c>
      <c r="BB25" s="950">
        <f t="shared" si="29"/>
        <v>0.3125</v>
      </c>
    </row>
    <row r="26" spans="1:54" ht="38.25" thickBot="1">
      <c r="A26" s="1206"/>
      <c r="B26" s="1035" t="s">
        <v>506</v>
      </c>
      <c r="C26" s="1042" t="s">
        <v>61</v>
      </c>
      <c r="D26" s="1203" t="s">
        <v>577</v>
      </c>
      <c r="E26" s="1042">
        <v>960</v>
      </c>
      <c r="F26" s="897">
        <v>136</v>
      </c>
      <c r="G26" s="644" t="s">
        <v>412</v>
      </c>
      <c r="H26" s="1030" t="s">
        <v>312</v>
      </c>
      <c r="I26" s="966">
        <v>1040</v>
      </c>
      <c r="J26" s="948">
        <v>0</v>
      </c>
      <c r="K26" s="959">
        <f t="shared" si="6"/>
        <v>1040</v>
      </c>
      <c r="L26" s="950">
        <f t="shared" si="15"/>
        <v>7.6470588235294121</v>
      </c>
      <c r="M26" s="948">
        <v>0</v>
      </c>
      <c r="N26" s="959">
        <f t="shared" si="7"/>
        <v>1040</v>
      </c>
      <c r="O26" s="950">
        <f t="shared" si="16"/>
        <v>7.6470588235294121</v>
      </c>
      <c r="P26" s="948">
        <v>0</v>
      </c>
      <c r="Q26" s="959">
        <f t="shared" si="8"/>
        <v>1040</v>
      </c>
      <c r="R26" s="950">
        <f t="shared" si="17"/>
        <v>7.6470588235294121</v>
      </c>
      <c r="S26" s="948">
        <v>0</v>
      </c>
      <c r="T26" s="959">
        <f t="shared" si="9"/>
        <v>1040</v>
      </c>
      <c r="U26" s="950">
        <f t="shared" si="18"/>
        <v>7.6470588235294121</v>
      </c>
      <c r="V26" s="948">
        <v>0</v>
      </c>
      <c r="W26" s="959">
        <f t="shared" si="10"/>
        <v>1040</v>
      </c>
      <c r="X26" s="950">
        <f t="shared" si="19"/>
        <v>7.6470588235294121</v>
      </c>
      <c r="Y26" s="948">
        <v>0</v>
      </c>
      <c r="Z26" s="959">
        <f t="shared" si="11"/>
        <v>1040</v>
      </c>
      <c r="AA26" s="950">
        <f t="shared" si="20"/>
        <v>7.6470588235294121</v>
      </c>
      <c r="AB26" s="948">
        <v>0</v>
      </c>
      <c r="AC26" s="959">
        <f t="shared" si="12"/>
        <v>1040</v>
      </c>
      <c r="AD26" s="950">
        <f t="shared" si="21"/>
        <v>7.6470588235294121</v>
      </c>
      <c r="AE26" s="948">
        <v>40</v>
      </c>
      <c r="AF26" s="959">
        <f t="shared" si="13"/>
        <v>1000</v>
      </c>
      <c r="AG26" s="950">
        <f t="shared" si="22"/>
        <v>7.3529411764705879</v>
      </c>
      <c r="AH26" s="948">
        <v>0</v>
      </c>
      <c r="AI26" s="959">
        <f t="shared" si="14"/>
        <v>1000</v>
      </c>
      <c r="AJ26" s="950">
        <f t="shared" si="23"/>
        <v>7.3529411764705879</v>
      </c>
      <c r="AK26" s="948">
        <v>55</v>
      </c>
      <c r="AL26" s="959">
        <f t="shared" si="0"/>
        <v>945</v>
      </c>
      <c r="AM26" s="950">
        <f t="shared" si="24"/>
        <v>6.9485294117647056</v>
      </c>
      <c r="AN26" s="948">
        <v>0</v>
      </c>
      <c r="AO26" s="959">
        <f t="shared" si="1"/>
        <v>945</v>
      </c>
      <c r="AP26" s="950">
        <f t="shared" si="25"/>
        <v>6.9485294117647056</v>
      </c>
      <c r="AQ26" s="948">
        <v>40</v>
      </c>
      <c r="AR26" s="959">
        <f t="shared" si="2"/>
        <v>905</v>
      </c>
      <c r="AS26" s="950">
        <f t="shared" si="26"/>
        <v>6.6544117647058822</v>
      </c>
      <c r="AT26" s="948">
        <v>55</v>
      </c>
      <c r="AU26" s="959">
        <f t="shared" si="3"/>
        <v>850</v>
      </c>
      <c r="AV26" s="950">
        <f t="shared" si="27"/>
        <v>6.25</v>
      </c>
      <c r="AW26" s="948">
        <v>0</v>
      </c>
      <c r="AX26" s="959">
        <f t="shared" si="4"/>
        <v>850</v>
      </c>
      <c r="AY26" s="950">
        <f t="shared" si="28"/>
        <v>6.25</v>
      </c>
      <c r="AZ26" s="948">
        <v>40</v>
      </c>
      <c r="BA26" s="959">
        <f t="shared" si="5"/>
        <v>810</v>
      </c>
      <c r="BB26" s="950">
        <f t="shared" si="29"/>
        <v>5.9558823529411766</v>
      </c>
    </row>
    <row r="27" spans="1:54" ht="38.25" thickBot="1">
      <c r="A27" s="1206"/>
      <c r="B27" s="1202" t="s">
        <v>507</v>
      </c>
      <c r="C27" s="1042" t="s">
        <v>51</v>
      </c>
      <c r="D27" s="1200"/>
      <c r="E27" s="1042">
        <v>750</v>
      </c>
      <c r="F27" s="897">
        <v>76</v>
      </c>
      <c r="G27" s="644" t="s">
        <v>407</v>
      </c>
      <c r="H27" s="1162" t="s">
        <v>308</v>
      </c>
      <c r="I27" s="966">
        <v>1207</v>
      </c>
      <c r="J27" s="948">
        <v>0</v>
      </c>
      <c r="K27" s="959">
        <f t="shared" si="6"/>
        <v>1207</v>
      </c>
      <c r="L27" s="950">
        <f t="shared" si="15"/>
        <v>15.881578947368421</v>
      </c>
      <c r="M27" s="948">
        <v>0</v>
      </c>
      <c r="N27" s="959">
        <f t="shared" si="7"/>
        <v>1207</v>
      </c>
      <c r="O27" s="950">
        <f t="shared" si="16"/>
        <v>15.881578947368421</v>
      </c>
      <c r="P27" s="948">
        <v>0</v>
      </c>
      <c r="Q27" s="959">
        <f t="shared" si="8"/>
        <v>1207</v>
      </c>
      <c r="R27" s="950">
        <f t="shared" si="17"/>
        <v>15.881578947368421</v>
      </c>
      <c r="S27" s="948">
        <v>0</v>
      </c>
      <c r="T27" s="959">
        <f t="shared" si="9"/>
        <v>1207</v>
      </c>
      <c r="U27" s="950">
        <f t="shared" si="18"/>
        <v>15.881578947368421</v>
      </c>
      <c r="V27" s="948">
        <v>0</v>
      </c>
      <c r="W27" s="959">
        <f t="shared" si="10"/>
        <v>1207</v>
      </c>
      <c r="X27" s="950">
        <f t="shared" si="19"/>
        <v>15.881578947368421</v>
      </c>
      <c r="Y27" s="948">
        <v>0</v>
      </c>
      <c r="Z27" s="959">
        <f t="shared" si="11"/>
        <v>1207</v>
      </c>
      <c r="AA27" s="950">
        <f t="shared" si="20"/>
        <v>15.881578947368421</v>
      </c>
      <c r="AB27" s="948">
        <v>0</v>
      </c>
      <c r="AC27" s="959">
        <f t="shared" si="12"/>
        <v>1207</v>
      </c>
      <c r="AD27" s="950">
        <f t="shared" si="21"/>
        <v>15.881578947368421</v>
      </c>
      <c r="AE27" s="948">
        <v>160</v>
      </c>
      <c r="AF27" s="959">
        <f t="shared" si="13"/>
        <v>1047</v>
      </c>
      <c r="AG27" s="950">
        <f t="shared" si="22"/>
        <v>13.776315789473685</v>
      </c>
      <c r="AH27" s="948">
        <v>0</v>
      </c>
      <c r="AI27" s="959">
        <f t="shared" si="14"/>
        <v>1047</v>
      </c>
      <c r="AJ27" s="950">
        <f t="shared" si="23"/>
        <v>13.776315789473685</v>
      </c>
      <c r="AK27" s="948">
        <v>160</v>
      </c>
      <c r="AL27" s="959">
        <f t="shared" si="0"/>
        <v>887</v>
      </c>
      <c r="AM27" s="950">
        <f t="shared" si="24"/>
        <v>11.671052631578947</v>
      </c>
      <c r="AN27" s="948">
        <v>0</v>
      </c>
      <c r="AO27" s="959">
        <f t="shared" si="1"/>
        <v>887</v>
      </c>
      <c r="AP27" s="950">
        <f t="shared" si="25"/>
        <v>11.671052631578947</v>
      </c>
      <c r="AQ27" s="948">
        <v>160</v>
      </c>
      <c r="AR27" s="959">
        <f t="shared" si="2"/>
        <v>727</v>
      </c>
      <c r="AS27" s="950">
        <f t="shared" si="26"/>
        <v>9.5657894736842106</v>
      </c>
      <c r="AT27" s="948">
        <v>160</v>
      </c>
      <c r="AU27" s="959">
        <f t="shared" si="3"/>
        <v>567</v>
      </c>
      <c r="AV27" s="950">
        <f t="shared" si="27"/>
        <v>7.4605263157894735</v>
      </c>
      <c r="AW27" s="948">
        <v>0</v>
      </c>
      <c r="AX27" s="959">
        <f t="shared" si="4"/>
        <v>567</v>
      </c>
      <c r="AY27" s="950">
        <f t="shared" si="28"/>
        <v>7.4605263157894735</v>
      </c>
      <c r="AZ27" s="948">
        <v>160</v>
      </c>
      <c r="BA27" s="959">
        <f t="shared" si="5"/>
        <v>407</v>
      </c>
      <c r="BB27" s="950">
        <f t="shared" si="29"/>
        <v>5.3552631578947372</v>
      </c>
    </row>
    <row r="28" spans="1:54" ht="38.25" thickBot="1">
      <c r="A28" s="1206"/>
      <c r="B28" s="1239"/>
      <c r="C28" s="1042" t="s">
        <v>52</v>
      </c>
      <c r="D28" s="1204"/>
      <c r="E28" s="1042">
        <v>750</v>
      </c>
      <c r="F28" s="897">
        <v>76</v>
      </c>
      <c r="G28" s="644" t="s">
        <v>408</v>
      </c>
      <c r="H28" s="1196"/>
      <c r="I28" s="966">
        <v>337</v>
      </c>
      <c r="J28" s="948">
        <v>0</v>
      </c>
      <c r="K28" s="959">
        <f t="shared" si="6"/>
        <v>337</v>
      </c>
      <c r="L28" s="950">
        <f t="shared" si="15"/>
        <v>4.4342105263157894</v>
      </c>
      <c r="M28" s="948">
        <v>0</v>
      </c>
      <c r="N28" s="959">
        <f t="shared" si="7"/>
        <v>337</v>
      </c>
      <c r="O28" s="950">
        <f t="shared" si="16"/>
        <v>4.4342105263157894</v>
      </c>
      <c r="P28" s="948">
        <v>0</v>
      </c>
      <c r="Q28" s="959">
        <f t="shared" si="8"/>
        <v>337</v>
      </c>
      <c r="R28" s="950">
        <f t="shared" si="17"/>
        <v>4.4342105263157894</v>
      </c>
      <c r="S28" s="948">
        <v>0</v>
      </c>
      <c r="T28" s="959">
        <f t="shared" si="9"/>
        <v>337</v>
      </c>
      <c r="U28" s="950">
        <f t="shared" si="18"/>
        <v>4.4342105263157894</v>
      </c>
      <c r="V28" s="948">
        <v>0</v>
      </c>
      <c r="W28" s="959">
        <f t="shared" si="10"/>
        <v>337</v>
      </c>
      <c r="X28" s="950">
        <f t="shared" si="19"/>
        <v>4.4342105263157894</v>
      </c>
      <c r="Y28" s="948">
        <v>0</v>
      </c>
      <c r="Z28" s="959">
        <f t="shared" si="11"/>
        <v>337</v>
      </c>
      <c r="AA28" s="950">
        <f t="shared" si="20"/>
        <v>4.4342105263157894</v>
      </c>
      <c r="AB28" s="948">
        <v>0</v>
      </c>
      <c r="AC28" s="959">
        <f t="shared" si="12"/>
        <v>337</v>
      </c>
      <c r="AD28" s="950">
        <f t="shared" si="21"/>
        <v>4.4342105263157894</v>
      </c>
      <c r="AE28" s="948">
        <v>160</v>
      </c>
      <c r="AF28" s="959">
        <f t="shared" si="13"/>
        <v>177</v>
      </c>
      <c r="AG28" s="950">
        <f t="shared" si="22"/>
        <v>2.3289473684210527</v>
      </c>
      <c r="AH28" s="948">
        <v>0</v>
      </c>
      <c r="AI28" s="959">
        <f t="shared" si="14"/>
        <v>177</v>
      </c>
      <c r="AJ28" s="950">
        <f t="shared" si="23"/>
        <v>2.3289473684210527</v>
      </c>
      <c r="AK28" s="948">
        <v>160</v>
      </c>
      <c r="AL28" s="959">
        <f t="shared" si="0"/>
        <v>17</v>
      </c>
      <c r="AM28" s="950">
        <f t="shared" si="24"/>
        <v>0.22368421052631579</v>
      </c>
      <c r="AN28" s="948">
        <v>0</v>
      </c>
      <c r="AO28" s="959">
        <f t="shared" si="1"/>
        <v>17</v>
      </c>
      <c r="AP28" s="950">
        <f t="shared" si="25"/>
        <v>0.22368421052631579</v>
      </c>
      <c r="AQ28" s="948">
        <v>160</v>
      </c>
      <c r="AR28" s="959">
        <f t="shared" si="2"/>
        <v>-143</v>
      </c>
      <c r="AS28" s="950">
        <f t="shared" si="26"/>
        <v>-1.881578947368421</v>
      </c>
      <c r="AT28" s="948">
        <v>160</v>
      </c>
      <c r="AU28" s="959">
        <f t="shared" si="3"/>
        <v>-303</v>
      </c>
      <c r="AV28" s="950">
        <f t="shared" si="27"/>
        <v>-3.986842105263158</v>
      </c>
      <c r="AW28" s="948">
        <v>0</v>
      </c>
      <c r="AX28" s="959">
        <f t="shared" si="4"/>
        <v>-303</v>
      </c>
      <c r="AY28" s="950">
        <f t="shared" si="28"/>
        <v>-3.986842105263158</v>
      </c>
      <c r="AZ28" s="948">
        <v>160</v>
      </c>
      <c r="BA28" s="959">
        <f t="shared" si="5"/>
        <v>-463</v>
      </c>
      <c r="BB28" s="950">
        <f t="shared" si="29"/>
        <v>-6.0921052631578947</v>
      </c>
    </row>
    <row r="29" spans="1:54" ht="38.25" thickBot="1">
      <c r="A29" s="1206"/>
      <c r="B29" s="1202" t="s">
        <v>540</v>
      </c>
      <c r="C29" s="1039" t="s">
        <v>53</v>
      </c>
      <c r="D29" s="1170" t="s">
        <v>471</v>
      </c>
      <c r="E29" s="1170">
        <v>1504</v>
      </c>
      <c r="F29" s="897">
        <v>92</v>
      </c>
      <c r="G29" s="644" t="s">
        <v>10</v>
      </c>
      <c r="H29" s="1162" t="s">
        <v>309</v>
      </c>
      <c r="I29" s="966">
        <f>350+416+479-714</f>
        <v>531</v>
      </c>
      <c r="J29" s="948">
        <v>0</v>
      </c>
      <c r="K29" s="959">
        <f t="shared" si="6"/>
        <v>531</v>
      </c>
      <c r="L29" s="950">
        <f t="shared" si="15"/>
        <v>5.7717391304347823</v>
      </c>
      <c r="M29" s="948">
        <v>0</v>
      </c>
      <c r="N29" s="959">
        <f t="shared" si="7"/>
        <v>531</v>
      </c>
      <c r="O29" s="950">
        <f t="shared" si="16"/>
        <v>5.7717391304347823</v>
      </c>
      <c r="P29" s="948">
        <v>0</v>
      </c>
      <c r="Q29" s="959">
        <f t="shared" si="8"/>
        <v>531</v>
      </c>
      <c r="R29" s="950">
        <f t="shared" si="17"/>
        <v>5.7717391304347823</v>
      </c>
      <c r="S29" s="948">
        <v>0</v>
      </c>
      <c r="T29" s="959">
        <f t="shared" si="9"/>
        <v>531</v>
      </c>
      <c r="U29" s="950">
        <f t="shared" si="18"/>
        <v>5.7717391304347823</v>
      </c>
      <c r="V29" s="948">
        <v>0</v>
      </c>
      <c r="W29" s="959">
        <f t="shared" si="10"/>
        <v>531</v>
      </c>
      <c r="X29" s="950">
        <f t="shared" si="19"/>
        <v>5.7717391304347823</v>
      </c>
      <c r="Y29" s="948">
        <v>0</v>
      </c>
      <c r="Z29" s="959">
        <f t="shared" si="11"/>
        <v>531</v>
      </c>
      <c r="AA29" s="950">
        <f t="shared" si="20"/>
        <v>5.7717391304347823</v>
      </c>
      <c r="AB29" s="948">
        <v>0</v>
      </c>
      <c r="AC29" s="959">
        <f t="shared" si="12"/>
        <v>531</v>
      </c>
      <c r="AD29" s="950">
        <f t="shared" si="21"/>
        <v>5.7717391304347823</v>
      </c>
      <c r="AE29" s="948">
        <v>0</v>
      </c>
      <c r="AF29" s="959">
        <f t="shared" si="13"/>
        <v>531</v>
      </c>
      <c r="AG29" s="950">
        <f t="shared" si="22"/>
        <v>5.7717391304347823</v>
      </c>
      <c r="AH29" s="948">
        <v>185</v>
      </c>
      <c r="AI29" s="959">
        <f t="shared" si="14"/>
        <v>346</v>
      </c>
      <c r="AJ29" s="950">
        <f t="shared" si="23"/>
        <v>3.7608695652173911</v>
      </c>
      <c r="AK29" s="948">
        <v>185</v>
      </c>
      <c r="AL29" s="959">
        <f t="shared" si="0"/>
        <v>161</v>
      </c>
      <c r="AM29" s="950">
        <f t="shared" si="24"/>
        <v>1.75</v>
      </c>
      <c r="AN29" s="948">
        <v>0</v>
      </c>
      <c r="AO29" s="959">
        <f t="shared" si="1"/>
        <v>161</v>
      </c>
      <c r="AP29" s="950">
        <f t="shared" si="25"/>
        <v>1.75</v>
      </c>
      <c r="AQ29" s="948">
        <v>185</v>
      </c>
      <c r="AR29" s="959">
        <f t="shared" si="2"/>
        <v>-24</v>
      </c>
      <c r="AS29" s="950">
        <f t="shared" si="26"/>
        <v>-0.2608695652173913</v>
      </c>
      <c r="AT29" s="948">
        <v>185</v>
      </c>
      <c r="AU29" s="959">
        <f t="shared" si="3"/>
        <v>-209</v>
      </c>
      <c r="AV29" s="950">
        <f t="shared" si="27"/>
        <v>-2.2717391304347827</v>
      </c>
      <c r="AW29" s="948">
        <v>0</v>
      </c>
      <c r="AX29" s="959">
        <f t="shared" si="4"/>
        <v>-209</v>
      </c>
      <c r="AY29" s="950">
        <f t="shared" si="28"/>
        <v>-2.2717391304347827</v>
      </c>
      <c r="AZ29" s="948">
        <v>185</v>
      </c>
      <c r="BA29" s="959">
        <f t="shared" si="5"/>
        <v>-394</v>
      </c>
      <c r="BB29" s="950">
        <f t="shared" si="29"/>
        <v>-4.2826086956521738</v>
      </c>
    </row>
    <row r="30" spans="1:54" ht="38.25" thickBot="1">
      <c r="A30" s="1206"/>
      <c r="B30" s="1202"/>
      <c r="C30" s="1039" t="s">
        <v>54</v>
      </c>
      <c r="D30" s="1170"/>
      <c r="E30" s="1170"/>
      <c r="F30" s="897">
        <v>92</v>
      </c>
      <c r="G30" s="644" t="s">
        <v>11</v>
      </c>
      <c r="H30" s="1162"/>
      <c r="I30" s="966">
        <v>531</v>
      </c>
      <c r="J30" s="948">
        <v>0</v>
      </c>
      <c r="K30" s="959">
        <f t="shared" si="6"/>
        <v>531</v>
      </c>
      <c r="L30" s="950">
        <f t="shared" si="15"/>
        <v>5.7717391304347823</v>
      </c>
      <c r="M30" s="948">
        <v>0</v>
      </c>
      <c r="N30" s="959">
        <f t="shared" si="7"/>
        <v>531</v>
      </c>
      <c r="O30" s="950">
        <f t="shared" si="16"/>
        <v>5.7717391304347823</v>
      </c>
      <c r="P30" s="948">
        <v>0</v>
      </c>
      <c r="Q30" s="959">
        <f t="shared" si="8"/>
        <v>531</v>
      </c>
      <c r="R30" s="950">
        <f t="shared" si="17"/>
        <v>5.7717391304347823</v>
      </c>
      <c r="S30" s="948">
        <v>0</v>
      </c>
      <c r="T30" s="959">
        <f t="shared" si="9"/>
        <v>531</v>
      </c>
      <c r="U30" s="950">
        <f t="shared" si="18"/>
        <v>5.7717391304347823</v>
      </c>
      <c r="V30" s="948">
        <v>0</v>
      </c>
      <c r="W30" s="959">
        <f t="shared" si="10"/>
        <v>531</v>
      </c>
      <c r="X30" s="950">
        <f t="shared" si="19"/>
        <v>5.7717391304347823</v>
      </c>
      <c r="Y30" s="948">
        <v>0</v>
      </c>
      <c r="Z30" s="959">
        <f t="shared" si="11"/>
        <v>531</v>
      </c>
      <c r="AA30" s="950">
        <f t="shared" si="20"/>
        <v>5.7717391304347823</v>
      </c>
      <c r="AB30" s="948">
        <v>0</v>
      </c>
      <c r="AC30" s="959">
        <f t="shared" si="12"/>
        <v>531</v>
      </c>
      <c r="AD30" s="950">
        <f t="shared" si="21"/>
        <v>5.7717391304347823</v>
      </c>
      <c r="AE30" s="948">
        <v>0</v>
      </c>
      <c r="AF30" s="959">
        <f t="shared" si="13"/>
        <v>531</v>
      </c>
      <c r="AG30" s="950">
        <f t="shared" si="22"/>
        <v>5.7717391304347823</v>
      </c>
      <c r="AH30" s="948">
        <v>185</v>
      </c>
      <c r="AI30" s="959">
        <f t="shared" si="14"/>
        <v>346</v>
      </c>
      <c r="AJ30" s="950">
        <f t="shared" si="23"/>
        <v>3.7608695652173911</v>
      </c>
      <c r="AK30" s="948">
        <v>185</v>
      </c>
      <c r="AL30" s="959">
        <f t="shared" si="0"/>
        <v>161</v>
      </c>
      <c r="AM30" s="950">
        <f t="shared" si="24"/>
        <v>1.75</v>
      </c>
      <c r="AN30" s="948">
        <v>0</v>
      </c>
      <c r="AO30" s="959">
        <f t="shared" si="1"/>
        <v>161</v>
      </c>
      <c r="AP30" s="950">
        <f t="shared" si="25"/>
        <v>1.75</v>
      </c>
      <c r="AQ30" s="948">
        <v>185</v>
      </c>
      <c r="AR30" s="959">
        <f t="shared" si="2"/>
        <v>-24</v>
      </c>
      <c r="AS30" s="950">
        <f t="shared" si="26"/>
        <v>-0.2608695652173913</v>
      </c>
      <c r="AT30" s="948">
        <v>185</v>
      </c>
      <c r="AU30" s="959">
        <f t="shared" si="3"/>
        <v>-209</v>
      </c>
      <c r="AV30" s="950">
        <f t="shared" si="27"/>
        <v>-2.2717391304347827</v>
      </c>
      <c r="AW30" s="948">
        <v>0</v>
      </c>
      <c r="AX30" s="959">
        <f t="shared" si="4"/>
        <v>-209</v>
      </c>
      <c r="AY30" s="950">
        <f t="shared" si="28"/>
        <v>-2.2717391304347827</v>
      </c>
      <c r="AZ30" s="948">
        <v>185</v>
      </c>
      <c r="BA30" s="959">
        <f t="shared" si="5"/>
        <v>-394</v>
      </c>
      <c r="BB30" s="950">
        <f t="shared" si="29"/>
        <v>-4.2826086956521738</v>
      </c>
    </row>
    <row r="31" spans="1:54" ht="38.25" thickBot="1">
      <c r="A31" s="1207"/>
      <c r="B31" s="1210"/>
      <c r="C31" s="1040" t="s">
        <v>55</v>
      </c>
      <c r="D31" s="1171"/>
      <c r="E31" s="1171"/>
      <c r="F31" s="914">
        <v>92</v>
      </c>
      <c r="G31" s="648" t="s">
        <v>438</v>
      </c>
      <c r="H31" s="1163"/>
      <c r="I31" s="967">
        <v>531</v>
      </c>
      <c r="J31" s="952">
        <v>0</v>
      </c>
      <c r="K31" s="959">
        <f t="shared" si="6"/>
        <v>531</v>
      </c>
      <c r="L31" s="954">
        <f t="shared" si="15"/>
        <v>5.7717391304347823</v>
      </c>
      <c r="M31" s="952">
        <v>0</v>
      </c>
      <c r="N31" s="959">
        <f t="shared" si="7"/>
        <v>531</v>
      </c>
      <c r="O31" s="954">
        <f t="shared" si="16"/>
        <v>5.7717391304347823</v>
      </c>
      <c r="P31" s="952">
        <v>0</v>
      </c>
      <c r="Q31" s="959">
        <f t="shared" si="8"/>
        <v>531</v>
      </c>
      <c r="R31" s="954">
        <f t="shared" si="17"/>
        <v>5.7717391304347823</v>
      </c>
      <c r="S31" s="952">
        <v>0</v>
      </c>
      <c r="T31" s="959">
        <f t="shared" si="9"/>
        <v>531</v>
      </c>
      <c r="U31" s="954">
        <f t="shared" si="18"/>
        <v>5.7717391304347823</v>
      </c>
      <c r="V31" s="952">
        <v>0</v>
      </c>
      <c r="W31" s="959">
        <f t="shared" si="10"/>
        <v>531</v>
      </c>
      <c r="X31" s="954">
        <f t="shared" si="19"/>
        <v>5.7717391304347823</v>
      </c>
      <c r="Y31" s="952">
        <v>0</v>
      </c>
      <c r="Z31" s="959">
        <f t="shared" si="11"/>
        <v>531</v>
      </c>
      <c r="AA31" s="954">
        <f t="shared" si="20"/>
        <v>5.7717391304347823</v>
      </c>
      <c r="AB31" s="952">
        <v>0</v>
      </c>
      <c r="AC31" s="959">
        <f t="shared" si="12"/>
        <v>531</v>
      </c>
      <c r="AD31" s="954">
        <f t="shared" si="21"/>
        <v>5.7717391304347823</v>
      </c>
      <c r="AE31" s="952">
        <v>0</v>
      </c>
      <c r="AF31" s="959">
        <f t="shared" si="13"/>
        <v>531</v>
      </c>
      <c r="AG31" s="954">
        <f t="shared" si="22"/>
        <v>5.7717391304347823</v>
      </c>
      <c r="AH31" s="952">
        <v>185</v>
      </c>
      <c r="AI31" s="959">
        <f t="shared" si="14"/>
        <v>346</v>
      </c>
      <c r="AJ31" s="954">
        <f t="shared" si="23"/>
        <v>3.7608695652173911</v>
      </c>
      <c r="AK31" s="952">
        <v>185</v>
      </c>
      <c r="AL31" s="959">
        <f t="shared" si="0"/>
        <v>161</v>
      </c>
      <c r="AM31" s="954">
        <f t="shared" si="24"/>
        <v>1.75</v>
      </c>
      <c r="AN31" s="952">
        <v>0</v>
      </c>
      <c r="AO31" s="959">
        <f t="shared" si="1"/>
        <v>161</v>
      </c>
      <c r="AP31" s="954">
        <f t="shared" si="25"/>
        <v>1.75</v>
      </c>
      <c r="AQ31" s="952">
        <v>185</v>
      </c>
      <c r="AR31" s="959">
        <f t="shared" si="2"/>
        <v>-24</v>
      </c>
      <c r="AS31" s="954">
        <f t="shared" si="26"/>
        <v>-0.2608695652173913</v>
      </c>
      <c r="AT31" s="952">
        <v>185</v>
      </c>
      <c r="AU31" s="959">
        <f t="shared" si="3"/>
        <v>-209</v>
      </c>
      <c r="AV31" s="954">
        <f t="shared" si="27"/>
        <v>-2.2717391304347827</v>
      </c>
      <c r="AW31" s="952">
        <v>0</v>
      </c>
      <c r="AX31" s="959">
        <f t="shared" si="4"/>
        <v>-209</v>
      </c>
      <c r="AY31" s="954">
        <f t="shared" si="28"/>
        <v>-2.2717391304347827</v>
      </c>
      <c r="AZ31" s="952">
        <v>185</v>
      </c>
      <c r="BA31" s="959">
        <f t="shared" si="5"/>
        <v>-394</v>
      </c>
      <c r="BB31" s="954">
        <f t="shared" si="29"/>
        <v>-4.2826086956521738</v>
      </c>
    </row>
    <row r="32" spans="1:54" ht="38.25" thickBot="1">
      <c r="A32" s="1234" t="s">
        <v>106</v>
      </c>
      <c r="B32" s="944"/>
      <c r="C32" s="916" t="s">
        <v>93</v>
      </c>
      <c r="D32" s="1199" t="s">
        <v>577</v>
      </c>
      <c r="E32" s="916">
        <v>702</v>
      </c>
      <c r="F32" s="915">
        <v>59</v>
      </c>
      <c r="G32" s="911" t="s">
        <v>414</v>
      </c>
      <c r="H32" s="1198" t="s">
        <v>334</v>
      </c>
      <c r="I32" s="965">
        <v>126</v>
      </c>
      <c r="J32" s="946">
        <v>0</v>
      </c>
      <c r="K32" s="959">
        <f t="shared" si="6"/>
        <v>126</v>
      </c>
      <c r="L32" s="947">
        <f t="shared" si="15"/>
        <v>2.1355932203389831</v>
      </c>
      <c r="M32" s="946">
        <v>0</v>
      </c>
      <c r="N32" s="959">
        <f t="shared" si="7"/>
        <v>126</v>
      </c>
      <c r="O32" s="947">
        <f t="shared" si="16"/>
        <v>2.1355932203389831</v>
      </c>
      <c r="P32" s="946">
        <v>0</v>
      </c>
      <c r="Q32" s="959">
        <f t="shared" si="8"/>
        <v>126</v>
      </c>
      <c r="R32" s="947">
        <f t="shared" si="17"/>
        <v>2.1355932203389831</v>
      </c>
      <c r="S32" s="946">
        <v>0</v>
      </c>
      <c r="T32" s="959">
        <f t="shared" si="9"/>
        <v>126</v>
      </c>
      <c r="U32" s="947">
        <f t="shared" si="18"/>
        <v>2.1355932203389831</v>
      </c>
      <c r="V32" s="946">
        <v>0</v>
      </c>
      <c r="W32" s="959">
        <f t="shared" si="10"/>
        <v>126</v>
      </c>
      <c r="X32" s="947">
        <f t="shared" si="19"/>
        <v>2.1355932203389831</v>
      </c>
      <c r="Y32" s="946">
        <v>0</v>
      </c>
      <c r="Z32" s="959">
        <f t="shared" si="11"/>
        <v>126</v>
      </c>
      <c r="AA32" s="947">
        <f t="shared" si="20"/>
        <v>2.1355932203389831</v>
      </c>
      <c r="AB32" s="946">
        <v>0</v>
      </c>
      <c r="AC32" s="959">
        <f t="shared" si="12"/>
        <v>126</v>
      </c>
      <c r="AD32" s="947">
        <f t="shared" si="21"/>
        <v>2.1355932203389831</v>
      </c>
      <c r="AE32" s="946">
        <v>150</v>
      </c>
      <c r="AF32" s="959">
        <f t="shared" si="13"/>
        <v>-24</v>
      </c>
      <c r="AG32" s="947">
        <f t="shared" si="22"/>
        <v>-0.40677966101694918</v>
      </c>
      <c r="AH32" s="946">
        <v>0</v>
      </c>
      <c r="AI32" s="959">
        <f t="shared" si="14"/>
        <v>-24</v>
      </c>
      <c r="AJ32" s="947">
        <f t="shared" si="23"/>
        <v>-0.40677966101694918</v>
      </c>
      <c r="AK32" s="946">
        <v>150</v>
      </c>
      <c r="AL32" s="959">
        <f t="shared" si="0"/>
        <v>-174</v>
      </c>
      <c r="AM32" s="947">
        <f t="shared" si="24"/>
        <v>-2.9491525423728815</v>
      </c>
      <c r="AN32" s="946">
        <v>0</v>
      </c>
      <c r="AO32" s="959">
        <f t="shared" si="1"/>
        <v>-174</v>
      </c>
      <c r="AP32" s="947">
        <f t="shared" si="25"/>
        <v>-2.9491525423728815</v>
      </c>
      <c r="AQ32" s="946">
        <v>150</v>
      </c>
      <c r="AR32" s="959">
        <f t="shared" si="2"/>
        <v>-324</v>
      </c>
      <c r="AS32" s="947">
        <f t="shared" si="26"/>
        <v>-5.4915254237288131</v>
      </c>
      <c r="AT32" s="946">
        <v>150</v>
      </c>
      <c r="AU32" s="959">
        <f t="shared" si="3"/>
        <v>-474</v>
      </c>
      <c r="AV32" s="947">
        <f t="shared" si="27"/>
        <v>-8.0338983050847457</v>
      </c>
      <c r="AW32" s="946">
        <v>0</v>
      </c>
      <c r="AX32" s="959">
        <f t="shared" si="4"/>
        <v>-474</v>
      </c>
      <c r="AY32" s="947">
        <f t="shared" si="28"/>
        <v>-8.0338983050847457</v>
      </c>
      <c r="AZ32" s="946">
        <v>150</v>
      </c>
      <c r="BA32" s="959">
        <f t="shared" si="5"/>
        <v>-624</v>
      </c>
      <c r="BB32" s="947">
        <f t="shared" si="29"/>
        <v>-10.576271186440678</v>
      </c>
    </row>
    <row r="33" spans="1:54" ht="30" customHeight="1" thickBot="1">
      <c r="A33" s="1235"/>
      <c r="B33" s="1202" t="s">
        <v>505</v>
      </c>
      <c r="C33" s="1042" t="s">
        <v>92</v>
      </c>
      <c r="D33" s="1200"/>
      <c r="E33" s="1042">
        <v>234</v>
      </c>
      <c r="F33" s="897">
        <v>59</v>
      </c>
      <c r="G33" s="644" t="s">
        <v>416</v>
      </c>
      <c r="H33" s="1195"/>
      <c r="I33" s="966">
        <v>134</v>
      </c>
      <c r="J33" s="949">
        <v>0</v>
      </c>
      <c r="K33" s="959">
        <f t="shared" si="6"/>
        <v>134</v>
      </c>
      <c r="L33" s="950">
        <f t="shared" si="15"/>
        <v>2.2711864406779663</v>
      </c>
      <c r="M33" s="949">
        <v>0</v>
      </c>
      <c r="N33" s="959">
        <f t="shared" si="7"/>
        <v>134</v>
      </c>
      <c r="O33" s="950">
        <f t="shared" si="16"/>
        <v>2.2711864406779663</v>
      </c>
      <c r="P33" s="949">
        <v>0</v>
      </c>
      <c r="Q33" s="959">
        <f t="shared" si="8"/>
        <v>134</v>
      </c>
      <c r="R33" s="950">
        <f t="shared" si="17"/>
        <v>2.2711864406779663</v>
      </c>
      <c r="S33" s="949">
        <v>0</v>
      </c>
      <c r="T33" s="959">
        <f t="shared" si="9"/>
        <v>134</v>
      </c>
      <c r="U33" s="950">
        <f t="shared" si="18"/>
        <v>2.2711864406779663</v>
      </c>
      <c r="V33" s="949">
        <v>0</v>
      </c>
      <c r="W33" s="959">
        <f t="shared" si="10"/>
        <v>134</v>
      </c>
      <c r="X33" s="950">
        <f t="shared" si="19"/>
        <v>2.2711864406779663</v>
      </c>
      <c r="Y33" s="949">
        <v>0</v>
      </c>
      <c r="Z33" s="959">
        <f t="shared" si="11"/>
        <v>134</v>
      </c>
      <c r="AA33" s="950">
        <f t="shared" si="20"/>
        <v>2.2711864406779663</v>
      </c>
      <c r="AB33" s="949">
        <v>0</v>
      </c>
      <c r="AC33" s="959">
        <f t="shared" si="12"/>
        <v>134</v>
      </c>
      <c r="AD33" s="950">
        <f t="shared" si="21"/>
        <v>2.2711864406779663</v>
      </c>
      <c r="AE33" s="949">
        <v>10</v>
      </c>
      <c r="AF33" s="959">
        <f t="shared" si="13"/>
        <v>124</v>
      </c>
      <c r="AG33" s="950">
        <f t="shared" si="22"/>
        <v>2.1016949152542375</v>
      </c>
      <c r="AH33" s="949">
        <v>0</v>
      </c>
      <c r="AI33" s="959">
        <f t="shared" si="14"/>
        <v>124</v>
      </c>
      <c r="AJ33" s="950">
        <f t="shared" si="23"/>
        <v>2.1016949152542375</v>
      </c>
      <c r="AK33" s="949">
        <v>10</v>
      </c>
      <c r="AL33" s="959">
        <f t="shared" si="0"/>
        <v>114</v>
      </c>
      <c r="AM33" s="950">
        <f t="shared" si="24"/>
        <v>1.9322033898305084</v>
      </c>
      <c r="AN33" s="949">
        <v>0</v>
      </c>
      <c r="AO33" s="959">
        <f t="shared" si="1"/>
        <v>114</v>
      </c>
      <c r="AP33" s="950">
        <f t="shared" si="25"/>
        <v>1.9322033898305084</v>
      </c>
      <c r="AQ33" s="949">
        <v>10</v>
      </c>
      <c r="AR33" s="959">
        <f t="shared" si="2"/>
        <v>104</v>
      </c>
      <c r="AS33" s="950">
        <f t="shared" si="26"/>
        <v>1.7627118644067796</v>
      </c>
      <c r="AT33" s="949">
        <v>10</v>
      </c>
      <c r="AU33" s="959">
        <f t="shared" si="3"/>
        <v>94</v>
      </c>
      <c r="AV33" s="950">
        <f t="shared" si="27"/>
        <v>1.5932203389830508</v>
      </c>
      <c r="AW33" s="949">
        <v>0</v>
      </c>
      <c r="AX33" s="959">
        <f t="shared" si="4"/>
        <v>94</v>
      </c>
      <c r="AY33" s="950">
        <f t="shared" si="28"/>
        <v>1.5932203389830508</v>
      </c>
      <c r="AZ33" s="949">
        <v>10</v>
      </c>
      <c r="BA33" s="959">
        <f t="shared" si="5"/>
        <v>84</v>
      </c>
      <c r="BB33" s="950">
        <f t="shared" si="29"/>
        <v>1.423728813559322</v>
      </c>
    </row>
    <row r="34" spans="1:54" ht="38.25" thickBot="1">
      <c r="A34" s="1235"/>
      <c r="B34" s="1202"/>
      <c r="C34" s="1042" t="s">
        <v>94</v>
      </c>
      <c r="D34" s="1200"/>
      <c r="E34" s="1042">
        <f>234+702</f>
        <v>936</v>
      </c>
      <c r="F34" s="897">
        <v>59</v>
      </c>
      <c r="G34" s="644" t="s">
        <v>415</v>
      </c>
      <c r="H34" s="1167"/>
      <c r="I34" s="966">
        <f>I32+I33</f>
        <v>260</v>
      </c>
      <c r="J34" s="949">
        <v>0</v>
      </c>
      <c r="K34" s="959">
        <f t="shared" si="6"/>
        <v>260</v>
      </c>
      <c r="L34" s="950">
        <f t="shared" si="15"/>
        <v>4.406779661016949</v>
      </c>
      <c r="M34" s="949">
        <v>0</v>
      </c>
      <c r="N34" s="959">
        <f t="shared" si="7"/>
        <v>260</v>
      </c>
      <c r="O34" s="950">
        <f t="shared" si="16"/>
        <v>4.406779661016949</v>
      </c>
      <c r="P34" s="949">
        <v>0</v>
      </c>
      <c r="Q34" s="959">
        <f t="shared" si="8"/>
        <v>260</v>
      </c>
      <c r="R34" s="950">
        <f t="shared" si="17"/>
        <v>4.406779661016949</v>
      </c>
      <c r="S34" s="949">
        <v>0</v>
      </c>
      <c r="T34" s="959">
        <f t="shared" si="9"/>
        <v>260</v>
      </c>
      <c r="U34" s="950">
        <f t="shared" si="18"/>
        <v>4.406779661016949</v>
      </c>
      <c r="V34" s="949">
        <v>0</v>
      </c>
      <c r="W34" s="959">
        <f t="shared" si="10"/>
        <v>260</v>
      </c>
      <c r="X34" s="950">
        <f t="shared" si="19"/>
        <v>4.406779661016949</v>
      </c>
      <c r="Y34" s="949">
        <v>0</v>
      </c>
      <c r="Z34" s="959">
        <f t="shared" si="11"/>
        <v>260</v>
      </c>
      <c r="AA34" s="950">
        <f t="shared" si="20"/>
        <v>4.406779661016949</v>
      </c>
      <c r="AB34" s="949">
        <v>0</v>
      </c>
      <c r="AC34" s="959">
        <f t="shared" si="12"/>
        <v>260</v>
      </c>
      <c r="AD34" s="950">
        <f t="shared" si="21"/>
        <v>4.406779661016949</v>
      </c>
      <c r="AE34" s="949">
        <f>AE32+AE33</f>
        <v>160</v>
      </c>
      <c r="AF34" s="959">
        <f t="shared" si="13"/>
        <v>100</v>
      </c>
      <c r="AG34" s="950">
        <f t="shared" si="22"/>
        <v>1.6949152542372881</v>
      </c>
      <c r="AH34" s="949">
        <v>0</v>
      </c>
      <c r="AI34" s="959">
        <f t="shared" si="14"/>
        <v>100</v>
      </c>
      <c r="AJ34" s="950">
        <f t="shared" si="23"/>
        <v>1.6949152542372881</v>
      </c>
      <c r="AK34" s="949">
        <f>AK32+AK33</f>
        <v>160</v>
      </c>
      <c r="AL34" s="959">
        <f t="shared" si="0"/>
        <v>-60</v>
      </c>
      <c r="AM34" s="950">
        <f t="shared" si="24"/>
        <v>-1.0169491525423728</v>
      </c>
      <c r="AN34" s="949">
        <v>0</v>
      </c>
      <c r="AO34" s="959">
        <f t="shared" si="1"/>
        <v>-60</v>
      </c>
      <c r="AP34" s="950">
        <f t="shared" si="25"/>
        <v>-1.0169491525423728</v>
      </c>
      <c r="AQ34" s="949">
        <f>AQ32+AQ33</f>
        <v>160</v>
      </c>
      <c r="AR34" s="959">
        <f t="shared" si="2"/>
        <v>-220</v>
      </c>
      <c r="AS34" s="950">
        <f t="shared" si="26"/>
        <v>-3.7288135593220337</v>
      </c>
      <c r="AT34" s="949">
        <f>AT32+AT33</f>
        <v>160</v>
      </c>
      <c r="AU34" s="959">
        <f t="shared" si="3"/>
        <v>-380</v>
      </c>
      <c r="AV34" s="950">
        <f t="shared" si="27"/>
        <v>-6.4406779661016946</v>
      </c>
      <c r="AW34" s="949">
        <v>0</v>
      </c>
      <c r="AX34" s="959">
        <f t="shared" si="4"/>
        <v>-380</v>
      </c>
      <c r="AY34" s="950">
        <f t="shared" si="28"/>
        <v>-6.4406779661016946</v>
      </c>
      <c r="AZ34" s="949">
        <f>AZ32+AZ33</f>
        <v>160</v>
      </c>
      <c r="BA34" s="959">
        <f t="shared" si="5"/>
        <v>-540</v>
      </c>
      <c r="BB34" s="950">
        <f t="shared" si="29"/>
        <v>-9.1525423728813564</v>
      </c>
    </row>
    <row r="35" spans="1:54" ht="38.25" thickBot="1">
      <c r="A35" s="1235"/>
      <c r="B35" s="1035"/>
      <c r="C35" s="1042" t="s">
        <v>96</v>
      </c>
      <c r="D35" s="1200"/>
      <c r="E35" s="1042">
        <v>702</v>
      </c>
      <c r="F35" s="897">
        <v>54</v>
      </c>
      <c r="G35" s="644" t="s">
        <v>417</v>
      </c>
      <c r="H35" s="1166" t="s">
        <v>335</v>
      </c>
      <c r="I35" s="966">
        <v>18</v>
      </c>
      <c r="J35" s="949">
        <v>0</v>
      </c>
      <c r="K35" s="959">
        <f t="shared" si="6"/>
        <v>18</v>
      </c>
      <c r="L35" s="950">
        <f>K35/$F35</f>
        <v>0.33333333333333331</v>
      </c>
      <c r="M35" s="949">
        <v>0</v>
      </c>
      <c r="N35" s="959">
        <f t="shared" si="7"/>
        <v>18</v>
      </c>
      <c r="O35" s="950">
        <f>N35/$F35</f>
        <v>0.33333333333333331</v>
      </c>
      <c r="P35" s="949">
        <v>0</v>
      </c>
      <c r="Q35" s="959">
        <f t="shared" si="8"/>
        <v>18</v>
      </c>
      <c r="R35" s="950">
        <f>Q35/$F35</f>
        <v>0.33333333333333331</v>
      </c>
      <c r="S35" s="949">
        <v>0</v>
      </c>
      <c r="T35" s="959">
        <f t="shared" si="9"/>
        <v>18</v>
      </c>
      <c r="U35" s="950">
        <f>T35/$F35</f>
        <v>0.33333333333333331</v>
      </c>
      <c r="V35" s="949">
        <v>0</v>
      </c>
      <c r="W35" s="959">
        <f t="shared" si="10"/>
        <v>18</v>
      </c>
      <c r="X35" s="950">
        <f>W35/$F35</f>
        <v>0.33333333333333331</v>
      </c>
      <c r="Y35" s="949">
        <v>0</v>
      </c>
      <c r="Z35" s="959">
        <f t="shared" si="11"/>
        <v>18</v>
      </c>
      <c r="AA35" s="950">
        <f>Z35/$F35</f>
        <v>0.33333333333333331</v>
      </c>
      <c r="AB35" s="949">
        <v>0</v>
      </c>
      <c r="AC35" s="959">
        <f t="shared" si="12"/>
        <v>18</v>
      </c>
      <c r="AD35" s="950">
        <f>AC35/$F35</f>
        <v>0.33333333333333331</v>
      </c>
      <c r="AE35" s="949">
        <v>150</v>
      </c>
      <c r="AF35" s="959">
        <f t="shared" si="13"/>
        <v>-132</v>
      </c>
      <c r="AG35" s="950">
        <f>AF35/$F35</f>
        <v>-2.4444444444444446</v>
      </c>
      <c r="AH35" s="949">
        <v>0</v>
      </c>
      <c r="AI35" s="959">
        <f t="shared" si="14"/>
        <v>-132</v>
      </c>
      <c r="AJ35" s="950">
        <f>AI35/$F35</f>
        <v>-2.4444444444444446</v>
      </c>
      <c r="AK35" s="949">
        <v>150</v>
      </c>
      <c r="AL35" s="959">
        <f t="shared" si="0"/>
        <v>-282</v>
      </c>
      <c r="AM35" s="950">
        <f t="shared" si="24"/>
        <v>-5.2222222222222223</v>
      </c>
      <c r="AN35" s="949">
        <v>0</v>
      </c>
      <c r="AO35" s="959">
        <f t="shared" si="1"/>
        <v>-282</v>
      </c>
      <c r="AP35" s="950">
        <f t="shared" si="25"/>
        <v>-5.2222222222222223</v>
      </c>
      <c r="AQ35" s="949">
        <v>150</v>
      </c>
      <c r="AR35" s="959">
        <f t="shared" si="2"/>
        <v>-432</v>
      </c>
      <c r="AS35" s="950">
        <f t="shared" si="26"/>
        <v>-8</v>
      </c>
      <c r="AT35" s="949">
        <v>150</v>
      </c>
      <c r="AU35" s="959">
        <f t="shared" si="3"/>
        <v>-582</v>
      </c>
      <c r="AV35" s="950">
        <f t="shared" si="27"/>
        <v>-10.777777777777779</v>
      </c>
      <c r="AW35" s="949">
        <v>0</v>
      </c>
      <c r="AX35" s="959">
        <f t="shared" si="4"/>
        <v>-582</v>
      </c>
      <c r="AY35" s="950">
        <f t="shared" si="28"/>
        <v>-10.777777777777779</v>
      </c>
      <c r="AZ35" s="949">
        <v>150</v>
      </c>
      <c r="BA35" s="959">
        <f t="shared" si="5"/>
        <v>-732</v>
      </c>
      <c r="BB35" s="950">
        <f t="shared" si="29"/>
        <v>-13.555555555555555</v>
      </c>
    </row>
    <row r="36" spans="1:54" ht="38.25" thickBot="1">
      <c r="A36" s="1235"/>
      <c r="B36" s="1202" t="s">
        <v>505</v>
      </c>
      <c r="C36" s="1042" t="s">
        <v>95</v>
      </c>
      <c r="D36" s="1200"/>
      <c r="E36" s="1042">
        <v>234</v>
      </c>
      <c r="F36" s="897">
        <v>54</v>
      </c>
      <c r="G36" s="644" t="s">
        <v>419</v>
      </c>
      <c r="H36" s="1195"/>
      <c r="I36" s="966">
        <v>393</v>
      </c>
      <c r="J36" s="949">
        <v>0</v>
      </c>
      <c r="K36" s="959">
        <f t="shared" si="6"/>
        <v>393</v>
      </c>
      <c r="L36" s="950">
        <f t="shared" ref="L36:L74" si="30">K36/$F36</f>
        <v>7.2777777777777777</v>
      </c>
      <c r="M36" s="949">
        <v>0</v>
      </c>
      <c r="N36" s="959">
        <f t="shared" si="7"/>
        <v>393</v>
      </c>
      <c r="O36" s="950">
        <f t="shared" ref="O36:O74" si="31">N36/$F36</f>
        <v>7.2777777777777777</v>
      </c>
      <c r="P36" s="949">
        <v>0</v>
      </c>
      <c r="Q36" s="959">
        <f t="shared" si="8"/>
        <v>393</v>
      </c>
      <c r="R36" s="950">
        <f t="shared" ref="R36:R74" si="32">Q36/$F36</f>
        <v>7.2777777777777777</v>
      </c>
      <c r="S36" s="949">
        <v>0</v>
      </c>
      <c r="T36" s="959">
        <f t="shared" si="9"/>
        <v>393</v>
      </c>
      <c r="U36" s="950">
        <f t="shared" ref="U36:U74" si="33">T36/$F36</f>
        <v>7.2777777777777777</v>
      </c>
      <c r="V36" s="949">
        <v>0</v>
      </c>
      <c r="W36" s="959">
        <f t="shared" si="10"/>
        <v>393</v>
      </c>
      <c r="X36" s="950">
        <f t="shared" ref="X36:X74" si="34">W36/$F36</f>
        <v>7.2777777777777777</v>
      </c>
      <c r="Y36" s="949">
        <v>0</v>
      </c>
      <c r="Z36" s="959">
        <f t="shared" si="11"/>
        <v>393</v>
      </c>
      <c r="AA36" s="950">
        <f t="shared" ref="AA36:AA74" si="35">Z36/$F36</f>
        <v>7.2777777777777777</v>
      </c>
      <c r="AB36" s="949">
        <v>0</v>
      </c>
      <c r="AC36" s="959">
        <f t="shared" si="12"/>
        <v>393</v>
      </c>
      <c r="AD36" s="950">
        <f t="shared" ref="AD36:AD74" si="36">AC36/$F36</f>
        <v>7.2777777777777777</v>
      </c>
      <c r="AE36" s="949">
        <v>10</v>
      </c>
      <c r="AF36" s="959">
        <f t="shared" si="13"/>
        <v>383</v>
      </c>
      <c r="AG36" s="950">
        <f t="shared" ref="AG36:AG74" si="37">AF36/$F36</f>
        <v>7.0925925925925926</v>
      </c>
      <c r="AH36" s="949">
        <v>0</v>
      </c>
      <c r="AI36" s="959">
        <f t="shared" si="14"/>
        <v>383</v>
      </c>
      <c r="AJ36" s="950">
        <f t="shared" ref="AJ36:AJ74" si="38">AI36/$F36</f>
        <v>7.0925925925925926</v>
      </c>
      <c r="AK36" s="949">
        <v>10</v>
      </c>
      <c r="AL36" s="959">
        <f t="shared" si="0"/>
        <v>373</v>
      </c>
      <c r="AM36" s="950">
        <f t="shared" si="24"/>
        <v>6.9074074074074074</v>
      </c>
      <c r="AN36" s="949">
        <v>0</v>
      </c>
      <c r="AO36" s="959">
        <f t="shared" si="1"/>
        <v>373</v>
      </c>
      <c r="AP36" s="950">
        <f t="shared" si="25"/>
        <v>6.9074074074074074</v>
      </c>
      <c r="AQ36" s="949">
        <v>10</v>
      </c>
      <c r="AR36" s="959">
        <f t="shared" si="2"/>
        <v>363</v>
      </c>
      <c r="AS36" s="950">
        <f t="shared" si="26"/>
        <v>6.7222222222222223</v>
      </c>
      <c r="AT36" s="949">
        <v>10</v>
      </c>
      <c r="AU36" s="959">
        <f t="shared" si="3"/>
        <v>353</v>
      </c>
      <c r="AV36" s="950">
        <f t="shared" si="27"/>
        <v>6.5370370370370372</v>
      </c>
      <c r="AW36" s="949">
        <v>10</v>
      </c>
      <c r="AX36" s="959">
        <f t="shared" si="4"/>
        <v>343</v>
      </c>
      <c r="AY36" s="950">
        <f t="shared" si="28"/>
        <v>6.3518518518518521</v>
      </c>
      <c r="AZ36" s="949">
        <v>10</v>
      </c>
      <c r="BA36" s="959">
        <f t="shared" si="5"/>
        <v>333</v>
      </c>
      <c r="BB36" s="950">
        <f t="shared" si="29"/>
        <v>6.166666666666667</v>
      </c>
    </row>
    <row r="37" spans="1:54" ht="38.25" thickBot="1">
      <c r="A37" s="1235"/>
      <c r="B37" s="1202"/>
      <c r="C37" s="1042" t="s">
        <v>97</v>
      </c>
      <c r="D37" s="1200"/>
      <c r="E37" s="1042">
        <v>936</v>
      </c>
      <c r="F37" s="897">
        <v>54</v>
      </c>
      <c r="G37" s="644" t="s">
        <v>418</v>
      </c>
      <c r="H37" s="1167"/>
      <c r="I37" s="966">
        <f>I35+I36</f>
        <v>411</v>
      </c>
      <c r="J37" s="949">
        <v>0</v>
      </c>
      <c r="K37" s="959">
        <f t="shared" si="6"/>
        <v>411</v>
      </c>
      <c r="L37" s="950">
        <f t="shared" si="30"/>
        <v>7.6111111111111107</v>
      </c>
      <c r="M37" s="949">
        <v>0</v>
      </c>
      <c r="N37" s="959">
        <f t="shared" si="7"/>
        <v>411</v>
      </c>
      <c r="O37" s="950">
        <f t="shared" si="31"/>
        <v>7.6111111111111107</v>
      </c>
      <c r="P37" s="949">
        <v>0</v>
      </c>
      <c r="Q37" s="959">
        <f t="shared" si="8"/>
        <v>411</v>
      </c>
      <c r="R37" s="950">
        <f t="shared" si="32"/>
        <v>7.6111111111111107</v>
      </c>
      <c r="S37" s="949">
        <v>0</v>
      </c>
      <c r="T37" s="959">
        <f t="shared" si="9"/>
        <v>411</v>
      </c>
      <c r="U37" s="950">
        <f t="shared" si="33"/>
        <v>7.6111111111111107</v>
      </c>
      <c r="V37" s="949">
        <v>0</v>
      </c>
      <c r="W37" s="959">
        <f t="shared" si="10"/>
        <v>411</v>
      </c>
      <c r="X37" s="950">
        <f t="shared" si="34"/>
        <v>7.6111111111111107</v>
      </c>
      <c r="Y37" s="949">
        <v>0</v>
      </c>
      <c r="Z37" s="959">
        <f t="shared" si="11"/>
        <v>411</v>
      </c>
      <c r="AA37" s="950">
        <f t="shared" si="35"/>
        <v>7.6111111111111107</v>
      </c>
      <c r="AB37" s="949">
        <v>0</v>
      </c>
      <c r="AC37" s="959">
        <f t="shared" si="12"/>
        <v>411</v>
      </c>
      <c r="AD37" s="950">
        <f t="shared" si="36"/>
        <v>7.6111111111111107</v>
      </c>
      <c r="AE37" s="949">
        <v>160</v>
      </c>
      <c r="AF37" s="959">
        <f t="shared" si="13"/>
        <v>251</v>
      </c>
      <c r="AG37" s="950">
        <f t="shared" si="37"/>
        <v>4.6481481481481479</v>
      </c>
      <c r="AH37" s="949">
        <v>0</v>
      </c>
      <c r="AI37" s="959">
        <f t="shared" si="14"/>
        <v>251</v>
      </c>
      <c r="AJ37" s="950">
        <f t="shared" si="38"/>
        <v>4.6481481481481479</v>
      </c>
      <c r="AK37" s="949">
        <f>AK36+AK35</f>
        <v>160</v>
      </c>
      <c r="AL37" s="959">
        <f t="shared" si="0"/>
        <v>91</v>
      </c>
      <c r="AM37" s="950">
        <f t="shared" si="24"/>
        <v>1.6851851851851851</v>
      </c>
      <c r="AN37" s="949">
        <v>0</v>
      </c>
      <c r="AO37" s="959">
        <f t="shared" si="1"/>
        <v>91</v>
      </c>
      <c r="AP37" s="950">
        <f t="shared" si="25"/>
        <v>1.6851851851851851</v>
      </c>
      <c r="AQ37" s="949">
        <v>160</v>
      </c>
      <c r="AR37" s="959">
        <f t="shared" si="2"/>
        <v>-69</v>
      </c>
      <c r="AS37" s="950">
        <f t="shared" si="26"/>
        <v>-1.2777777777777777</v>
      </c>
      <c r="AT37" s="949">
        <f>AT36+AT35</f>
        <v>160</v>
      </c>
      <c r="AU37" s="959">
        <f t="shared" si="3"/>
        <v>-229</v>
      </c>
      <c r="AV37" s="950">
        <f t="shared" si="27"/>
        <v>-4.2407407407407405</v>
      </c>
      <c r="AW37" s="949">
        <v>0</v>
      </c>
      <c r="AX37" s="959">
        <f t="shared" si="4"/>
        <v>-229</v>
      </c>
      <c r="AY37" s="950">
        <f t="shared" si="28"/>
        <v>-4.2407407407407405</v>
      </c>
      <c r="AZ37" s="949">
        <v>160</v>
      </c>
      <c r="BA37" s="959">
        <f t="shared" si="5"/>
        <v>-389</v>
      </c>
      <c r="BB37" s="950">
        <f t="shared" si="29"/>
        <v>-7.2037037037037033</v>
      </c>
    </row>
    <row r="38" spans="1:54" ht="38.25" thickBot="1">
      <c r="A38" s="1235"/>
      <c r="B38" s="1202" t="s">
        <v>505</v>
      </c>
      <c r="C38" s="1042" t="s">
        <v>98</v>
      </c>
      <c r="D38" s="1200"/>
      <c r="E38" s="1042">
        <v>234</v>
      </c>
      <c r="F38" s="897">
        <v>59</v>
      </c>
      <c r="G38" s="644" t="s">
        <v>428</v>
      </c>
      <c r="H38" s="1162" t="s">
        <v>336</v>
      </c>
      <c r="I38" s="966">
        <v>486</v>
      </c>
      <c r="J38" s="949">
        <v>0</v>
      </c>
      <c r="K38" s="959">
        <f t="shared" si="6"/>
        <v>486</v>
      </c>
      <c r="L38" s="950">
        <f t="shared" si="30"/>
        <v>8.2372881355932197</v>
      </c>
      <c r="M38" s="949">
        <v>0</v>
      </c>
      <c r="N38" s="959">
        <f t="shared" si="7"/>
        <v>486</v>
      </c>
      <c r="O38" s="950">
        <f t="shared" si="31"/>
        <v>8.2372881355932197</v>
      </c>
      <c r="P38" s="949">
        <v>0</v>
      </c>
      <c r="Q38" s="959">
        <f t="shared" si="8"/>
        <v>486</v>
      </c>
      <c r="R38" s="950">
        <f t="shared" si="32"/>
        <v>8.2372881355932197</v>
      </c>
      <c r="S38" s="949">
        <v>0</v>
      </c>
      <c r="T38" s="959">
        <f t="shared" si="9"/>
        <v>486</v>
      </c>
      <c r="U38" s="950">
        <f t="shared" si="33"/>
        <v>8.2372881355932197</v>
      </c>
      <c r="V38" s="949">
        <v>0</v>
      </c>
      <c r="W38" s="959">
        <f t="shared" si="10"/>
        <v>486</v>
      </c>
      <c r="X38" s="950">
        <f t="shared" si="34"/>
        <v>8.2372881355932197</v>
      </c>
      <c r="Y38" s="949">
        <v>0</v>
      </c>
      <c r="Z38" s="959">
        <f t="shared" si="11"/>
        <v>486</v>
      </c>
      <c r="AA38" s="950">
        <f t="shared" si="35"/>
        <v>8.2372881355932197</v>
      </c>
      <c r="AB38" s="949">
        <v>0</v>
      </c>
      <c r="AC38" s="959">
        <f t="shared" si="12"/>
        <v>486</v>
      </c>
      <c r="AD38" s="950">
        <f t="shared" si="36"/>
        <v>8.2372881355932197</v>
      </c>
      <c r="AE38" s="949">
        <v>55</v>
      </c>
      <c r="AF38" s="959">
        <f t="shared" si="13"/>
        <v>431</v>
      </c>
      <c r="AG38" s="950">
        <f t="shared" si="37"/>
        <v>7.3050847457627119</v>
      </c>
      <c r="AH38" s="949">
        <v>0</v>
      </c>
      <c r="AI38" s="959">
        <f t="shared" si="14"/>
        <v>431</v>
      </c>
      <c r="AJ38" s="950">
        <f t="shared" si="38"/>
        <v>7.3050847457627119</v>
      </c>
      <c r="AK38" s="949">
        <v>55</v>
      </c>
      <c r="AL38" s="959">
        <f t="shared" si="0"/>
        <v>376</v>
      </c>
      <c r="AM38" s="950">
        <f t="shared" si="24"/>
        <v>6.3728813559322033</v>
      </c>
      <c r="AN38" s="949">
        <v>0</v>
      </c>
      <c r="AO38" s="959">
        <f t="shared" si="1"/>
        <v>376</v>
      </c>
      <c r="AP38" s="950">
        <f t="shared" si="25"/>
        <v>6.3728813559322033</v>
      </c>
      <c r="AQ38" s="949">
        <v>55</v>
      </c>
      <c r="AR38" s="959">
        <f t="shared" si="2"/>
        <v>321</v>
      </c>
      <c r="AS38" s="950">
        <f t="shared" si="26"/>
        <v>5.4406779661016946</v>
      </c>
      <c r="AT38" s="949">
        <v>55</v>
      </c>
      <c r="AU38" s="959">
        <f t="shared" si="3"/>
        <v>266</v>
      </c>
      <c r="AV38" s="950">
        <f t="shared" si="27"/>
        <v>4.5084745762711869</v>
      </c>
      <c r="AW38" s="949">
        <v>0</v>
      </c>
      <c r="AX38" s="959">
        <f t="shared" si="4"/>
        <v>266</v>
      </c>
      <c r="AY38" s="950">
        <f t="shared" si="28"/>
        <v>4.5084745762711869</v>
      </c>
      <c r="AZ38" s="949">
        <v>55</v>
      </c>
      <c r="BA38" s="959">
        <f t="shared" si="5"/>
        <v>211</v>
      </c>
      <c r="BB38" s="950">
        <f t="shared" si="29"/>
        <v>3.5762711864406778</v>
      </c>
    </row>
    <row r="39" spans="1:54" ht="38.25" thickBot="1">
      <c r="A39" s="1235"/>
      <c r="B39" s="1202"/>
      <c r="C39" s="1042" t="s">
        <v>99</v>
      </c>
      <c r="D39" s="1200"/>
      <c r="E39" s="1042">
        <v>18</v>
      </c>
      <c r="F39" s="897">
        <v>59</v>
      </c>
      <c r="G39" s="644" t="s">
        <v>429</v>
      </c>
      <c r="H39" s="1162"/>
      <c r="I39" s="966">
        <v>82</v>
      </c>
      <c r="J39" s="949">
        <v>0</v>
      </c>
      <c r="K39" s="959">
        <f t="shared" si="6"/>
        <v>82</v>
      </c>
      <c r="L39" s="950">
        <f t="shared" si="30"/>
        <v>1.3898305084745763</v>
      </c>
      <c r="M39" s="949">
        <v>0</v>
      </c>
      <c r="N39" s="959">
        <f t="shared" si="7"/>
        <v>82</v>
      </c>
      <c r="O39" s="950">
        <f t="shared" si="31"/>
        <v>1.3898305084745763</v>
      </c>
      <c r="P39" s="949">
        <v>0</v>
      </c>
      <c r="Q39" s="959">
        <f t="shared" si="8"/>
        <v>82</v>
      </c>
      <c r="R39" s="950">
        <f t="shared" si="32"/>
        <v>1.3898305084745763</v>
      </c>
      <c r="S39" s="949">
        <v>0</v>
      </c>
      <c r="T39" s="959">
        <f t="shared" si="9"/>
        <v>82</v>
      </c>
      <c r="U39" s="950">
        <f t="shared" si="33"/>
        <v>1.3898305084745763</v>
      </c>
      <c r="V39" s="949">
        <v>0</v>
      </c>
      <c r="W39" s="959">
        <f t="shared" si="10"/>
        <v>82</v>
      </c>
      <c r="X39" s="950">
        <f t="shared" si="34"/>
        <v>1.3898305084745763</v>
      </c>
      <c r="Y39" s="949">
        <v>0</v>
      </c>
      <c r="Z39" s="959">
        <f t="shared" si="11"/>
        <v>82</v>
      </c>
      <c r="AA39" s="950">
        <f t="shared" si="35"/>
        <v>1.3898305084745763</v>
      </c>
      <c r="AB39" s="949">
        <v>0</v>
      </c>
      <c r="AC39" s="959">
        <f t="shared" si="12"/>
        <v>82</v>
      </c>
      <c r="AD39" s="950">
        <f t="shared" si="36"/>
        <v>1.3898305084745763</v>
      </c>
      <c r="AE39" s="949">
        <v>0</v>
      </c>
      <c r="AF39" s="959">
        <f t="shared" si="13"/>
        <v>82</v>
      </c>
      <c r="AG39" s="950">
        <f t="shared" si="37"/>
        <v>1.3898305084745763</v>
      </c>
      <c r="AH39" s="949">
        <v>0</v>
      </c>
      <c r="AI39" s="959">
        <f t="shared" si="14"/>
        <v>82</v>
      </c>
      <c r="AJ39" s="950">
        <f t="shared" si="38"/>
        <v>1.3898305084745763</v>
      </c>
      <c r="AK39" s="949">
        <v>0</v>
      </c>
      <c r="AL39" s="959">
        <f t="shared" si="0"/>
        <v>82</v>
      </c>
      <c r="AM39" s="950">
        <f t="shared" si="24"/>
        <v>1.3898305084745763</v>
      </c>
      <c r="AN39" s="949">
        <v>0</v>
      </c>
      <c r="AO39" s="959">
        <f t="shared" si="1"/>
        <v>82</v>
      </c>
      <c r="AP39" s="950">
        <f t="shared" si="25"/>
        <v>1.3898305084745763</v>
      </c>
      <c r="AQ39" s="949">
        <v>0</v>
      </c>
      <c r="AR39" s="959">
        <f t="shared" si="2"/>
        <v>82</v>
      </c>
      <c r="AS39" s="950">
        <f t="shared" si="26"/>
        <v>1.3898305084745763</v>
      </c>
      <c r="AT39" s="949">
        <v>0</v>
      </c>
      <c r="AU39" s="959">
        <f t="shared" si="3"/>
        <v>82</v>
      </c>
      <c r="AV39" s="950">
        <f t="shared" si="27"/>
        <v>1.3898305084745763</v>
      </c>
      <c r="AW39" s="949">
        <v>0</v>
      </c>
      <c r="AX39" s="959">
        <f t="shared" si="4"/>
        <v>82</v>
      </c>
      <c r="AY39" s="950">
        <f t="shared" si="28"/>
        <v>1.3898305084745763</v>
      </c>
      <c r="AZ39" s="949">
        <v>0</v>
      </c>
      <c r="BA39" s="959">
        <f t="shared" si="5"/>
        <v>82</v>
      </c>
      <c r="BB39" s="950">
        <f t="shared" si="29"/>
        <v>1.3898305084745763</v>
      </c>
    </row>
    <row r="40" spans="1:54" ht="38.25" thickBot="1">
      <c r="A40" s="1235"/>
      <c r="B40" s="1202" t="s">
        <v>505</v>
      </c>
      <c r="C40" s="1042" t="s">
        <v>100</v>
      </c>
      <c r="D40" s="1200"/>
      <c r="E40" s="1042">
        <v>234</v>
      </c>
      <c r="F40" s="897">
        <v>59</v>
      </c>
      <c r="G40" s="644" t="s">
        <v>430</v>
      </c>
      <c r="H40" s="1162" t="s">
        <v>337</v>
      </c>
      <c r="I40" s="966">
        <v>100</v>
      </c>
      <c r="J40" s="949">
        <v>0</v>
      </c>
      <c r="K40" s="959">
        <f t="shared" si="6"/>
        <v>100</v>
      </c>
      <c r="L40" s="950">
        <f t="shared" si="30"/>
        <v>1.6949152542372881</v>
      </c>
      <c r="M40" s="949">
        <v>0</v>
      </c>
      <c r="N40" s="959">
        <f t="shared" si="7"/>
        <v>100</v>
      </c>
      <c r="O40" s="950">
        <f t="shared" si="31"/>
        <v>1.6949152542372881</v>
      </c>
      <c r="P40" s="949">
        <v>0</v>
      </c>
      <c r="Q40" s="959">
        <f t="shared" si="8"/>
        <v>100</v>
      </c>
      <c r="R40" s="950">
        <f t="shared" si="32"/>
        <v>1.6949152542372881</v>
      </c>
      <c r="S40" s="949">
        <v>0</v>
      </c>
      <c r="T40" s="959">
        <f t="shared" si="9"/>
        <v>100</v>
      </c>
      <c r="U40" s="950">
        <f t="shared" si="33"/>
        <v>1.6949152542372881</v>
      </c>
      <c r="V40" s="949">
        <v>0</v>
      </c>
      <c r="W40" s="959">
        <f t="shared" si="10"/>
        <v>100</v>
      </c>
      <c r="X40" s="950">
        <f t="shared" si="34"/>
        <v>1.6949152542372881</v>
      </c>
      <c r="Y40" s="949">
        <v>0</v>
      </c>
      <c r="Z40" s="959">
        <f t="shared" si="11"/>
        <v>100</v>
      </c>
      <c r="AA40" s="950">
        <f t="shared" si="35"/>
        <v>1.6949152542372881</v>
      </c>
      <c r="AB40" s="949">
        <v>0</v>
      </c>
      <c r="AC40" s="959">
        <f t="shared" si="12"/>
        <v>100</v>
      </c>
      <c r="AD40" s="950">
        <f t="shared" si="36"/>
        <v>1.6949152542372881</v>
      </c>
      <c r="AE40" s="949">
        <v>55</v>
      </c>
      <c r="AF40" s="959">
        <f t="shared" si="13"/>
        <v>45</v>
      </c>
      <c r="AG40" s="950">
        <f t="shared" si="37"/>
        <v>0.76271186440677963</v>
      </c>
      <c r="AH40" s="949">
        <v>0</v>
      </c>
      <c r="AI40" s="959">
        <f t="shared" si="14"/>
        <v>45</v>
      </c>
      <c r="AJ40" s="950">
        <f t="shared" si="38"/>
        <v>0.76271186440677963</v>
      </c>
      <c r="AK40" s="949">
        <v>55</v>
      </c>
      <c r="AL40" s="959">
        <f t="shared" si="0"/>
        <v>-10</v>
      </c>
      <c r="AM40" s="950">
        <f t="shared" si="24"/>
        <v>-0.16949152542372881</v>
      </c>
      <c r="AN40" s="949">
        <v>0</v>
      </c>
      <c r="AO40" s="959">
        <f t="shared" si="1"/>
        <v>-10</v>
      </c>
      <c r="AP40" s="950">
        <f t="shared" si="25"/>
        <v>-0.16949152542372881</v>
      </c>
      <c r="AQ40" s="949">
        <v>55</v>
      </c>
      <c r="AR40" s="959">
        <f t="shared" si="2"/>
        <v>-65</v>
      </c>
      <c r="AS40" s="950">
        <f t="shared" si="26"/>
        <v>-1.1016949152542372</v>
      </c>
      <c r="AT40" s="949">
        <v>55</v>
      </c>
      <c r="AU40" s="959">
        <f t="shared" si="3"/>
        <v>-120</v>
      </c>
      <c r="AV40" s="950">
        <f t="shared" si="27"/>
        <v>-2.0338983050847457</v>
      </c>
      <c r="AW40" s="949">
        <v>0</v>
      </c>
      <c r="AX40" s="959">
        <f t="shared" si="4"/>
        <v>-120</v>
      </c>
      <c r="AY40" s="950">
        <f t="shared" si="28"/>
        <v>-2.0338983050847457</v>
      </c>
      <c r="AZ40" s="949">
        <v>55</v>
      </c>
      <c r="BA40" s="959">
        <f t="shared" si="5"/>
        <v>-175</v>
      </c>
      <c r="BB40" s="950">
        <f t="shared" si="29"/>
        <v>-2.9661016949152543</v>
      </c>
    </row>
    <row r="41" spans="1:54" ht="38.25" thickBot="1">
      <c r="A41" s="1236"/>
      <c r="B41" s="1210"/>
      <c r="C41" s="1043" t="s">
        <v>101</v>
      </c>
      <c r="D41" s="1201"/>
      <c r="E41" s="1043">
        <v>18</v>
      </c>
      <c r="F41" s="914">
        <v>59</v>
      </c>
      <c r="G41" s="648" t="s">
        <v>431</v>
      </c>
      <c r="H41" s="1163"/>
      <c r="I41" s="967">
        <v>5</v>
      </c>
      <c r="J41" s="953">
        <v>0</v>
      </c>
      <c r="K41" s="959">
        <f t="shared" si="6"/>
        <v>5</v>
      </c>
      <c r="L41" s="954">
        <f t="shared" si="30"/>
        <v>8.4745762711864403E-2</v>
      </c>
      <c r="M41" s="953">
        <v>0</v>
      </c>
      <c r="N41" s="959">
        <f t="shared" si="7"/>
        <v>5</v>
      </c>
      <c r="O41" s="954">
        <f t="shared" si="31"/>
        <v>8.4745762711864403E-2</v>
      </c>
      <c r="P41" s="953">
        <v>0</v>
      </c>
      <c r="Q41" s="959">
        <f t="shared" si="8"/>
        <v>5</v>
      </c>
      <c r="R41" s="954">
        <f t="shared" si="32"/>
        <v>8.4745762711864403E-2</v>
      </c>
      <c r="S41" s="953">
        <v>0</v>
      </c>
      <c r="T41" s="959">
        <f t="shared" si="9"/>
        <v>5</v>
      </c>
      <c r="U41" s="954">
        <f t="shared" si="33"/>
        <v>8.4745762711864403E-2</v>
      </c>
      <c r="V41" s="953">
        <v>0</v>
      </c>
      <c r="W41" s="959">
        <f t="shared" si="10"/>
        <v>5</v>
      </c>
      <c r="X41" s="954">
        <f t="shared" si="34"/>
        <v>8.4745762711864403E-2</v>
      </c>
      <c r="Y41" s="953">
        <v>0</v>
      </c>
      <c r="Z41" s="959">
        <f t="shared" si="11"/>
        <v>5</v>
      </c>
      <c r="AA41" s="954">
        <f t="shared" si="35"/>
        <v>8.4745762711864403E-2</v>
      </c>
      <c r="AB41" s="953">
        <v>0</v>
      </c>
      <c r="AC41" s="959">
        <f t="shared" si="12"/>
        <v>5</v>
      </c>
      <c r="AD41" s="954">
        <f t="shared" si="36"/>
        <v>8.4745762711864403E-2</v>
      </c>
      <c r="AE41" s="953">
        <v>0</v>
      </c>
      <c r="AF41" s="959">
        <f t="shared" si="13"/>
        <v>5</v>
      </c>
      <c r="AG41" s="954">
        <f t="shared" si="37"/>
        <v>8.4745762711864403E-2</v>
      </c>
      <c r="AH41" s="953">
        <v>0</v>
      </c>
      <c r="AI41" s="959">
        <f t="shared" si="14"/>
        <v>5</v>
      </c>
      <c r="AJ41" s="954">
        <f t="shared" si="38"/>
        <v>8.4745762711864403E-2</v>
      </c>
      <c r="AK41" s="953">
        <v>0</v>
      </c>
      <c r="AL41" s="959">
        <f t="shared" si="0"/>
        <v>5</v>
      </c>
      <c r="AM41" s="954">
        <f t="shared" si="24"/>
        <v>8.4745762711864403E-2</v>
      </c>
      <c r="AN41" s="953">
        <v>0</v>
      </c>
      <c r="AO41" s="959">
        <f t="shared" si="1"/>
        <v>5</v>
      </c>
      <c r="AP41" s="954">
        <f t="shared" si="25"/>
        <v>8.4745762711864403E-2</v>
      </c>
      <c r="AQ41" s="953">
        <v>0</v>
      </c>
      <c r="AR41" s="959">
        <f t="shared" si="2"/>
        <v>5</v>
      </c>
      <c r="AS41" s="954">
        <f t="shared" si="26"/>
        <v>8.4745762711864403E-2</v>
      </c>
      <c r="AT41" s="953">
        <v>0</v>
      </c>
      <c r="AU41" s="959">
        <f t="shared" si="3"/>
        <v>5</v>
      </c>
      <c r="AV41" s="954">
        <f t="shared" si="27"/>
        <v>8.4745762711864403E-2</v>
      </c>
      <c r="AW41" s="953">
        <v>0</v>
      </c>
      <c r="AX41" s="959">
        <f t="shared" si="4"/>
        <v>5</v>
      </c>
      <c r="AY41" s="954">
        <f t="shared" si="28"/>
        <v>8.4745762711864403E-2</v>
      </c>
      <c r="AZ41" s="953">
        <v>0</v>
      </c>
      <c r="BA41" s="959">
        <f t="shared" si="5"/>
        <v>5</v>
      </c>
      <c r="BB41" s="954">
        <f t="shared" si="29"/>
        <v>8.4745762711864403E-2</v>
      </c>
    </row>
    <row r="42" spans="1:54" ht="38.25" thickBot="1">
      <c r="A42" s="1213" t="s">
        <v>380</v>
      </c>
      <c r="B42" s="978" t="s">
        <v>515</v>
      </c>
      <c r="C42" s="1041" t="s">
        <v>69</v>
      </c>
      <c r="D42" s="1183" t="s">
        <v>471</v>
      </c>
      <c r="E42" s="1041">
        <v>1344</v>
      </c>
      <c r="F42" s="980">
        <v>72</v>
      </c>
      <c r="G42" s="981" t="s">
        <v>420</v>
      </c>
      <c r="H42" s="1029" t="s">
        <v>318</v>
      </c>
      <c r="I42" s="983">
        <f>230+414+120-714</f>
        <v>50</v>
      </c>
      <c r="J42" s="956">
        <v>0</v>
      </c>
      <c r="K42" s="959">
        <f t="shared" si="6"/>
        <v>50</v>
      </c>
      <c r="L42" s="985">
        <f t="shared" si="30"/>
        <v>0.69444444444444442</v>
      </c>
      <c r="M42" s="956">
        <v>0</v>
      </c>
      <c r="N42" s="959">
        <f t="shared" si="7"/>
        <v>50</v>
      </c>
      <c r="O42" s="985">
        <f t="shared" si="31"/>
        <v>0.69444444444444442</v>
      </c>
      <c r="P42" s="956">
        <v>0</v>
      </c>
      <c r="Q42" s="959">
        <f t="shared" si="8"/>
        <v>50</v>
      </c>
      <c r="R42" s="985">
        <f t="shared" si="32"/>
        <v>0.69444444444444442</v>
      </c>
      <c r="S42" s="956">
        <v>0</v>
      </c>
      <c r="T42" s="959">
        <f t="shared" si="9"/>
        <v>50</v>
      </c>
      <c r="U42" s="985">
        <f t="shared" si="33"/>
        <v>0.69444444444444442</v>
      </c>
      <c r="V42" s="956">
        <v>0</v>
      </c>
      <c r="W42" s="959">
        <f t="shared" si="10"/>
        <v>50</v>
      </c>
      <c r="X42" s="985">
        <f t="shared" si="34"/>
        <v>0.69444444444444442</v>
      </c>
      <c r="Y42" s="956">
        <v>0</v>
      </c>
      <c r="Z42" s="959">
        <f t="shared" si="11"/>
        <v>50</v>
      </c>
      <c r="AA42" s="985">
        <f t="shared" si="35"/>
        <v>0.69444444444444442</v>
      </c>
      <c r="AB42" s="956">
        <v>0</v>
      </c>
      <c r="AC42" s="959">
        <f t="shared" si="12"/>
        <v>50</v>
      </c>
      <c r="AD42" s="985">
        <f t="shared" si="36"/>
        <v>0.69444444444444442</v>
      </c>
      <c r="AE42" s="956">
        <v>0</v>
      </c>
      <c r="AF42" s="959">
        <f t="shared" si="13"/>
        <v>50</v>
      </c>
      <c r="AG42" s="985">
        <f t="shared" si="37"/>
        <v>0.69444444444444442</v>
      </c>
      <c r="AH42" s="956">
        <v>185</v>
      </c>
      <c r="AI42" s="959">
        <f t="shared" si="14"/>
        <v>-135</v>
      </c>
      <c r="AJ42" s="985">
        <f t="shared" si="38"/>
        <v>-1.875</v>
      </c>
      <c r="AK42" s="956">
        <v>185</v>
      </c>
      <c r="AL42" s="959">
        <f t="shared" si="0"/>
        <v>-320</v>
      </c>
      <c r="AM42" s="985">
        <f t="shared" si="24"/>
        <v>-4.4444444444444446</v>
      </c>
      <c r="AN42" s="956">
        <v>360</v>
      </c>
      <c r="AO42" s="959">
        <f t="shared" si="1"/>
        <v>-680</v>
      </c>
      <c r="AP42" s="985">
        <f t="shared" si="25"/>
        <v>-9.4444444444444446</v>
      </c>
      <c r="AQ42" s="956">
        <v>185</v>
      </c>
      <c r="AR42" s="959">
        <f t="shared" si="2"/>
        <v>-865</v>
      </c>
      <c r="AS42" s="985">
        <f t="shared" si="26"/>
        <v>-12.013888888888889</v>
      </c>
      <c r="AT42" s="956">
        <v>185</v>
      </c>
      <c r="AU42" s="959">
        <f t="shared" si="3"/>
        <v>-1050</v>
      </c>
      <c r="AV42" s="985">
        <f t="shared" si="27"/>
        <v>-14.583333333333334</v>
      </c>
      <c r="AW42" s="956">
        <v>0</v>
      </c>
      <c r="AX42" s="959">
        <f t="shared" si="4"/>
        <v>-1050</v>
      </c>
      <c r="AY42" s="985">
        <f t="shared" si="28"/>
        <v>-14.583333333333334</v>
      </c>
      <c r="AZ42" s="956">
        <v>185</v>
      </c>
      <c r="BA42" s="959">
        <f t="shared" si="5"/>
        <v>-1235</v>
      </c>
      <c r="BB42" s="985">
        <f t="shared" si="29"/>
        <v>-17.152777777777779</v>
      </c>
    </row>
    <row r="43" spans="1:54" ht="38.25" thickBot="1">
      <c r="A43" s="1214"/>
      <c r="B43" s="1035" t="s">
        <v>513</v>
      </c>
      <c r="C43" s="1042" t="s">
        <v>72</v>
      </c>
      <c r="D43" s="1184"/>
      <c r="E43" s="1042">
        <v>520</v>
      </c>
      <c r="F43" s="897">
        <v>75</v>
      </c>
      <c r="G43" s="644" t="s">
        <v>537</v>
      </c>
      <c r="H43" s="1166" t="s">
        <v>320</v>
      </c>
      <c r="I43" s="966">
        <f>344+304+366-500</f>
        <v>514</v>
      </c>
      <c r="J43" s="948">
        <v>0</v>
      </c>
      <c r="K43" s="959">
        <f t="shared" si="6"/>
        <v>514</v>
      </c>
      <c r="L43" s="950">
        <f t="shared" si="30"/>
        <v>6.8533333333333335</v>
      </c>
      <c r="M43" s="948">
        <v>0</v>
      </c>
      <c r="N43" s="959">
        <f t="shared" si="7"/>
        <v>514</v>
      </c>
      <c r="O43" s="950">
        <f t="shared" si="31"/>
        <v>6.8533333333333335</v>
      </c>
      <c r="P43" s="948">
        <v>0</v>
      </c>
      <c r="Q43" s="959">
        <f t="shared" si="8"/>
        <v>514</v>
      </c>
      <c r="R43" s="950">
        <f t="shared" si="32"/>
        <v>6.8533333333333335</v>
      </c>
      <c r="S43" s="948">
        <v>0</v>
      </c>
      <c r="T43" s="959">
        <f t="shared" si="9"/>
        <v>514</v>
      </c>
      <c r="U43" s="950">
        <f t="shared" si="33"/>
        <v>6.8533333333333335</v>
      </c>
      <c r="V43" s="948">
        <v>0</v>
      </c>
      <c r="W43" s="959">
        <f t="shared" si="10"/>
        <v>514</v>
      </c>
      <c r="X43" s="950">
        <f t="shared" si="34"/>
        <v>6.8533333333333335</v>
      </c>
      <c r="Y43" s="948">
        <v>0</v>
      </c>
      <c r="Z43" s="959">
        <f t="shared" si="11"/>
        <v>514</v>
      </c>
      <c r="AA43" s="950">
        <f t="shared" si="35"/>
        <v>6.8533333333333335</v>
      </c>
      <c r="AB43" s="948">
        <v>0</v>
      </c>
      <c r="AC43" s="959">
        <f t="shared" si="12"/>
        <v>514</v>
      </c>
      <c r="AD43" s="950">
        <f t="shared" si="36"/>
        <v>6.8533333333333335</v>
      </c>
      <c r="AE43" s="948">
        <v>0</v>
      </c>
      <c r="AF43" s="959">
        <f t="shared" si="13"/>
        <v>514</v>
      </c>
      <c r="AG43" s="950">
        <f t="shared" si="37"/>
        <v>6.8533333333333335</v>
      </c>
      <c r="AH43" s="948">
        <v>126</v>
      </c>
      <c r="AI43" s="959">
        <f t="shared" si="14"/>
        <v>388</v>
      </c>
      <c r="AJ43" s="950">
        <f t="shared" si="38"/>
        <v>5.1733333333333329</v>
      </c>
      <c r="AK43" s="948">
        <v>126</v>
      </c>
      <c r="AL43" s="959">
        <f t="shared" si="0"/>
        <v>262</v>
      </c>
      <c r="AM43" s="950">
        <f t="shared" si="24"/>
        <v>3.4933333333333332</v>
      </c>
      <c r="AN43" s="948">
        <v>0</v>
      </c>
      <c r="AO43" s="959">
        <f t="shared" si="1"/>
        <v>262</v>
      </c>
      <c r="AP43" s="950">
        <f t="shared" si="25"/>
        <v>3.4933333333333332</v>
      </c>
      <c r="AQ43" s="948">
        <v>126</v>
      </c>
      <c r="AR43" s="959">
        <f t="shared" si="2"/>
        <v>136</v>
      </c>
      <c r="AS43" s="950">
        <f t="shared" si="26"/>
        <v>1.8133333333333332</v>
      </c>
      <c r="AT43" s="948">
        <v>126</v>
      </c>
      <c r="AU43" s="959">
        <f t="shared" si="3"/>
        <v>10</v>
      </c>
      <c r="AV43" s="950">
        <f t="shared" si="27"/>
        <v>0.13333333333333333</v>
      </c>
      <c r="AW43" s="948">
        <v>0</v>
      </c>
      <c r="AX43" s="959">
        <f t="shared" si="4"/>
        <v>10</v>
      </c>
      <c r="AY43" s="950">
        <f t="shared" si="28"/>
        <v>0.13333333333333333</v>
      </c>
      <c r="AZ43" s="948">
        <v>126</v>
      </c>
      <c r="BA43" s="959">
        <f t="shared" si="5"/>
        <v>-116</v>
      </c>
      <c r="BB43" s="950">
        <f t="shared" si="29"/>
        <v>-1.5466666666666666</v>
      </c>
    </row>
    <row r="44" spans="1:54" ht="38.25" thickBot="1">
      <c r="A44" s="1214"/>
      <c r="B44" s="1035"/>
      <c r="C44" s="1042" t="s">
        <v>73</v>
      </c>
      <c r="D44" s="1184"/>
      <c r="E44" s="1042">
        <v>520</v>
      </c>
      <c r="F44" s="897">
        <v>75</v>
      </c>
      <c r="G44" s="644" t="s">
        <v>538</v>
      </c>
      <c r="H44" s="1167"/>
      <c r="I44" s="966">
        <v>514</v>
      </c>
      <c r="J44" s="948">
        <v>0</v>
      </c>
      <c r="K44" s="959">
        <f t="shared" si="6"/>
        <v>514</v>
      </c>
      <c r="L44" s="950">
        <f t="shared" si="30"/>
        <v>6.8533333333333335</v>
      </c>
      <c r="M44" s="948">
        <v>0</v>
      </c>
      <c r="N44" s="959">
        <f t="shared" si="7"/>
        <v>514</v>
      </c>
      <c r="O44" s="950">
        <f t="shared" si="31"/>
        <v>6.8533333333333335</v>
      </c>
      <c r="P44" s="948">
        <v>0</v>
      </c>
      <c r="Q44" s="959">
        <f t="shared" si="8"/>
        <v>514</v>
      </c>
      <c r="R44" s="950">
        <f t="shared" si="32"/>
        <v>6.8533333333333335</v>
      </c>
      <c r="S44" s="948">
        <v>0</v>
      </c>
      <c r="T44" s="959">
        <f t="shared" si="9"/>
        <v>514</v>
      </c>
      <c r="U44" s="950">
        <f t="shared" si="33"/>
        <v>6.8533333333333335</v>
      </c>
      <c r="V44" s="948">
        <v>0</v>
      </c>
      <c r="W44" s="959">
        <f t="shared" si="10"/>
        <v>514</v>
      </c>
      <c r="X44" s="950">
        <f t="shared" si="34"/>
        <v>6.8533333333333335</v>
      </c>
      <c r="Y44" s="948">
        <v>0</v>
      </c>
      <c r="Z44" s="959">
        <f t="shared" si="11"/>
        <v>514</v>
      </c>
      <c r="AA44" s="950">
        <f t="shared" si="35"/>
        <v>6.8533333333333335</v>
      </c>
      <c r="AB44" s="948">
        <v>0</v>
      </c>
      <c r="AC44" s="959">
        <f t="shared" si="12"/>
        <v>514</v>
      </c>
      <c r="AD44" s="950">
        <f t="shared" si="36"/>
        <v>6.8533333333333335</v>
      </c>
      <c r="AE44" s="948">
        <v>0</v>
      </c>
      <c r="AF44" s="959">
        <f t="shared" si="13"/>
        <v>514</v>
      </c>
      <c r="AG44" s="950">
        <f t="shared" si="37"/>
        <v>6.8533333333333335</v>
      </c>
      <c r="AH44" s="948">
        <v>126</v>
      </c>
      <c r="AI44" s="959">
        <f t="shared" si="14"/>
        <v>388</v>
      </c>
      <c r="AJ44" s="950">
        <f t="shared" si="38"/>
        <v>5.1733333333333329</v>
      </c>
      <c r="AK44" s="948">
        <v>126</v>
      </c>
      <c r="AL44" s="959">
        <f t="shared" si="0"/>
        <v>262</v>
      </c>
      <c r="AM44" s="950">
        <f t="shared" si="24"/>
        <v>3.4933333333333332</v>
      </c>
      <c r="AN44" s="948">
        <v>0</v>
      </c>
      <c r="AO44" s="959">
        <f t="shared" si="1"/>
        <v>262</v>
      </c>
      <c r="AP44" s="950">
        <f t="shared" si="25"/>
        <v>3.4933333333333332</v>
      </c>
      <c r="AQ44" s="948">
        <v>126</v>
      </c>
      <c r="AR44" s="959">
        <f t="shared" si="2"/>
        <v>136</v>
      </c>
      <c r="AS44" s="950">
        <f t="shared" si="26"/>
        <v>1.8133333333333332</v>
      </c>
      <c r="AT44" s="948">
        <v>126</v>
      </c>
      <c r="AU44" s="959">
        <f t="shared" si="3"/>
        <v>10</v>
      </c>
      <c r="AV44" s="950">
        <f t="shared" si="27"/>
        <v>0.13333333333333333</v>
      </c>
      <c r="AW44" s="948">
        <v>0</v>
      </c>
      <c r="AX44" s="959">
        <f t="shared" si="4"/>
        <v>10</v>
      </c>
      <c r="AY44" s="950">
        <f t="shared" si="28"/>
        <v>0.13333333333333333</v>
      </c>
      <c r="AZ44" s="948">
        <v>126</v>
      </c>
      <c r="BA44" s="959">
        <f t="shared" si="5"/>
        <v>-116</v>
      </c>
      <c r="BB44" s="950">
        <f t="shared" si="29"/>
        <v>-1.5466666666666666</v>
      </c>
    </row>
    <row r="45" spans="1:54" ht="38.25" thickBot="1">
      <c r="A45" s="1214"/>
      <c r="B45" s="1035" t="s">
        <v>513</v>
      </c>
      <c r="C45" s="1039" t="s">
        <v>74</v>
      </c>
      <c r="D45" s="1185"/>
      <c r="E45" s="1039">
        <v>438</v>
      </c>
      <c r="F45" s="897">
        <v>70</v>
      </c>
      <c r="G45" s="644" t="s">
        <v>423</v>
      </c>
      <c r="H45" s="1030" t="s">
        <v>321</v>
      </c>
      <c r="I45" s="966">
        <v>80</v>
      </c>
      <c r="J45" s="948">
        <v>0</v>
      </c>
      <c r="K45" s="959">
        <f t="shared" si="6"/>
        <v>80</v>
      </c>
      <c r="L45" s="950">
        <f t="shared" si="30"/>
        <v>1.1428571428571428</v>
      </c>
      <c r="M45" s="948">
        <v>0</v>
      </c>
      <c r="N45" s="959">
        <f t="shared" si="7"/>
        <v>80</v>
      </c>
      <c r="O45" s="950">
        <f t="shared" si="31"/>
        <v>1.1428571428571428</v>
      </c>
      <c r="P45" s="948">
        <v>0</v>
      </c>
      <c r="Q45" s="959">
        <f t="shared" si="8"/>
        <v>80</v>
      </c>
      <c r="R45" s="950">
        <f t="shared" si="32"/>
        <v>1.1428571428571428</v>
      </c>
      <c r="S45" s="948">
        <v>0</v>
      </c>
      <c r="T45" s="959">
        <f t="shared" si="9"/>
        <v>80</v>
      </c>
      <c r="U45" s="950">
        <f t="shared" si="33"/>
        <v>1.1428571428571428</v>
      </c>
      <c r="V45" s="948">
        <v>0</v>
      </c>
      <c r="W45" s="959">
        <f t="shared" si="10"/>
        <v>80</v>
      </c>
      <c r="X45" s="950">
        <f t="shared" si="34"/>
        <v>1.1428571428571428</v>
      </c>
      <c r="Y45" s="948">
        <v>0</v>
      </c>
      <c r="Z45" s="959">
        <f t="shared" si="11"/>
        <v>80</v>
      </c>
      <c r="AA45" s="950">
        <f t="shared" si="35"/>
        <v>1.1428571428571428</v>
      </c>
      <c r="AB45" s="948">
        <v>0</v>
      </c>
      <c r="AC45" s="959">
        <f t="shared" si="12"/>
        <v>80</v>
      </c>
      <c r="AD45" s="950">
        <f t="shared" si="36"/>
        <v>1.1428571428571428</v>
      </c>
      <c r="AE45" s="948">
        <v>0</v>
      </c>
      <c r="AF45" s="959">
        <f t="shared" si="13"/>
        <v>80</v>
      </c>
      <c r="AG45" s="950">
        <f t="shared" si="37"/>
        <v>1.1428571428571428</v>
      </c>
      <c r="AH45" s="948">
        <v>22</v>
      </c>
      <c r="AI45" s="959">
        <f t="shared" si="14"/>
        <v>58</v>
      </c>
      <c r="AJ45" s="950">
        <f t="shared" si="38"/>
        <v>0.82857142857142863</v>
      </c>
      <c r="AK45" s="948">
        <v>22</v>
      </c>
      <c r="AL45" s="959">
        <f t="shared" si="0"/>
        <v>36</v>
      </c>
      <c r="AM45" s="950">
        <f t="shared" si="24"/>
        <v>0.51428571428571423</v>
      </c>
      <c r="AN45" s="948">
        <v>0</v>
      </c>
      <c r="AO45" s="959">
        <f t="shared" si="1"/>
        <v>36</v>
      </c>
      <c r="AP45" s="950">
        <f t="shared" si="25"/>
        <v>0.51428571428571423</v>
      </c>
      <c r="AQ45" s="948">
        <v>22</v>
      </c>
      <c r="AR45" s="959">
        <f t="shared" si="2"/>
        <v>14</v>
      </c>
      <c r="AS45" s="950">
        <f t="shared" si="26"/>
        <v>0.2</v>
      </c>
      <c r="AT45" s="948">
        <v>22</v>
      </c>
      <c r="AU45" s="959">
        <f t="shared" si="3"/>
        <v>-8</v>
      </c>
      <c r="AV45" s="950">
        <f t="shared" si="27"/>
        <v>-0.11428571428571428</v>
      </c>
      <c r="AW45" s="948">
        <v>0</v>
      </c>
      <c r="AX45" s="959">
        <f t="shared" si="4"/>
        <v>-8</v>
      </c>
      <c r="AY45" s="950">
        <f t="shared" si="28"/>
        <v>-0.11428571428571428</v>
      </c>
      <c r="AZ45" s="948">
        <v>22</v>
      </c>
      <c r="BA45" s="959">
        <f t="shared" si="5"/>
        <v>-30</v>
      </c>
      <c r="BB45" s="950">
        <f t="shared" si="29"/>
        <v>-0.42857142857142855</v>
      </c>
    </row>
    <row r="46" spans="1:54" ht="34.5" customHeight="1" thickBot="1">
      <c r="A46" s="1214"/>
      <c r="B46" s="1035" t="s">
        <v>516</v>
      </c>
      <c r="C46" s="1042" t="s">
        <v>386</v>
      </c>
      <c r="D46" s="1203" t="s">
        <v>472</v>
      </c>
      <c r="E46" s="1042">
        <v>1800</v>
      </c>
      <c r="F46" s="897">
        <v>100</v>
      </c>
      <c r="G46" s="644" t="s">
        <v>293</v>
      </c>
      <c r="H46" s="1030" t="s">
        <v>398</v>
      </c>
      <c r="I46" s="966">
        <v>68</v>
      </c>
      <c r="J46" s="948">
        <v>0</v>
      </c>
      <c r="K46" s="959">
        <f t="shared" si="6"/>
        <v>68</v>
      </c>
      <c r="L46" s="950">
        <f t="shared" si="30"/>
        <v>0.68</v>
      </c>
      <c r="M46" s="948">
        <v>0</v>
      </c>
      <c r="N46" s="959">
        <f t="shared" si="7"/>
        <v>68</v>
      </c>
      <c r="O46" s="950">
        <f t="shared" si="31"/>
        <v>0.68</v>
      </c>
      <c r="P46" s="948">
        <v>0</v>
      </c>
      <c r="Q46" s="959">
        <f t="shared" si="8"/>
        <v>68</v>
      </c>
      <c r="R46" s="950">
        <f t="shared" si="32"/>
        <v>0.68</v>
      </c>
      <c r="S46" s="948">
        <v>0</v>
      </c>
      <c r="T46" s="959">
        <f t="shared" si="9"/>
        <v>68</v>
      </c>
      <c r="U46" s="950">
        <f t="shared" si="33"/>
        <v>0.68</v>
      </c>
      <c r="V46" s="948">
        <v>0</v>
      </c>
      <c r="W46" s="959">
        <f t="shared" si="10"/>
        <v>68</v>
      </c>
      <c r="X46" s="950">
        <f t="shared" si="34"/>
        <v>0.68</v>
      </c>
      <c r="Y46" s="948">
        <v>0</v>
      </c>
      <c r="Z46" s="959">
        <f t="shared" si="11"/>
        <v>68</v>
      </c>
      <c r="AA46" s="950">
        <f t="shared" si="35"/>
        <v>0.68</v>
      </c>
      <c r="AB46" s="948">
        <v>0</v>
      </c>
      <c r="AC46" s="959">
        <f t="shared" si="12"/>
        <v>68</v>
      </c>
      <c r="AD46" s="950">
        <f t="shared" si="36"/>
        <v>0.68</v>
      </c>
      <c r="AE46" s="948">
        <v>280</v>
      </c>
      <c r="AF46" s="959">
        <f t="shared" si="13"/>
        <v>-212</v>
      </c>
      <c r="AG46" s="950">
        <f t="shared" si="37"/>
        <v>-2.12</v>
      </c>
      <c r="AH46" s="948">
        <v>280</v>
      </c>
      <c r="AI46" s="959">
        <f t="shared" si="14"/>
        <v>-492</v>
      </c>
      <c r="AJ46" s="950">
        <f t="shared" si="38"/>
        <v>-4.92</v>
      </c>
      <c r="AK46" s="948">
        <v>280</v>
      </c>
      <c r="AL46" s="959">
        <f t="shared" si="0"/>
        <v>-772</v>
      </c>
      <c r="AM46" s="950">
        <f t="shared" si="24"/>
        <v>-7.72</v>
      </c>
      <c r="AN46" s="948">
        <v>280</v>
      </c>
      <c r="AO46" s="959">
        <f t="shared" si="1"/>
        <v>-1052</v>
      </c>
      <c r="AP46" s="950">
        <f t="shared" si="25"/>
        <v>-10.52</v>
      </c>
      <c r="AQ46" s="948">
        <v>280</v>
      </c>
      <c r="AR46" s="959">
        <f t="shared" si="2"/>
        <v>-1332</v>
      </c>
      <c r="AS46" s="950">
        <f t="shared" si="26"/>
        <v>-13.32</v>
      </c>
      <c r="AT46" s="948">
        <v>280</v>
      </c>
      <c r="AU46" s="959">
        <f t="shared" si="3"/>
        <v>-1612</v>
      </c>
      <c r="AV46" s="950">
        <f t="shared" si="27"/>
        <v>-16.12</v>
      </c>
      <c r="AW46" s="948">
        <v>280</v>
      </c>
      <c r="AX46" s="959">
        <f t="shared" si="4"/>
        <v>-1892</v>
      </c>
      <c r="AY46" s="950">
        <f t="shared" si="28"/>
        <v>-18.920000000000002</v>
      </c>
      <c r="AZ46" s="948">
        <v>280</v>
      </c>
      <c r="BA46" s="959">
        <f t="shared" si="5"/>
        <v>-2172</v>
      </c>
      <c r="BB46" s="950">
        <f t="shared" si="29"/>
        <v>-21.72</v>
      </c>
    </row>
    <row r="47" spans="1:54" ht="30" customHeight="1" thickBot="1">
      <c r="A47" s="1214"/>
      <c r="B47" s="1035" t="s">
        <v>516</v>
      </c>
      <c r="C47" s="1042" t="s">
        <v>389</v>
      </c>
      <c r="D47" s="1200"/>
      <c r="E47" s="1188">
        <v>1170</v>
      </c>
      <c r="F47" s="897">
        <v>60</v>
      </c>
      <c r="G47" s="644" t="s">
        <v>548</v>
      </c>
      <c r="H47" s="1162" t="s">
        <v>397</v>
      </c>
      <c r="I47" s="966">
        <v>59</v>
      </c>
      <c r="J47" s="948">
        <v>0</v>
      </c>
      <c r="K47" s="959">
        <f t="shared" si="6"/>
        <v>59</v>
      </c>
      <c r="L47" s="950">
        <f t="shared" si="30"/>
        <v>0.98333333333333328</v>
      </c>
      <c r="M47" s="948">
        <v>0</v>
      </c>
      <c r="N47" s="959">
        <f t="shared" si="7"/>
        <v>59</v>
      </c>
      <c r="O47" s="950">
        <f t="shared" si="31"/>
        <v>0.98333333333333328</v>
      </c>
      <c r="P47" s="948">
        <v>0</v>
      </c>
      <c r="Q47" s="959">
        <f t="shared" si="8"/>
        <v>59</v>
      </c>
      <c r="R47" s="950">
        <f t="shared" si="32"/>
        <v>0.98333333333333328</v>
      </c>
      <c r="S47" s="948">
        <v>0</v>
      </c>
      <c r="T47" s="959">
        <f t="shared" si="9"/>
        <v>59</v>
      </c>
      <c r="U47" s="950">
        <f t="shared" si="33"/>
        <v>0.98333333333333328</v>
      </c>
      <c r="V47" s="948">
        <v>0</v>
      </c>
      <c r="W47" s="959">
        <f t="shared" si="10"/>
        <v>59</v>
      </c>
      <c r="X47" s="950">
        <f t="shared" si="34"/>
        <v>0.98333333333333328</v>
      </c>
      <c r="Y47" s="948">
        <v>0</v>
      </c>
      <c r="Z47" s="959">
        <f t="shared" si="11"/>
        <v>59</v>
      </c>
      <c r="AA47" s="950">
        <f t="shared" si="35"/>
        <v>0.98333333333333328</v>
      </c>
      <c r="AB47" s="948">
        <v>0</v>
      </c>
      <c r="AC47" s="959">
        <f t="shared" si="12"/>
        <v>59</v>
      </c>
      <c r="AD47" s="950">
        <f t="shared" si="36"/>
        <v>0.98333333333333328</v>
      </c>
      <c r="AE47" s="948">
        <v>0</v>
      </c>
      <c r="AF47" s="959">
        <f t="shared" si="13"/>
        <v>59</v>
      </c>
      <c r="AG47" s="950">
        <f t="shared" si="37"/>
        <v>0.98333333333333328</v>
      </c>
      <c r="AH47" s="948">
        <v>0</v>
      </c>
      <c r="AI47" s="959">
        <f t="shared" si="14"/>
        <v>59</v>
      </c>
      <c r="AJ47" s="950">
        <f t="shared" si="38"/>
        <v>0.98333333333333328</v>
      </c>
      <c r="AK47" s="948">
        <v>0</v>
      </c>
      <c r="AL47" s="959">
        <f t="shared" si="0"/>
        <v>59</v>
      </c>
      <c r="AM47" s="950">
        <f t="shared" si="24"/>
        <v>0.98333333333333328</v>
      </c>
      <c r="AN47" s="948">
        <v>0</v>
      </c>
      <c r="AO47" s="959">
        <f t="shared" si="1"/>
        <v>59</v>
      </c>
      <c r="AP47" s="950">
        <f t="shared" si="25"/>
        <v>0.98333333333333328</v>
      </c>
      <c r="AQ47" s="948">
        <v>0</v>
      </c>
      <c r="AR47" s="959">
        <f t="shared" si="2"/>
        <v>59</v>
      </c>
      <c r="AS47" s="950">
        <f t="shared" si="26"/>
        <v>0.98333333333333328</v>
      </c>
      <c r="AT47" s="948">
        <v>0</v>
      </c>
      <c r="AU47" s="959">
        <f t="shared" si="3"/>
        <v>59</v>
      </c>
      <c r="AV47" s="950">
        <f t="shared" si="27"/>
        <v>0.98333333333333328</v>
      </c>
      <c r="AW47" s="948">
        <v>0</v>
      </c>
      <c r="AX47" s="959">
        <f t="shared" si="4"/>
        <v>59</v>
      </c>
      <c r="AY47" s="950">
        <f t="shared" si="28"/>
        <v>0.98333333333333328</v>
      </c>
      <c r="AZ47" s="948">
        <v>0</v>
      </c>
      <c r="BA47" s="959">
        <f t="shared" si="5"/>
        <v>59</v>
      </c>
      <c r="BB47" s="950">
        <f t="shared" si="29"/>
        <v>0.98333333333333328</v>
      </c>
    </row>
    <row r="48" spans="1:54" ht="38.25" thickBot="1">
      <c r="A48" s="1214"/>
      <c r="B48" s="1035" t="s">
        <v>517</v>
      </c>
      <c r="C48" s="1039" t="s">
        <v>388</v>
      </c>
      <c r="D48" s="1200"/>
      <c r="E48" s="1188"/>
      <c r="F48" s="913">
        <v>60</v>
      </c>
      <c r="G48" s="637" t="s">
        <v>549</v>
      </c>
      <c r="H48" s="1162"/>
      <c r="I48" s="966">
        <v>266</v>
      </c>
      <c r="J48" s="948">
        <v>0</v>
      </c>
      <c r="K48" s="959">
        <f t="shared" si="6"/>
        <v>266</v>
      </c>
      <c r="L48" s="950">
        <f t="shared" si="30"/>
        <v>4.4333333333333336</v>
      </c>
      <c r="M48" s="948">
        <v>0</v>
      </c>
      <c r="N48" s="959">
        <f t="shared" si="7"/>
        <v>266</v>
      </c>
      <c r="O48" s="950">
        <f t="shared" si="31"/>
        <v>4.4333333333333336</v>
      </c>
      <c r="P48" s="948">
        <v>0</v>
      </c>
      <c r="Q48" s="959">
        <f t="shared" si="8"/>
        <v>266</v>
      </c>
      <c r="R48" s="950">
        <f t="shared" si="32"/>
        <v>4.4333333333333336</v>
      </c>
      <c r="S48" s="948">
        <v>0</v>
      </c>
      <c r="T48" s="959">
        <f t="shared" si="9"/>
        <v>266</v>
      </c>
      <c r="U48" s="950">
        <f t="shared" si="33"/>
        <v>4.4333333333333336</v>
      </c>
      <c r="V48" s="948">
        <v>0</v>
      </c>
      <c r="W48" s="959">
        <f t="shared" si="10"/>
        <v>266</v>
      </c>
      <c r="X48" s="950">
        <f t="shared" si="34"/>
        <v>4.4333333333333336</v>
      </c>
      <c r="Y48" s="948">
        <v>0</v>
      </c>
      <c r="Z48" s="959">
        <f t="shared" si="11"/>
        <v>266</v>
      </c>
      <c r="AA48" s="950">
        <f t="shared" si="35"/>
        <v>4.4333333333333336</v>
      </c>
      <c r="AB48" s="948">
        <v>0</v>
      </c>
      <c r="AC48" s="959">
        <f t="shared" si="12"/>
        <v>266</v>
      </c>
      <c r="AD48" s="950">
        <f t="shared" si="36"/>
        <v>4.4333333333333336</v>
      </c>
      <c r="AE48" s="948">
        <v>280</v>
      </c>
      <c r="AF48" s="959">
        <f t="shared" si="13"/>
        <v>-14</v>
      </c>
      <c r="AG48" s="950">
        <f t="shared" si="37"/>
        <v>-0.23333333333333334</v>
      </c>
      <c r="AH48" s="948">
        <v>280</v>
      </c>
      <c r="AI48" s="959">
        <f t="shared" si="14"/>
        <v>-294</v>
      </c>
      <c r="AJ48" s="950">
        <f t="shared" si="38"/>
        <v>-4.9000000000000004</v>
      </c>
      <c r="AK48" s="948">
        <v>280</v>
      </c>
      <c r="AL48" s="959">
        <f t="shared" si="0"/>
        <v>-574</v>
      </c>
      <c r="AM48" s="950">
        <f t="shared" si="24"/>
        <v>-9.5666666666666664</v>
      </c>
      <c r="AN48" s="948">
        <v>280</v>
      </c>
      <c r="AO48" s="959">
        <f t="shared" si="1"/>
        <v>-854</v>
      </c>
      <c r="AP48" s="950">
        <f t="shared" si="25"/>
        <v>-14.233333333333333</v>
      </c>
      <c r="AQ48" s="948">
        <v>280</v>
      </c>
      <c r="AR48" s="959">
        <f t="shared" si="2"/>
        <v>-1134</v>
      </c>
      <c r="AS48" s="950">
        <f t="shared" si="26"/>
        <v>-18.899999999999999</v>
      </c>
      <c r="AT48" s="948">
        <v>280</v>
      </c>
      <c r="AU48" s="959">
        <f t="shared" si="3"/>
        <v>-1414</v>
      </c>
      <c r="AV48" s="950">
        <f t="shared" si="27"/>
        <v>-23.566666666666666</v>
      </c>
      <c r="AW48" s="948">
        <v>280</v>
      </c>
      <c r="AX48" s="959">
        <f t="shared" si="4"/>
        <v>-1694</v>
      </c>
      <c r="AY48" s="950">
        <f t="shared" si="28"/>
        <v>-28.233333333333334</v>
      </c>
      <c r="AZ48" s="948">
        <v>280</v>
      </c>
      <c r="BA48" s="959">
        <f t="shared" si="5"/>
        <v>-1974</v>
      </c>
      <c r="BB48" s="950">
        <f t="shared" si="29"/>
        <v>-32.9</v>
      </c>
    </row>
    <row r="49" spans="1:54" ht="38.25" thickBot="1">
      <c r="A49" s="1215"/>
      <c r="B49" s="1045" t="s">
        <v>518</v>
      </c>
      <c r="C49" s="1040" t="s">
        <v>390</v>
      </c>
      <c r="D49" s="1201"/>
      <c r="E49" s="1189"/>
      <c r="F49" s="920">
        <v>60</v>
      </c>
      <c r="G49" s="921" t="s">
        <v>550</v>
      </c>
      <c r="H49" s="1163"/>
      <c r="I49" s="967">
        <v>103</v>
      </c>
      <c r="J49" s="952">
        <v>0</v>
      </c>
      <c r="K49" s="959">
        <f t="shared" si="6"/>
        <v>103</v>
      </c>
      <c r="L49" s="954">
        <f t="shared" si="30"/>
        <v>1.7166666666666666</v>
      </c>
      <c r="M49" s="952">
        <v>0</v>
      </c>
      <c r="N49" s="959">
        <f t="shared" si="7"/>
        <v>103</v>
      </c>
      <c r="O49" s="954">
        <f t="shared" si="31"/>
        <v>1.7166666666666666</v>
      </c>
      <c r="P49" s="952">
        <v>0</v>
      </c>
      <c r="Q49" s="959">
        <f t="shared" si="8"/>
        <v>103</v>
      </c>
      <c r="R49" s="954">
        <f t="shared" si="32"/>
        <v>1.7166666666666666</v>
      </c>
      <c r="S49" s="952">
        <v>0</v>
      </c>
      <c r="T49" s="959">
        <f t="shared" si="9"/>
        <v>103</v>
      </c>
      <c r="U49" s="954">
        <f t="shared" si="33"/>
        <v>1.7166666666666666</v>
      </c>
      <c r="V49" s="952">
        <v>0</v>
      </c>
      <c r="W49" s="959">
        <f t="shared" si="10"/>
        <v>103</v>
      </c>
      <c r="X49" s="954">
        <f t="shared" si="34"/>
        <v>1.7166666666666666</v>
      </c>
      <c r="Y49" s="952">
        <v>0</v>
      </c>
      <c r="Z49" s="959">
        <f t="shared" si="11"/>
        <v>103</v>
      </c>
      <c r="AA49" s="954">
        <f t="shared" si="35"/>
        <v>1.7166666666666666</v>
      </c>
      <c r="AB49" s="952">
        <v>0</v>
      </c>
      <c r="AC49" s="959">
        <f t="shared" si="12"/>
        <v>103</v>
      </c>
      <c r="AD49" s="954">
        <f t="shared" si="36"/>
        <v>1.7166666666666666</v>
      </c>
      <c r="AE49" s="952">
        <v>0</v>
      </c>
      <c r="AF49" s="959">
        <f t="shared" si="13"/>
        <v>103</v>
      </c>
      <c r="AG49" s="954">
        <f t="shared" si="37"/>
        <v>1.7166666666666666</v>
      </c>
      <c r="AH49" s="952">
        <v>0</v>
      </c>
      <c r="AI49" s="959">
        <f t="shared" si="14"/>
        <v>103</v>
      </c>
      <c r="AJ49" s="954">
        <f t="shared" si="38"/>
        <v>1.7166666666666666</v>
      </c>
      <c r="AK49" s="952">
        <v>0</v>
      </c>
      <c r="AL49" s="959">
        <f t="shared" si="0"/>
        <v>103</v>
      </c>
      <c r="AM49" s="954">
        <f t="shared" si="24"/>
        <v>1.7166666666666666</v>
      </c>
      <c r="AN49" s="952">
        <v>0</v>
      </c>
      <c r="AO49" s="959">
        <f t="shared" si="1"/>
        <v>103</v>
      </c>
      <c r="AP49" s="954">
        <f t="shared" si="25"/>
        <v>1.7166666666666666</v>
      </c>
      <c r="AQ49" s="952">
        <v>0</v>
      </c>
      <c r="AR49" s="959">
        <f t="shared" si="2"/>
        <v>103</v>
      </c>
      <c r="AS49" s="954">
        <f t="shared" si="26"/>
        <v>1.7166666666666666</v>
      </c>
      <c r="AT49" s="952">
        <v>0</v>
      </c>
      <c r="AU49" s="959">
        <f t="shared" si="3"/>
        <v>103</v>
      </c>
      <c r="AV49" s="954">
        <f t="shared" si="27"/>
        <v>1.7166666666666666</v>
      </c>
      <c r="AW49" s="952">
        <v>0</v>
      </c>
      <c r="AX49" s="959">
        <f t="shared" si="4"/>
        <v>103</v>
      </c>
      <c r="AY49" s="954">
        <f t="shared" si="28"/>
        <v>1.7166666666666666</v>
      </c>
      <c r="AZ49" s="952">
        <v>0</v>
      </c>
      <c r="BA49" s="959">
        <f t="shared" si="5"/>
        <v>103</v>
      </c>
      <c r="BB49" s="954">
        <f t="shared" si="29"/>
        <v>1.7166666666666666</v>
      </c>
    </row>
    <row r="50" spans="1:54" ht="30" customHeight="1" thickBot="1">
      <c r="A50" s="1205" t="s">
        <v>290</v>
      </c>
      <c r="B50" s="944" t="s">
        <v>513</v>
      </c>
      <c r="C50" s="628" t="s">
        <v>87</v>
      </c>
      <c r="D50" s="1193" t="s">
        <v>471</v>
      </c>
      <c r="E50" s="628">
        <v>672</v>
      </c>
      <c r="F50" s="915">
        <v>54</v>
      </c>
      <c r="G50" s="911" t="s">
        <v>440</v>
      </c>
      <c r="H50" s="976" t="s">
        <v>331</v>
      </c>
      <c r="I50" s="965">
        <f>367+140+451-714</f>
        <v>244</v>
      </c>
      <c r="J50" s="955">
        <v>0</v>
      </c>
      <c r="K50" s="959">
        <f t="shared" si="6"/>
        <v>244</v>
      </c>
      <c r="L50" s="947">
        <f t="shared" si="30"/>
        <v>4.5185185185185182</v>
      </c>
      <c r="M50" s="955">
        <v>0</v>
      </c>
      <c r="N50" s="959">
        <f t="shared" si="7"/>
        <v>244</v>
      </c>
      <c r="O50" s="947">
        <f t="shared" si="31"/>
        <v>4.5185185185185182</v>
      </c>
      <c r="P50" s="955">
        <v>0</v>
      </c>
      <c r="Q50" s="959">
        <f t="shared" si="8"/>
        <v>244</v>
      </c>
      <c r="R50" s="947">
        <f t="shared" si="32"/>
        <v>4.5185185185185182</v>
      </c>
      <c r="S50" s="955">
        <v>0</v>
      </c>
      <c r="T50" s="959">
        <f t="shared" si="9"/>
        <v>244</v>
      </c>
      <c r="U50" s="947">
        <f t="shared" si="33"/>
        <v>4.5185185185185182</v>
      </c>
      <c r="V50" s="955">
        <v>0</v>
      </c>
      <c r="W50" s="959">
        <f t="shared" si="10"/>
        <v>244</v>
      </c>
      <c r="X50" s="947">
        <f t="shared" si="34"/>
        <v>4.5185185185185182</v>
      </c>
      <c r="Y50" s="955">
        <v>0</v>
      </c>
      <c r="Z50" s="959">
        <f t="shared" si="11"/>
        <v>244</v>
      </c>
      <c r="AA50" s="947">
        <f t="shared" si="35"/>
        <v>4.5185185185185182</v>
      </c>
      <c r="AB50" s="955">
        <v>0</v>
      </c>
      <c r="AC50" s="959">
        <f t="shared" si="12"/>
        <v>244</v>
      </c>
      <c r="AD50" s="947">
        <f t="shared" si="36"/>
        <v>4.5185185185185182</v>
      </c>
      <c r="AE50" s="955">
        <v>0</v>
      </c>
      <c r="AF50" s="959">
        <f t="shared" si="13"/>
        <v>244</v>
      </c>
      <c r="AG50" s="947">
        <f t="shared" si="37"/>
        <v>4.5185185185185182</v>
      </c>
      <c r="AH50" s="955">
        <v>185</v>
      </c>
      <c r="AI50" s="959">
        <f t="shared" si="14"/>
        <v>59</v>
      </c>
      <c r="AJ50" s="947">
        <f t="shared" si="38"/>
        <v>1.0925925925925926</v>
      </c>
      <c r="AK50" s="955">
        <v>185</v>
      </c>
      <c r="AL50" s="959">
        <f t="shared" si="0"/>
        <v>-126</v>
      </c>
      <c r="AM50" s="947">
        <f t="shared" si="24"/>
        <v>-2.3333333333333335</v>
      </c>
      <c r="AN50" s="955">
        <v>0</v>
      </c>
      <c r="AO50" s="959">
        <f t="shared" si="1"/>
        <v>-126</v>
      </c>
      <c r="AP50" s="947">
        <f t="shared" si="25"/>
        <v>-2.3333333333333335</v>
      </c>
      <c r="AQ50" s="955">
        <v>185</v>
      </c>
      <c r="AR50" s="959">
        <f t="shared" si="2"/>
        <v>-311</v>
      </c>
      <c r="AS50" s="947">
        <f t="shared" si="26"/>
        <v>-5.7592592592592595</v>
      </c>
      <c r="AT50" s="955">
        <v>185</v>
      </c>
      <c r="AU50" s="959">
        <f t="shared" si="3"/>
        <v>-496</v>
      </c>
      <c r="AV50" s="947">
        <f t="shared" si="27"/>
        <v>-9.1851851851851851</v>
      </c>
      <c r="AW50" s="955">
        <v>0</v>
      </c>
      <c r="AX50" s="959">
        <f t="shared" si="4"/>
        <v>-496</v>
      </c>
      <c r="AY50" s="947">
        <f t="shared" si="28"/>
        <v>-9.1851851851851851</v>
      </c>
      <c r="AZ50" s="955">
        <v>185</v>
      </c>
      <c r="BA50" s="959">
        <f t="shared" si="5"/>
        <v>-681</v>
      </c>
      <c r="BB50" s="947">
        <f t="shared" si="29"/>
        <v>-12.611111111111111</v>
      </c>
    </row>
    <row r="51" spans="1:54" ht="38.25" thickBot="1">
      <c r="A51" s="1206"/>
      <c r="B51" s="1035" t="s">
        <v>513</v>
      </c>
      <c r="C51" s="1039" t="s">
        <v>89</v>
      </c>
      <c r="D51" s="1180"/>
      <c r="E51" s="1039">
        <v>1000</v>
      </c>
      <c r="F51" s="897">
        <v>60</v>
      </c>
      <c r="G51" s="644" t="s">
        <v>539</v>
      </c>
      <c r="H51" s="1030" t="s">
        <v>333</v>
      </c>
      <c r="I51" s="966">
        <f>576-500</f>
        <v>76</v>
      </c>
      <c r="J51" s="948">
        <v>0</v>
      </c>
      <c r="K51" s="959">
        <f t="shared" si="6"/>
        <v>76</v>
      </c>
      <c r="L51" s="950">
        <f t="shared" si="30"/>
        <v>1.2666666666666666</v>
      </c>
      <c r="M51" s="948">
        <v>0</v>
      </c>
      <c r="N51" s="959">
        <f t="shared" si="7"/>
        <v>76</v>
      </c>
      <c r="O51" s="950">
        <f t="shared" si="31"/>
        <v>1.2666666666666666</v>
      </c>
      <c r="P51" s="948">
        <v>0</v>
      </c>
      <c r="Q51" s="959">
        <f t="shared" si="8"/>
        <v>76</v>
      </c>
      <c r="R51" s="950">
        <f t="shared" si="32"/>
        <v>1.2666666666666666</v>
      </c>
      <c r="S51" s="948">
        <v>0</v>
      </c>
      <c r="T51" s="959">
        <f t="shared" si="9"/>
        <v>76</v>
      </c>
      <c r="U51" s="950">
        <f t="shared" si="33"/>
        <v>1.2666666666666666</v>
      </c>
      <c r="V51" s="948">
        <v>0</v>
      </c>
      <c r="W51" s="959">
        <f t="shared" si="10"/>
        <v>76</v>
      </c>
      <c r="X51" s="950">
        <f t="shared" si="34"/>
        <v>1.2666666666666666</v>
      </c>
      <c r="Y51" s="948">
        <v>0</v>
      </c>
      <c r="Z51" s="959">
        <f t="shared" si="11"/>
        <v>76</v>
      </c>
      <c r="AA51" s="950">
        <f t="shared" si="35"/>
        <v>1.2666666666666666</v>
      </c>
      <c r="AB51" s="948">
        <v>0</v>
      </c>
      <c r="AC51" s="959">
        <f t="shared" si="12"/>
        <v>76</v>
      </c>
      <c r="AD51" s="950">
        <f t="shared" si="36"/>
        <v>1.2666666666666666</v>
      </c>
      <c r="AE51" s="948">
        <v>0</v>
      </c>
      <c r="AF51" s="959">
        <f t="shared" si="13"/>
        <v>76</v>
      </c>
      <c r="AG51" s="950">
        <f t="shared" si="37"/>
        <v>1.2666666666666666</v>
      </c>
      <c r="AH51" s="948">
        <v>126</v>
      </c>
      <c r="AI51" s="959">
        <f t="shared" si="14"/>
        <v>-50</v>
      </c>
      <c r="AJ51" s="950">
        <f t="shared" si="38"/>
        <v>-0.83333333333333337</v>
      </c>
      <c r="AK51" s="948">
        <v>126</v>
      </c>
      <c r="AL51" s="959">
        <f t="shared" si="0"/>
        <v>-176</v>
      </c>
      <c r="AM51" s="950">
        <f t="shared" si="24"/>
        <v>-2.9333333333333331</v>
      </c>
      <c r="AN51" s="948">
        <v>0</v>
      </c>
      <c r="AO51" s="959">
        <f t="shared" si="1"/>
        <v>-176</v>
      </c>
      <c r="AP51" s="950">
        <f t="shared" si="25"/>
        <v>-2.9333333333333331</v>
      </c>
      <c r="AQ51" s="948">
        <v>126</v>
      </c>
      <c r="AR51" s="959">
        <f t="shared" si="2"/>
        <v>-302</v>
      </c>
      <c r="AS51" s="950">
        <f t="shared" si="26"/>
        <v>-5.0333333333333332</v>
      </c>
      <c r="AT51" s="948">
        <v>126</v>
      </c>
      <c r="AU51" s="959">
        <f t="shared" si="3"/>
        <v>-428</v>
      </c>
      <c r="AV51" s="950">
        <f t="shared" si="27"/>
        <v>-7.1333333333333337</v>
      </c>
      <c r="AW51" s="948">
        <v>0</v>
      </c>
      <c r="AX51" s="959">
        <f t="shared" si="4"/>
        <v>-428</v>
      </c>
      <c r="AY51" s="950">
        <f t="shared" si="28"/>
        <v>-7.1333333333333337</v>
      </c>
      <c r="AZ51" s="948">
        <v>126</v>
      </c>
      <c r="BA51" s="959">
        <f t="shared" si="5"/>
        <v>-554</v>
      </c>
      <c r="BB51" s="950">
        <f t="shared" si="29"/>
        <v>-9.2333333333333325</v>
      </c>
    </row>
    <row r="52" spans="1:54" ht="38.25" thickBot="1">
      <c r="A52" s="1206"/>
      <c r="B52" s="1035" t="s">
        <v>513</v>
      </c>
      <c r="C52" s="1039" t="s">
        <v>88</v>
      </c>
      <c r="D52" s="1181"/>
      <c r="E52" s="1039"/>
      <c r="F52" s="898">
        <v>59</v>
      </c>
      <c r="G52" s="909" t="s">
        <v>413</v>
      </c>
      <c r="H52" s="1030" t="s">
        <v>332</v>
      </c>
      <c r="I52" s="966">
        <f>250+91-214</f>
        <v>127</v>
      </c>
      <c r="J52" s="948">
        <v>0</v>
      </c>
      <c r="K52" s="959">
        <f t="shared" si="6"/>
        <v>127</v>
      </c>
      <c r="L52" s="950">
        <f t="shared" si="30"/>
        <v>2.152542372881356</v>
      </c>
      <c r="M52" s="948">
        <v>0</v>
      </c>
      <c r="N52" s="959">
        <f t="shared" si="7"/>
        <v>127</v>
      </c>
      <c r="O52" s="950">
        <f t="shared" si="31"/>
        <v>2.152542372881356</v>
      </c>
      <c r="P52" s="948">
        <v>0</v>
      </c>
      <c r="Q52" s="959">
        <f t="shared" si="8"/>
        <v>127</v>
      </c>
      <c r="R52" s="950">
        <f t="shared" si="32"/>
        <v>2.152542372881356</v>
      </c>
      <c r="S52" s="948">
        <v>0</v>
      </c>
      <c r="T52" s="959">
        <f t="shared" si="9"/>
        <v>127</v>
      </c>
      <c r="U52" s="950">
        <f t="shared" si="33"/>
        <v>2.152542372881356</v>
      </c>
      <c r="V52" s="948">
        <v>0</v>
      </c>
      <c r="W52" s="959">
        <f t="shared" si="10"/>
        <v>127</v>
      </c>
      <c r="X52" s="950">
        <f t="shared" si="34"/>
        <v>2.152542372881356</v>
      </c>
      <c r="Y52" s="948">
        <v>0</v>
      </c>
      <c r="Z52" s="959">
        <f t="shared" si="11"/>
        <v>127</v>
      </c>
      <c r="AA52" s="950">
        <f t="shared" si="35"/>
        <v>2.152542372881356</v>
      </c>
      <c r="AB52" s="948">
        <v>0</v>
      </c>
      <c r="AC52" s="959">
        <f t="shared" si="12"/>
        <v>127</v>
      </c>
      <c r="AD52" s="950">
        <f t="shared" si="36"/>
        <v>2.152542372881356</v>
      </c>
      <c r="AE52" s="948">
        <v>0</v>
      </c>
      <c r="AF52" s="959">
        <f t="shared" si="13"/>
        <v>127</v>
      </c>
      <c r="AG52" s="950">
        <f t="shared" si="37"/>
        <v>2.152542372881356</v>
      </c>
      <c r="AH52" s="948">
        <v>59</v>
      </c>
      <c r="AI52" s="959">
        <f t="shared" si="14"/>
        <v>68</v>
      </c>
      <c r="AJ52" s="950">
        <f t="shared" si="38"/>
        <v>1.152542372881356</v>
      </c>
      <c r="AK52" s="948">
        <v>59</v>
      </c>
      <c r="AL52" s="959">
        <f t="shared" si="0"/>
        <v>9</v>
      </c>
      <c r="AM52" s="950">
        <f t="shared" si="24"/>
        <v>0.15254237288135594</v>
      </c>
      <c r="AN52" s="948">
        <v>0</v>
      </c>
      <c r="AO52" s="959">
        <f t="shared" si="1"/>
        <v>9</v>
      </c>
      <c r="AP52" s="950">
        <f t="shared" si="25"/>
        <v>0.15254237288135594</v>
      </c>
      <c r="AQ52" s="948">
        <v>59</v>
      </c>
      <c r="AR52" s="959">
        <f t="shared" si="2"/>
        <v>-50</v>
      </c>
      <c r="AS52" s="950">
        <f t="shared" si="26"/>
        <v>-0.84745762711864403</v>
      </c>
      <c r="AT52" s="948">
        <v>59</v>
      </c>
      <c r="AU52" s="959">
        <f t="shared" si="3"/>
        <v>-109</v>
      </c>
      <c r="AV52" s="950">
        <f t="shared" si="27"/>
        <v>-1.847457627118644</v>
      </c>
      <c r="AW52" s="948">
        <v>0</v>
      </c>
      <c r="AX52" s="959">
        <f t="shared" si="4"/>
        <v>-109</v>
      </c>
      <c r="AY52" s="950">
        <f t="shared" si="28"/>
        <v>-1.847457627118644</v>
      </c>
      <c r="AZ52" s="948">
        <v>59</v>
      </c>
      <c r="BA52" s="959">
        <f t="shared" si="5"/>
        <v>-168</v>
      </c>
      <c r="BB52" s="950">
        <f t="shared" si="29"/>
        <v>-2.847457627118644</v>
      </c>
    </row>
    <row r="53" spans="1:54" ht="30" customHeight="1" thickBot="1">
      <c r="A53" s="1206"/>
      <c r="B53" s="1035" t="s">
        <v>516</v>
      </c>
      <c r="C53" s="1037" t="s">
        <v>383</v>
      </c>
      <c r="D53" s="1216" t="s">
        <v>472</v>
      </c>
      <c r="E53" s="1186">
        <v>672</v>
      </c>
      <c r="F53" s="898">
        <v>50</v>
      </c>
      <c r="G53" s="909" t="s">
        <v>551</v>
      </c>
      <c r="H53" s="1162" t="s">
        <v>399</v>
      </c>
      <c r="I53" s="966">
        <v>0</v>
      </c>
      <c r="J53" s="948">
        <v>0</v>
      </c>
      <c r="K53" s="959">
        <f t="shared" si="6"/>
        <v>0</v>
      </c>
      <c r="L53" s="950">
        <f t="shared" si="30"/>
        <v>0</v>
      </c>
      <c r="M53" s="948">
        <v>0</v>
      </c>
      <c r="N53" s="959">
        <f t="shared" si="7"/>
        <v>0</v>
      </c>
      <c r="O53" s="950">
        <f t="shared" si="31"/>
        <v>0</v>
      </c>
      <c r="P53" s="948">
        <v>0</v>
      </c>
      <c r="Q53" s="959">
        <f t="shared" si="8"/>
        <v>0</v>
      </c>
      <c r="R53" s="950">
        <f t="shared" si="32"/>
        <v>0</v>
      </c>
      <c r="S53" s="948">
        <v>0</v>
      </c>
      <c r="T53" s="959">
        <f t="shared" si="9"/>
        <v>0</v>
      </c>
      <c r="U53" s="950">
        <f t="shared" si="33"/>
        <v>0</v>
      </c>
      <c r="V53" s="948">
        <v>0</v>
      </c>
      <c r="W53" s="959">
        <f t="shared" si="10"/>
        <v>0</v>
      </c>
      <c r="X53" s="950">
        <f t="shared" si="34"/>
        <v>0</v>
      </c>
      <c r="Y53" s="948">
        <v>0</v>
      </c>
      <c r="Z53" s="959">
        <f t="shared" si="11"/>
        <v>0</v>
      </c>
      <c r="AA53" s="950">
        <f t="shared" si="35"/>
        <v>0</v>
      </c>
      <c r="AB53" s="948">
        <v>0</v>
      </c>
      <c r="AC53" s="959">
        <f t="shared" si="12"/>
        <v>0</v>
      </c>
      <c r="AD53" s="950">
        <f t="shared" si="36"/>
        <v>0</v>
      </c>
      <c r="AE53" s="948">
        <v>0</v>
      </c>
      <c r="AF53" s="959">
        <f t="shared" si="13"/>
        <v>0</v>
      </c>
      <c r="AG53" s="950">
        <f t="shared" si="37"/>
        <v>0</v>
      </c>
      <c r="AH53" s="948">
        <v>0</v>
      </c>
      <c r="AI53" s="959">
        <f t="shared" si="14"/>
        <v>0</v>
      </c>
      <c r="AJ53" s="950">
        <f t="shared" si="38"/>
        <v>0</v>
      </c>
      <c r="AK53" s="948">
        <v>0</v>
      </c>
      <c r="AL53" s="959">
        <f t="shared" si="0"/>
        <v>0</v>
      </c>
      <c r="AM53" s="950">
        <f t="shared" si="24"/>
        <v>0</v>
      </c>
      <c r="AN53" s="948">
        <v>0</v>
      </c>
      <c r="AO53" s="959">
        <f t="shared" si="1"/>
        <v>0</v>
      </c>
      <c r="AP53" s="950">
        <f t="shared" si="25"/>
        <v>0</v>
      </c>
      <c r="AQ53" s="948">
        <v>0</v>
      </c>
      <c r="AR53" s="959">
        <f t="shared" si="2"/>
        <v>0</v>
      </c>
      <c r="AS53" s="950">
        <f t="shared" si="26"/>
        <v>0</v>
      </c>
      <c r="AT53" s="948">
        <v>0</v>
      </c>
      <c r="AU53" s="959">
        <f t="shared" si="3"/>
        <v>0</v>
      </c>
      <c r="AV53" s="950">
        <f t="shared" si="27"/>
        <v>0</v>
      </c>
      <c r="AW53" s="948">
        <v>0</v>
      </c>
      <c r="AX53" s="959">
        <f t="shared" si="4"/>
        <v>0</v>
      </c>
      <c r="AY53" s="950">
        <f t="shared" si="28"/>
        <v>0</v>
      </c>
      <c r="AZ53" s="948">
        <v>0</v>
      </c>
      <c r="BA53" s="959">
        <f t="shared" si="5"/>
        <v>0</v>
      </c>
      <c r="BB53" s="950">
        <f t="shared" si="29"/>
        <v>0</v>
      </c>
    </row>
    <row r="54" spans="1:54" ht="38.25" thickBot="1">
      <c r="A54" s="1206"/>
      <c r="B54" s="1035" t="s">
        <v>517</v>
      </c>
      <c r="C54" s="1037" t="s">
        <v>382</v>
      </c>
      <c r="D54" s="1217"/>
      <c r="E54" s="1186"/>
      <c r="F54" s="898">
        <v>50</v>
      </c>
      <c r="G54" s="909" t="s">
        <v>553</v>
      </c>
      <c r="H54" s="1162"/>
      <c r="I54" s="966">
        <v>510</v>
      </c>
      <c r="J54" s="948">
        <v>0</v>
      </c>
      <c r="K54" s="959">
        <f t="shared" si="6"/>
        <v>510</v>
      </c>
      <c r="L54" s="950">
        <f t="shared" si="30"/>
        <v>10.199999999999999</v>
      </c>
      <c r="M54" s="948">
        <v>0</v>
      </c>
      <c r="N54" s="959">
        <f t="shared" si="7"/>
        <v>510</v>
      </c>
      <c r="O54" s="950">
        <f t="shared" si="31"/>
        <v>10.199999999999999</v>
      </c>
      <c r="P54" s="948">
        <v>0</v>
      </c>
      <c r="Q54" s="959">
        <f t="shared" si="8"/>
        <v>510</v>
      </c>
      <c r="R54" s="950">
        <f t="shared" si="32"/>
        <v>10.199999999999999</v>
      </c>
      <c r="S54" s="948">
        <v>0</v>
      </c>
      <c r="T54" s="959">
        <f t="shared" si="9"/>
        <v>510</v>
      </c>
      <c r="U54" s="950">
        <f t="shared" si="33"/>
        <v>10.199999999999999</v>
      </c>
      <c r="V54" s="948">
        <v>0</v>
      </c>
      <c r="W54" s="959">
        <f t="shared" si="10"/>
        <v>510</v>
      </c>
      <c r="X54" s="950">
        <f t="shared" si="34"/>
        <v>10.199999999999999</v>
      </c>
      <c r="Y54" s="948">
        <v>0</v>
      </c>
      <c r="Z54" s="959">
        <f t="shared" si="11"/>
        <v>510</v>
      </c>
      <c r="AA54" s="950">
        <f t="shared" si="35"/>
        <v>10.199999999999999</v>
      </c>
      <c r="AB54" s="948">
        <v>0</v>
      </c>
      <c r="AC54" s="959">
        <f t="shared" si="12"/>
        <v>510</v>
      </c>
      <c r="AD54" s="950">
        <f t="shared" si="36"/>
        <v>10.199999999999999</v>
      </c>
      <c r="AE54" s="948">
        <v>280</v>
      </c>
      <c r="AF54" s="959">
        <f t="shared" si="13"/>
        <v>230</v>
      </c>
      <c r="AG54" s="950">
        <f t="shared" si="37"/>
        <v>4.5999999999999996</v>
      </c>
      <c r="AH54" s="948">
        <v>280</v>
      </c>
      <c r="AI54" s="959">
        <f t="shared" si="14"/>
        <v>-50</v>
      </c>
      <c r="AJ54" s="950">
        <f t="shared" si="38"/>
        <v>-1</v>
      </c>
      <c r="AK54" s="948">
        <v>280</v>
      </c>
      <c r="AL54" s="959">
        <f t="shared" si="0"/>
        <v>-330</v>
      </c>
      <c r="AM54" s="950">
        <f t="shared" si="24"/>
        <v>-6.6</v>
      </c>
      <c r="AN54" s="948">
        <v>280</v>
      </c>
      <c r="AO54" s="959">
        <f t="shared" si="1"/>
        <v>-610</v>
      </c>
      <c r="AP54" s="950">
        <f t="shared" si="25"/>
        <v>-12.2</v>
      </c>
      <c r="AQ54" s="948">
        <v>280</v>
      </c>
      <c r="AR54" s="959">
        <f t="shared" si="2"/>
        <v>-890</v>
      </c>
      <c r="AS54" s="950">
        <f t="shared" si="26"/>
        <v>-17.8</v>
      </c>
      <c r="AT54" s="948">
        <v>280</v>
      </c>
      <c r="AU54" s="959">
        <f t="shared" si="3"/>
        <v>-1170</v>
      </c>
      <c r="AV54" s="950">
        <f t="shared" si="27"/>
        <v>-23.4</v>
      </c>
      <c r="AW54" s="948">
        <v>280</v>
      </c>
      <c r="AX54" s="959">
        <f t="shared" si="4"/>
        <v>-1450</v>
      </c>
      <c r="AY54" s="950">
        <f t="shared" si="28"/>
        <v>-29</v>
      </c>
      <c r="AZ54" s="948">
        <v>280</v>
      </c>
      <c r="BA54" s="959">
        <f t="shared" si="5"/>
        <v>-1730</v>
      </c>
      <c r="BB54" s="950">
        <f t="shared" si="29"/>
        <v>-34.6</v>
      </c>
    </row>
    <row r="55" spans="1:54" ht="30" customHeight="1" thickBot="1">
      <c r="A55" s="1208"/>
      <c r="B55" s="1045" t="s">
        <v>518</v>
      </c>
      <c r="C55" s="1038" t="s">
        <v>384</v>
      </c>
      <c r="D55" s="1217"/>
      <c r="E55" s="1187"/>
      <c r="F55" s="918">
        <v>50</v>
      </c>
      <c r="G55" s="919" t="s">
        <v>552</v>
      </c>
      <c r="H55" s="1163"/>
      <c r="I55" s="967">
        <v>5</v>
      </c>
      <c r="J55" s="952">
        <v>0</v>
      </c>
      <c r="K55" s="959">
        <f t="shared" si="6"/>
        <v>5</v>
      </c>
      <c r="L55" s="954">
        <f t="shared" si="30"/>
        <v>0.1</v>
      </c>
      <c r="M55" s="952">
        <v>0</v>
      </c>
      <c r="N55" s="959">
        <f t="shared" si="7"/>
        <v>5</v>
      </c>
      <c r="O55" s="954">
        <f t="shared" si="31"/>
        <v>0.1</v>
      </c>
      <c r="P55" s="952">
        <v>0</v>
      </c>
      <c r="Q55" s="959">
        <f t="shared" si="8"/>
        <v>5</v>
      </c>
      <c r="R55" s="954">
        <f t="shared" si="32"/>
        <v>0.1</v>
      </c>
      <c r="S55" s="952">
        <v>0</v>
      </c>
      <c r="T55" s="959">
        <f t="shared" si="9"/>
        <v>5</v>
      </c>
      <c r="U55" s="954">
        <f t="shared" si="33"/>
        <v>0.1</v>
      </c>
      <c r="V55" s="952">
        <v>0</v>
      </c>
      <c r="W55" s="959">
        <f t="shared" si="10"/>
        <v>5</v>
      </c>
      <c r="X55" s="954">
        <f t="shared" si="34"/>
        <v>0.1</v>
      </c>
      <c r="Y55" s="952">
        <v>0</v>
      </c>
      <c r="Z55" s="959">
        <f t="shared" si="11"/>
        <v>5</v>
      </c>
      <c r="AA55" s="954">
        <f t="shared" si="35"/>
        <v>0.1</v>
      </c>
      <c r="AB55" s="952">
        <v>0</v>
      </c>
      <c r="AC55" s="959">
        <f t="shared" si="12"/>
        <v>5</v>
      </c>
      <c r="AD55" s="954">
        <f t="shared" si="36"/>
        <v>0.1</v>
      </c>
      <c r="AE55" s="952">
        <v>0</v>
      </c>
      <c r="AF55" s="959">
        <f t="shared" si="13"/>
        <v>5</v>
      </c>
      <c r="AG55" s="954">
        <f t="shared" si="37"/>
        <v>0.1</v>
      </c>
      <c r="AH55" s="952">
        <v>0</v>
      </c>
      <c r="AI55" s="959">
        <f t="shared" si="14"/>
        <v>5</v>
      </c>
      <c r="AJ55" s="954">
        <f t="shared" si="38"/>
        <v>0.1</v>
      </c>
      <c r="AK55" s="952">
        <v>0</v>
      </c>
      <c r="AL55" s="959">
        <f t="shared" si="0"/>
        <v>5</v>
      </c>
      <c r="AM55" s="954">
        <f t="shared" si="24"/>
        <v>0.1</v>
      </c>
      <c r="AN55" s="952">
        <v>0</v>
      </c>
      <c r="AO55" s="959">
        <f t="shared" si="1"/>
        <v>5</v>
      </c>
      <c r="AP55" s="954">
        <f t="shared" si="25"/>
        <v>0.1</v>
      </c>
      <c r="AQ55" s="952">
        <v>0</v>
      </c>
      <c r="AR55" s="959">
        <f t="shared" si="2"/>
        <v>5</v>
      </c>
      <c r="AS55" s="954">
        <f t="shared" si="26"/>
        <v>0.1</v>
      </c>
      <c r="AT55" s="952">
        <v>0</v>
      </c>
      <c r="AU55" s="959">
        <f t="shared" si="3"/>
        <v>5</v>
      </c>
      <c r="AV55" s="954">
        <f t="shared" si="27"/>
        <v>0.1</v>
      </c>
      <c r="AW55" s="952">
        <v>0</v>
      </c>
      <c r="AX55" s="959">
        <f t="shared" si="4"/>
        <v>5</v>
      </c>
      <c r="AY55" s="954">
        <f t="shared" si="28"/>
        <v>0.1</v>
      </c>
      <c r="AZ55" s="952">
        <v>0</v>
      </c>
      <c r="BA55" s="959">
        <f t="shared" si="5"/>
        <v>5</v>
      </c>
      <c r="BB55" s="954">
        <f t="shared" si="29"/>
        <v>0.1</v>
      </c>
    </row>
    <row r="56" spans="1:54" ht="38.25" thickBot="1">
      <c r="A56" s="1011" t="s">
        <v>394</v>
      </c>
      <c r="B56" s="1012" t="s">
        <v>517</v>
      </c>
      <c r="C56" s="996" t="s">
        <v>385</v>
      </c>
      <c r="D56" s="1217"/>
      <c r="E56" s="996">
        <v>858</v>
      </c>
      <c r="F56" s="997">
        <v>53</v>
      </c>
      <c r="G56" s="998" t="s">
        <v>291</v>
      </c>
      <c r="H56" s="1044" t="s">
        <v>395</v>
      </c>
      <c r="I56" s="999">
        <v>124</v>
      </c>
      <c r="J56" s="1000">
        <v>0</v>
      </c>
      <c r="K56" s="959">
        <f t="shared" si="6"/>
        <v>124</v>
      </c>
      <c r="L56" s="1002">
        <f t="shared" si="30"/>
        <v>2.3396226415094339</v>
      </c>
      <c r="M56" s="1000">
        <v>0</v>
      </c>
      <c r="N56" s="959">
        <f t="shared" si="7"/>
        <v>124</v>
      </c>
      <c r="O56" s="1002">
        <f t="shared" si="31"/>
        <v>2.3396226415094339</v>
      </c>
      <c r="P56" s="1000">
        <v>0</v>
      </c>
      <c r="Q56" s="959">
        <f t="shared" si="8"/>
        <v>124</v>
      </c>
      <c r="R56" s="1002">
        <f t="shared" si="32"/>
        <v>2.3396226415094339</v>
      </c>
      <c r="S56" s="1000">
        <v>0</v>
      </c>
      <c r="T56" s="959">
        <f t="shared" si="9"/>
        <v>124</v>
      </c>
      <c r="U56" s="1002">
        <f t="shared" si="33"/>
        <v>2.3396226415094339</v>
      </c>
      <c r="V56" s="1000">
        <v>0</v>
      </c>
      <c r="W56" s="959">
        <f t="shared" si="10"/>
        <v>124</v>
      </c>
      <c r="X56" s="1002">
        <f t="shared" si="34"/>
        <v>2.3396226415094339</v>
      </c>
      <c r="Y56" s="1000">
        <v>0</v>
      </c>
      <c r="Z56" s="959">
        <f t="shared" si="11"/>
        <v>124</v>
      </c>
      <c r="AA56" s="1002">
        <f t="shared" si="35"/>
        <v>2.3396226415094339</v>
      </c>
      <c r="AB56" s="1000">
        <v>0</v>
      </c>
      <c r="AC56" s="959">
        <f t="shared" si="12"/>
        <v>124</v>
      </c>
      <c r="AD56" s="1002">
        <f t="shared" si="36"/>
        <v>2.3396226415094339</v>
      </c>
      <c r="AE56" s="1000">
        <v>280</v>
      </c>
      <c r="AF56" s="959">
        <f t="shared" si="13"/>
        <v>-156</v>
      </c>
      <c r="AG56" s="1002">
        <f t="shared" si="37"/>
        <v>-2.9433962264150941</v>
      </c>
      <c r="AH56" s="1000">
        <v>280</v>
      </c>
      <c r="AI56" s="959">
        <f t="shared" si="14"/>
        <v>-436</v>
      </c>
      <c r="AJ56" s="1002">
        <f t="shared" si="38"/>
        <v>-8.2264150943396235</v>
      </c>
      <c r="AK56" s="1000">
        <v>280</v>
      </c>
      <c r="AL56" s="959">
        <f t="shared" si="0"/>
        <v>-716</v>
      </c>
      <c r="AM56" s="1002">
        <f t="shared" si="24"/>
        <v>-13.509433962264151</v>
      </c>
      <c r="AN56" s="1000">
        <v>280</v>
      </c>
      <c r="AO56" s="959">
        <f t="shared" si="1"/>
        <v>-996</v>
      </c>
      <c r="AP56" s="1002">
        <f t="shared" si="25"/>
        <v>-18.79245283018868</v>
      </c>
      <c r="AQ56" s="1000">
        <v>280</v>
      </c>
      <c r="AR56" s="959">
        <f t="shared" si="2"/>
        <v>-1276</v>
      </c>
      <c r="AS56" s="1002">
        <f t="shared" si="26"/>
        <v>-24.075471698113208</v>
      </c>
      <c r="AT56" s="1000">
        <v>280</v>
      </c>
      <c r="AU56" s="959">
        <f t="shared" si="3"/>
        <v>-1556</v>
      </c>
      <c r="AV56" s="1002">
        <f t="shared" si="27"/>
        <v>-29.358490566037737</v>
      </c>
      <c r="AW56" s="1000">
        <v>280</v>
      </c>
      <c r="AX56" s="959">
        <f t="shared" si="4"/>
        <v>-1836</v>
      </c>
      <c r="AY56" s="1002">
        <f t="shared" si="28"/>
        <v>-34.641509433962263</v>
      </c>
      <c r="AZ56" s="1000">
        <v>280</v>
      </c>
      <c r="BA56" s="959">
        <f t="shared" si="5"/>
        <v>-2116</v>
      </c>
      <c r="BB56" s="1002">
        <f t="shared" si="29"/>
        <v>-39.924528301886795</v>
      </c>
    </row>
    <row r="57" spans="1:54" ht="38.25" thickBot="1">
      <c r="A57" s="1015" t="s">
        <v>586</v>
      </c>
      <c r="B57" s="1016" t="s">
        <v>516</v>
      </c>
      <c r="C57" s="1017" t="s">
        <v>387</v>
      </c>
      <c r="D57" s="1218"/>
      <c r="E57" s="1003">
        <v>880</v>
      </c>
      <c r="F57" s="1004">
        <v>59</v>
      </c>
      <c r="G57" s="1005" t="s">
        <v>292</v>
      </c>
      <c r="H57" s="1006" t="s">
        <v>396</v>
      </c>
      <c r="I57" s="1007">
        <v>288</v>
      </c>
      <c r="J57" s="1008">
        <v>0</v>
      </c>
      <c r="K57" s="959">
        <f t="shared" si="6"/>
        <v>288</v>
      </c>
      <c r="L57" s="1010">
        <f t="shared" si="30"/>
        <v>4.8813559322033901</v>
      </c>
      <c r="M57" s="1008">
        <v>0</v>
      </c>
      <c r="N57" s="959">
        <f t="shared" si="7"/>
        <v>288</v>
      </c>
      <c r="O57" s="1010">
        <f t="shared" si="31"/>
        <v>4.8813559322033901</v>
      </c>
      <c r="P57" s="1008">
        <v>0</v>
      </c>
      <c r="Q57" s="959">
        <f t="shared" si="8"/>
        <v>288</v>
      </c>
      <c r="R57" s="1010">
        <f t="shared" si="32"/>
        <v>4.8813559322033901</v>
      </c>
      <c r="S57" s="1008">
        <v>0</v>
      </c>
      <c r="T57" s="959">
        <f t="shared" si="9"/>
        <v>288</v>
      </c>
      <c r="U57" s="1010">
        <f t="shared" si="33"/>
        <v>4.8813559322033901</v>
      </c>
      <c r="V57" s="1008">
        <v>0</v>
      </c>
      <c r="W57" s="959">
        <f t="shared" si="10"/>
        <v>288</v>
      </c>
      <c r="X57" s="1010">
        <f t="shared" si="34"/>
        <v>4.8813559322033901</v>
      </c>
      <c r="Y57" s="1008">
        <v>0</v>
      </c>
      <c r="Z57" s="959">
        <f t="shared" si="11"/>
        <v>288</v>
      </c>
      <c r="AA57" s="1010">
        <f t="shared" si="35"/>
        <v>4.8813559322033901</v>
      </c>
      <c r="AB57" s="1008">
        <v>0</v>
      </c>
      <c r="AC57" s="959">
        <f t="shared" si="12"/>
        <v>288</v>
      </c>
      <c r="AD57" s="1010">
        <f t="shared" si="36"/>
        <v>4.8813559322033901</v>
      </c>
      <c r="AE57" s="1008">
        <v>280</v>
      </c>
      <c r="AF57" s="959">
        <f t="shared" si="13"/>
        <v>8</v>
      </c>
      <c r="AG57" s="1010">
        <f t="shared" si="37"/>
        <v>0.13559322033898305</v>
      </c>
      <c r="AH57" s="1008">
        <v>280</v>
      </c>
      <c r="AI57" s="959">
        <f t="shared" si="14"/>
        <v>-272</v>
      </c>
      <c r="AJ57" s="1010">
        <f t="shared" si="38"/>
        <v>-4.6101694915254239</v>
      </c>
      <c r="AK57" s="1008">
        <v>280</v>
      </c>
      <c r="AL57" s="959">
        <f t="shared" si="0"/>
        <v>-552</v>
      </c>
      <c r="AM57" s="1010">
        <f t="shared" si="24"/>
        <v>-9.3559322033898304</v>
      </c>
      <c r="AN57" s="1008">
        <v>280</v>
      </c>
      <c r="AO57" s="959">
        <f t="shared" si="1"/>
        <v>-832</v>
      </c>
      <c r="AP57" s="1010">
        <f t="shared" si="25"/>
        <v>-14.101694915254237</v>
      </c>
      <c r="AQ57" s="1008">
        <v>280</v>
      </c>
      <c r="AR57" s="959">
        <f t="shared" si="2"/>
        <v>-1112</v>
      </c>
      <c r="AS57" s="1010">
        <f t="shared" si="26"/>
        <v>-18.847457627118644</v>
      </c>
      <c r="AT57" s="1008">
        <v>280</v>
      </c>
      <c r="AU57" s="959">
        <f t="shared" si="3"/>
        <v>-1392</v>
      </c>
      <c r="AV57" s="1010">
        <f t="shared" si="27"/>
        <v>-23.593220338983052</v>
      </c>
      <c r="AW57" s="1008">
        <v>280</v>
      </c>
      <c r="AX57" s="959">
        <f t="shared" si="4"/>
        <v>-1672</v>
      </c>
      <c r="AY57" s="1010">
        <f t="shared" si="28"/>
        <v>-28.338983050847457</v>
      </c>
      <c r="AZ57" s="1008">
        <v>280</v>
      </c>
      <c r="BA57" s="959">
        <f t="shared" si="5"/>
        <v>-1952</v>
      </c>
      <c r="BB57" s="1010">
        <f t="shared" si="29"/>
        <v>-33.084745762711862</v>
      </c>
    </row>
    <row r="58" spans="1:54" s="87" customFormat="1" ht="38.25" thickBot="1">
      <c r="A58" s="1209" t="s">
        <v>105</v>
      </c>
      <c r="B58" s="1013" t="s">
        <v>512</v>
      </c>
      <c r="C58" s="1014" t="s">
        <v>260</v>
      </c>
      <c r="D58" s="1190" t="s">
        <v>576</v>
      </c>
      <c r="E58" s="928">
        <v>12</v>
      </c>
      <c r="F58" s="929">
        <v>62</v>
      </c>
      <c r="G58" s="930" t="s">
        <v>259</v>
      </c>
      <c r="H58" s="1032" t="s">
        <v>324</v>
      </c>
      <c r="I58" s="965">
        <v>751</v>
      </c>
      <c r="J58" s="955">
        <v>0</v>
      </c>
      <c r="K58" s="959">
        <f t="shared" si="6"/>
        <v>751</v>
      </c>
      <c r="L58" s="947">
        <f t="shared" si="30"/>
        <v>12.112903225806452</v>
      </c>
      <c r="M58" s="955">
        <v>0</v>
      </c>
      <c r="N58" s="959">
        <f t="shared" si="7"/>
        <v>751</v>
      </c>
      <c r="O58" s="947">
        <f t="shared" si="31"/>
        <v>12.112903225806452</v>
      </c>
      <c r="P58" s="955">
        <v>0</v>
      </c>
      <c r="Q58" s="959">
        <f t="shared" si="8"/>
        <v>751</v>
      </c>
      <c r="R58" s="947">
        <f t="shared" si="32"/>
        <v>12.112903225806452</v>
      </c>
      <c r="S58" s="955">
        <v>0</v>
      </c>
      <c r="T58" s="959">
        <f t="shared" si="9"/>
        <v>751</v>
      </c>
      <c r="U58" s="947">
        <f t="shared" si="33"/>
        <v>12.112903225806452</v>
      </c>
      <c r="V58" s="955">
        <v>0</v>
      </c>
      <c r="W58" s="959">
        <f t="shared" si="10"/>
        <v>751</v>
      </c>
      <c r="X58" s="947">
        <f t="shared" si="34"/>
        <v>12.112903225806452</v>
      </c>
      <c r="Y58" s="955">
        <v>0</v>
      </c>
      <c r="Z58" s="959">
        <f t="shared" si="11"/>
        <v>751</v>
      </c>
      <c r="AA58" s="947">
        <f t="shared" si="35"/>
        <v>12.112903225806452</v>
      </c>
      <c r="AB58" s="955">
        <v>0</v>
      </c>
      <c r="AC58" s="959">
        <f t="shared" si="12"/>
        <v>751</v>
      </c>
      <c r="AD58" s="947">
        <f t="shared" si="36"/>
        <v>12.112903225806452</v>
      </c>
      <c r="AE58" s="955">
        <v>48</v>
      </c>
      <c r="AF58" s="959">
        <f t="shared" si="13"/>
        <v>703</v>
      </c>
      <c r="AG58" s="947">
        <f t="shared" si="37"/>
        <v>11.338709677419354</v>
      </c>
      <c r="AH58" s="955">
        <v>0</v>
      </c>
      <c r="AI58" s="959">
        <f t="shared" si="14"/>
        <v>703</v>
      </c>
      <c r="AJ58" s="947">
        <f t="shared" si="38"/>
        <v>11.338709677419354</v>
      </c>
      <c r="AK58" s="955">
        <v>0</v>
      </c>
      <c r="AL58" s="959">
        <f t="shared" si="0"/>
        <v>703</v>
      </c>
      <c r="AM58" s="947">
        <f t="shared" si="24"/>
        <v>11.338709677419354</v>
      </c>
      <c r="AN58" s="955">
        <v>48</v>
      </c>
      <c r="AO58" s="959">
        <f t="shared" si="1"/>
        <v>655</v>
      </c>
      <c r="AP58" s="947">
        <f t="shared" si="25"/>
        <v>10.564516129032258</v>
      </c>
      <c r="AQ58" s="955">
        <v>0</v>
      </c>
      <c r="AR58" s="959">
        <f t="shared" si="2"/>
        <v>655</v>
      </c>
      <c r="AS58" s="947">
        <f t="shared" si="26"/>
        <v>10.564516129032258</v>
      </c>
      <c r="AT58" s="955">
        <v>0</v>
      </c>
      <c r="AU58" s="959">
        <f t="shared" si="3"/>
        <v>655</v>
      </c>
      <c r="AV58" s="947">
        <f t="shared" si="27"/>
        <v>10.564516129032258</v>
      </c>
      <c r="AW58" s="955">
        <v>48</v>
      </c>
      <c r="AX58" s="959">
        <f t="shared" si="4"/>
        <v>607</v>
      </c>
      <c r="AY58" s="947">
        <f t="shared" si="28"/>
        <v>9.7903225806451619</v>
      </c>
      <c r="AZ58" s="955">
        <v>0</v>
      </c>
      <c r="BA58" s="959">
        <f t="shared" si="5"/>
        <v>607</v>
      </c>
      <c r="BB58" s="947">
        <f t="shared" si="29"/>
        <v>9.7903225806451619</v>
      </c>
    </row>
    <row r="59" spans="1:54" s="87" customFormat="1" ht="38.25" thickBot="1">
      <c r="A59" s="1206"/>
      <c r="B59" s="1046" t="s">
        <v>505</v>
      </c>
      <c r="C59" s="922" t="s">
        <v>258</v>
      </c>
      <c r="D59" s="1191"/>
      <c r="E59" s="1197">
        <v>11</v>
      </c>
      <c r="F59" s="931">
        <v>63</v>
      </c>
      <c r="G59" s="924" t="s">
        <v>257</v>
      </c>
      <c r="H59" s="1033" t="s">
        <v>330</v>
      </c>
      <c r="I59" s="966">
        <v>111</v>
      </c>
      <c r="J59" s="948">
        <v>0</v>
      </c>
      <c r="K59" s="959">
        <f t="shared" si="6"/>
        <v>111</v>
      </c>
      <c r="L59" s="950">
        <f t="shared" si="30"/>
        <v>1.7619047619047619</v>
      </c>
      <c r="M59" s="948">
        <v>0</v>
      </c>
      <c r="N59" s="959">
        <f t="shared" si="7"/>
        <v>111</v>
      </c>
      <c r="O59" s="950">
        <f t="shared" si="31"/>
        <v>1.7619047619047619</v>
      </c>
      <c r="P59" s="948">
        <v>0</v>
      </c>
      <c r="Q59" s="959">
        <f t="shared" si="8"/>
        <v>111</v>
      </c>
      <c r="R59" s="950">
        <f t="shared" si="32"/>
        <v>1.7619047619047619</v>
      </c>
      <c r="S59" s="948">
        <v>0</v>
      </c>
      <c r="T59" s="959">
        <f t="shared" si="9"/>
        <v>111</v>
      </c>
      <c r="U59" s="950">
        <f t="shared" si="33"/>
        <v>1.7619047619047619</v>
      </c>
      <c r="V59" s="948">
        <v>0</v>
      </c>
      <c r="W59" s="959">
        <f t="shared" si="10"/>
        <v>111</v>
      </c>
      <c r="X59" s="950">
        <f t="shared" si="34"/>
        <v>1.7619047619047619</v>
      </c>
      <c r="Y59" s="948">
        <v>0</v>
      </c>
      <c r="Z59" s="959">
        <f t="shared" si="11"/>
        <v>111</v>
      </c>
      <c r="AA59" s="950">
        <f t="shared" si="35"/>
        <v>1.7619047619047619</v>
      </c>
      <c r="AB59" s="948">
        <v>0</v>
      </c>
      <c r="AC59" s="959">
        <f t="shared" si="12"/>
        <v>111</v>
      </c>
      <c r="AD59" s="950">
        <f t="shared" si="36"/>
        <v>1.7619047619047619</v>
      </c>
      <c r="AE59" s="948">
        <v>125</v>
      </c>
      <c r="AF59" s="959">
        <f t="shared" si="13"/>
        <v>-14</v>
      </c>
      <c r="AG59" s="950">
        <f t="shared" si="37"/>
        <v>-0.22222222222222221</v>
      </c>
      <c r="AH59" s="948">
        <v>0</v>
      </c>
      <c r="AI59" s="959">
        <f t="shared" si="14"/>
        <v>-14</v>
      </c>
      <c r="AJ59" s="950">
        <f t="shared" si="38"/>
        <v>-0.22222222222222221</v>
      </c>
      <c r="AK59" s="948">
        <v>0</v>
      </c>
      <c r="AL59" s="959">
        <f t="shared" si="0"/>
        <v>-14</v>
      </c>
      <c r="AM59" s="950">
        <f t="shared" si="24"/>
        <v>-0.22222222222222221</v>
      </c>
      <c r="AN59" s="948">
        <v>125</v>
      </c>
      <c r="AO59" s="959">
        <f t="shared" si="1"/>
        <v>-139</v>
      </c>
      <c r="AP59" s="950">
        <f t="shared" si="25"/>
        <v>-2.2063492063492065</v>
      </c>
      <c r="AQ59" s="948">
        <v>0</v>
      </c>
      <c r="AR59" s="959">
        <f t="shared" si="2"/>
        <v>-139</v>
      </c>
      <c r="AS59" s="950">
        <f t="shared" si="26"/>
        <v>-2.2063492063492065</v>
      </c>
      <c r="AT59" s="948">
        <v>0</v>
      </c>
      <c r="AU59" s="959">
        <f t="shared" si="3"/>
        <v>-139</v>
      </c>
      <c r="AV59" s="950">
        <f t="shared" si="27"/>
        <v>-2.2063492063492065</v>
      </c>
      <c r="AW59" s="948">
        <v>125</v>
      </c>
      <c r="AX59" s="959">
        <f t="shared" si="4"/>
        <v>-264</v>
      </c>
      <c r="AY59" s="950">
        <f t="shared" si="28"/>
        <v>-4.1904761904761907</v>
      </c>
      <c r="AZ59" s="948">
        <v>0</v>
      </c>
      <c r="BA59" s="959">
        <f t="shared" si="5"/>
        <v>-264</v>
      </c>
      <c r="BB59" s="950">
        <f t="shared" si="29"/>
        <v>-4.1904761904761907</v>
      </c>
    </row>
    <row r="60" spans="1:54" s="87" customFormat="1" ht="38.25" thickBot="1">
      <c r="A60" s="1206"/>
      <c r="B60" s="1046" t="s">
        <v>505</v>
      </c>
      <c r="C60" s="922" t="s">
        <v>256</v>
      </c>
      <c r="D60" s="1192"/>
      <c r="E60" s="1197"/>
      <c r="F60" s="931">
        <v>63</v>
      </c>
      <c r="G60" s="924" t="s">
        <v>255</v>
      </c>
      <c r="H60" s="1033" t="s">
        <v>329</v>
      </c>
      <c r="I60" s="966">
        <v>508</v>
      </c>
      <c r="J60" s="948">
        <v>0</v>
      </c>
      <c r="K60" s="959">
        <f t="shared" si="6"/>
        <v>508</v>
      </c>
      <c r="L60" s="950">
        <f t="shared" si="30"/>
        <v>8.0634920634920633</v>
      </c>
      <c r="M60" s="948">
        <v>0</v>
      </c>
      <c r="N60" s="959">
        <f t="shared" si="7"/>
        <v>508</v>
      </c>
      <c r="O60" s="950">
        <f t="shared" si="31"/>
        <v>8.0634920634920633</v>
      </c>
      <c r="P60" s="948">
        <v>0</v>
      </c>
      <c r="Q60" s="959">
        <f t="shared" si="8"/>
        <v>508</v>
      </c>
      <c r="R60" s="950">
        <f t="shared" si="32"/>
        <v>8.0634920634920633</v>
      </c>
      <c r="S60" s="948">
        <v>0</v>
      </c>
      <c r="T60" s="959">
        <f t="shared" si="9"/>
        <v>508</v>
      </c>
      <c r="U60" s="950">
        <f t="shared" si="33"/>
        <v>8.0634920634920633</v>
      </c>
      <c r="V60" s="948">
        <v>0</v>
      </c>
      <c r="W60" s="959">
        <f t="shared" si="10"/>
        <v>508</v>
      </c>
      <c r="X60" s="950">
        <f t="shared" si="34"/>
        <v>8.0634920634920633</v>
      </c>
      <c r="Y60" s="948">
        <v>0</v>
      </c>
      <c r="Z60" s="959">
        <f t="shared" si="11"/>
        <v>508</v>
      </c>
      <c r="AA60" s="950">
        <f t="shared" si="35"/>
        <v>8.0634920634920633</v>
      </c>
      <c r="AB60" s="948">
        <v>0</v>
      </c>
      <c r="AC60" s="959">
        <f t="shared" si="12"/>
        <v>508</v>
      </c>
      <c r="AD60" s="950">
        <f t="shared" si="36"/>
        <v>8.0634920634920633</v>
      </c>
      <c r="AE60" s="948">
        <v>125</v>
      </c>
      <c r="AF60" s="959">
        <f t="shared" si="13"/>
        <v>383</v>
      </c>
      <c r="AG60" s="950">
        <f t="shared" si="37"/>
        <v>6.0793650793650791</v>
      </c>
      <c r="AH60" s="948">
        <v>0</v>
      </c>
      <c r="AI60" s="959">
        <f t="shared" si="14"/>
        <v>383</v>
      </c>
      <c r="AJ60" s="950">
        <f t="shared" si="38"/>
        <v>6.0793650793650791</v>
      </c>
      <c r="AK60" s="948">
        <v>0</v>
      </c>
      <c r="AL60" s="959">
        <f t="shared" si="0"/>
        <v>383</v>
      </c>
      <c r="AM60" s="950">
        <f t="shared" si="24"/>
        <v>6.0793650793650791</v>
      </c>
      <c r="AN60" s="948">
        <v>125</v>
      </c>
      <c r="AO60" s="959">
        <f t="shared" si="1"/>
        <v>258</v>
      </c>
      <c r="AP60" s="950">
        <f t="shared" si="25"/>
        <v>4.0952380952380949</v>
      </c>
      <c r="AQ60" s="948">
        <v>0</v>
      </c>
      <c r="AR60" s="959">
        <f t="shared" si="2"/>
        <v>258</v>
      </c>
      <c r="AS60" s="950">
        <f t="shared" si="26"/>
        <v>4.0952380952380949</v>
      </c>
      <c r="AT60" s="948">
        <v>0</v>
      </c>
      <c r="AU60" s="959">
        <f t="shared" si="3"/>
        <v>258</v>
      </c>
      <c r="AV60" s="950">
        <f t="shared" si="27"/>
        <v>4.0952380952380949</v>
      </c>
      <c r="AW60" s="948">
        <v>125</v>
      </c>
      <c r="AX60" s="959">
        <f t="shared" si="4"/>
        <v>133</v>
      </c>
      <c r="AY60" s="950">
        <f t="shared" si="28"/>
        <v>2.1111111111111112</v>
      </c>
      <c r="AZ60" s="948">
        <v>0</v>
      </c>
      <c r="BA60" s="959">
        <f t="shared" si="5"/>
        <v>133</v>
      </c>
      <c r="BB60" s="950">
        <f t="shared" si="29"/>
        <v>2.1111111111111112</v>
      </c>
    </row>
    <row r="61" spans="1:54" ht="38.25" thickBot="1">
      <c r="A61" s="1206"/>
      <c r="B61" s="1202" t="s">
        <v>507</v>
      </c>
      <c r="C61" s="1039" t="s">
        <v>80</v>
      </c>
      <c r="D61" s="1179" t="s">
        <v>577</v>
      </c>
      <c r="E61" s="1039">
        <v>816</v>
      </c>
      <c r="F61" s="897">
        <v>69</v>
      </c>
      <c r="G61" s="644" t="s">
        <v>425</v>
      </c>
      <c r="H61" s="1162" t="s">
        <v>326</v>
      </c>
      <c r="I61" s="966">
        <v>184</v>
      </c>
      <c r="J61" s="948">
        <v>0</v>
      </c>
      <c r="K61" s="959">
        <f t="shared" si="6"/>
        <v>184</v>
      </c>
      <c r="L61" s="950">
        <f t="shared" si="30"/>
        <v>2.6666666666666665</v>
      </c>
      <c r="M61" s="948">
        <v>0</v>
      </c>
      <c r="N61" s="959">
        <f t="shared" si="7"/>
        <v>184</v>
      </c>
      <c r="O61" s="950">
        <f t="shared" si="31"/>
        <v>2.6666666666666665</v>
      </c>
      <c r="P61" s="948">
        <v>0</v>
      </c>
      <c r="Q61" s="959">
        <f t="shared" si="8"/>
        <v>184</v>
      </c>
      <c r="R61" s="950">
        <f t="shared" si="32"/>
        <v>2.6666666666666665</v>
      </c>
      <c r="S61" s="948">
        <v>0</v>
      </c>
      <c r="T61" s="959">
        <f t="shared" si="9"/>
        <v>184</v>
      </c>
      <c r="U61" s="950">
        <f t="shared" si="33"/>
        <v>2.6666666666666665</v>
      </c>
      <c r="V61" s="948">
        <v>0</v>
      </c>
      <c r="W61" s="959">
        <f t="shared" si="10"/>
        <v>184</v>
      </c>
      <c r="X61" s="950">
        <f t="shared" si="34"/>
        <v>2.6666666666666665</v>
      </c>
      <c r="Y61" s="948">
        <v>0</v>
      </c>
      <c r="Z61" s="959">
        <f t="shared" si="11"/>
        <v>184</v>
      </c>
      <c r="AA61" s="950">
        <f t="shared" si="35"/>
        <v>2.6666666666666665</v>
      </c>
      <c r="AB61" s="948">
        <v>0</v>
      </c>
      <c r="AC61" s="959">
        <f t="shared" si="12"/>
        <v>184</v>
      </c>
      <c r="AD61" s="950">
        <f t="shared" si="36"/>
        <v>2.6666666666666665</v>
      </c>
      <c r="AE61" s="948">
        <v>35</v>
      </c>
      <c r="AF61" s="959">
        <f t="shared" si="13"/>
        <v>149</v>
      </c>
      <c r="AG61" s="950">
        <f t="shared" si="37"/>
        <v>2.1594202898550723</v>
      </c>
      <c r="AH61" s="948">
        <v>0</v>
      </c>
      <c r="AI61" s="959">
        <f t="shared" si="14"/>
        <v>149</v>
      </c>
      <c r="AJ61" s="950">
        <f t="shared" si="38"/>
        <v>2.1594202898550723</v>
      </c>
      <c r="AK61" s="948">
        <v>35</v>
      </c>
      <c r="AL61" s="959">
        <f t="shared" si="0"/>
        <v>114</v>
      </c>
      <c r="AM61" s="950">
        <f t="shared" si="24"/>
        <v>1.6521739130434783</v>
      </c>
      <c r="AN61" s="948">
        <v>0</v>
      </c>
      <c r="AO61" s="959">
        <f t="shared" si="1"/>
        <v>114</v>
      </c>
      <c r="AP61" s="950">
        <f t="shared" si="25"/>
        <v>1.6521739130434783</v>
      </c>
      <c r="AQ61" s="948">
        <v>35</v>
      </c>
      <c r="AR61" s="959">
        <f t="shared" si="2"/>
        <v>79</v>
      </c>
      <c r="AS61" s="950">
        <f t="shared" si="26"/>
        <v>1.144927536231884</v>
      </c>
      <c r="AT61" s="948">
        <v>35</v>
      </c>
      <c r="AU61" s="959">
        <f t="shared" si="3"/>
        <v>44</v>
      </c>
      <c r="AV61" s="950">
        <f t="shared" si="27"/>
        <v>0.6376811594202898</v>
      </c>
      <c r="AW61" s="948">
        <v>0</v>
      </c>
      <c r="AX61" s="959">
        <f t="shared" si="4"/>
        <v>44</v>
      </c>
      <c r="AY61" s="950">
        <f t="shared" si="28"/>
        <v>0.6376811594202898</v>
      </c>
      <c r="AZ61" s="948">
        <v>35</v>
      </c>
      <c r="BA61" s="959">
        <f t="shared" si="5"/>
        <v>9</v>
      </c>
      <c r="BB61" s="950">
        <f t="shared" si="29"/>
        <v>0.13043478260869565</v>
      </c>
    </row>
    <row r="62" spans="1:54" ht="38.25" thickBot="1">
      <c r="A62" s="1206"/>
      <c r="B62" s="1202"/>
      <c r="C62" s="1039" t="s">
        <v>81</v>
      </c>
      <c r="D62" s="1180"/>
      <c r="E62" s="1039">
        <v>816</v>
      </c>
      <c r="F62" s="897">
        <v>69</v>
      </c>
      <c r="G62" s="644" t="s">
        <v>508</v>
      </c>
      <c r="H62" s="1162"/>
      <c r="I62" s="966">
        <v>72</v>
      </c>
      <c r="J62" s="948">
        <v>0</v>
      </c>
      <c r="K62" s="959">
        <f t="shared" si="6"/>
        <v>72</v>
      </c>
      <c r="L62" s="950">
        <f t="shared" si="30"/>
        <v>1.0434782608695652</v>
      </c>
      <c r="M62" s="948">
        <v>0</v>
      </c>
      <c r="N62" s="959">
        <f t="shared" si="7"/>
        <v>72</v>
      </c>
      <c r="O62" s="950">
        <f t="shared" si="31"/>
        <v>1.0434782608695652</v>
      </c>
      <c r="P62" s="948">
        <v>0</v>
      </c>
      <c r="Q62" s="959">
        <f t="shared" si="8"/>
        <v>72</v>
      </c>
      <c r="R62" s="950">
        <f t="shared" si="32"/>
        <v>1.0434782608695652</v>
      </c>
      <c r="S62" s="948">
        <v>0</v>
      </c>
      <c r="T62" s="959">
        <f t="shared" si="9"/>
        <v>72</v>
      </c>
      <c r="U62" s="950">
        <f t="shared" si="33"/>
        <v>1.0434782608695652</v>
      </c>
      <c r="V62" s="948">
        <v>0</v>
      </c>
      <c r="W62" s="959">
        <f t="shared" si="10"/>
        <v>72</v>
      </c>
      <c r="X62" s="950">
        <f t="shared" si="34"/>
        <v>1.0434782608695652</v>
      </c>
      <c r="Y62" s="948">
        <v>0</v>
      </c>
      <c r="Z62" s="959">
        <f t="shared" si="11"/>
        <v>72</v>
      </c>
      <c r="AA62" s="950">
        <f t="shared" si="35"/>
        <v>1.0434782608695652</v>
      </c>
      <c r="AB62" s="948">
        <v>0</v>
      </c>
      <c r="AC62" s="959">
        <f t="shared" si="12"/>
        <v>72</v>
      </c>
      <c r="AD62" s="950">
        <f t="shared" si="36"/>
        <v>1.0434782608695652</v>
      </c>
      <c r="AE62" s="948">
        <v>35</v>
      </c>
      <c r="AF62" s="959">
        <f t="shared" si="13"/>
        <v>37</v>
      </c>
      <c r="AG62" s="950">
        <f t="shared" si="37"/>
        <v>0.53623188405797106</v>
      </c>
      <c r="AH62" s="948">
        <v>0</v>
      </c>
      <c r="AI62" s="959">
        <f t="shared" si="14"/>
        <v>37</v>
      </c>
      <c r="AJ62" s="950">
        <f t="shared" si="38"/>
        <v>0.53623188405797106</v>
      </c>
      <c r="AK62" s="948">
        <v>35</v>
      </c>
      <c r="AL62" s="959">
        <f t="shared" si="0"/>
        <v>2</v>
      </c>
      <c r="AM62" s="950">
        <f t="shared" si="24"/>
        <v>2.8985507246376812E-2</v>
      </c>
      <c r="AN62" s="948">
        <v>0</v>
      </c>
      <c r="AO62" s="959">
        <f t="shared" si="1"/>
        <v>2</v>
      </c>
      <c r="AP62" s="950">
        <f t="shared" si="25"/>
        <v>2.8985507246376812E-2</v>
      </c>
      <c r="AQ62" s="948">
        <v>35</v>
      </c>
      <c r="AR62" s="959">
        <f t="shared" si="2"/>
        <v>-33</v>
      </c>
      <c r="AS62" s="950">
        <f t="shared" si="26"/>
        <v>-0.47826086956521741</v>
      </c>
      <c r="AT62" s="948">
        <v>35</v>
      </c>
      <c r="AU62" s="959">
        <f t="shared" si="3"/>
        <v>-68</v>
      </c>
      <c r="AV62" s="950">
        <f t="shared" si="27"/>
        <v>-0.98550724637681164</v>
      </c>
      <c r="AW62" s="948">
        <v>0</v>
      </c>
      <c r="AX62" s="959">
        <f t="shared" si="4"/>
        <v>-68</v>
      </c>
      <c r="AY62" s="950">
        <f t="shared" si="28"/>
        <v>-0.98550724637681164</v>
      </c>
      <c r="AZ62" s="948">
        <v>35</v>
      </c>
      <c r="BA62" s="959">
        <f t="shared" si="5"/>
        <v>-103</v>
      </c>
      <c r="BB62" s="950">
        <f t="shared" si="29"/>
        <v>-1.4927536231884058</v>
      </c>
    </row>
    <row r="63" spans="1:54" ht="38.25" thickBot="1">
      <c r="A63" s="1206"/>
      <c r="B63" s="1202" t="s">
        <v>507</v>
      </c>
      <c r="C63" s="1042" t="s">
        <v>82</v>
      </c>
      <c r="D63" s="1180"/>
      <c r="E63" s="1042">
        <v>496</v>
      </c>
      <c r="F63" s="897">
        <v>70</v>
      </c>
      <c r="G63" s="644" t="s">
        <v>509</v>
      </c>
      <c r="H63" s="1162" t="s">
        <v>327</v>
      </c>
      <c r="I63" s="966">
        <v>256</v>
      </c>
      <c r="J63" s="948">
        <v>0</v>
      </c>
      <c r="K63" s="959">
        <f t="shared" si="6"/>
        <v>256</v>
      </c>
      <c r="L63" s="950">
        <f t="shared" si="30"/>
        <v>3.657142857142857</v>
      </c>
      <c r="M63" s="948">
        <v>0</v>
      </c>
      <c r="N63" s="959">
        <f t="shared" si="7"/>
        <v>256</v>
      </c>
      <c r="O63" s="950">
        <f t="shared" si="31"/>
        <v>3.657142857142857</v>
      </c>
      <c r="P63" s="948">
        <v>0</v>
      </c>
      <c r="Q63" s="959">
        <f t="shared" si="8"/>
        <v>256</v>
      </c>
      <c r="R63" s="950">
        <f t="shared" si="32"/>
        <v>3.657142857142857</v>
      </c>
      <c r="S63" s="948">
        <v>0</v>
      </c>
      <c r="T63" s="959">
        <f t="shared" si="9"/>
        <v>256</v>
      </c>
      <c r="U63" s="950">
        <f t="shared" si="33"/>
        <v>3.657142857142857</v>
      </c>
      <c r="V63" s="948">
        <v>0</v>
      </c>
      <c r="W63" s="959">
        <f t="shared" si="10"/>
        <v>256</v>
      </c>
      <c r="X63" s="950">
        <f t="shared" si="34"/>
        <v>3.657142857142857</v>
      </c>
      <c r="Y63" s="948">
        <v>0</v>
      </c>
      <c r="Z63" s="959">
        <f t="shared" si="11"/>
        <v>256</v>
      </c>
      <c r="AA63" s="950">
        <f t="shared" si="35"/>
        <v>3.657142857142857</v>
      </c>
      <c r="AB63" s="948">
        <v>0</v>
      </c>
      <c r="AC63" s="959">
        <f t="shared" si="12"/>
        <v>256</v>
      </c>
      <c r="AD63" s="950">
        <f t="shared" si="36"/>
        <v>3.657142857142857</v>
      </c>
      <c r="AE63" s="948">
        <v>55</v>
      </c>
      <c r="AF63" s="959">
        <f t="shared" si="13"/>
        <v>201</v>
      </c>
      <c r="AG63" s="950">
        <f t="shared" si="37"/>
        <v>2.8714285714285714</v>
      </c>
      <c r="AH63" s="948">
        <v>0</v>
      </c>
      <c r="AI63" s="959">
        <f t="shared" si="14"/>
        <v>201</v>
      </c>
      <c r="AJ63" s="950">
        <f t="shared" si="38"/>
        <v>2.8714285714285714</v>
      </c>
      <c r="AK63" s="948">
        <v>55</v>
      </c>
      <c r="AL63" s="959">
        <f t="shared" si="0"/>
        <v>146</v>
      </c>
      <c r="AM63" s="950">
        <f t="shared" si="24"/>
        <v>2.0857142857142859</v>
      </c>
      <c r="AN63" s="948">
        <v>0</v>
      </c>
      <c r="AO63" s="959">
        <f t="shared" si="1"/>
        <v>146</v>
      </c>
      <c r="AP63" s="950">
        <f t="shared" si="25"/>
        <v>2.0857142857142859</v>
      </c>
      <c r="AQ63" s="948">
        <v>55</v>
      </c>
      <c r="AR63" s="959">
        <f t="shared" si="2"/>
        <v>91</v>
      </c>
      <c r="AS63" s="950">
        <f t="shared" si="26"/>
        <v>1.3</v>
      </c>
      <c r="AT63" s="948">
        <v>55</v>
      </c>
      <c r="AU63" s="959">
        <f t="shared" si="3"/>
        <v>36</v>
      </c>
      <c r="AV63" s="950">
        <f t="shared" si="27"/>
        <v>0.51428571428571423</v>
      </c>
      <c r="AW63" s="948">
        <v>0</v>
      </c>
      <c r="AX63" s="959">
        <f t="shared" si="4"/>
        <v>36</v>
      </c>
      <c r="AY63" s="950">
        <f t="shared" si="28"/>
        <v>0.51428571428571423</v>
      </c>
      <c r="AZ63" s="948">
        <v>55</v>
      </c>
      <c r="BA63" s="959">
        <f t="shared" si="5"/>
        <v>-19</v>
      </c>
      <c r="BB63" s="950">
        <f t="shared" si="29"/>
        <v>-0.27142857142857141</v>
      </c>
    </row>
    <row r="64" spans="1:54" ht="38.25" thickBot="1">
      <c r="A64" s="1206"/>
      <c r="B64" s="1202"/>
      <c r="C64" s="1039" t="s">
        <v>83</v>
      </c>
      <c r="D64" s="1180"/>
      <c r="E64" s="1039">
        <v>496</v>
      </c>
      <c r="F64" s="913">
        <v>70</v>
      </c>
      <c r="G64" s="637" t="s">
        <v>510</v>
      </c>
      <c r="H64" s="1162"/>
      <c r="I64" s="966">
        <v>112</v>
      </c>
      <c r="J64" s="948">
        <v>0</v>
      </c>
      <c r="K64" s="959">
        <f t="shared" si="6"/>
        <v>112</v>
      </c>
      <c r="L64" s="950">
        <f t="shared" si="30"/>
        <v>1.6</v>
      </c>
      <c r="M64" s="948">
        <v>0</v>
      </c>
      <c r="N64" s="959">
        <f t="shared" si="7"/>
        <v>112</v>
      </c>
      <c r="O64" s="950">
        <f t="shared" si="31"/>
        <v>1.6</v>
      </c>
      <c r="P64" s="948">
        <v>0</v>
      </c>
      <c r="Q64" s="959">
        <f t="shared" si="8"/>
        <v>112</v>
      </c>
      <c r="R64" s="950">
        <f t="shared" si="32"/>
        <v>1.6</v>
      </c>
      <c r="S64" s="948">
        <v>0</v>
      </c>
      <c r="T64" s="959">
        <f t="shared" si="9"/>
        <v>112</v>
      </c>
      <c r="U64" s="950">
        <f t="shared" si="33"/>
        <v>1.6</v>
      </c>
      <c r="V64" s="948">
        <v>0</v>
      </c>
      <c r="W64" s="959">
        <f t="shared" si="10"/>
        <v>112</v>
      </c>
      <c r="X64" s="950">
        <f t="shared" si="34"/>
        <v>1.6</v>
      </c>
      <c r="Y64" s="948">
        <v>0</v>
      </c>
      <c r="Z64" s="959">
        <f t="shared" si="11"/>
        <v>112</v>
      </c>
      <c r="AA64" s="950">
        <f t="shared" si="35"/>
        <v>1.6</v>
      </c>
      <c r="AB64" s="948">
        <v>0</v>
      </c>
      <c r="AC64" s="959">
        <f t="shared" si="12"/>
        <v>112</v>
      </c>
      <c r="AD64" s="950">
        <f t="shared" si="36"/>
        <v>1.6</v>
      </c>
      <c r="AE64" s="948">
        <v>55</v>
      </c>
      <c r="AF64" s="959">
        <f t="shared" si="13"/>
        <v>57</v>
      </c>
      <c r="AG64" s="950">
        <f t="shared" si="37"/>
        <v>0.81428571428571428</v>
      </c>
      <c r="AH64" s="948">
        <v>0</v>
      </c>
      <c r="AI64" s="959">
        <f t="shared" si="14"/>
        <v>57</v>
      </c>
      <c r="AJ64" s="950">
        <f t="shared" si="38"/>
        <v>0.81428571428571428</v>
      </c>
      <c r="AK64" s="948">
        <v>55</v>
      </c>
      <c r="AL64" s="959">
        <f t="shared" si="0"/>
        <v>2</v>
      </c>
      <c r="AM64" s="950">
        <f t="shared" si="24"/>
        <v>2.8571428571428571E-2</v>
      </c>
      <c r="AN64" s="948">
        <v>0</v>
      </c>
      <c r="AO64" s="959">
        <f t="shared" si="1"/>
        <v>2</v>
      </c>
      <c r="AP64" s="950">
        <f t="shared" si="25"/>
        <v>2.8571428571428571E-2</v>
      </c>
      <c r="AQ64" s="948">
        <v>55</v>
      </c>
      <c r="AR64" s="959">
        <f t="shared" si="2"/>
        <v>-53</v>
      </c>
      <c r="AS64" s="950">
        <f t="shared" si="26"/>
        <v>-0.75714285714285712</v>
      </c>
      <c r="AT64" s="948">
        <v>55</v>
      </c>
      <c r="AU64" s="959">
        <f t="shared" si="3"/>
        <v>-108</v>
      </c>
      <c r="AV64" s="950">
        <f t="shared" si="27"/>
        <v>-1.5428571428571429</v>
      </c>
      <c r="AW64" s="948">
        <v>0</v>
      </c>
      <c r="AX64" s="959">
        <f t="shared" si="4"/>
        <v>-108</v>
      </c>
      <c r="AY64" s="950">
        <f t="shared" si="28"/>
        <v>-1.5428571428571429</v>
      </c>
      <c r="AZ64" s="948">
        <v>55</v>
      </c>
      <c r="BA64" s="959">
        <f t="shared" si="5"/>
        <v>-163</v>
      </c>
      <c r="BB64" s="950">
        <f t="shared" si="29"/>
        <v>-2.3285714285714287</v>
      </c>
    </row>
    <row r="65" spans="1:54" ht="38.25" thickBot="1">
      <c r="A65" s="1207"/>
      <c r="B65" s="1045" t="s">
        <v>505</v>
      </c>
      <c r="C65" s="1040" t="s">
        <v>79</v>
      </c>
      <c r="D65" s="1194"/>
      <c r="E65" s="1040">
        <v>880</v>
      </c>
      <c r="F65" s="920">
        <v>72</v>
      </c>
      <c r="G65" s="921" t="s">
        <v>27</v>
      </c>
      <c r="H65" s="1031" t="s">
        <v>325</v>
      </c>
      <c r="I65" s="967">
        <v>116</v>
      </c>
      <c r="J65" s="952">
        <v>0</v>
      </c>
      <c r="K65" s="959">
        <f t="shared" si="6"/>
        <v>116</v>
      </c>
      <c r="L65" s="954">
        <f t="shared" si="30"/>
        <v>1.6111111111111112</v>
      </c>
      <c r="M65" s="952">
        <v>0</v>
      </c>
      <c r="N65" s="959">
        <f t="shared" si="7"/>
        <v>116</v>
      </c>
      <c r="O65" s="954">
        <f t="shared" si="31"/>
        <v>1.6111111111111112</v>
      </c>
      <c r="P65" s="952">
        <v>0</v>
      </c>
      <c r="Q65" s="959">
        <f t="shared" si="8"/>
        <v>116</v>
      </c>
      <c r="R65" s="954">
        <f t="shared" si="32"/>
        <v>1.6111111111111112</v>
      </c>
      <c r="S65" s="952">
        <v>0</v>
      </c>
      <c r="T65" s="959">
        <f t="shared" si="9"/>
        <v>116</v>
      </c>
      <c r="U65" s="954">
        <f t="shared" si="33"/>
        <v>1.6111111111111112</v>
      </c>
      <c r="V65" s="952">
        <v>0</v>
      </c>
      <c r="W65" s="959">
        <f t="shared" si="10"/>
        <v>116</v>
      </c>
      <c r="X65" s="954">
        <f t="shared" si="34"/>
        <v>1.6111111111111112</v>
      </c>
      <c r="Y65" s="952">
        <v>0</v>
      </c>
      <c r="Z65" s="959">
        <f t="shared" si="11"/>
        <v>116</v>
      </c>
      <c r="AA65" s="954">
        <f t="shared" si="35"/>
        <v>1.6111111111111112</v>
      </c>
      <c r="AB65" s="952">
        <v>0</v>
      </c>
      <c r="AC65" s="959">
        <f t="shared" si="12"/>
        <v>116</v>
      </c>
      <c r="AD65" s="954">
        <f t="shared" si="36"/>
        <v>1.6111111111111112</v>
      </c>
      <c r="AE65" s="952">
        <v>150</v>
      </c>
      <c r="AF65" s="959">
        <f t="shared" si="13"/>
        <v>-34</v>
      </c>
      <c r="AG65" s="954">
        <f t="shared" si="37"/>
        <v>-0.47222222222222221</v>
      </c>
      <c r="AH65" s="952">
        <v>0</v>
      </c>
      <c r="AI65" s="959">
        <f t="shared" si="14"/>
        <v>-34</v>
      </c>
      <c r="AJ65" s="954">
        <f t="shared" si="38"/>
        <v>-0.47222222222222221</v>
      </c>
      <c r="AK65" s="952">
        <v>150</v>
      </c>
      <c r="AL65" s="959">
        <f t="shared" si="0"/>
        <v>-184</v>
      </c>
      <c r="AM65" s="954">
        <f t="shared" si="24"/>
        <v>-2.5555555555555554</v>
      </c>
      <c r="AN65" s="952">
        <v>0</v>
      </c>
      <c r="AO65" s="959">
        <f t="shared" si="1"/>
        <v>-184</v>
      </c>
      <c r="AP65" s="954">
        <f t="shared" si="25"/>
        <v>-2.5555555555555554</v>
      </c>
      <c r="AQ65" s="952">
        <v>150</v>
      </c>
      <c r="AR65" s="959">
        <f t="shared" si="2"/>
        <v>-334</v>
      </c>
      <c r="AS65" s="954">
        <f t="shared" si="26"/>
        <v>-4.6388888888888893</v>
      </c>
      <c r="AT65" s="952">
        <v>150</v>
      </c>
      <c r="AU65" s="959">
        <f t="shared" si="3"/>
        <v>-484</v>
      </c>
      <c r="AV65" s="954">
        <f t="shared" si="27"/>
        <v>-6.7222222222222223</v>
      </c>
      <c r="AW65" s="952">
        <v>0</v>
      </c>
      <c r="AX65" s="959">
        <f t="shared" si="4"/>
        <v>-484</v>
      </c>
      <c r="AY65" s="954">
        <f t="shared" si="28"/>
        <v>-6.7222222222222223</v>
      </c>
      <c r="AZ65" s="952">
        <v>150</v>
      </c>
      <c r="BA65" s="959">
        <f t="shared" si="5"/>
        <v>-634</v>
      </c>
      <c r="BB65" s="954">
        <f t="shared" si="29"/>
        <v>-8.8055555555555554</v>
      </c>
    </row>
    <row r="66" spans="1:54" s="87" customFormat="1" ht="36.75" customHeight="1" thickBot="1">
      <c r="A66" s="1205" t="s">
        <v>104</v>
      </c>
      <c r="B66" s="1211" t="s">
        <v>513</v>
      </c>
      <c r="C66" s="927" t="s">
        <v>269</v>
      </c>
      <c r="D66" s="1190" t="s">
        <v>576</v>
      </c>
      <c r="E66" s="928">
        <v>267</v>
      </c>
      <c r="F66" s="929">
        <v>75</v>
      </c>
      <c r="G66" s="930" t="s">
        <v>268</v>
      </c>
      <c r="H66" s="1164" t="s">
        <v>557</v>
      </c>
      <c r="I66" s="965">
        <f>25+253+263+367</f>
        <v>908</v>
      </c>
      <c r="J66" s="955">
        <v>0</v>
      </c>
      <c r="K66" s="959">
        <f t="shared" si="6"/>
        <v>908</v>
      </c>
      <c r="L66" s="947">
        <f t="shared" si="30"/>
        <v>12.106666666666667</v>
      </c>
      <c r="M66" s="955">
        <v>0</v>
      </c>
      <c r="N66" s="959">
        <f t="shared" si="7"/>
        <v>908</v>
      </c>
      <c r="O66" s="947">
        <f t="shared" si="31"/>
        <v>12.106666666666667</v>
      </c>
      <c r="P66" s="955">
        <v>0</v>
      </c>
      <c r="Q66" s="959">
        <f t="shared" si="8"/>
        <v>908</v>
      </c>
      <c r="R66" s="947">
        <f t="shared" si="32"/>
        <v>12.106666666666667</v>
      </c>
      <c r="S66" s="955">
        <v>0</v>
      </c>
      <c r="T66" s="959">
        <f t="shared" si="9"/>
        <v>908</v>
      </c>
      <c r="U66" s="947">
        <f t="shared" si="33"/>
        <v>12.106666666666667</v>
      </c>
      <c r="V66" s="955">
        <v>0</v>
      </c>
      <c r="W66" s="959">
        <f t="shared" si="10"/>
        <v>908</v>
      </c>
      <c r="X66" s="947">
        <f t="shared" si="34"/>
        <v>12.106666666666667</v>
      </c>
      <c r="Y66" s="955">
        <v>0</v>
      </c>
      <c r="Z66" s="959">
        <f t="shared" si="11"/>
        <v>908</v>
      </c>
      <c r="AA66" s="947">
        <f t="shared" si="35"/>
        <v>12.106666666666667</v>
      </c>
      <c r="AB66" s="955">
        <v>0</v>
      </c>
      <c r="AC66" s="959">
        <f t="shared" si="12"/>
        <v>908</v>
      </c>
      <c r="AD66" s="947">
        <f t="shared" si="36"/>
        <v>12.106666666666667</v>
      </c>
      <c r="AE66" s="955">
        <v>300</v>
      </c>
      <c r="AF66" s="959">
        <f t="shared" si="13"/>
        <v>608</v>
      </c>
      <c r="AG66" s="947">
        <f t="shared" si="37"/>
        <v>8.1066666666666674</v>
      </c>
      <c r="AH66" s="955">
        <v>0</v>
      </c>
      <c r="AI66" s="959">
        <f t="shared" si="14"/>
        <v>608</v>
      </c>
      <c r="AJ66" s="947">
        <f t="shared" si="38"/>
        <v>8.1066666666666674</v>
      </c>
      <c r="AK66" s="955">
        <v>0</v>
      </c>
      <c r="AL66" s="959">
        <f t="shared" si="0"/>
        <v>608</v>
      </c>
      <c r="AM66" s="947">
        <f t="shared" si="24"/>
        <v>8.1066666666666674</v>
      </c>
      <c r="AN66" s="955">
        <v>300</v>
      </c>
      <c r="AO66" s="959">
        <f t="shared" si="1"/>
        <v>308</v>
      </c>
      <c r="AP66" s="947">
        <f t="shared" si="25"/>
        <v>4.1066666666666665</v>
      </c>
      <c r="AQ66" s="955">
        <v>0</v>
      </c>
      <c r="AR66" s="959">
        <f t="shared" si="2"/>
        <v>308</v>
      </c>
      <c r="AS66" s="947">
        <f t="shared" si="26"/>
        <v>4.1066666666666665</v>
      </c>
      <c r="AT66" s="955">
        <v>0</v>
      </c>
      <c r="AU66" s="959">
        <f t="shared" si="3"/>
        <v>308</v>
      </c>
      <c r="AV66" s="947">
        <f t="shared" si="27"/>
        <v>4.1066666666666665</v>
      </c>
      <c r="AW66" s="955">
        <v>300</v>
      </c>
      <c r="AX66" s="959">
        <f t="shared" si="4"/>
        <v>8</v>
      </c>
      <c r="AY66" s="947">
        <f t="shared" si="28"/>
        <v>0.10666666666666667</v>
      </c>
      <c r="AZ66" s="955">
        <v>0</v>
      </c>
      <c r="BA66" s="959">
        <f t="shared" si="5"/>
        <v>8</v>
      </c>
      <c r="BB66" s="947">
        <f t="shared" si="29"/>
        <v>0.10666666666666667</v>
      </c>
    </row>
    <row r="67" spans="1:54" s="87" customFormat="1" ht="38.25" thickBot="1">
      <c r="A67" s="1206"/>
      <c r="B67" s="1212"/>
      <c r="C67" s="922" t="s">
        <v>267</v>
      </c>
      <c r="D67" s="1191"/>
      <c r="E67" s="1036">
        <v>360</v>
      </c>
      <c r="F67" s="932">
        <v>225</v>
      </c>
      <c r="G67" s="924" t="s">
        <v>266</v>
      </c>
      <c r="H67" s="1165"/>
      <c r="I67" s="966">
        <f>150+263+367</f>
        <v>780</v>
      </c>
      <c r="J67" s="958">
        <v>0</v>
      </c>
      <c r="K67" s="959">
        <f t="shared" si="6"/>
        <v>780</v>
      </c>
      <c r="L67" s="950">
        <f t="shared" si="30"/>
        <v>3.4666666666666668</v>
      </c>
      <c r="M67" s="958">
        <v>0</v>
      </c>
      <c r="N67" s="959">
        <f t="shared" si="7"/>
        <v>780</v>
      </c>
      <c r="O67" s="950">
        <f t="shared" si="31"/>
        <v>3.4666666666666668</v>
      </c>
      <c r="P67" s="958">
        <v>0</v>
      </c>
      <c r="Q67" s="959">
        <f t="shared" si="8"/>
        <v>780</v>
      </c>
      <c r="R67" s="950">
        <f t="shared" si="32"/>
        <v>3.4666666666666668</v>
      </c>
      <c r="S67" s="958">
        <v>0</v>
      </c>
      <c r="T67" s="959">
        <f t="shared" si="9"/>
        <v>780</v>
      </c>
      <c r="U67" s="950">
        <f t="shared" si="33"/>
        <v>3.4666666666666668</v>
      </c>
      <c r="V67" s="958">
        <v>0</v>
      </c>
      <c r="W67" s="959">
        <f t="shared" si="10"/>
        <v>780</v>
      </c>
      <c r="X67" s="950">
        <f t="shared" si="34"/>
        <v>3.4666666666666668</v>
      </c>
      <c r="Y67" s="958">
        <v>0</v>
      </c>
      <c r="Z67" s="959">
        <f t="shared" si="11"/>
        <v>780</v>
      </c>
      <c r="AA67" s="950">
        <f t="shared" si="35"/>
        <v>3.4666666666666668</v>
      </c>
      <c r="AB67" s="958">
        <v>0</v>
      </c>
      <c r="AC67" s="959">
        <f t="shared" si="12"/>
        <v>780</v>
      </c>
      <c r="AD67" s="950">
        <f t="shared" si="36"/>
        <v>3.4666666666666668</v>
      </c>
      <c r="AE67" s="958">
        <v>525</v>
      </c>
      <c r="AF67" s="959">
        <f t="shared" si="13"/>
        <v>255</v>
      </c>
      <c r="AG67" s="950">
        <f t="shared" si="37"/>
        <v>1.1333333333333333</v>
      </c>
      <c r="AH67" s="958">
        <v>0</v>
      </c>
      <c r="AI67" s="959">
        <f t="shared" si="14"/>
        <v>255</v>
      </c>
      <c r="AJ67" s="950">
        <f t="shared" si="38"/>
        <v>1.1333333333333333</v>
      </c>
      <c r="AK67" s="958">
        <v>0</v>
      </c>
      <c r="AL67" s="959">
        <f t="shared" si="0"/>
        <v>255</v>
      </c>
      <c r="AM67" s="950">
        <f t="shared" si="24"/>
        <v>1.1333333333333333</v>
      </c>
      <c r="AN67" s="958">
        <v>525</v>
      </c>
      <c r="AO67" s="959">
        <f t="shared" si="1"/>
        <v>-270</v>
      </c>
      <c r="AP67" s="950">
        <f t="shared" si="25"/>
        <v>-1.2</v>
      </c>
      <c r="AQ67" s="958">
        <v>0</v>
      </c>
      <c r="AR67" s="959">
        <f t="shared" si="2"/>
        <v>-270</v>
      </c>
      <c r="AS67" s="950">
        <f t="shared" si="26"/>
        <v>-1.2</v>
      </c>
      <c r="AT67" s="958">
        <v>0</v>
      </c>
      <c r="AU67" s="959">
        <f t="shared" si="3"/>
        <v>-270</v>
      </c>
      <c r="AV67" s="950">
        <f t="shared" si="27"/>
        <v>-1.2</v>
      </c>
      <c r="AW67" s="958">
        <v>525</v>
      </c>
      <c r="AX67" s="959">
        <f t="shared" si="4"/>
        <v>-795</v>
      </c>
      <c r="AY67" s="950">
        <f t="shared" si="28"/>
        <v>-3.5333333333333332</v>
      </c>
      <c r="AZ67" s="958">
        <v>0</v>
      </c>
      <c r="BA67" s="959">
        <f t="shared" si="5"/>
        <v>-795</v>
      </c>
      <c r="BB67" s="950">
        <f t="shared" si="29"/>
        <v>-3.5333333333333332</v>
      </c>
    </row>
    <row r="68" spans="1:54" s="87" customFormat="1" ht="38.25" thickBot="1">
      <c r="A68" s="1206"/>
      <c r="B68" s="1046" t="s">
        <v>505</v>
      </c>
      <c r="C68" s="922" t="s">
        <v>265</v>
      </c>
      <c r="D68" s="1192"/>
      <c r="E68" s="1036">
        <v>123</v>
      </c>
      <c r="F68" s="933">
        <v>78</v>
      </c>
      <c r="G68" s="924" t="s">
        <v>264</v>
      </c>
      <c r="H68" s="1033" t="s">
        <v>314</v>
      </c>
      <c r="I68" s="966">
        <v>646</v>
      </c>
      <c r="J68" s="951">
        <v>0</v>
      </c>
      <c r="K68" s="959">
        <f t="shared" si="6"/>
        <v>646</v>
      </c>
      <c r="L68" s="950">
        <f t="shared" si="30"/>
        <v>8.2820512820512828</v>
      </c>
      <c r="M68" s="951">
        <v>0</v>
      </c>
      <c r="N68" s="959">
        <f t="shared" si="7"/>
        <v>646</v>
      </c>
      <c r="O68" s="950">
        <f t="shared" si="31"/>
        <v>8.2820512820512828</v>
      </c>
      <c r="P68" s="951">
        <v>0</v>
      </c>
      <c r="Q68" s="959">
        <f t="shared" si="8"/>
        <v>646</v>
      </c>
      <c r="R68" s="950">
        <f t="shared" si="32"/>
        <v>8.2820512820512828</v>
      </c>
      <c r="S68" s="951">
        <v>0</v>
      </c>
      <c r="T68" s="959">
        <f t="shared" si="9"/>
        <v>646</v>
      </c>
      <c r="U68" s="950">
        <f t="shared" si="33"/>
        <v>8.2820512820512828</v>
      </c>
      <c r="V68" s="951">
        <v>0</v>
      </c>
      <c r="W68" s="959">
        <f t="shared" ref="W68:W74" si="39">T68-V68</f>
        <v>646</v>
      </c>
      <c r="X68" s="950">
        <f t="shared" si="34"/>
        <v>8.2820512820512828</v>
      </c>
      <c r="Y68" s="951">
        <v>0</v>
      </c>
      <c r="Z68" s="959">
        <f t="shared" si="11"/>
        <v>646</v>
      </c>
      <c r="AA68" s="950">
        <f t="shared" si="35"/>
        <v>8.2820512820512828</v>
      </c>
      <c r="AB68" s="951">
        <v>0</v>
      </c>
      <c r="AC68" s="959">
        <f t="shared" si="12"/>
        <v>646</v>
      </c>
      <c r="AD68" s="950">
        <f t="shared" si="36"/>
        <v>8.2820512820512828</v>
      </c>
      <c r="AE68" s="951">
        <v>273</v>
      </c>
      <c r="AF68" s="959">
        <f t="shared" si="13"/>
        <v>373</v>
      </c>
      <c r="AG68" s="950">
        <f t="shared" si="37"/>
        <v>4.7820512820512819</v>
      </c>
      <c r="AH68" s="951">
        <v>0</v>
      </c>
      <c r="AI68" s="959">
        <f t="shared" si="14"/>
        <v>373</v>
      </c>
      <c r="AJ68" s="950">
        <f t="shared" si="38"/>
        <v>4.7820512820512819</v>
      </c>
      <c r="AK68" s="951">
        <v>0</v>
      </c>
      <c r="AL68" s="959">
        <f t="shared" si="0"/>
        <v>373</v>
      </c>
      <c r="AM68" s="950">
        <f t="shared" si="24"/>
        <v>4.7820512820512819</v>
      </c>
      <c r="AN68" s="951">
        <v>273</v>
      </c>
      <c r="AO68" s="959">
        <f t="shared" si="1"/>
        <v>100</v>
      </c>
      <c r="AP68" s="950">
        <f t="shared" si="25"/>
        <v>1.2820512820512822</v>
      </c>
      <c r="AQ68" s="951">
        <v>0</v>
      </c>
      <c r="AR68" s="959">
        <f t="shared" si="2"/>
        <v>100</v>
      </c>
      <c r="AS68" s="950">
        <f t="shared" si="26"/>
        <v>1.2820512820512822</v>
      </c>
      <c r="AT68" s="951">
        <v>0</v>
      </c>
      <c r="AU68" s="959">
        <f t="shared" si="3"/>
        <v>100</v>
      </c>
      <c r="AV68" s="950">
        <f t="shared" si="27"/>
        <v>1.2820512820512822</v>
      </c>
      <c r="AW68" s="951">
        <v>273</v>
      </c>
      <c r="AX68" s="959">
        <f t="shared" si="4"/>
        <v>-173</v>
      </c>
      <c r="AY68" s="950">
        <f t="shared" si="28"/>
        <v>-2.2179487179487181</v>
      </c>
      <c r="AZ68" s="951">
        <v>0</v>
      </c>
      <c r="BA68" s="959">
        <f t="shared" si="5"/>
        <v>-173</v>
      </c>
      <c r="BB68" s="950">
        <f t="shared" si="29"/>
        <v>-2.2179487179487181</v>
      </c>
    </row>
    <row r="69" spans="1:54" ht="34.5" customHeight="1" thickBot="1">
      <c r="A69" s="1206"/>
      <c r="B69" s="1202" t="s">
        <v>515</v>
      </c>
      <c r="C69" s="1039" t="s">
        <v>66</v>
      </c>
      <c r="D69" s="1179" t="s">
        <v>471</v>
      </c>
      <c r="E69" s="1039">
        <v>1680</v>
      </c>
      <c r="F69" s="897">
        <v>60</v>
      </c>
      <c r="G69" s="644" t="s">
        <v>435</v>
      </c>
      <c r="H69" s="1030" t="s">
        <v>315</v>
      </c>
      <c r="I69" s="966">
        <f>1320+615+612-185-125+552+155-74-185-77-566-50-156-181-185-185-46-176-175-185+404-154-162+172-170-185+574+528+480+536-140-495+370+572+574-324+544+569+575-185-154+479+576+570-371+443+97-294+515-9+576-714</f>
        <v>6500</v>
      </c>
      <c r="J69" s="948">
        <v>0</v>
      </c>
      <c r="K69" s="959">
        <f t="shared" si="6"/>
        <v>6500</v>
      </c>
      <c r="L69" s="950">
        <f t="shared" si="30"/>
        <v>108.33333333333333</v>
      </c>
      <c r="M69" s="948">
        <v>0</v>
      </c>
      <c r="N69" s="959">
        <f t="shared" si="7"/>
        <v>6500</v>
      </c>
      <c r="O69" s="950">
        <f t="shared" si="31"/>
        <v>108.33333333333333</v>
      </c>
      <c r="P69" s="948">
        <v>0</v>
      </c>
      <c r="Q69" s="959">
        <f t="shared" si="8"/>
        <v>6500</v>
      </c>
      <c r="R69" s="950">
        <f t="shared" si="32"/>
        <v>108.33333333333333</v>
      </c>
      <c r="S69" s="948">
        <v>0</v>
      </c>
      <c r="T69" s="959">
        <f t="shared" si="9"/>
        <v>6500</v>
      </c>
      <c r="U69" s="950">
        <f t="shared" si="33"/>
        <v>108.33333333333333</v>
      </c>
      <c r="V69" s="948">
        <v>0</v>
      </c>
      <c r="W69" s="959">
        <f t="shared" si="39"/>
        <v>6500</v>
      </c>
      <c r="X69" s="950">
        <f t="shared" si="34"/>
        <v>108.33333333333333</v>
      </c>
      <c r="Y69" s="948">
        <v>0</v>
      </c>
      <c r="Z69" s="959">
        <f t="shared" si="11"/>
        <v>6500</v>
      </c>
      <c r="AA69" s="950">
        <f t="shared" si="35"/>
        <v>108.33333333333333</v>
      </c>
      <c r="AB69" s="948">
        <v>0</v>
      </c>
      <c r="AC69" s="959">
        <f t="shared" si="12"/>
        <v>6500</v>
      </c>
      <c r="AD69" s="950">
        <f t="shared" si="36"/>
        <v>108.33333333333333</v>
      </c>
      <c r="AE69" s="948">
        <v>0</v>
      </c>
      <c r="AF69" s="959">
        <f t="shared" si="13"/>
        <v>6500</v>
      </c>
      <c r="AG69" s="950">
        <f t="shared" si="37"/>
        <v>108.33333333333333</v>
      </c>
      <c r="AH69" s="948">
        <v>180</v>
      </c>
      <c r="AI69" s="959">
        <f t="shared" si="14"/>
        <v>6320</v>
      </c>
      <c r="AJ69" s="950">
        <f t="shared" si="38"/>
        <v>105.33333333333333</v>
      </c>
      <c r="AK69" s="948">
        <v>185</v>
      </c>
      <c r="AL69" s="959">
        <f t="shared" si="0"/>
        <v>6135</v>
      </c>
      <c r="AM69" s="950">
        <f t="shared" si="24"/>
        <v>102.25</v>
      </c>
      <c r="AN69" s="948">
        <v>0</v>
      </c>
      <c r="AO69" s="959">
        <f t="shared" si="1"/>
        <v>6135</v>
      </c>
      <c r="AP69" s="950">
        <f t="shared" si="25"/>
        <v>102.25</v>
      </c>
      <c r="AQ69" s="948">
        <v>180</v>
      </c>
      <c r="AR69" s="959">
        <f t="shared" si="2"/>
        <v>5955</v>
      </c>
      <c r="AS69" s="950">
        <f t="shared" si="26"/>
        <v>99.25</v>
      </c>
      <c r="AT69" s="948">
        <v>185</v>
      </c>
      <c r="AU69" s="959">
        <f t="shared" si="3"/>
        <v>5770</v>
      </c>
      <c r="AV69" s="950">
        <f t="shared" si="27"/>
        <v>96.166666666666671</v>
      </c>
      <c r="AW69" s="948">
        <v>0</v>
      </c>
      <c r="AX69" s="959">
        <f t="shared" si="4"/>
        <v>5770</v>
      </c>
      <c r="AY69" s="950">
        <f t="shared" si="28"/>
        <v>96.166666666666671</v>
      </c>
      <c r="AZ69" s="948">
        <v>180</v>
      </c>
      <c r="BA69" s="959">
        <f t="shared" si="5"/>
        <v>5590</v>
      </c>
      <c r="BB69" s="950">
        <f t="shared" si="29"/>
        <v>93.166666666666671</v>
      </c>
    </row>
    <row r="70" spans="1:54" ht="38.25" thickBot="1">
      <c r="A70" s="1206"/>
      <c r="B70" s="1202"/>
      <c r="C70" s="905" t="s">
        <v>58</v>
      </c>
      <c r="D70" s="1180"/>
      <c r="E70" s="905" t="s">
        <v>554</v>
      </c>
      <c r="F70" s="897">
        <v>144</v>
      </c>
      <c r="G70" s="644" t="s">
        <v>436</v>
      </c>
      <c r="H70" s="1162" t="s">
        <v>311</v>
      </c>
      <c r="I70" s="966">
        <f>430+336-714</f>
        <v>52</v>
      </c>
      <c r="J70" s="948">
        <v>0</v>
      </c>
      <c r="K70" s="959">
        <f t="shared" si="6"/>
        <v>52</v>
      </c>
      <c r="L70" s="950">
        <f t="shared" si="30"/>
        <v>0.3611111111111111</v>
      </c>
      <c r="M70" s="948">
        <v>0</v>
      </c>
      <c r="N70" s="959">
        <f t="shared" si="7"/>
        <v>52</v>
      </c>
      <c r="O70" s="950">
        <f t="shared" si="31"/>
        <v>0.3611111111111111</v>
      </c>
      <c r="P70" s="948">
        <v>0</v>
      </c>
      <c r="Q70" s="959">
        <f t="shared" si="8"/>
        <v>52</v>
      </c>
      <c r="R70" s="950">
        <f t="shared" si="32"/>
        <v>0.3611111111111111</v>
      </c>
      <c r="S70" s="948">
        <v>0</v>
      </c>
      <c r="T70" s="959">
        <f t="shared" si="9"/>
        <v>52</v>
      </c>
      <c r="U70" s="950">
        <f t="shared" si="33"/>
        <v>0.3611111111111111</v>
      </c>
      <c r="V70" s="948">
        <v>0</v>
      </c>
      <c r="W70" s="959">
        <f t="shared" si="39"/>
        <v>52</v>
      </c>
      <c r="X70" s="950">
        <f t="shared" si="34"/>
        <v>0.3611111111111111</v>
      </c>
      <c r="Y70" s="948">
        <v>0</v>
      </c>
      <c r="Z70" s="959">
        <f t="shared" si="11"/>
        <v>52</v>
      </c>
      <c r="AA70" s="950">
        <f t="shared" si="35"/>
        <v>0.3611111111111111</v>
      </c>
      <c r="AB70" s="948">
        <v>0</v>
      </c>
      <c r="AC70" s="959">
        <f t="shared" si="12"/>
        <v>52</v>
      </c>
      <c r="AD70" s="950">
        <f t="shared" si="36"/>
        <v>0.3611111111111111</v>
      </c>
      <c r="AE70" s="948">
        <v>0</v>
      </c>
      <c r="AF70" s="959">
        <f t="shared" si="13"/>
        <v>52</v>
      </c>
      <c r="AG70" s="950">
        <f t="shared" si="37"/>
        <v>0.3611111111111111</v>
      </c>
      <c r="AH70" s="948">
        <v>180</v>
      </c>
      <c r="AI70" s="959">
        <f t="shared" si="14"/>
        <v>-128</v>
      </c>
      <c r="AJ70" s="950">
        <f t="shared" si="38"/>
        <v>-0.88888888888888884</v>
      </c>
      <c r="AK70" s="948">
        <v>185</v>
      </c>
      <c r="AL70" s="959">
        <f t="shared" si="0"/>
        <v>-313</v>
      </c>
      <c r="AM70" s="950">
        <f t="shared" si="24"/>
        <v>-2.1736111111111112</v>
      </c>
      <c r="AN70" s="948">
        <v>0</v>
      </c>
      <c r="AO70" s="959">
        <f t="shared" si="1"/>
        <v>-313</v>
      </c>
      <c r="AP70" s="950">
        <f t="shared" si="25"/>
        <v>-2.1736111111111112</v>
      </c>
      <c r="AQ70" s="948">
        <v>180</v>
      </c>
      <c r="AR70" s="959">
        <f t="shared" si="2"/>
        <v>-493</v>
      </c>
      <c r="AS70" s="950">
        <f t="shared" si="26"/>
        <v>-3.4236111111111112</v>
      </c>
      <c r="AT70" s="948">
        <v>185</v>
      </c>
      <c r="AU70" s="959">
        <f t="shared" si="3"/>
        <v>-678</v>
      </c>
      <c r="AV70" s="950">
        <f t="shared" si="27"/>
        <v>-4.708333333333333</v>
      </c>
      <c r="AW70" s="948">
        <v>0</v>
      </c>
      <c r="AX70" s="959">
        <f t="shared" si="4"/>
        <v>-678</v>
      </c>
      <c r="AY70" s="950">
        <f t="shared" si="28"/>
        <v>-4.708333333333333</v>
      </c>
      <c r="AZ70" s="948">
        <v>180</v>
      </c>
      <c r="BA70" s="959">
        <f t="shared" si="5"/>
        <v>-858</v>
      </c>
      <c r="BB70" s="950">
        <f t="shared" si="29"/>
        <v>-5.958333333333333</v>
      </c>
    </row>
    <row r="71" spans="1:54" ht="38.25" thickBot="1">
      <c r="A71" s="1206"/>
      <c r="B71" s="1202"/>
      <c r="C71" s="905" t="s">
        <v>59</v>
      </c>
      <c r="D71" s="1180"/>
      <c r="E71" s="905" t="s">
        <v>554</v>
      </c>
      <c r="F71" s="897">
        <v>144</v>
      </c>
      <c r="G71" s="644" t="s">
        <v>437</v>
      </c>
      <c r="H71" s="1162"/>
      <c r="I71" s="966">
        <v>0</v>
      </c>
      <c r="J71" s="948">
        <v>0</v>
      </c>
      <c r="K71" s="959">
        <f t="shared" si="6"/>
        <v>0</v>
      </c>
      <c r="L71" s="950">
        <f t="shared" si="30"/>
        <v>0</v>
      </c>
      <c r="M71" s="948">
        <v>0</v>
      </c>
      <c r="N71" s="959">
        <f t="shared" si="7"/>
        <v>0</v>
      </c>
      <c r="O71" s="950">
        <f t="shared" si="31"/>
        <v>0</v>
      </c>
      <c r="P71" s="948">
        <v>0</v>
      </c>
      <c r="Q71" s="959">
        <f t="shared" si="8"/>
        <v>0</v>
      </c>
      <c r="R71" s="950">
        <f t="shared" si="32"/>
        <v>0</v>
      </c>
      <c r="S71" s="948">
        <v>0</v>
      </c>
      <c r="T71" s="959">
        <f t="shared" si="9"/>
        <v>0</v>
      </c>
      <c r="U71" s="950">
        <f t="shared" si="33"/>
        <v>0</v>
      </c>
      <c r="V71" s="948">
        <v>0</v>
      </c>
      <c r="W71" s="959">
        <f t="shared" si="39"/>
        <v>0</v>
      </c>
      <c r="X71" s="950">
        <f t="shared" si="34"/>
        <v>0</v>
      </c>
      <c r="Y71" s="948">
        <v>0</v>
      </c>
      <c r="Z71" s="959">
        <f t="shared" si="11"/>
        <v>0</v>
      </c>
      <c r="AA71" s="950">
        <f t="shared" si="35"/>
        <v>0</v>
      </c>
      <c r="AB71" s="948">
        <v>0</v>
      </c>
      <c r="AC71" s="959">
        <f t="shared" si="12"/>
        <v>0</v>
      </c>
      <c r="AD71" s="950">
        <f t="shared" si="36"/>
        <v>0</v>
      </c>
      <c r="AE71" s="948">
        <v>0</v>
      </c>
      <c r="AF71" s="959">
        <f t="shared" si="13"/>
        <v>0</v>
      </c>
      <c r="AG71" s="950">
        <f t="shared" si="37"/>
        <v>0</v>
      </c>
      <c r="AH71" s="948">
        <v>180</v>
      </c>
      <c r="AI71" s="959">
        <f t="shared" si="14"/>
        <v>-180</v>
      </c>
      <c r="AJ71" s="950">
        <f t="shared" si="38"/>
        <v>-1.25</v>
      </c>
      <c r="AK71" s="948">
        <v>185</v>
      </c>
      <c r="AL71" s="959">
        <f t="shared" si="0"/>
        <v>-365</v>
      </c>
      <c r="AM71" s="950">
        <f t="shared" si="24"/>
        <v>-2.5347222222222223</v>
      </c>
      <c r="AN71" s="948">
        <v>0</v>
      </c>
      <c r="AO71" s="959">
        <f t="shared" si="1"/>
        <v>-365</v>
      </c>
      <c r="AP71" s="950">
        <f t="shared" si="25"/>
        <v>-2.5347222222222223</v>
      </c>
      <c r="AQ71" s="948">
        <v>180</v>
      </c>
      <c r="AR71" s="959">
        <f t="shared" si="2"/>
        <v>-545</v>
      </c>
      <c r="AS71" s="950">
        <f t="shared" si="26"/>
        <v>-3.7847222222222223</v>
      </c>
      <c r="AT71" s="948">
        <v>185</v>
      </c>
      <c r="AU71" s="959">
        <f t="shared" si="3"/>
        <v>-730</v>
      </c>
      <c r="AV71" s="950">
        <f t="shared" si="27"/>
        <v>-5.0694444444444446</v>
      </c>
      <c r="AW71" s="948">
        <v>0</v>
      </c>
      <c r="AX71" s="959">
        <f t="shared" si="4"/>
        <v>-730</v>
      </c>
      <c r="AY71" s="950">
        <f t="shared" si="28"/>
        <v>-5.0694444444444446</v>
      </c>
      <c r="AZ71" s="948">
        <v>180</v>
      </c>
      <c r="BA71" s="959">
        <f t="shared" si="5"/>
        <v>-910</v>
      </c>
      <c r="BB71" s="950">
        <f t="shared" si="29"/>
        <v>-6.3194444444444446</v>
      </c>
    </row>
    <row r="72" spans="1:54" ht="32.25" customHeight="1" thickBot="1">
      <c r="A72" s="1206"/>
      <c r="B72" s="1202"/>
      <c r="C72" s="905" t="s">
        <v>64</v>
      </c>
      <c r="D72" s="1181"/>
      <c r="E72" s="905" t="s">
        <v>555</v>
      </c>
      <c r="F72" s="897">
        <v>144</v>
      </c>
      <c r="G72" s="644" t="s">
        <v>114</v>
      </c>
      <c r="H72" s="1162"/>
      <c r="I72" s="966">
        <v>2295</v>
      </c>
      <c r="J72" s="948">
        <v>0</v>
      </c>
      <c r="K72" s="959">
        <f t="shared" si="6"/>
        <v>2295</v>
      </c>
      <c r="L72" s="950">
        <f t="shared" si="30"/>
        <v>15.9375</v>
      </c>
      <c r="M72" s="948">
        <v>0</v>
      </c>
      <c r="N72" s="959">
        <f t="shared" si="7"/>
        <v>2295</v>
      </c>
      <c r="O72" s="950">
        <f t="shared" si="31"/>
        <v>15.9375</v>
      </c>
      <c r="P72" s="948">
        <v>0</v>
      </c>
      <c r="Q72" s="959">
        <f t="shared" si="8"/>
        <v>2295</v>
      </c>
      <c r="R72" s="950">
        <f t="shared" si="32"/>
        <v>15.9375</v>
      </c>
      <c r="S72" s="948">
        <v>0</v>
      </c>
      <c r="T72" s="959">
        <f t="shared" si="9"/>
        <v>2295</v>
      </c>
      <c r="U72" s="950">
        <f t="shared" si="33"/>
        <v>15.9375</v>
      </c>
      <c r="V72" s="948">
        <v>0</v>
      </c>
      <c r="W72" s="959">
        <f t="shared" si="39"/>
        <v>2295</v>
      </c>
      <c r="X72" s="950">
        <f t="shared" si="34"/>
        <v>15.9375</v>
      </c>
      <c r="Y72" s="948">
        <v>0</v>
      </c>
      <c r="Z72" s="959">
        <f t="shared" si="11"/>
        <v>2295</v>
      </c>
      <c r="AA72" s="950">
        <f t="shared" si="35"/>
        <v>15.9375</v>
      </c>
      <c r="AB72" s="948">
        <v>0</v>
      </c>
      <c r="AC72" s="959">
        <f t="shared" si="12"/>
        <v>2295</v>
      </c>
      <c r="AD72" s="950">
        <f t="shared" si="36"/>
        <v>15.9375</v>
      </c>
      <c r="AE72" s="948">
        <v>0</v>
      </c>
      <c r="AF72" s="959">
        <f t="shared" si="13"/>
        <v>2295</v>
      </c>
      <c r="AG72" s="950">
        <f t="shared" si="37"/>
        <v>15.9375</v>
      </c>
      <c r="AH72" s="948">
        <v>180</v>
      </c>
      <c r="AI72" s="959">
        <f t="shared" si="14"/>
        <v>2115</v>
      </c>
      <c r="AJ72" s="950">
        <f t="shared" si="38"/>
        <v>14.6875</v>
      </c>
      <c r="AK72" s="948">
        <v>185</v>
      </c>
      <c r="AL72" s="959">
        <f>AI72-AK72</f>
        <v>1930</v>
      </c>
      <c r="AM72" s="950">
        <f t="shared" si="24"/>
        <v>13.402777777777779</v>
      </c>
      <c r="AN72" s="948">
        <v>0</v>
      </c>
      <c r="AO72" s="959">
        <f>AL72-AN72</f>
        <v>1930</v>
      </c>
      <c r="AP72" s="950">
        <f t="shared" si="25"/>
        <v>13.402777777777779</v>
      </c>
      <c r="AQ72" s="948">
        <v>180</v>
      </c>
      <c r="AR72" s="959">
        <f>AO72-AQ72</f>
        <v>1750</v>
      </c>
      <c r="AS72" s="950">
        <f t="shared" si="26"/>
        <v>12.152777777777779</v>
      </c>
      <c r="AT72" s="948">
        <v>185</v>
      </c>
      <c r="AU72" s="959">
        <f>AR72-AT72</f>
        <v>1565</v>
      </c>
      <c r="AV72" s="950">
        <f t="shared" si="27"/>
        <v>10.868055555555555</v>
      </c>
      <c r="AW72" s="948">
        <v>0</v>
      </c>
      <c r="AX72" s="959">
        <f>AU72-AW72</f>
        <v>1565</v>
      </c>
      <c r="AY72" s="950">
        <f t="shared" si="28"/>
        <v>10.868055555555555</v>
      </c>
      <c r="AZ72" s="948">
        <v>180</v>
      </c>
      <c r="BA72" s="959">
        <f>AX72-AZ72</f>
        <v>1385</v>
      </c>
      <c r="BB72" s="950">
        <f t="shared" si="29"/>
        <v>9.6180555555555554</v>
      </c>
    </row>
    <row r="73" spans="1:54" ht="38.25" thickBot="1">
      <c r="A73" s="1206"/>
      <c r="B73" s="1202" t="s">
        <v>505</v>
      </c>
      <c r="C73" s="1039" t="s">
        <v>67</v>
      </c>
      <c r="D73" s="1179" t="s">
        <v>577</v>
      </c>
      <c r="E73" s="1039">
        <v>1600</v>
      </c>
      <c r="F73" s="897">
        <v>147</v>
      </c>
      <c r="G73" s="644" t="s">
        <v>409</v>
      </c>
      <c r="H73" s="1162" t="s">
        <v>316</v>
      </c>
      <c r="I73" s="966">
        <v>193</v>
      </c>
      <c r="J73" s="948">
        <v>0</v>
      </c>
      <c r="K73" s="959">
        <f>I73-J73</f>
        <v>193</v>
      </c>
      <c r="L73" s="950">
        <f t="shared" si="30"/>
        <v>1.3129251700680271</v>
      </c>
      <c r="M73" s="948">
        <v>0</v>
      </c>
      <c r="N73" s="959">
        <f>K73-M73</f>
        <v>193</v>
      </c>
      <c r="O73" s="950">
        <f t="shared" si="31"/>
        <v>1.3129251700680271</v>
      </c>
      <c r="P73" s="948">
        <v>0</v>
      </c>
      <c r="Q73" s="959">
        <f>N73-P73</f>
        <v>193</v>
      </c>
      <c r="R73" s="950">
        <f t="shared" si="32"/>
        <v>1.3129251700680271</v>
      </c>
      <c r="S73" s="948">
        <v>0</v>
      </c>
      <c r="T73" s="959">
        <f>Q73-S73</f>
        <v>193</v>
      </c>
      <c r="U73" s="950">
        <f t="shared" si="33"/>
        <v>1.3129251700680271</v>
      </c>
      <c r="V73" s="948">
        <v>0</v>
      </c>
      <c r="W73" s="959">
        <f t="shared" si="39"/>
        <v>193</v>
      </c>
      <c r="X73" s="950">
        <f t="shared" si="34"/>
        <v>1.3129251700680271</v>
      </c>
      <c r="Y73" s="948">
        <v>0</v>
      </c>
      <c r="Z73" s="959">
        <f>W73-Y73</f>
        <v>193</v>
      </c>
      <c r="AA73" s="950">
        <f t="shared" si="35"/>
        <v>1.3129251700680271</v>
      </c>
      <c r="AB73" s="948">
        <v>0</v>
      </c>
      <c r="AC73" s="959">
        <f>Z73-AB73</f>
        <v>193</v>
      </c>
      <c r="AD73" s="950">
        <f t="shared" si="36"/>
        <v>1.3129251700680271</v>
      </c>
      <c r="AE73" s="948">
        <v>0</v>
      </c>
      <c r="AF73" s="959">
        <f>AC73-AE73</f>
        <v>193</v>
      </c>
      <c r="AG73" s="950">
        <f t="shared" si="37"/>
        <v>1.3129251700680271</v>
      </c>
      <c r="AH73" s="948">
        <v>160</v>
      </c>
      <c r="AI73" s="959">
        <f>AF73-AH73</f>
        <v>33</v>
      </c>
      <c r="AJ73" s="950">
        <f t="shared" si="38"/>
        <v>0.22448979591836735</v>
      </c>
      <c r="AK73" s="948">
        <v>160</v>
      </c>
      <c r="AL73" s="959">
        <f>AI73-AK73</f>
        <v>-127</v>
      </c>
      <c r="AM73" s="950">
        <f t="shared" si="24"/>
        <v>-0.86394557823129248</v>
      </c>
      <c r="AN73" s="948">
        <v>0</v>
      </c>
      <c r="AO73" s="959">
        <f>AL73-AN73</f>
        <v>-127</v>
      </c>
      <c r="AP73" s="950">
        <f t="shared" si="25"/>
        <v>-0.86394557823129248</v>
      </c>
      <c r="AQ73" s="948">
        <v>160</v>
      </c>
      <c r="AR73" s="959">
        <f>AO73-AQ73</f>
        <v>-287</v>
      </c>
      <c r="AS73" s="950">
        <f t="shared" si="26"/>
        <v>-1.9523809523809523</v>
      </c>
      <c r="AT73" s="948">
        <v>160</v>
      </c>
      <c r="AU73" s="959">
        <f>AR73-AT73</f>
        <v>-447</v>
      </c>
      <c r="AV73" s="950">
        <f t="shared" si="27"/>
        <v>-3.0408163265306123</v>
      </c>
      <c r="AW73" s="948">
        <v>0</v>
      </c>
      <c r="AX73" s="959">
        <f>AU73-AW73</f>
        <v>-447</v>
      </c>
      <c r="AY73" s="950">
        <f t="shared" si="28"/>
        <v>-3.0408163265306123</v>
      </c>
      <c r="AZ73" s="948">
        <v>160</v>
      </c>
      <c r="BA73" s="959">
        <f>AX73-AZ73</f>
        <v>-607</v>
      </c>
      <c r="BB73" s="950">
        <f t="shared" si="29"/>
        <v>-4.129251700680272</v>
      </c>
    </row>
    <row r="74" spans="1:54" ht="38.25" thickBot="1">
      <c r="A74" s="1207"/>
      <c r="B74" s="1210"/>
      <c r="C74" s="1043" t="s">
        <v>68</v>
      </c>
      <c r="D74" s="1194"/>
      <c r="E74" s="1043">
        <v>1600</v>
      </c>
      <c r="F74" s="914">
        <v>147</v>
      </c>
      <c r="G74" s="648" t="s">
        <v>410</v>
      </c>
      <c r="H74" s="1163"/>
      <c r="I74" s="967">
        <v>833</v>
      </c>
      <c r="J74" s="952">
        <v>0</v>
      </c>
      <c r="K74" s="959">
        <f>I74-J74</f>
        <v>833</v>
      </c>
      <c r="L74" s="954">
        <f t="shared" si="30"/>
        <v>5.666666666666667</v>
      </c>
      <c r="M74" s="952">
        <v>0</v>
      </c>
      <c r="N74" s="959">
        <f>K74-M74</f>
        <v>833</v>
      </c>
      <c r="O74" s="954">
        <f t="shared" si="31"/>
        <v>5.666666666666667</v>
      </c>
      <c r="P74" s="952">
        <v>0</v>
      </c>
      <c r="Q74" s="959">
        <f>N74-P74</f>
        <v>833</v>
      </c>
      <c r="R74" s="954">
        <f t="shared" si="32"/>
        <v>5.666666666666667</v>
      </c>
      <c r="S74" s="952">
        <v>0</v>
      </c>
      <c r="T74" s="959">
        <f>Q74-S74</f>
        <v>833</v>
      </c>
      <c r="U74" s="954">
        <f t="shared" si="33"/>
        <v>5.666666666666667</v>
      </c>
      <c r="V74" s="952">
        <v>0</v>
      </c>
      <c r="W74" s="959">
        <f t="shared" si="39"/>
        <v>833</v>
      </c>
      <c r="X74" s="954">
        <f t="shared" si="34"/>
        <v>5.666666666666667</v>
      </c>
      <c r="Y74" s="952">
        <v>0</v>
      </c>
      <c r="Z74" s="959">
        <f>W74-Y74</f>
        <v>833</v>
      </c>
      <c r="AA74" s="954">
        <f t="shared" si="35"/>
        <v>5.666666666666667</v>
      </c>
      <c r="AB74" s="952">
        <v>0</v>
      </c>
      <c r="AC74" s="959">
        <f>Z74-AB74</f>
        <v>833</v>
      </c>
      <c r="AD74" s="954">
        <f t="shared" si="36"/>
        <v>5.666666666666667</v>
      </c>
      <c r="AE74" s="952">
        <v>0</v>
      </c>
      <c r="AF74" s="959">
        <f>AC74-AE74</f>
        <v>833</v>
      </c>
      <c r="AG74" s="954">
        <f t="shared" si="37"/>
        <v>5.666666666666667</v>
      </c>
      <c r="AH74" s="952">
        <v>160</v>
      </c>
      <c r="AI74" s="959">
        <f>AF74-AH74</f>
        <v>673</v>
      </c>
      <c r="AJ74" s="954">
        <f t="shared" si="38"/>
        <v>4.5782312925170068</v>
      </c>
      <c r="AK74" s="952">
        <v>160</v>
      </c>
      <c r="AL74" s="959">
        <f>AI74-AK74</f>
        <v>513</v>
      </c>
      <c r="AM74" s="954">
        <f t="shared" si="24"/>
        <v>3.489795918367347</v>
      </c>
      <c r="AN74" s="952">
        <v>0</v>
      </c>
      <c r="AO74" s="959">
        <f>AL74-AN74</f>
        <v>513</v>
      </c>
      <c r="AP74" s="954">
        <f t="shared" si="25"/>
        <v>3.489795918367347</v>
      </c>
      <c r="AQ74" s="952">
        <v>160</v>
      </c>
      <c r="AR74" s="959">
        <f>AO74-AQ74</f>
        <v>353</v>
      </c>
      <c r="AS74" s="954">
        <f t="shared" si="26"/>
        <v>2.4013605442176869</v>
      </c>
      <c r="AT74" s="952">
        <v>160</v>
      </c>
      <c r="AU74" s="959">
        <f>AR74-AT74</f>
        <v>193</v>
      </c>
      <c r="AV74" s="954">
        <f t="shared" si="27"/>
        <v>1.3129251700680271</v>
      </c>
      <c r="AW74" s="952">
        <v>0</v>
      </c>
      <c r="AX74" s="959">
        <f>AU74-AW74</f>
        <v>193</v>
      </c>
      <c r="AY74" s="954">
        <f t="shared" si="28"/>
        <v>1.3129251700680271</v>
      </c>
      <c r="AZ74" s="952">
        <v>160</v>
      </c>
      <c r="BA74" s="959">
        <f>AX74-AZ74</f>
        <v>33</v>
      </c>
      <c r="BB74" s="954">
        <f t="shared" si="29"/>
        <v>0.22448979591836735</v>
      </c>
    </row>
    <row r="75" spans="1:54" ht="13.5" customHeight="1">
      <c r="I75" s="968"/>
      <c r="J75" s="991"/>
      <c r="AN75" s="991"/>
      <c r="AW75" s="991"/>
    </row>
  </sheetData>
  <autoFilter ref="G1:G75"/>
  <mergeCells count="92">
    <mergeCell ref="A8:A15"/>
    <mergeCell ref="D8:D17"/>
    <mergeCell ref="E9:E12"/>
    <mergeCell ref="A16:A23"/>
    <mergeCell ref="B18:B19"/>
    <mergeCell ref="D18:D21"/>
    <mergeCell ref="E18:E19"/>
    <mergeCell ref="B20:B21"/>
    <mergeCell ref="E20:E21"/>
    <mergeCell ref="C1:I4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H20:H21"/>
    <mergeCell ref="H18:H19"/>
    <mergeCell ref="B22:B23"/>
    <mergeCell ref="D22:D23"/>
    <mergeCell ref="H22:H23"/>
    <mergeCell ref="A24:A31"/>
    <mergeCell ref="D26:D28"/>
    <mergeCell ref="B27:B28"/>
    <mergeCell ref="H27:H28"/>
    <mergeCell ref="B29:B31"/>
    <mergeCell ref="D29:D31"/>
    <mergeCell ref="E29:E31"/>
    <mergeCell ref="H29:H31"/>
    <mergeCell ref="A32:A41"/>
    <mergeCell ref="D32:D41"/>
    <mergeCell ref="H32:H34"/>
    <mergeCell ref="B33:B34"/>
    <mergeCell ref="H35:H37"/>
    <mergeCell ref="B36:B37"/>
    <mergeCell ref="B38:B39"/>
    <mergeCell ref="H38:H39"/>
    <mergeCell ref="B40:B41"/>
    <mergeCell ref="H40:H41"/>
    <mergeCell ref="H53:H55"/>
    <mergeCell ref="H66:H67"/>
    <mergeCell ref="H61:H62"/>
    <mergeCell ref="A42:A49"/>
    <mergeCell ref="D42:D45"/>
    <mergeCell ref="H43:H44"/>
    <mergeCell ref="D46:D49"/>
    <mergeCell ref="E47:E49"/>
    <mergeCell ref="H47:H49"/>
    <mergeCell ref="D61:D65"/>
    <mergeCell ref="A50:A55"/>
    <mergeCell ref="D50:D52"/>
    <mergeCell ref="D53:D57"/>
    <mergeCell ref="E53:E55"/>
    <mergeCell ref="H70:H72"/>
    <mergeCell ref="B73:B74"/>
    <mergeCell ref="D73:D74"/>
    <mergeCell ref="H73:H74"/>
    <mergeCell ref="A5:I5"/>
    <mergeCell ref="B63:B64"/>
    <mergeCell ref="H63:H64"/>
    <mergeCell ref="A66:A74"/>
    <mergeCell ref="B66:B67"/>
    <mergeCell ref="D66:D68"/>
    <mergeCell ref="B69:B72"/>
    <mergeCell ref="D69:D72"/>
    <mergeCell ref="A58:A65"/>
    <mergeCell ref="D58:D60"/>
    <mergeCell ref="E59:E60"/>
    <mergeCell ref="B61:B62"/>
    <mergeCell ref="J5:R5"/>
    <mergeCell ref="S5:AA5"/>
    <mergeCell ref="Y6:AA6"/>
    <mergeCell ref="AB5:AJ5"/>
    <mergeCell ref="AB6:AD6"/>
    <mergeCell ref="AE6:AG6"/>
    <mergeCell ref="AH6:AJ6"/>
    <mergeCell ref="J6:L6"/>
    <mergeCell ref="M6:O6"/>
    <mergeCell ref="P6:R6"/>
    <mergeCell ref="S6:U6"/>
    <mergeCell ref="V6:X6"/>
    <mergeCell ref="AK5:AS5"/>
    <mergeCell ref="AT5:BB5"/>
    <mergeCell ref="AK6:AM6"/>
    <mergeCell ref="AN6:AP6"/>
    <mergeCell ref="AQ6:AS6"/>
    <mergeCell ref="AT6:AV6"/>
    <mergeCell ref="AW6:AY6"/>
    <mergeCell ref="AZ6:BB6"/>
  </mergeCells>
  <conditionalFormatting sqref="I6 I8:I31 I33:I34 I36:I74">
    <cfRule type="cellIs" dxfId="32" priority="30" stopIfTrue="1" operator="lessThan">
      <formula>0</formula>
    </cfRule>
  </conditionalFormatting>
  <conditionalFormatting sqref="I32">
    <cfRule type="cellIs" dxfId="31" priority="26" stopIfTrue="1" operator="lessThan">
      <formula>0</formula>
    </cfRule>
  </conditionalFormatting>
  <conditionalFormatting sqref="I35">
    <cfRule type="cellIs" dxfId="30" priority="22" stopIfTrue="1" operator="lessThan">
      <formula>0</formula>
    </cfRule>
  </conditionalFormatting>
  <conditionalFormatting sqref="K8:L8 L33:L34 L36:L74 N8:O8 O33:O34 O36:O74 Q8:R8 R33:R34 R36:R74 L9:L31 K9:K74 O9:O31 N9:N74 R9:R31 Q9:Q74 T8:U8 U33:U34 U36:U74 W8:X8 X33:X34 X36:X74 Z8:AA8 AA33:AA34 AA36:AA74 U9:U31 X9:X31 AA9:AA31 T9:T74 W9:W74 Z9:Z74 AC8:AD8 AD33:AD34 AD36:AD74 AF8:AG8 AG33:AG34 AG36:AG74 AI8:AJ8 AJ33:AJ34 AJ36:AJ74 AD9:AD31 AG9:AG31 AJ9:AJ31 AC9:AC74 AF9:AF74 AI9:AI74 AL8:AM8 AU8:AV8 AM33:AM34 AV33:AV34 AM36:AM74 AV36:AV74 AO8:AP8 AX8:AY8 AP33:AP34 AY33:AY34 AP36:AP74 AY36:AY74 AR8:AS8 BA8:BB8 AS33:AS34 BB33:BB34 AS36:AS74 BB36:BB74 AM9:AM31 AV9:AV31 AP9:AP31 AY9:AY31 AS9:AS31 BB9:BB31 AL9:AL74 AU9:AU74 AO9:AO74 AX9:AX74 AR9:AR74 BA9:BA74">
    <cfRule type="cellIs" dxfId="29" priority="7" stopIfTrue="1" operator="lessThan">
      <formula>0</formula>
    </cfRule>
    <cfRule type="cellIs" dxfId="28" priority="8" stopIfTrue="1" operator="between">
      <formula>0</formula>
      <formula>200</formula>
    </cfRule>
    <cfRule type="cellIs" dxfId="27" priority="9" stopIfTrue="1" operator="greaterThan">
      <formula>200</formula>
    </cfRule>
  </conditionalFormatting>
  <conditionalFormatting sqref="L32 O32 R32 U32 X32 AA32 AD32 AG32 AJ32 AM32 AV32 AP32 AY32 AS32 BB32">
    <cfRule type="cellIs" dxfId="26" priority="4" stopIfTrue="1" operator="lessThan">
      <formula>0</formula>
    </cfRule>
    <cfRule type="cellIs" dxfId="25" priority="5" stopIfTrue="1" operator="between">
      <formula>0</formula>
      <formula>200</formula>
    </cfRule>
    <cfRule type="cellIs" dxfId="24" priority="6" stopIfTrue="1" operator="greaterThan">
      <formula>200</formula>
    </cfRule>
  </conditionalFormatting>
  <conditionalFormatting sqref="L35 O35 R35 U35 X35 AA35 AD35 AG35 AJ35 AM35 AV35 AP35 AY35 AS35 BB35">
    <cfRule type="cellIs" dxfId="23" priority="1" stopIfTrue="1" operator="lessThan">
      <formula>0</formula>
    </cfRule>
    <cfRule type="cellIs" dxfId="22" priority="2" stopIfTrue="1" operator="between">
      <formula>0</formula>
      <formula>200</formula>
    </cfRule>
    <cfRule type="cellIs" dxfId="21" priority="3" stopIfTrue="1" operator="greaterThan">
      <formula>200</formula>
    </cfRule>
  </conditionalFormatting>
  <printOptions horizontalCentered="1" verticalCentered="1"/>
  <pageMargins left="0" right="0" top="0" bottom="0" header="0" footer="0"/>
  <pageSetup paperSize="8" scale="19" orientation="landscape" r:id="rId1"/>
  <headerFooter>
    <oddHeader>&amp;C&amp;T&amp;R&amp;D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29"/>
  <sheetViews>
    <sheetView zoomScale="30" zoomScaleNormal="30" workbookViewId="0">
      <selection activeCell="C12" sqref="C12:C13"/>
    </sheetView>
  </sheetViews>
  <sheetFormatPr baseColWidth="10" defaultColWidth="15.7109375" defaultRowHeight="20.100000000000001" customHeight="1"/>
  <cols>
    <col min="1" max="1" width="11.42578125" customWidth="1"/>
    <col min="2" max="2" width="51" customWidth="1"/>
    <col min="3" max="3" width="89.85546875" customWidth="1"/>
    <col min="4" max="4" width="0.28515625" customWidth="1"/>
    <col min="5" max="5" width="16.85546875" customWidth="1"/>
    <col min="6" max="6" width="17.28515625" customWidth="1"/>
    <col min="7" max="7" width="18.28515625" customWidth="1"/>
    <col min="8" max="8" width="16.85546875" customWidth="1"/>
    <col min="9" max="9" width="17.85546875" customWidth="1"/>
    <col min="10" max="10" width="18.7109375" customWidth="1"/>
  </cols>
  <sheetData>
    <row r="1" spans="1:46" ht="2.25" customHeight="1">
      <c r="A1" s="85"/>
      <c r="B1" s="86"/>
      <c r="C1" s="986" t="s">
        <v>289</v>
      </c>
      <c r="D1" s="987" t="s">
        <v>288</v>
      </c>
    </row>
    <row r="2" spans="1:46" ht="129" customHeight="1">
      <c r="A2" s="85"/>
      <c r="B2" s="1294" t="s">
        <v>609</v>
      </c>
      <c r="C2" s="1295"/>
      <c r="D2" s="1295"/>
      <c r="E2" s="1295"/>
      <c r="F2" s="1295"/>
      <c r="G2" s="1295"/>
      <c r="H2" s="1295"/>
      <c r="I2" s="1295"/>
      <c r="J2" s="1295"/>
      <c r="K2" s="1295"/>
      <c r="L2" s="1295"/>
      <c r="M2" s="1295"/>
      <c r="N2" s="1295"/>
      <c r="O2" s="1295"/>
      <c r="P2" s="1295"/>
      <c r="Q2" s="1295"/>
      <c r="R2" s="1295"/>
      <c r="S2" s="1295"/>
      <c r="T2" s="1295"/>
      <c r="U2" s="1295"/>
      <c r="V2" s="1295"/>
      <c r="W2" s="1295"/>
      <c r="X2" s="1295"/>
      <c r="Y2" s="1295"/>
      <c r="Z2" s="1295"/>
      <c r="AA2" s="1295"/>
      <c r="AB2" s="1295"/>
      <c r="AC2" s="1295"/>
      <c r="AD2" s="1295"/>
      <c r="AE2" s="1295"/>
      <c r="AF2" s="1295"/>
      <c r="AG2" s="1295"/>
      <c r="AH2" s="1295"/>
      <c r="AI2" s="1295"/>
      <c r="AJ2" s="1295"/>
      <c r="AK2" s="1295"/>
      <c r="AL2" s="1295"/>
      <c r="AM2" s="1295"/>
      <c r="AN2" s="1295"/>
      <c r="AO2" s="1295"/>
      <c r="AP2" s="1295"/>
      <c r="AQ2" s="1295"/>
      <c r="AR2" s="1295"/>
      <c r="AS2" s="1295"/>
      <c r="AT2" s="1295"/>
    </row>
    <row r="3" spans="1:46" ht="38.25" customHeight="1" thickBot="1">
      <c r="A3" s="85"/>
      <c r="B3" s="1296"/>
      <c r="C3" s="1297"/>
      <c r="D3" s="1297"/>
      <c r="E3" s="1297"/>
      <c r="F3" s="1297"/>
      <c r="G3" s="1297"/>
      <c r="H3" s="1297"/>
      <c r="I3" s="1297"/>
      <c r="J3" s="1297"/>
      <c r="K3" s="1297"/>
      <c r="L3" s="1297"/>
      <c r="M3" s="1297"/>
      <c r="N3" s="1297"/>
      <c r="O3" s="1297"/>
      <c r="P3" s="1297"/>
      <c r="Q3" s="1297"/>
      <c r="R3" s="1297"/>
      <c r="S3" s="1297"/>
      <c r="T3" s="1297"/>
      <c r="U3" s="1297"/>
      <c r="V3" s="1297"/>
      <c r="W3" s="1297"/>
      <c r="X3" s="1297"/>
      <c r="Y3" s="1297"/>
      <c r="Z3" s="1297"/>
      <c r="AA3" s="1297"/>
      <c r="AB3" s="1297"/>
      <c r="AC3" s="1297"/>
      <c r="AD3" s="1297"/>
      <c r="AE3" s="1297"/>
      <c r="AF3" s="1297"/>
      <c r="AG3" s="1297"/>
      <c r="AH3" s="1297"/>
      <c r="AI3" s="1297"/>
      <c r="AJ3" s="1297"/>
      <c r="AK3" s="1297"/>
      <c r="AL3" s="1297"/>
      <c r="AM3" s="1297"/>
      <c r="AN3" s="1297"/>
      <c r="AO3" s="1297"/>
      <c r="AP3" s="1297"/>
      <c r="AQ3" s="1297"/>
      <c r="AR3" s="1297"/>
      <c r="AS3" s="1297"/>
      <c r="AT3" s="1297"/>
    </row>
    <row r="4" spans="1:46" ht="37.5" customHeight="1">
      <c r="A4" s="85"/>
      <c r="B4" s="1287" t="s">
        <v>301</v>
      </c>
      <c r="C4" s="1288"/>
      <c r="D4" s="1292" t="s">
        <v>287</v>
      </c>
      <c r="E4" s="1278" t="s">
        <v>605</v>
      </c>
      <c r="F4" s="1279"/>
      <c r="G4" s="1279"/>
      <c r="H4" s="1279"/>
      <c r="I4" s="1279"/>
      <c r="J4" s="1280"/>
      <c r="K4" s="1278" t="s">
        <v>606</v>
      </c>
      <c r="L4" s="1279"/>
      <c r="M4" s="1279"/>
      <c r="N4" s="1279"/>
      <c r="O4" s="1279"/>
      <c r="P4" s="1280"/>
      <c r="Q4" s="1278" t="s">
        <v>628</v>
      </c>
      <c r="R4" s="1279"/>
      <c r="S4" s="1279"/>
      <c r="T4" s="1279"/>
      <c r="U4" s="1279"/>
      <c r="V4" s="1280"/>
      <c r="W4" s="1278" t="s">
        <v>156</v>
      </c>
      <c r="X4" s="1279"/>
      <c r="Y4" s="1279"/>
      <c r="Z4" s="1279"/>
      <c r="AA4" s="1279"/>
      <c r="AB4" s="1280"/>
      <c r="AC4" s="1278" t="s">
        <v>157</v>
      </c>
      <c r="AD4" s="1279"/>
      <c r="AE4" s="1279"/>
      <c r="AF4" s="1279"/>
      <c r="AG4" s="1279"/>
      <c r="AH4" s="1280"/>
      <c r="AI4" s="1299" t="s">
        <v>603</v>
      </c>
      <c r="AJ4" s="1300"/>
      <c r="AK4" s="1300"/>
      <c r="AL4" s="1300"/>
      <c r="AM4" s="1300"/>
      <c r="AN4" s="1301"/>
      <c r="AO4" s="1299" t="s">
        <v>605</v>
      </c>
      <c r="AP4" s="1300"/>
      <c r="AQ4" s="1300"/>
      <c r="AR4" s="1300"/>
      <c r="AS4" s="1300"/>
      <c r="AT4" s="1301"/>
    </row>
    <row r="5" spans="1:46" ht="67.5" customHeight="1">
      <c r="A5" s="85"/>
      <c r="B5" s="1238"/>
      <c r="C5" s="1289"/>
      <c r="D5" s="1293"/>
      <c r="E5" s="1283" t="s">
        <v>608</v>
      </c>
      <c r="F5" s="1284"/>
      <c r="G5" s="1285" t="s">
        <v>604</v>
      </c>
      <c r="H5" s="1284"/>
      <c r="I5" s="1285" t="s">
        <v>607</v>
      </c>
      <c r="J5" s="1286"/>
      <c r="K5" s="1283" t="s">
        <v>608</v>
      </c>
      <c r="L5" s="1284"/>
      <c r="M5" s="1285" t="s">
        <v>604</v>
      </c>
      <c r="N5" s="1284"/>
      <c r="O5" s="1285" t="s">
        <v>607</v>
      </c>
      <c r="P5" s="1286"/>
      <c r="Q5" s="1283" t="s">
        <v>608</v>
      </c>
      <c r="R5" s="1284"/>
      <c r="S5" s="1285" t="s">
        <v>604</v>
      </c>
      <c r="T5" s="1284"/>
      <c r="U5" s="1285" t="s">
        <v>607</v>
      </c>
      <c r="V5" s="1286"/>
      <c r="W5" s="1283" t="s">
        <v>608</v>
      </c>
      <c r="X5" s="1284"/>
      <c r="Y5" s="1285" t="s">
        <v>604</v>
      </c>
      <c r="Z5" s="1284"/>
      <c r="AA5" s="1285" t="s">
        <v>607</v>
      </c>
      <c r="AB5" s="1286"/>
      <c r="AC5" s="1283" t="s">
        <v>608</v>
      </c>
      <c r="AD5" s="1284"/>
      <c r="AE5" s="1285" t="s">
        <v>604</v>
      </c>
      <c r="AF5" s="1284"/>
      <c r="AG5" s="1285" t="s">
        <v>607</v>
      </c>
      <c r="AH5" s="1286"/>
      <c r="AI5" s="1283" t="s">
        <v>608</v>
      </c>
      <c r="AJ5" s="1284"/>
      <c r="AK5" s="1298" t="s">
        <v>604</v>
      </c>
      <c r="AL5" s="1298"/>
      <c r="AM5" s="1298" t="s">
        <v>607</v>
      </c>
      <c r="AN5" s="1298"/>
      <c r="AO5" s="1283" t="s">
        <v>608</v>
      </c>
      <c r="AP5" s="1284"/>
      <c r="AQ5" s="1298" t="s">
        <v>604</v>
      </c>
      <c r="AR5" s="1298"/>
      <c r="AS5" s="1298" t="s">
        <v>607</v>
      </c>
      <c r="AT5" s="1298"/>
    </row>
    <row r="6" spans="1:46" ht="67.5" customHeight="1" thickBot="1">
      <c r="A6" s="85"/>
      <c r="B6" s="1290"/>
      <c r="C6" s="1291"/>
      <c r="D6" s="1051"/>
      <c r="E6" s="1055" t="s">
        <v>616</v>
      </c>
      <c r="F6" s="1055" t="s">
        <v>617</v>
      </c>
      <c r="G6" s="1055" t="s">
        <v>616</v>
      </c>
      <c r="H6" s="1055" t="s">
        <v>617</v>
      </c>
      <c r="I6" s="1055" t="s">
        <v>616</v>
      </c>
      <c r="J6" s="1055" t="s">
        <v>617</v>
      </c>
      <c r="K6" s="1055" t="s">
        <v>616</v>
      </c>
      <c r="L6" s="1055" t="s">
        <v>617</v>
      </c>
      <c r="M6" s="1055" t="s">
        <v>616</v>
      </c>
      <c r="N6" s="1055" t="s">
        <v>617</v>
      </c>
      <c r="O6" s="1055" t="s">
        <v>616</v>
      </c>
      <c r="P6" s="1055" t="s">
        <v>617</v>
      </c>
      <c r="Q6" s="1055" t="s">
        <v>616</v>
      </c>
      <c r="R6" s="1055" t="s">
        <v>617</v>
      </c>
      <c r="S6" s="1055" t="s">
        <v>616</v>
      </c>
      <c r="T6" s="1055" t="s">
        <v>617</v>
      </c>
      <c r="U6" s="1055" t="s">
        <v>616</v>
      </c>
      <c r="V6" s="1055" t="s">
        <v>617</v>
      </c>
      <c r="W6" s="1055" t="s">
        <v>616</v>
      </c>
      <c r="X6" s="1055" t="s">
        <v>617</v>
      </c>
      <c r="Y6" s="1055" t="s">
        <v>616</v>
      </c>
      <c r="Z6" s="1055" t="s">
        <v>617</v>
      </c>
      <c r="AA6" s="1055" t="s">
        <v>616</v>
      </c>
      <c r="AB6" s="1055" t="s">
        <v>617</v>
      </c>
      <c r="AC6" s="1055" t="s">
        <v>616</v>
      </c>
      <c r="AD6" s="1055" t="s">
        <v>617</v>
      </c>
      <c r="AE6" s="1055" t="s">
        <v>616</v>
      </c>
      <c r="AF6" s="1055" t="s">
        <v>617</v>
      </c>
      <c r="AG6" s="1055" t="s">
        <v>616</v>
      </c>
      <c r="AH6" s="1055" t="s">
        <v>617</v>
      </c>
      <c r="AI6" s="1055" t="s">
        <v>616</v>
      </c>
      <c r="AJ6" s="1055" t="s">
        <v>617</v>
      </c>
      <c r="AK6" s="1055" t="s">
        <v>616</v>
      </c>
      <c r="AL6" s="1055" t="s">
        <v>617</v>
      </c>
      <c r="AM6" s="1055" t="s">
        <v>616</v>
      </c>
      <c r="AN6" s="1055" t="s">
        <v>617</v>
      </c>
      <c r="AO6" s="1055" t="s">
        <v>616</v>
      </c>
      <c r="AP6" s="1055" t="s">
        <v>617</v>
      </c>
      <c r="AQ6" s="1055" t="s">
        <v>616</v>
      </c>
      <c r="AR6" s="1055" t="s">
        <v>617</v>
      </c>
      <c r="AS6" s="1055" t="s">
        <v>616</v>
      </c>
      <c r="AT6" s="1055" t="s">
        <v>617</v>
      </c>
    </row>
    <row r="7" spans="1:46" s="87" customFormat="1" ht="139.5" customHeight="1">
      <c r="A7" s="458"/>
      <c r="B7" s="502" t="s">
        <v>449</v>
      </c>
      <c r="C7" s="1281" t="s">
        <v>561</v>
      </c>
      <c r="D7" s="1050" t="s">
        <v>302</v>
      </c>
      <c r="E7" s="1022"/>
      <c r="F7" s="1052"/>
      <c r="G7" s="1052"/>
      <c r="H7" s="1052"/>
      <c r="I7" s="1052"/>
      <c r="J7" s="1023"/>
      <c r="K7" s="1022"/>
      <c r="L7" s="1052"/>
      <c r="M7" s="1052"/>
      <c r="N7" s="1052"/>
      <c r="O7" s="1052"/>
      <c r="P7" s="1023"/>
      <c r="Q7" s="1022"/>
      <c r="R7" s="1052"/>
      <c r="S7" s="1052"/>
      <c r="T7" s="1052"/>
      <c r="U7" s="1052"/>
      <c r="V7" s="1023"/>
      <c r="W7" s="1022"/>
      <c r="X7" s="1052"/>
      <c r="Y7" s="1052"/>
      <c r="Z7" s="1052"/>
      <c r="AA7" s="1052"/>
      <c r="AB7" s="1023"/>
      <c r="AC7" s="1022"/>
      <c r="AD7" s="1052"/>
      <c r="AE7" s="1052"/>
      <c r="AF7" s="1052"/>
      <c r="AG7" s="1052"/>
      <c r="AH7" s="1023"/>
      <c r="AI7" s="1022"/>
      <c r="AJ7" s="1052"/>
      <c r="AK7" s="1052"/>
      <c r="AL7" s="1052"/>
      <c r="AM7" s="1052"/>
      <c r="AN7" s="1023"/>
      <c r="AO7" s="1022"/>
      <c r="AP7" s="1052"/>
      <c r="AQ7" s="1052"/>
      <c r="AR7" s="1052"/>
      <c r="AS7" s="1052"/>
      <c r="AT7" s="1023"/>
    </row>
    <row r="8" spans="1:46" s="87" customFormat="1" ht="135.75" customHeight="1" thickBot="1">
      <c r="A8" s="458"/>
      <c r="B8" s="503" t="s">
        <v>450</v>
      </c>
      <c r="C8" s="1282"/>
      <c r="D8" s="1048"/>
      <c r="E8" s="1024"/>
      <c r="F8" s="1053"/>
      <c r="G8" s="1053"/>
      <c r="H8" s="1053"/>
      <c r="I8" s="1053"/>
      <c r="J8" s="1028"/>
      <c r="K8" s="1024"/>
      <c r="L8" s="1053"/>
      <c r="M8" s="1053"/>
      <c r="N8" s="1053"/>
      <c r="O8" s="1053"/>
      <c r="P8" s="1028"/>
      <c r="Q8" s="1024"/>
      <c r="R8" s="1053"/>
      <c r="S8" s="1053"/>
      <c r="T8" s="1053"/>
      <c r="U8" s="1053"/>
      <c r="V8" s="1028"/>
      <c r="W8" s="1024"/>
      <c r="X8" s="1053"/>
      <c r="Y8" s="1053"/>
      <c r="Z8" s="1053"/>
      <c r="AA8" s="1053"/>
      <c r="AB8" s="1028"/>
      <c r="AC8" s="1024"/>
      <c r="AD8" s="1053"/>
      <c r="AE8" s="1053"/>
      <c r="AF8" s="1053"/>
      <c r="AG8" s="1053"/>
      <c r="AH8" s="1028"/>
      <c r="AI8" s="1024"/>
      <c r="AJ8" s="1053"/>
      <c r="AK8" s="1053"/>
      <c r="AL8" s="1053"/>
      <c r="AM8" s="1053"/>
      <c r="AN8" s="1028"/>
      <c r="AO8" s="1024"/>
      <c r="AP8" s="1053"/>
      <c r="AQ8" s="1053"/>
      <c r="AR8" s="1053"/>
      <c r="AS8" s="1053"/>
      <c r="AT8" s="1028"/>
    </row>
    <row r="9" spans="1:46" s="87" customFormat="1" ht="141" customHeight="1" thickBot="1">
      <c r="A9" s="458"/>
      <c r="B9" s="503" t="s">
        <v>450</v>
      </c>
      <c r="C9" s="462" t="s">
        <v>562</v>
      </c>
      <c r="D9" s="1019" t="e">
        <f>AVERAGE(#REF!+#REF!,#REF!+#REF!,#REF!+#REF!,#REF!+#REF!,#REF!+#REF!,#REF!+#REF!,#REF!+#REF!)</f>
        <v>#REF!</v>
      </c>
      <c r="E9" s="1024"/>
      <c r="F9" s="1053"/>
      <c r="G9" s="1053"/>
      <c r="H9" s="1053"/>
      <c r="I9" s="1053"/>
      <c r="J9" s="1028"/>
      <c r="K9" s="1024"/>
      <c r="L9" s="1053"/>
      <c r="M9" s="1053"/>
      <c r="N9" s="1053"/>
      <c r="O9" s="1053"/>
      <c r="P9" s="1028"/>
      <c r="Q9" s="1024"/>
      <c r="R9" s="1053"/>
      <c r="S9" s="1053"/>
      <c r="T9" s="1053"/>
      <c r="U9" s="1053"/>
      <c r="V9" s="1028"/>
      <c r="W9" s="1024"/>
      <c r="X9" s="1053"/>
      <c r="Y9" s="1053"/>
      <c r="Z9" s="1053"/>
      <c r="AA9" s="1053"/>
      <c r="AB9" s="1028"/>
      <c r="AC9" s="1024"/>
      <c r="AD9" s="1053"/>
      <c r="AE9" s="1053"/>
      <c r="AF9" s="1053"/>
      <c r="AG9" s="1053"/>
      <c r="AH9" s="1028"/>
      <c r="AI9" s="1024"/>
      <c r="AJ9" s="1053"/>
      <c r="AK9" s="1053"/>
      <c r="AL9" s="1053"/>
      <c r="AM9" s="1053"/>
      <c r="AN9" s="1028"/>
      <c r="AO9" s="1024"/>
      <c r="AP9" s="1053"/>
      <c r="AQ9" s="1053"/>
      <c r="AR9" s="1053"/>
      <c r="AS9" s="1053"/>
      <c r="AT9" s="1028"/>
    </row>
    <row r="10" spans="1:46" s="87" customFormat="1" ht="150" customHeight="1" thickBot="1">
      <c r="A10" s="458"/>
      <c r="B10" s="503" t="s">
        <v>450</v>
      </c>
      <c r="C10" s="462" t="s">
        <v>563</v>
      </c>
      <c r="D10" s="1019" t="e">
        <f>AVERAGE(#REF!+#REF!,#REF!+#REF!,#REF!+#REF!,#REF!+#REF!,#REF!+#REF!,#REF!+#REF!,#REF!+#REF!)</f>
        <v>#REF!</v>
      </c>
      <c r="E10" s="1024"/>
      <c r="F10" s="1053"/>
      <c r="G10" s="1053"/>
      <c r="H10" s="1053"/>
      <c r="I10" s="1053"/>
      <c r="J10" s="1028"/>
      <c r="K10" s="1024"/>
      <c r="L10" s="1053"/>
      <c r="M10" s="1053"/>
      <c r="N10" s="1053"/>
      <c r="O10" s="1053"/>
      <c r="P10" s="1028"/>
      <c r="Q10" s="1024"/>
      <c r="R10" s="1053"/>
      <c r="S10" s="1053"/>
      <c r="T10" s="1053"/>
      <c r="U10" s="1053"/>
      <c r="V10" s="1028"/>
      <c r="W10" s="1024"/>
      <c r="X10" s="1053"/>
      <c r="Y10" s="1053"/>
      <c r="Z10" s="1053"/>
      <c r="AA10" s="1053"/>
      <c r="AB10" s="1028"/>
      <c r="AC10" s="1024"/>
      <c r="AD10" s="1053"/>
      <c r="AE10" s="1053"/>
      <c r="AF10" s="1053"/>
      <c r="AG10" s="1053"/>
      <c r="AH10" s="1028"/>
      <c r="AI10" s="1024"/>
      <c r="AJ10" s="1053"/>
      <c r="AK10" s="1053"/>
      <c r="AL10" s="1053"/>
      <c r="AM10" s="1053"/>
      <c r="AN10" s="1028"/>
      <c r="AO10" s="1024"/>
      <c r="AP10" s="1053"/>
      <c r="AQ10" s="1053"/>
      <c r="AR10" s="1053"/>
      <c r="AS10" s="1053"/>
      <c r="AT10" s="1028"/>
    </row>
    <row r="11" spans="1:46" s="87" customFormat="1" ht="155.25" customHeight="1" thickBot="1">
      <c r="A11" s="458"/>
      <c r="B11" s="503" t="s">
        <v>450</v>
      </c>
      <c r="C11" s="461" t="s">
        <v>564</v>
      </c>
      <c r="D11" s="1020" t="e">
        <f>AVERAGE(#REF!+#REF!,#REF!+#REF!,#REF!+#REF!,#REF!+#REF!,#REF!+#REF!,#REF!+#REF!,#REF!+#REF!)</f>
        <v>#REF!</v>
      </c>
      <c r="E11" s="1024"/>
      <c r="F11" s="1053"/>
      <c r="G11" s="1053"/>
      <c r="H11" s="1053"/>
      <c r="I11" s="1053"/>
      <c r="J11" s="1025"/>
      <c r="K11" s="1024"/>
      <c r="L11" s="1053"/>
      <c r="M11" s="1053"/>
      <c r="N11" s="1053"/>
      <c r="O11" s="1053"/>
      <c r="P11" s="1025"/>
      <c r="Q11" s="1024"/>
      <c r="R11" s="1053"/>
      <c r="S11" s="1053"/>
      <c r="T11" s="1053"/>
      <c r="U11" s="1053"/>
      <c r="V11" s="1025"/>
      <c r="W11" s="1024"/>
      <c r="X11" s="1053"/>
      <c r="Y11" s="1053"/>
      <c r="Z11" s="1053"/>
      <c r="AA11" s="1053"/>
      <c r="AB11" s="1025"/>
      <c r="AC11" s="1024"/>
      <c r="AD11" s="1053"/>
      <c r="AE11" s="1053"/>
      <c r="AF11" s="1053"/>
      <c r="AG11" s="1053"/>
      <c r="AH11" s="1025"/>
      <c r="AI11" s="1024"/>
      <c r="AJ11" s="1053"/>
      <c r="AK11" s="1053"/>
      <c r="AL11" s="1053"/>
      <c r="AM11" s="1053"/>
      <c r="AN11" s="1025"/>
      <c r="AO11" s="1024"/>
      <c r="AP11" s="1053"/>
      <c r="AQ11" s="1053"/>
      <c r="AR11" s="1053"/>
      <c r="AS11" s="1053"/>
      <c r="AT11" s="1025"/>
    </row>
    <row r="12" spans="1:46" s="87" customFormat="1" ht="145.5" customHeight="1" thickBot="1">
      <c r="A12" s="458"/>
      <c r="B12" s="503" t="s">
        <v>450</v>
      </c>
      <c r="C12" s="1276" t="s">
        <v>565</v>
      </c>
      <c r="D12" s="1019" t="e">
        <f>AVERAGE(#REF!+#REF!,#REF!+#REF!,#REF!+#REF!,#REF!+#REF!,#REF!+#REF!,#REF!+#REF!,#REF!+#REF!)</f>
        <v>#REF!</v>
      </c>
      <c r="E12" s="1024"/>
      <c r="F12" s="1053"/>
      <c r="G12" s="1053"/>
      <c r="H12" s="1053"/>
      <c r="I12" s="1053"/>
      <c r="J12" s="1025"/>
      <c r="K12" s="1024"/>
      <c r="L12" s="1053"/>
      <c r="M12" s="1053"/>
      <c r="N12" s="1053"/>
      <c r="O12" s="1053"/>
      <c r="P12" s="1025"/>
      <c r="Q12" s="1024"/>
      <c r="R12" s="1053"/>
      <c r="S12" s="1053"/>
      <c r="T12" s="1053"/>
      <c r="U12" s="1053"/>
      <c r="V12" s="1025"/>
      <c r="W12" s="1024"/>
      <c r="X12" s="1053"/>
      <c r="Y12" s="1053"/>
      <c r="Z12" s="1053"/>
      <c r="AA12" s="1053"/>
      <c r="AB12" s="1025"/>
      <c r="AC12" s="1024"/>
      <c r="AD12" s="1053"/>
      <c r="AE12" s="1053"/>
      <c r="AF12" s="1053"/>
      <c r="AG12" s="1053"/>
      <c r="AH12" s="1025"/>
      <c r="AI12" s="1024"/>
      <c r="AJ12" s="1053"/>
      <c r="AK12" s="1053"/>
      <c r="AL12" s="1053"/>
      <c r="AM12" s="1053"/>
      <c r="AN12" s="1025"/>
      <c r="AO12" s="1024"/>
      <c r="AP12" s="1053"/>
      <c r="AQ12" s="1053"/>
      <c r="AR12" s="1053"/>
      <c r="AS12" s="1053"/>
      <c r="AT12" s="1025"/>
    </row>
    <row r="13" spans="1:46" s="87" customFormat="1" ht="158.25" customHeight="1" thickBot="1">
      <c r="A13" s="458"/>
      <c r="B13" s="502" t="s">
        <v>449</v>
      </c>
      <c r="C13" s="1277"/>
      <c r="D13" s="1021" t="e">
        <f>AVERAGE(#REF!+#REF!,#REF!+#REF!,#REF!+#REF!,#REF!+#REF!,#REF!+#REF!,#REF!+#REF!,#REF!+#REF!)</f>
        <v>#REF!</v>
      </c>
      <c r="E13" s="1026"/>
      <c r="F13" s="1054"/>
      <c r="G13" s="1054"/>
      <c r="H13" s="1054"/>
      <c r="I13" s="1054"/>
      <c r="J13" s="1027"/>
      <c r="K13" s="1026"/>
      <c r="L13" s="1054"/>
      <c r="M13" s="1054"/>
      <c r="N13" s="1054"/>
      <c r="O13" s="1054"/>
      <c r="P13" s="1027"/>
      <c r="Q13" s="1026"/>
      <c r="R13" s="1054"/>
      <c r="S13" s="1054"/>
      <c r="T13" s="1054"/>
      <c r="U13" s="1054"/>
      <c r="V13" s="1027"/>
      <c r="W13" s="1026"/>
      <c r="X13" s="1054"/>
      <c r="Y13" s="1054"/>
      <c r="Z13" s="1054"/>
      <c r="AA13" s="1054"/>
      <c r="AB13" s="1027"/>
      <c r="AC13" s="1026"/>
      <c r="AD13" s="1054"/>
      <c r="AE13" s="1054"/>
      <c r="AF13" s="1054"/>
      <c r="AG13" s="1054"/>
      <c r="AH13" s="1027"/>
      <c r="AI13" s="1026"/>
      <c r="AJ13" s="1054"/>
      <c r="AK13" s="1054"/>
      <c r="AL13" s="1054"/>
      <c r="AM13" s="1054"/>
      <c r="AN13" s="1027"/>
      <c r="AO13" s="1026"/>
      <c r="AP13" s="1054"/>
      <c r="AQ13" s="1054"/>
      <c r="AR13" s="1054"/>
      <c r="AS13" s="1054"/>
      <c r="AT13" s="1027"/>
    </row>
    <row r="14" spans="1:46" ht="12.75">
      <c r="B14" s="86"/>
    </row>
    <row r="15" spans="1:46" ht="20.100000000000001" customHeight="1">
      <c r="B15" s="86"/>
    </row>
    <row r="16" spans="1:46" ht="20.100000000000001" customHeight="1">
      <c r="B16" s="86"/>
    </row>
    <row r="17" spans="2:4" ht="20.100000000000001" customHeight="1">
      <c r="B17" s="86"/>
    </row>
    <row r="18" spans="2:4" ht="20.100000000000001" customHeight="1">
      <c r="B18" s="86"/>
    </row>
    <row r="19" spans="2:4" ht="20.100000000000001" customHeight="1">
      <c r="B19" s="86"/>
    </row>
    <row r="20" spans="2:4" ht="20.100000000000001" customHeight="1">
      <c r="B20" s="86"/>
    </row>
    <row r="21" spans="2:4" ht="20.100000000000001" customHeight="1">
      <c r="B21" s="86"/>
      <c r="C21" s="86"/>
      <c r="D21" s="86"/>
    </row>
    <row r="22" spans="2:4" ht="20.100000000000001" customHeight="1">
      <c r="B22" s="86"/>
      <c r="C22" s="86"/>
      <c r="D22" s="86"/>
    </row>
    <row r="23" spans="2:4" ht="20.100000000000001" customHeight="1">
      <c r="B23" s="86"/>
      <c r="C23" s="86"/>
      <c r="D23" s="86"/>
    </row>
    <row r="24" spans="2:4" ht="20.100000000000001" customHeight="1">
      <c r="B24" s="86"/>
      <c r="C24" s="86"/>
      <c r="D24" s="86"/>
    </row>
    <row r="25" spans="2:4" ht="20.100000000000001" customHeight="1">
      <c r="B25" s="86"/>
      <c r="C25" s="86"/>
      <c r="D25" s="86"/>
    </row>
    <row r="26" spans="2:4" ht="20.100000000000001" customHeight="1">
      <c r="B26" s="86"/>
      <c r="C26" s="86"/>
      <c r="D26" s="86"/>
    </row>
    <row r="27" spans="2:4" ht="20.100000000000001" customHeight="1">
      <c r="B27" s="85"/>
      <c r="C27" s="85"/>
      <c r="D27" s="85"/>
    </row>
    <row r="28" spans="2:4" ht="20.100000000000001" customHeight="1">
      <c r="B28" s="85"/>
      <c r="C28" s="85"/>
      <c r="D28" s="85"/>
    </row>
    <row r="29" spans="2:4" ht="20.100000000000001" customHeight="1">
      <c r="B29" s="85"/>
      <c r="C29" s="85"/>
      <c r="D29" s="85"/>
    </row>
  </sheetData>
  <mergeCells count="33">
    <mergeCell ref="B2:AT3"/>
    <mergeCell ref="AI5:AJ5"/>
    <mergeCell ref="AK5:AL5"/>
    <mergeCell ref="AM5:AN5"/>
    <mergeCell ref="AO5:AP5"/>
    <mergeCell ref="AQ5:AR5"/>
    <mergeCell ref="AS5:AT5"/>
    <mergeCell ref="W4:AB4"/>
    <mergeCell ref="AC4:AH4"/>
    <mergeCell ref="AI4:AN4"/>
    <mergeCell ref="AO4:AT4"/>
    <mergeCell ref="W5:X5"/>
    <mergeCell ref="Y5:Z5"/>
    <mergeCell ref="AA5:AB5"/>
    <mergeCell ref="AC5:AD5"/>
    <mergeCell ref="AE5:AF5"/>
    <mergeCell ref="AG5:AH5"/>
    <mergeCell ref="O5:P5"/>
    <mergeCell ref="M5:N5"/>
    <mergeCell ref="Q4:V4"/>
    <mergeCell ref="Q5:R5"/>
    <mergeCell ref="S5:T5"/>
    <mergeCell ref="U5:V5"/>
    <mergeCell ref="K4:P4"/>
    <mergeCell ref="K5:L5"/>
    <mergeCell ref="C12:C13"/>
    <mergeCell ref="E4:J4"/>
    <mergeCell ref="C7:C8"/>
    <mergeCell ref="E5:F5"/>
    <mergeCell ref="I5:J5"/>
    <mergeCell ref="G5:H5"/>
    <mergeCell ref="B4:C6"/>
    <mergeCell ref="D4:D5"/>
  </mergeCells>
  <printOptions horizontalCentered="1" verticalCentered="1"/>
  <pageMargins left="0" right="0" top="0" bottom="0" header="0" footer="0"/>
  <pageSetup scale="16" orientation="landscape" r:id="rId1"/>
  <headerFooter>
    <oddHeader>&amp;C&amp;T&amp;R&amp;D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7"/>
  <sheetViews>
    <sheetView zoomScale="90" zoomScaleNormal="90" workbookViewId="0">
      <selection activeCell="AA26" sqref="A21:AA26"/>
    </sheetView>
  </sheetViews>
  <sheetFormatPr baseColWidth="10" defaultColWidth="24.5703125" defaultRowHeight="14.25" customHeight="1"/>
  <cols>
    <col min="1" max="1" width="12.5703125" style="114" customWidth="1"/>
    <col min="2" max="2" width="17.5703125" style="114" customWidth="1"/>
    <col min="3" max="3" width="12.42578125" style="114" customWidth="1"/>
    <col min="4" max="4" width="48.85546875" style="114" customWidth="1"/>
    <col min="5" max="5" width="9.140625" style="114" hidden="1" customWidth="1"/>
    <col min="6" max="6" width="12.42578125" style="114" hidden="1" customWidth="1"/>
    <col min="7" max="11" width="24.5703125" style="114" hidden="1" customWidth="1"/>
    <col min="12" max="12" width="24.5703125" style="114" customWidth="1"/>
    <col min="13" max="14" width="24.5703125" style="114" hidden="1" customWidth="1"/>
    <col min="15" max="15" width="24.5703125" style="114" customWidth="1"/>
    <col min="16" max="16" width="24.5703125" style="114" hidden="1" customWidth="1"/>
    <col min="17" max="17" width="24.5703125" style="114" customWidth="1"/>
    <col min="18" max="19" width="24.5703125" style="114" hidden="1" customWidth="1"/>
    <col min="20" max="20" width="24.5703125" style="114" customWidth="1"/>
    <col min="21" max="22" width="24.5703125" style="114" hidden="1" customWidth="1"/>
    <col min="23" max="23" width="24.5703125" style="114" customWidth="1"/>
    <col min="24" max="24" width="24.5703125" style="114" hidden="1" customWidth="1"/>
    <col min="25" max="25" width="24.5703125" style="114" customWidth="1"/>
    <col min="26" max="26" width="24.5703125" style="114" hidden="1" customWidth="1"/>
    <col min="27" max="27" width="24.5703125" style="114" customWidth="1"/>
    <col min="28" max="28" width="24.5703125" style="114" hidden="1" customWidth="1"/>
    <col min="29" max="29" width="24.5703125" style="114" customWidth="1"/>
    <col min="30" max="30" width="24.5703125" style="114" hidden="1" customWidth="1"/>
    <col min="31" max="31" width="24.5703125" style="114" customWidth="1"/>
    <col min="32" max="32" width="24.5703125" style="114" hidden="1" customWidth="1"/>
    <col min="33" max="33" width="24.5703125" style="114" customWidth="1"/>
    <col min="34" max="34" width="24.5703125" style="114" hidden="1" customWidth="1"/>
    <col min="35" max="35" width="24.5703125" style="114" customWidth="1"/>
    <col min="36" max="36" width="24.5703125" style="114" hidden="1" customWidth="1"/>
    <col min="37" max="37" width="24.5703125" style="114" customWidth="1"/>
    <col min="38" max="38" width="24.5703125" style="114" hidden="1" customWidth="1"/>
    <col min="39" max="16384" width="24.5703125" style="114"/>
  </cols>
  <sheetData>
    <row r="1" spans="1:39" ht="14.25" customHeight="1">
      <c r="A1" s="1310" t="s">
        <v>362</v>
      </c>
      <c r="B1" s="1310"/>
      <c r="C1" s="1310"/>
      <c r="D1" s="1310"/>
      <c r="E1" s="1310"/>
      <c r="F1" s="1310"/>
      <c r="G1" s="1310"/>
      <c r="H1" s="1310"/>
      <c r="I1" s="1310"/>
      <c r="J1" s="1310"/>
      <c r="K1" s="1310"/>
      <c r="L1" s="1310"/>
      <c r="M1" s="1310"/>
      <c r="N1" s="1310"/>
      <c r="O1" s="1310"/>
      <c r="P1" s="1310"/>
      <c r="Q1" s="1310"/>
      <c r="R1" s="1310"/>
      <c r="S1" s="1310"/>
      <c r="T1" s="1310"/>
      <c r="U1" s="1310"/>
      <c r="V1" s="1310"/>
      <c r="W1" s="1310"/>
      <c r="X1" s="1310"/>
      <c r="Y1" s="1310"/>
      <c r="Z1" s="1310"/>
      <c r="AA1" s="1310"/>
      <c r="AB1" s="1310"/>
      <c r="AC1" s="1310"/>
      <c r="AD1" s="1310"/>
      <c r="AE1" s="1310"/>
      <c r="AF1" s="1310"/>
      <c r="AG1" s="1310"/>
      <c r="AH1" s="1310"/>
      <c r="AI1" s="1310"/>
      <c r="AJ1" s="1310"/>
      <c r="AK1" s="1310"/>
      <c r="AL1" s="1310"/>
      <c r="AM1" s="1310"/>
    </row>
    <row r="2" spans="1:39" ht="27.75" customHeight="1" thickBot="1">
      <c r="A2" s="1310"/>
      <c r="B2" s="1310"/>
      <c r="C2" s="1310"/>
      <c r="D2" s="1310"/>
      <c r="E2" s="1310"/>
      <c r="F2" s="1310"/>
      <c r="G2" s="1310"/>
      <c r="H2" s="1310"/>
      <c r="I2" s="1310"/>
      <c r="J2" s="1310"/>
      <c r="K2" s="1310"/>
      <c r="L2" s="1310"/>
      <c r="M2" s="1310"/>
      <c r="N2" s="1310"/>
      <c r="O2" s="1310"/>
      <c r="P2" s="1310"/>
      <c r="Q2" s="1310"/>
      <c r="R2" s="1310"/>
      <c r="S2" s="1310"/>
      <c r="T2" s="1310"/>
      <c r="U2" s="1310"/>
      <c r="V2" s="1310"/>
      <c r="W2" s="1310"/>
      <c r="X2" s="1310"/>
      <c r="Y2" s="1310"/>
      <c r="Z2" s="1310"/>
      <c r="AA2" s="1310"/>
      <c r="AB2" s="1310"/>
      <c r="AC2" s="1310"/>
      <c r="AD2" s="1310"/>
      <c r="AE2" s="1310"/>
      <c r="AF2" s="1310"/>
      <c r="AG2" s="1310"/>
      <c r="AH2" s="1310"/>
      <c r="AI2" s="1310"/>
      <c r="AJ2" s="1310"/>
      <c r="AK2" s="1310"/>
      <c r="AL2" s="1310"/>
      <c r="AM2" s="1310"/>
    </row>
    <row r="3" spans="1:39" ht="32.25" customHeight="1" thickBot="1">
      <c r="A3" s="141" t="s">
        <v>353</v>
      </c>
      <c r="B3" s="141" t="s">
        <v>354</v>
      </c>
      <c r="C3" s="141" t="s">
        <v>360</v>
      </c>
      <c r="D3" s="141" t="s">
        <v>170</v>
      </c>
      <c r="E3" s="116" t="s">
        <v>338</v>
      </c>
      <c r="F3" s="1311" t="s">
        <v>365</v>
      </c>
      <c r="G3" s="1312"/>
      <c r="H3" s="116" t="s">
        <v>339</v>
      </c>
      <c r="I3" s="187" t="s">
        <v>366</v>
      </c>
      <c r="J3" s="180" t="s">
        <v>340</v>
      </c>
      <c r="K3" s="1313" t="s">
        <v>367</v>
      </c>
      <c r="L3" s="1314"/>
      <c r="M3" s="180" t="s">
        <v>341</v>
      </c>
      <c r="N3" s="1315" t="s">
        <v>368</v>
      </c>
      <c r="O3" s="1316"/>
      <c r="P3" s="180" t="s">
        <v>342</v>
      </c>
      <c r="Q3" s="1313" t="s">
        <v>369</v>
      </c>
      <c r="R3" s="1314"/>
      <c r="S3" s="180" t="s">
        <v>343</v>
      </c>
      <c r="T3" s="181" t="s">
        <v>370</v>
      </c>
      <c r="U3" s="179"/>
      <c r="V3" s="116" t="s">
        <v>344</v>
      </c>
      <c r="W3" s="115" t="s">
        <v>371</v>
      </c>
      <c r="X3" s="116" t="s">
        <v>345</v>
      </c>
      <c r="Y3" s="115" t="s">
        <v>372</v>
      </c>
      <c r="Z3" s="116" t="s">
        <v>346</v>
      </c>
      <c r="AA3" s="115" t="s">
        <v>373</v>
      </c>
      <c r="AB3" s="116" t="s">
        <v>347</v>
      </c>
      <c r="AC3" s="115" t="s">
        <v>374</v>
      </c>
      <c r="AD3" s="116" t="s">
        <v>348</v>
      </c>
      <c r="AE3" s="115" t="s">
        <v>375</v>
      </c>
      <c r="AF3" s="116" t="s">
        <v>349</v>
      </c>
      <c r="AG3" s="115" t="s">
        <v>376</v>
      </c>
      <c r="AH3" s="116" t="s">
        <v>350</v>
      </c>
      <c r="AI3" s="115" t="s">
        <v>377</v>
      </c>
      <c r="AJ3" s="116" t="s">
        <v>351</v>
      </c>
      <c r="AK3" s="115" t="s">
        <v>378</v>
      </c>
      <c r="AL3" s="116" t="s">
        <v>352</v>
      </c>
      <c r="AM3" s="115" t="s">
        <v>379</v>
      </c>
    </row>
    <row r="4" spans="1:39" ht="46.5" customHeight="1">
      <c r="A4" s="1303">
        <v>40002867</v>
      </c>
      <c r="B4" s="163" t="s">
        <v>302</v>
      </c>
      <c r="C4" s="172">
        <v>64</v>
      </c>
      <c r="D4" s="152" t="s">
        <v>355</v>
      </c>
      <c r="E4" s="153">
        <v>16</v>
      </c>
      <c r="F4" s="118"/>
      <c r="G4" s="119">
        <v>24</v>
      </c>
      <c r="H4" s="153">
        <v>24</v>
      </c>
      <c r="I4" s="118"/>
      <c r="J4" s="153">
        <v>24</v>
      </c>
      <c r="K4" s="118"/>
      <c r="L4" s="118">
        <v>32</v>
      </c>
      <c r="M4" s="154">
        <v>32</v>
      </c>
      <c r="N4" s="118"/>
      <c r="O4" s="118">
        <v>32</v>
      </c>
      <c r="P4" s="153">
        <v>24</v>
      </c>
      <c r="Q4" s="119">
        <v>0</v>
      </c>
      <c r="R4" s="122"/>
      <c r="S4" s="154">
        <v>32</v>
      </c>
      <c r="T4" s="119">
        <v>0</v>
      </c>
      <c r="U4" s="122"/>
      <c r="V4" s="154">
        <v>32</v>
      </c>
      <c r="W4" s="182">
        <v>40</v>
      </c>
      <c r="X4" s="183"/>
      <c r="Y4" s="184">
        <v>24</v>
      </c>
      <c r="Z4" s="185">
        <v>24</v>
      </c>
      <c r="AA4" s="186">
        <v>32</v>
      </c>
      <c r="AB4" s="183">
        <v>32</v>
      </c>
      <c r="AC4" s="182">
        <v>32</v>
      </c>
      <c r="AD4" s="183">
        <v>32</v>
      </c>
      <c r="AE4" s="182">
        <v>8</v>
      </c>
      <c r="AF4" s="154">
        <v>32</v>
      </c>
      <c r="AG4" s="123">
        <v>48</v>
      </c>
      <c r="AH4" s="154">
        <v>56</v>
      </c>
      <c r="AI4" s="123">
        <v>64</v>
      </c>
      <c r="AJ4" s="154">
        <v>8</v>
      </c>
      <c r="AK4" s="123">
        <v>0</v>
      </c>
      <c r="AL4" s="154">
        <v>72</v>
      </c>
      <c r="AM4" s="123">
        <v>80</v>
      </c>
    </row>
    <row r="5" spans="1:39" ht="34.5" customHeight="1" thickBot="1">
      <c r="A5" s="1304"/>
      <c r="B5" s="164" t="s">
        <v>304</v>
      </c>
      <c r="C5" s="173">
        <f>32+108-8-108+48+13-24-16-29+48</f>
        <v>64</v>
      </c>
      <c r="D5" s="155" t="s">
        <v>356</v>
      </c>
      <c r="E5" s="157"/>
      <c r="F5" s="132"/>
      <c r="G5" s="133">
        <v>24</v>
      </c>
      <c r="H5" s="157">
        <v>24</v>
      </c>
      <c r="I5" s="158"/>
      <c r="J5" s="156">
        <v>16</v>
      </c>
      <c r="K5" s="132"/>
      <c r="L5" s="132">
        <v>16</v>
      </c>
      <c r="M5" s="157">
        <v>16</v>
      </c>
      <c r="N5" s="158"/>
      <c r="O5" s="132">
        <v>48</v>
      </c>
      <c r="P5" s="157">
        <v>24</v>
      </c>
      <c r="Q5" s="133">
        <v>0</v>
      </c>
      <c r="R5" s="159"/>
      <c r="S5" s="157">
        <v>16</v>
      </c>
      <c r="T5" s="133">
        <v>0</v>
      </c>
      <c r="U5" s="159"/>
      <c r="V5" s="157">
        <v>32</v>
      </c>
      <c r="W5" s="190">
        <v>0</v>
      </c>
      <c r="X5" s="157">
        <v>8</v>
      </c>
      <c r="Y5" s="190">
        <v>0</v>
      </c>
      <c r="Z5" s="161">
        <v>32</v>
      </c>
      <c r="AA5" s="159">
        <v>16</v>
      </c>
      <c r="AB5" s="157">
        <v>48</v>
      </c>
      <c r="AC5" s="160">
        <v>40</v>
      </c>
      <c r="AD5" s="157">
        <v>32</v>
      </c>
      <c r="AE5" s="160">
        <v>80</v>
      </c>
      <c r="AF5" s="157">
        <v>48</v>
      </c>
      <c r="AG5" s="160">
        <v>0</v>
      </c>
      <c r="AH5" s="157">
        <v>24</v>
      </c>
      <c r="AI5" s="160">
        <v>0</v>
      </c>
      <c r="AJ5" s="157">
        <v>8</v>
      </c>
      <c r="AK5" s="160">
        <v>24</v>
      </c>
      <c r="AL5" s="157">
        <v>16</v>
      </c>
      <c r="AM5" s="160">
        <v>16</v>
      </c>
    </row>
    <row r="6" spans="1:39" ht="36" customHeight="1">
      <c r="A6" s="1305">
        <v>40005470</v>
      </c>
      <c r="B6" s="165" t="s">
        <v>302</v>
      </c>
      <c r="C6" s="174">
        <f>1462-120-528+45+27+100+80-280+170-304+202</f>
        <v>854</v>
      </c>
      <c r="D6" s="143" t="s">
        <v>355</v>
      </c>
      <c r="E6" s="146">
        <v>528</v>
      </c>
      <c r="F6" s="144"/>
      <c r="G6" s="145">
        <v>280</v>
      </c>
      <c r="H6" s="146">
        <v>280</v>
      </c>
      <c r="I6" s="144"/>
      <c r="J6" s="146">
        <v>304</v>
      </c>
      <c r="K6" s="144"/>
      <c r="L6" s="145">
        <v>232</v>
      </c>
      <c r="M6" s="147">
        <v>232</v>
      </c>
      <c r="N6" s="148"/>
      <c r="O6" s="145">
        <v>240</v>
      </c>
      <c r="P6" s="147">
        <v>224</v>
      </c>
      <c r="Q6" s="148">
        <v>400</v>
      </c>
      <c r="R6" s="149"/>
      <c r="S6" s="147">
        <v>320</v>
      </c>
      <c r="T6" s="148">
        <v>304</v>
      </c>
      <c r="U6" s="149"/>
      <c r="V6" s="147">
        <v>192</v>
      </c>
      <c r="W6" s="150">
        <v>0</v>
      </c>
      <c r="X6" s="147"/>
      <c r="Y6" s="150">
        <v>0</v>
      </c>
      <c r="Z6" s="151">
        <v>200</v>
      </c>
      <c r="AA6" s="149">
        <v>24</v>
      </c>
      <c r="AB6" s="147">
        <v>232</v>
      </c>
      <c r="AC6" s="150">
        <v>232</v>
      </c>
      <c r="AD6" s="147">
        <v>224</v>
      </c>
      <c r="AE6" s="150">
        <v>360</v>
      </c>
      <c r="AF6" s="147">
        <v>368</v>
      </c>
      <c r="AG6" s="150">
        <v>224</v>
      </c>
      <c r="AH6" s="147">
        <v>224</v>
      </c>
      <c r="AI6" s="150">
        <v>0</v>
      </c>
      <c r="AJ6" s="147"/>
      <c r="AK6" s="150">
        <v>232</v>
      </c>
      <c r="AL6" s="147">
        <v>224</v>
      </c>
      <c r="AM6" s="150">
        <v>208</v>
      </c>
    </row>
    <row r="7" spans="1:39" ht="38.25" customHeight="1">
      <c r="A7" s="1306"/>
      <c r="B7" s="166" t="s">
        <v>303</v>
      </c>
      <c r="C7" s="175">
        <v>0</v>
      </c>
      <c r="D7" s="142" t="s">
        <v>357</v>
      </c>
      <c r="E7" s="120"/>
      <c r="F7" s="124"/>
      <c r="G7" s="125"/>
      <c r="H7" s="120"/>
      <c r="I7" s="124"/>
      <c r="J7" s="120"/>
      <c r="K7" s="124"/>
      <c r="L7" s="125">
        <v>0</v>
      </c>
      <c r="M7" s="120"/>
      <c r="N7" s="124"/>
      <c r="O7" s="125">
        <v>0</v>
      </c>
      <c r="P7" s="120"/>
      <c r="Q7" s="124">
        <v>0</v>
      </c>
      <c r="R7" s="125"/>
      <c r="S7" s="120"/>
      <c r="T7" s="124">
        <v>0</v>
      </c>
      <c r="U7" s="125"/>
      <c r="V7" s="120"/>
      <c r="W7" s="130">
        <v>0</v>
      </c>
      <c r="X7" s="120"/>
      <c r="Y7" s="130">
        <v>0</v>
      </c>
      <c r="Z7" s="131"/>
      <c r="AA7" s="125">
        <v>0</v>
      </c>
      <c r="AB7" s="120"/>
      <c r="AC7" s="130">
        <v>0</v>
      </c>
      <c r="AD7" s="120"/>
      <c r="AE7" s="130">
        <v>0</v>
      </c>
      <c r="AF7" s="120"/>
      <c r="AG7" s="130">
        <v>0</v>
      </c>
      <c r="AH7" s="120"/>
      <c r="AI7" s="130">
        <v>0</v>
      </c>
      <c r="AJ7" s="120"/>
      <c r="AK7" s="130">
        <v>0</v>
      </c>
      <c r="AL7" s="120"/>
      <c r="AM7" s="171">
        <v>0</v>
      </c>
    </row>
    <row r="8" spans="1:39" ht="36" customHeight="1">
      <c r="A8" s="1306"/>
      <c r="B8" s="166" t="s">
        <v>304</v>
      </c>
      <c r="C8" s="175">
        <f>232-24-56+29-48</f>
        <v>133</v>
      </c>
      <c r="D8" s="142" t="s">
        <v>356</v>
      </c>
      <c r="E8" s="121">
        <v>64</v>
      </c>
      <c r="F8" s="124"/>
      <c r="G8" s="125">
        <v>24</v>
      </c>
      <c r="H8" s="121">
        <v>24</v>
      </c>
      <c r="I8" s="124"/>
      <c r="J8" s="121">
        <v>56</v>
      </c>
      <c r="K8" s="126"/>
      <c r="L8" s="125">
        <v>72</v>
      </c>
      <c r="M8" s="121">
        <v>72</v>
      </c>
      <c r="N8" s="126"/>
      <c r="O8" s="189">
        <v>168</v>
      </c>
      <c r="P8" s="121">
        <v>80</v>
      </c>
      <c r="Q8" s="126">
        <v>0</v>
      </c>
      <c r="R8" s="127"/>
      <c r="S8" s="121">
        <v>88</v>
      </c>
      <c r="T8" s="126">
        <v>0</v>
      </c>
      <c r="U8" s="127"/>
      <c r="V8" s="121">
        <v>96</v>
      </c>
      <c r="W8" s="128">
        <v>0</v>
      </c>
      <c r="X8" s="121"/>
      <c r="Y8" s="128">
        <v>0</v>
      </c>
      <c r="Z8" s="129">
        <v>96</v>
      </c>
      <c r="AA8" s="127">
        <v>0</v>
      </c>
      <c r="AB8" s="121">
        <v>56</v>
      </c>
      <c r="AC8" s="128">
        <v>0</v>
      </c>
      <c r="AD8" s="121">
        <v>40</v>
      </c>
      <c r="AE8" s="128">
        <v>56</v>
      </c>
      <c r="AF8" s="121">
        <v>56</v>
      </c>
      <c r="AG8" s="128">
        <v>48</v>
      </c>
      <c r="AH8" s="121">
        <v>48</v>
      </c>
      <c r="AI8" s="128">
        <v>0</v>
      </c>
      <c r="AJ8" s="121"/>
      <c r="AK8" s="128">
        <v>0</v>
      </c>
      <c r="AL8" s="121">
        <v>64</v>
      </c>
      <c r="AM8" s="128">
        <v>0</v>
      </c>
    </row>
    <row r="9" spans="1:39" ht="40.5" customHeight="1" thickBot="1">
      <c r="A9" s="1306"/>
      <c r="B9" s="166" t="s">
        <v>305</v>
      </c>
      <c r="C9" s="175">
        <v>8</v>
      </c>
      <c r="D9" s="142" t="s">
        <v>358</v>
      </c>
      <c r="E9" s="120"/>
      <c r="F9" s="132"/>
      <c r="G9" s="133"/>
      <c r="H9" s="120"/>
      <c r="I9" s="132"/>
      <c r="J9" s="120"/>
      <c r="K9" s="124"/>
      <c r="L9" s="125">
        <v>0</v>
      </c>
      <c r="M9" s="120"/>
      <c r="N9" s="124"/>
      <c r="O9" s="125">
        <v>0</v>
      </c>
      <c r="P9" s="120"/>
      <c r="Q9" s="124">
        <v>0</v>
      </c>
      <c r="R9" s="125"/>
      <c r="S9" s="120"/>
      <c r="T9" s="124">
        <v>0</v>
      </c>
      <c r="U9" s="125"/>
      <c r="V9" s="120"/>
      <c r="W9" s="130">
        <v>0</v>
      </c>
      <c r="X9" s="120"/>
      <c r="Y9" s="130">
        <v>0</v>
      </c>
      <c r="Z9" s="131"/>
      <c r="AA9" s="125">
        <v>0</v>
      </c>
      <c r="AB9" s="121"/>
      <c r="AC9" s="130">
        <v>0</v>
      </c>
      <c r="AD9" s="120"/>
      <c r="AE9" s="130"/>
      <c r="AF9" s="120"/>
      <c r="AG9" s="130">
        <v>0</v>
      </c>
      <c r="AH9" s="120"/>
      <c r="AI9" s="130">
        <v>0</v>
      </c>
      <c r="AJ9" s="120"/>
      <c r="AK9" s="130">
        <v>0</v>
      </c>
      <c r="AL9" s="120"/>
      <c r="AM9" s="130">
        <v>0</v>
      </c>
    </row>
    <row r="10" spans="1:39" ht="40.5" customHeight="1" thickBot="1">
      <c r="A10" s="1304"/>
      <c r="B10" s="167" t="s">
        <v>306</v>
      </c>
      <c r="C10" s="176">
        <v>0</v>
      </c>
      <c r="D10" s="162" t="s">
        <v>359</v>
      </c>
      <c r="E10" s="134"/>
      <c r="F10" s="137"/>
      <c r="G10" s="138"/>
      <c r="H10" s="134"/>
      <c r="I10" s="137"/>
      <c r="J10" s="134"/>
      <c r="K10" s="137"/>
      <c r="L10" s="138">
        <v>0</v>
      </c>
      <c r="M10" s="134"/>
      <c r="N10" s="137"/>
      <c r="O10" s="138">
        <v>0</v>
      </c>
      <c r="P10" s="134"/>
      <c r="Q10" s="137">
        <v>0</v>
      </c>
      <c r="R10" s="138"/>
      <c r="S10" s="134"/>
      <c r="T10" s="137">
        <v>0</v>
      </c>
      <c r="U10" s="138"/>
      <c r="V10" s="134"/>
      <c r="W10" s="139">
        <v>0</v>
      </c>
      <c r="X10" s="134"/>
      <c r="Y10" s="139">
        <v>0</v>
      </c>
      <c r="Z10" s="135"/>
      <c r="AA10" s="139">
        <v>0</v>
      </c>
      <c r="AB10" s="136"/>
      <c r="AC10" s="140">
        <v>8</v>
      </c>
      <c r="AD10" s="136">
        <v>16</v>
      </c>
      <c r="AE10" s="140">
        <v>72</v>
      </c>
      <c r="AF10" s="136">
        <v>64</v>
      </c>
      <c r="AG10" s="140">
        <v>32</v>
      </c>
      <c r="AH10" s="136">
        <v>32</v>
      </c>
      <c r="AI10" s="140">
        <v>0</v>
      </c>
      <c r="AJ10" s="136"/>
      <c r="AK10" s="140">
        <v>0</v>
      </c>
      <c r="AL10" s="136">
        <v>8</v>
      </c>
      <c r="AM10" s="140">
        <v>0</v>
      </c>
    </row>
    <row r="11" spans="1:39" ht="21" customHeight="1" thickBot="1">
      <c r="A11" s="1307" t="s">
        <v>361</v>
      </c>
      <c r="B11" s="1308"/>
      <c r="C11" s="1308"/>
      <c r="D11" s="1309"/>
      <c r="E11" s="168"/>
      <c r="F11" s="1302">
        <f>SUM(G4:G10)</f>
        <v>352</v>
      </c>
      <c r="G11" s="1302"/>
      <c r="H11" s="168"/>
      <c r="I11" s="188" t="e">
        <f>SUM(#REF!)</f>
        <v>#REF!</v>
      </c>
      <c r="J11" s="168"/>
      <c r="K11" s="1302">
        <f>SUM(L4:L10)</f>
        <v>352</v>
      </c>
      <c r="L11" s="1302"/>
      <c r="M11" s="168"/>
      <c r="N11" s="1302">
        <f>SUM(O4:O10)</f>
        <v>488</v>
      </c>
      <c r="O11" s="1302"/>
      <c r="P11" s="168"/>
      <c r="Q11" s="1302">
        <v>400</v>
      </c>
      <c r="R11" s="1302"/>
      <c r="S11" s="168"/>
      <c r="T11" s="1302">
        <v>304</v>
      </c>
      <c r="U11" s="1302"/>
      <c r="V11" s="168"/>
      <c r="W11" s="168">
        <v>40</v>
      </c>
      <c r="X11" s="168"/>
      <c r="Y11" s="168">
        <v>24</v>
      </c>
      <c r="Z11" s="168"/>
      <c r="AA11" s="168">
        <v>72</v>
      </c>
      <c r="AB11" s="168">
        <v>368</v>
      </c>
      <c r="AC11" s="168">
        <v>312</v>
      </c>
      <c r="AD11" s="168">
        <v>344</v>
      </c>
      <c r="AE11" s="168">
        <v>576</v>
      </c>
      <c r="AF11" s="168">
        <v>568</v>
      </c>
      <c r="AG11" s="168">
        <v>352</v>
      </c>
      <c r="AH11" s="168">
        <v>384</v>
      </c>
      <c r="AI11" s="168">
        <v>65</v>
      </c>
      <c r="AJ11" s="168">
        <v>16</v>
      </c>
      <c r="AK11" s="168">
        <v>256</v>
      </c>
      <c r="AL11" s="168">
        <v>384</v>
      </c>
      <c r="AM11" s="169">
        <v>304</v>
      </c>
    </row>
    <row r="16" spans="1:39" ht="14.25" customHeight="1" thickBot="1"/>
    <row r="17" spans="23:23" ht="14.25" customHeight="1" thickBot="1">
      <c r="W17" s="117"/>
    </row>
  </sheetData>
  <mergeCells count="13">
    <mergeCell ref="A1:AM2"/>
    <mergeCell ref="F3:G3"/>
    <mergeCell ref="K3:L3"/>
    <mergeCell ref="N3:O3"/>
    <mergeCell ref="Q3:R3"/>
    <mergeCell ref="N11:O11"/>
    <mergeCell ref="Q11:R11"/>
    <mergeCell ref="T11:U11"/>
    <mergeCell ref="A4:A5"/>
    <mergeCell ref="A6:A10"/>
    <mergeCell ref="F11:G11"/>
    <mergeCell ref="A11:D11"/>
    <mergeCell ref="K11:L11"/>
  </mergeCells>
  <pageMargins left="0.7" right="0.7" top="0.75" bottom="0.75" header="0.3" footer="0.3"/>
  <pageSetup scale="2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"/>
  <sheetViews>
    <sheetView zoomScale="140" zoomScaleNormal="140" workbookViewId="0">
      <selection activeCell="E83" sqref="E83"/>
    </sheetView>
  </sheetViews>
  <sheetFormatPr baseColWidth="10" defaultRowHeight="12.75"/>
  <sheetData>
    <row r="1" spans="1:11" ht="13.5" thickBot="1"/>
    <row r="2" spans="1:11" ht="15">
      <c r="A2" s="602"/>
      <c r="B2" s="576"/>
      <c r="C2" s="576"/>
      <c r="D2" s="1326" t="s">
        <v>459</v>
      </c>
      <c r="E2" s="1326"/>
      <c r="F2" s="1326"/>
      <c r="G2" s="1326"/>
      <c r="H2" s="1326"/>
      <c r="I2" s="1326"/>
      <c r="J2" s="1326"/>
      <c r="K2" s="577"/>
    </row>
    <row r="3" spans="1:11" ht="13.5" thickBot="1">
      <c r="A3" s="112"/>
      <c r="B3" s="85"/>
      <c r="C3" s="85"/>
      <c r="D3" s="85"/>
      <c r="E3" s="85"/>
      <c r="F3" s="85"/>
      <c r="G3" s="85"/>
      <c r="H3" s="85"/>
      <c r="I3" s="85"/>
      <c r="J3" s="85"/>
      <c r="K3" s="113"/>
    </row>
    <row r="4" spans="1:11" ht="13.5" thickBot="1">
      <c r="A4" s="602"/>
      <c r="B4" s="576"/>
      <c r="C4" s="576"/>
      <c r="D4" s="1336">
        <v>41579</v>
      </c>
      <c r="E4" s="1336">
        <v>41580</v>
      </c>
      <c r="F4" s="1336">
        <v>41581</v>
      </c>
      <c r="G4" s="1336">
        <v>41582</v>
      </c>
      <c r="H4" s="1332">
        <v>41583</v>
      </c>
      <c r="I4" s="1332"/>
      <c r="J4" s="1332"/>
      <c r="K4" s="1317">
        <v>41584</v>
      </c>
    </row>
    <row r="5" spans="1:11" ht="13.5" thickBot="1">
      <c r="A5" s="112"/>
      <c r="B5" s="85"/>
      <c r="C5" s="85"/>
      <c r="D5" s="1337"/>
      <c r="E5" s="1337"/>
      <c r="F5" s="1337"/>
      <c r="G5" s="1338"/>
      <c r="H5" s="617" t="s">
        <v>159</v>
      </c>
      <c r="I5" s="618" t="s">
        <v>161</v>
      </c>
      <c r="J5" s="619" t="s">
        <v>160</v>
      </c>
      <c r="K5" s="1318"/>
    </row>
    <row r="6" spans="1:11">
      <c r="A6" s="1329" t="s">
        <v>454</v>
      </c>
      <c r="B6" s="1327" t="s">
        <v>456</v>
      </c>
      <c r="C6" s="581" t="s">
        <v>453</v>
      </c>
      <c r="D6" s="599">
        <v>1</v>
      </c>
      <c r="E6" s="600">
        <v>0</v>
      </c>
      <c r="F6" s="600">
        <v>0</v>
      </c>
      <c r="G6" s="606">
        <v>0</v>
      </c>
      <c r="H6" s="620">
        <v>0</v>
      </c>
      <c r="I6" s="598">
        <v>0</v>
      </c>
      <c r="J6" s="621">
        <v>0</v>
      </c>
      <c r="K6" s="610">
        <v>1</v>
      </c>
    </row>
    <row r="7" spans="1:11">
      <c r="A7" s="1330"/>
      <c r="B7" s="1328"/>
      <c r="C7" s="466" t="s">
        <v>162</v>
      </c>
      <c r="D7" s="578">
        <v>1</v>
      </c>
      <c r="E7" s="579">
        <v>0</v>
      </c>
      <c r="F7" s="579">
        <v>0</v>
      </c>
      <c r="G7" s="607">
        <v>0</v>
      </c>
      <c r="H7" s="622">
        <v>1</v>
      </c>
      <c r="I7" s="590">
        <v>1</v>
      </c>
      <c r="J7" s="584">
        <v>1</v>
      </c>
      <c r="K7" s="611">
        <v>1</v>
      </c>
    </row>
    <row r="8" spans="1:11" ht="13.5" thickBot="1">
      <c r="A8" s="1331"/>
      <c r="B8" s="601" t="s">
        <v>450</v>
      </c>
      <c r="C8" s="585" t="s">
        <v>162</v>
      </c>
      <c r="D8" s="586">
        <v>1</v>
      </c>
      <c r="E8" s="586">
        <v>1</v>
      </c>
      <c r="F8" s="587">
        <v>0</v>
      </c>
      <c r="G8" s="591">
        <v>1</v>
      </c>
      <c r="H8" s="623">
        <v>1</v>
      </c>
      <c r="I8" s="591">
        <v>1</v>
      </c>
      <c r="J8" s="588">
        <v>1</v>
      </c>
      <c r="K8" s="612">
        <v>1</v>
      </c>
    </row>
    <row r="9" spans="1:11" ht="15" customHeight="1">
      <c r="A9" s="1319" t="s">
        <v>455</v>
      </c>
      <c r="B9" s="1322" t="s">
        <v>460</v>
      </c>
      <c r="C9" s="1323"/>
      <c r="D9" s="582">
        <v>1</v>
      </c>
      <c r="E9" s="583">
        <v>0</v>
      </c>
      <c r="F9" s="583">
        <v>0</v>
      </c>
      <c r="G9" s="589">
        <v>0</v>
      </c>
      <c r="H9" s="624">
        <v>0</v>
      </c>
      <c r="I9" s="673">
        <v>1</v>
      </c>
      <c r="J9" s="621">
        <v>0</v>
      </c>
      <c r="K9" s="613">
        <v>1</v>
      </c>
    </row>
    <row r="10" spans="1:11">
      <c r="A10" s="1320"/>
      <c r="B10" s="1324" t="s">
        <v>162</v>
      </c>
      <c r="C10" s="1325"/>
      <c r="D10" s="592">
        <v>1</v>
      </c>
      <c r="E10" s="593">
        <v>0</v>
      </c>
      <c r="F10" s="593">
        <v>0</v>
      </c>
      <c r="G10" s="596">
        <v>0</v>
      </c>
      <c r="H10" s="625">
        <v>0</v>
      </c>
      <c r="I10" s="594">
        <v>1</v>
      </c>
      <c r="J10" s="595">
        <v>1</v>
      </c>
      <c r="K10" s="614">
        <v>1</v>
      </c>
    </row>
    <row r="11" spans="1:11">
      <c r="A11" s="1320"/>
      <c r="B11" s="1325" t="s">
        <v>457</v>
      </c>
      <c r="C11" s="1333"/>
      <c r="D11" s="578">
        <v>1</v>
      </c>
      <c r="E11" s="580">
        <v>0</v>
      </c>
      <c r="F11" s="580">
        <v>0</v>
      </c>
      <c r="G11" s="608">
        <v>0</v>
      </c>
      <c r="H11" s="626">
        <v>0</v>
      </c>
      <c r="I11" s="597">
        <v>1</v>
      </c>
      <c r="J11" s="603">
        <v>1</v>
      </c>
      <c r="K11" s="615">
        <v>1</v>
      </c>
    </row>
    <row r="12" spans="1:11" ht="13.5" thickBot="1">
      <c r="A12" s="1321"/>
      <c r="B12" s="1334" t="s">
        <v>458</v>
      </c>
      <c r="C12" s="1335"/>
      <c r="D12" s="586">
        <v>1</v>
      </c>
      <c r="E12" s="587">
        <v>0</v>
      </c>
      <c r="F12" s="587">
        <v>0</v>
      </c>
      <c r="G12" s="609">
        <v>0</v>
      </c>
      <c r="H12" s="627">
        <v>0</v>
      </c>
      <c r="I12" s="604">
        <v>1</v>
      </c>
      <c r="J12" s="605">
        <v>1</v>
      </c>
      <c r="K12" s="616">
        <v>1</v>
      </c>
    </row>
  </sheetData>
  <mergeCells count="14">
    <mergeCell ref="K4:K5"/>
    <mergeCell ref="A9:A12"/>
    <mergeCell ref="B9:C9"/>
    <mergeCell ref="B10:C10"/>
    <mergeCell ref="D2:J2"/>
    <mergeCell ref="B6:B7"/>
    <mergeCell ref="A6:A8"/>
    <mergeCell ref="H4:J4"/>
    <mergeCell ref="B11:C11"/>
    <mergeCell ref="B12:C12"/>
    <mergeCell ref="D4:D5"/>
    <mergeCell ref="E4:E5"/>
    <mergeCell ref="F4:F5"/>
    <mergeCell ref="G4:G5"/>
  </mergeCells>
  <pageMargins left="0.7" right="0.7" top="0.75" bottom="0.75" header="0.3" footer="0.3"/>
  <pageSetup scale="9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17</vt:i4>
      </vt:variant>
      <vt:variant>
        <vt:lpstr>Plages nommées</vt:lpstr>
      </vt:variant>
      <vt:variant>
        <vt:i4>16</vt:i4>
      </vt:variant>
    </vt:vector>
  </HeadingPairs>
  <TitlesOfParts>
    <vt:vector size="33" baseType="lpstr">
      <vt:lpstr>etat du stock</vt:lpstr>
      <vt:lpstr>Extraction L3ps</vt:lpstr>
      <vt:lpstr>couverture X52</vt:lpstr>
      <vt:lpstr>Affectation moule machine</vt:lpstr>
      <vt:lpstr>Identification</vt:lpstr>
      <vt:lpstr>etat du stock TEST</vt:lpstr>
      <vt:lpstr>Planning assemblage X52</vt:lpstr>
      <vt:lpstr>EXRACTION X52</vt:lpstr>
      <vt:lpstr>Feuil1</vt:lpstr>
      <vt:lpstr>Capacité</vt:lpstr>
      <vt:lpstr>Affectation</vt:lpstr>
      <vt:lpstr>Feuil3</vt:lpstr>
      <vt:lpstr>Livraison</vt:lpstr>
      <vt:lpstr>Source</vt:lpstr>
      <vt:lpstr>Feuil2</vt:lpstr>
      <vt:lpstr>Feuil4</vt:lpstr>
      <vt:lpstr>Couverture Machine</vt:lpstr>
      <vt:lpstr>Capacité!Impression_des_titres</vt:lpstr>
      <vt:lpstr>'Couverture Machine'!Impression_des_titres</vt:lpstr>
      <vt:lpstr>Affectation!Zone_d_impression</vt:lpstr>
      <vt:lpstr>'Affectation moule machine'!Zone_d_impression</vt:lpstr>
      <vt:lpstr>Capacité!Zone_d_impression</vt:lpstr>
      <vt:lpstr>'Couverture Machine'!Zone_d_impression</vt:lpstr>
      <vt:lpstr>'couverture X52'!Zone_d_impression</vt:lpstr>
      <vt:lpstr>'etat du stock'!Zone_d_impression</vt:lpstr>
      <vt:lpstr>'etat du stock TEST'!Zone_d_impression</vt:lpstr>
      <vt:lpstr>'EXRACTION X52'!Zone_d_impression</vt:lpstr>
      <vt:lpstr>'Extraction L3ps'!Zone_d_impression</vt:lpstr>
      <vt:lpstr>Feuil1!Zone_d_impression</vt:lpstr>
      <vt:lpstr>Feuil3!Zone_d_impression</vt:lpstr>
      <vt:lpstr>Identification!Zone_d_impression</vt:lpstr>
      <vt:lpstr>Livraison!Zone_d_impression</vt:lpstr>
      <vt:lpstr>'Planning assemblage X52'!Zone_d_impression</vt:lpstr>
    </vt:vector>
  </TitlesOfParts>
  <Company>Visteon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Clavel, Philippe (P.)</dc:creator>
  <cp:lastModifiedBy>yassin yassin</cp:lastModifiedBy>
  <cp:lastPrinted>2014-03-22T14:17:30Z</cp:lastPrinted>
  <dcterms:created xsi:type="dcterms:W3CDTF">2012-11-28T13:05:27Z</dcterms:created>
  <dcterms:modified xsi:type="dcterms:W3CDTF">2014-04-29T11:28:11Z</dcterms:modified>
</cp:coreProperties>
</file>