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Yassin\Desktop\"/>
    </mc:Choice>
  </mc:AlternateContent>
  <bookViews>
    <workbookView xWindow="0" yWindow="0" windowWidth="20490" windowHeight="7755" tabRatio="614"/>
  </bookViews>
  <sheets>
    <sheet name="etat du stock" sheetId="10" r:id="rId1"/>
    <sheet name="EXRACTION X52" sheetId="12" state="hidden" r:id="rId2"/>
    <sheet name="Feuil1" sheetId="18" state="hidden" r:id="rId3"/>
    <sheet name="Capacité" sheetId="19" state="hidden" r:id="rId4"/>
    <sheet name="Affectation" sheetId="22" state="hidden" r:id="rId5"/>
    <sheet name="Feuil3" sheetId="21" state="hidden" r:id="rId6"/>
    <sheet name="Livraison" sheetId="20" state="hidden" r:id="rId7"/>
    <sheet name="Source" sheetId="23" state="hidden" r:id="rId8"/>
    <sheet name="Feuil2" sheetId="25" state="hidden" r:id="rId9"/>
    <sheet name="Feuil4" sheetId="26" state="hidden" r:id="rId10"/>
    <sheet name="Couverture Machine" sheetId="17" state="hidden" r:id="rId11"/>
  </sheets>
  <definedNames>
    <definedName name="_xlnm._FilterDatabase" localSheetId="3" hidden="1">Capacité!$A$5:$O$113</definedName>
    <definedName name="_xlnm._FilterDatabase" localSheetId="10" hidden="1">'Couverture Machine'!$A$5:$Q$113</definedName>
    <definedName name="_xlnm._FilterDatabase" localSheetId="0" hidden="1">'etat du stock'!$G$1:$G$77</definedName>
    <definedName name="_xlnm.Print_Titles" localSheetId="3">Capacité!$A:$E</definedName>
    <definedName name="_xlnm.Print_Titles" localSheetId="10">'Couverture Machine'!$A:$G</definedName>
    <definedName name="_xlnm.Print_Area" localSheetId="4">Affectation!$A$1:$Y$30</definedName>
    <definedName name="_xlnm.Print_Area" localSheetId="3">Capacité!$A$1:$BY$196</definedName>
    <definedName name="_xlnm.Print_Area" localSheetId="10">'Couverture Machine'!$A$1:$Q$190</definedName>
    <definedName name="_xlnm.Print_Area" localSheetId="0">'etat du stock'!$A$1:$R$76</definedName>
    <definedName name="_xlnm.Print_Area" localSheetId="1">'EXRACTION X52'!$A$1:$AM$11</definedName>
    <definedName name="_xlnm.Print_Area" localSheetId="2">Feuil1!$A$1:$K$13</definedName>
    <definedName name="_xlnm.Print_Area" localSheetId="5">Feuil3!$A$5:$F$11</definedName>
    <definedName name="_xlnm.Print_Area" localSheetId="6">Livraison!$B$2:$K$17</definedName>
  </definedNames>
  <calcPr calcId="152511"/>
</workbook>
</file>

<file path=xl/calcChain.xml><?xml version="1.0" encoding="utf-8"?>
<calcChain xmlns="http://schemas.openxmlformats.org/spreadsheetml/2006/main">
  <c r="K7" i="10" l="1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L46" i="10" l="1"/>
  <c r="L47" i="10"/>
  <c r="L48" i="10"/>
  <c r="L49" i="10"/>
  <c r="L50" i="10"/>
  <c r="L57" i="10" l="1"/>
  <c r="L16" i="10"/>
  <c r="L17" i="10"/>
  <c r="L19" i="10"/>
  <c r="L20" i="10"/>
  <c r="L21" i="10"/>
  <c r="L22" i="10"/>
  <c r="N8" i="10"/>
  <c r="Q8" i="10" s="1"/>
  <c r="N11" i="10"/>
  <c r="Q11" i="10" s="1"/>
  <c r="N12" i="10"/>
  <c r="Q12" i="10" s="1"/>
  <c r="N14" i="10"/>
  <c r="Q14" i="10" s="1"/>
  <c r="L23" i="10"/>
  <c r="L24" i="10"/>
  <c r="L25" i="10"/>
  <c r="L28" i="10"/>
  <c r="L29" i="10"/>
  <c r="L31" i="10"/>
  <c r="N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51" i="10"/>
  <c r="L52" i="10"/>
  <c r="L53" i="10"/>
  <c r="L55" i="10"/>
  <c r="L56" i="10"/>
  <c r="L59" i="10"/>
  <c r="L61" i="10"/>
  <c r="L62" i="10"/>
  <c r="L63" i="10"/>
  <c r="L64" i="10"/>
  <c r="L65" i="10"/>
  <c r="L66" i="10"/>
  <c r="L67" i="10"/>
  <c r="L68" i="10"/>
  <c r="L69" i="10"/>
  <c r="L71" i="10"/>
  <c r="L72" i="10"/>
  <c r="L73" i="10"/>
  <c r="L75" i="10"/>
  <c r="L76" i="10"/>
  <c r="N39" i="10"/>
  <c r="O39" i="10" s="1"/>
  <c r="N7" i="10"/>
  <c r="Q7" i="10" s="1"/>
  <c r="B3" i="10"/>
  <c r="B4" i="10"/>
  <c r="E12" i="23"/>
  <c r="F12" i="23"/>
  <c r="G12" i="23"/>
  <c r="G13" i="23"/>
  <c r="C11" i="22"/>
  <c r="D11" i="22"/>
  <c r="E11" i="22"/>
  <c r="W11" i="22"/>
  <c r="F7" i="19"/>
  <c r="K7" i="19"/>
  <c r="L7" i="19"/>
  <c r="M7" i="19"/>
  <c r="O7" i="19" s="1"/>
  <c r="P7" i="19" s="1"/>
  <c r="R7" i="19"/>
  <c r="Q7" i="19"/>
  <c r="F8" i="19"/>
  <c r="K8" i="19"/>
  <c r="L8" i="19"/>
  <c r="M8" i="19"/>
  <c r="O8" i="19" s="1"/>
  <c r="F9" i="19"/>
  <c r="K9" i="19"/>
  <c r="L9" i="19" s="1"/>
  <c r="M9" i="19"/>
  <c r="F10" i="19"/>
  <c r="K10" i="19"/>
  <c r="L10" i="19" s="1"/>
  <c r="M10" i="19"/>
  <c r="F11" i="19"/>
  <c r="K11" i="19"/>
  <c r="L11" i="19" s="1"/>
  <c r="M11" i="19"/>
  <c r="F12" i="19"/>
  <c r="K12" i="19"/>
  <c r="L12" i="19" s="1"/>
  <c r="M12" i="19"/>
  <c r="F13" i="19"/>
  <c r="H13" i="19"/>
  <c r="F14" i="19"/>
  <c r="H14" i="19"/>
  <c r="M14" i="19" s="1"/>
  <c r="L14" i="19"/>
  <c r="F15" i="19"/>
  <c r="H15" i="19"/>
  <c r="L15" i="19" s="1"/>
  <c r="M15" i="19"/>
  <c r="F16" i="19"/>
  <c r="H16" i="19"/>
  <c r="F17" i="19"/>
  <c r="F18" i="19"/>
  <c r="L18" i="19"/>
  <c r="M18" i="19"/>
  <c r="N18" i="19" s="1"/>
  <c r="O18" i="19"/>
  <c r="F19" i="19"/>
  <c r="H19" i="19"/>
  <c r="L19" i="19" s="1"/>
  <c r="M19" i="19"/>
  <c r="F20" i="19"/>
  <c r="H20" i="19"/>
  <c r="F21" i="19"/>
  <c r="H21" i="19"/>
  <c r="F22" i="19"/>
  <c r="H22" i="19"/>
  <c r="M22" i="19"/>
  <c r="L22" i="19"/>
  <c r="F23" i="19"/>
  <c r="H23" i="19"/>
  <c r="L23" i="19"/>
  <c r="M23" i="19"/>
  <c r="F24" i="19"/>
  <c r="H24" i="19"/>
  <c r="F25" i="19"/>
  <c r="H25" i="19"/>
  <c r="L25" i="19" s="1"/>
  <c r="M25" i="19"/>
  <c r="F26" i="19"/>
  <c r="H26" i="19"/>
  <c r="L26" i="19" s="1"/>
  <c r="F27" i="19"/>
  <c r="H27" i="19"/>
  <c r="M27" i="19"/>
  <c r="J27" i="19"/>
  <c r="L27" i="19"/>
  <c r="F28" i="19"/>
  <c r="H28" i="19"/>
  <c r="J28" i="19"/>
  <c r="F29" i="19"/>
  <c r="H29" i="19"/>
  <c r="L30" i="19"/>
  <c r="L31" i="19"/>
  <c r="L32" i="19"/>
  <c r="L33" i="19"/>
  <c r="F34" i="19"/>
  <c r="H34" i="19"/>
  <c r="L34" i="19"/>
  <c r="I34" i="19"/>
  <c r="K34" i="19" s="1"/>
  <c r="F35" i="19"/>
  <c r="H35" i="19"/>
  <c r="I35" i="19"/>
  <c r="M35" i="19"/>
  <c r="O35" i="19" s="1"/>
  <c r="L35" i="19"/>
  <c r="F36" i="19"/>
  <c r="L36" i="19"/>
  <c r="M36" i="19"/>
  <c r="N36" i="19" s="1"/>
  <c r="O36" i="19"/>
  <c r="F37" i="19"/>
  <c r="K37" i="19"/>
  <c r="L37" i="19"/>
  <c r="M37" i="19"/>
  <c r="O37" i="19" s="1"/>
  <c r="L38" i="19"/>
  <c r="L39" i="19"/>
  <c r="L40" i="19"/>
  <c r="L41" i="19"/>
  <c r="L42" i="19"/>
  <c r="L43" i="19"/>
  <c r="L44" i="19"/>
  <c r="F45" i="19"/>
  <c r="H45" i="19"/>
  <c r="L45" i="19"/>
  <c r="M45" i="19"/>
  <c r="F46" i="19"/>
  <c r="H46" i="19"/>
  <c r="J46" i="19"/>
  <c r="F47" i="19"/>
  <c r="F48" i="19"/>
  <c r="L48" i="19"/>
  <c r="M48" i="19"/>
  <c r="N48" i="19"/>
  <c r="O48" i="19"/>
  <c r="F49" i="19"/>
  <c r="H49" i="19"/>
  <c r="L49" i="19"/>
  <c r="M49" i="19"/>
  <c r="F50" i="19"/>
  <c r="H50" i="19"/>
  <c r="F51" i="19"/>
  <c r="L51" i="19"/>
  <c r="M51" i="19"/>
  <c r="L52" i="19"/>
  <c r="M52" i="19"/>
  <c r="O52" i="19" s="1"/>
  <c r="L53" i="19"/>
  <c r="M53" i="19"/>
  <c r="O53" i="19"/>
  <c r="L54" i="19"/>
  <c r="M54" i="19"/>
  <c r="O54" i="19"/>
  <c r="L55" i="19"/>
  <c r="M55" i="19"/>
  <c r="O55" i="19"/>
  <c r="F56" i="19"/>
  <c r="K56" i="19"/>
  <c r="L56" i="19"/>
  <c r="M56" i="19"/>
  <c r="O56" i="19"/>
  <c r="F57" i="19"/>
  <c r="K57" i="19"/>
  <c r="L57" i="19"/>
  <c r="M57" i="19"/>
  <c r="O57" i="19"/>
  <c r="F58" i="19"/>
  <c r="K58" i="19"/>
  <c r="L58" i="19"/>
  <c r="M58" i="19"/>
  <c r="O58" i="19" s="1"/>
  <c r="F59" i="19"/>
  <c r="K59" i="19"/>
  <c r="L59" i="19"/>
  <c r="M59" i="19"/>
  <c r="O59" i="19"/>
  <c r="F60" i="19"/>
  <c r="L60" i="19"/>
  <c r="M60" i="19"/>
  <c r="F61" i="19"/>
  <c r="L61" i="19"/>
  <c r="M61" i="19"/>
  <c r="F62" i="19"/>
  <c r="L62" i="19"/>
  <c r="M62" i="19"/>
  <c r="N62" i="19"/>
  <c r="O62" i="19"/>
  <c r="F63" i="19"/>
  <c r="L63" i="19"/>
  <c r="M63" i="19"/>
  <c r="N63" i="19"/>
  <c r="O63" i="19"/>
  <c r="F64" i="19"/>
  <c r="H64" i="19"/>
  <c r="L64" i="19"/>
  <c r="M64" i="19"/>
  <c r="F65" i="19"/>
  <c r="H65" i="19"/>
  <c r="F66" i="19"/>
  <c r="H66" i="19"/>
  <c r="F67" i="19"/>
  <c r="H67" i="19"/>
  <c r="L67" i="19"/>
  <c r="M67" i="19"/>
  <c r="F68" i="19"/>
  <c r="K68" i="19"/>
  <c r="L68" i="19"/>
  <c r="M68" i="19"/>
  <c r="O68" i="19"/>
  <c r="F69" i="19"/>
  <c r="K69" i="19"/>
  <c r="L69" i="19"/>
  <c r="M69" i="19"/>
  <c r="O69" i="19"/>
  <c r="K70" i="19"/>
  <c r="L70" i="19"/>
  <c r="M70" i="19"/>
  <c r="O70" i="19"/>
  <c r="K71" i="19"/>
  <c r="L71" i="19"/>
  <c r="M71" i="19"/>
  <c r="O71" i="19"/>
  <c r="K72" i="19"/>
  <c r="L72" i="19"/>
  <c r="M72" i="19"/>
  <c r="O72" i="19"/>
  <c r="K73" i="19"/>
  <c r="L73" i="19"/>
  <c r="M73" i="19"/>
  <c r="O73" i="19"/>
  <c r="K74" i="19"/>
  <c r="L74" i="19"/>
  <c r="M74" i="19"/>
  <c r="O74" i="19"/>
  <c r="K75" i="19"/>
  <c r="L75" i="19"/>
  <c r="M75" i="19"/>
  <c r="O75" i="19"/>
  <c r="K76" i="19"/>
  <c r="L76" i="19"/>
  <c r="M76" i="19"/>
  <c r="O76" i="19"/>
  <c r="K77" i="19"/>
  <c r="L77" i="19"/>
  <c r="M77" i="19"/>
  <c r="O77" i="19"/>
  <c r="K78" i="19"/>
  <c r="L78" i="19"/>
  <c r="M78" i="19"/>
  <c r="O78" i="19"/>
  <c r="K79" i="19"/>
  <c r="L79" i="19"/>
  <c r="M79" i="19"/>
  <c r="O79" i="19"/>
  <c r="K80" i="19"/>
  <c r="L80" i="19"/>
  <c r="M80" i="19"/>
  <c r="O80" i="19"/>
  <c r="F81" i="19"/>
  <c r="L81" i="19"/>
  <c r="M81" i="19"/>
  <c r="N81" i="19" s="1"/>
  <c r="O81" i="19"/>
  <c r="F82" i="19"/>
  <c r="L82" i="19"/>
  <c r="M82" i="19"/>
  <c r="F83" i="19"/>
  <c r="L83" i="19"/>
  <c r="M83" i="19"/>
  <c r="O83" i="19" s="1"/>
  <c r="N83" i="19"/>
  <c r="F84" i="19"/>
  <c r="H84" i="19"/>
  <c r="M84" i="19" s="1"/>
  <c r="L84" i="19"/>
  <c r="F85" i="19"/>
  <c r="H85" i="19"/>
  <c r="M85" i="19"/>
  <c r="L85" i="19"/>
  <c r="F86" i="19"/>
  <c r="H86" i="19"/>
  <c r="M86" i="19" s="1"/>
  <c r="L86" i="19"/>
  <c r="F87" i="19"/>
  <c r="K87" i="19"/>
  <c r="L87" i="19"/>
  <c r="M87" i="19"/>
  <c r="O87" i="19"/>
  <c r="F88" i="19"/>
  <c r="K88" i="19"/>
  <c r="L88" i="19"/>
  <c r="M88" i="19"/>
  <c r="O88" i="19"/>
  <c r="F89" i="19"/>
  <c r="K89" i="19"/>
  <c r="L89" i="19"/>
  <c r="M89" i="19"/>
  <c r="O89" i="19"/>
  <c r="F90" i="19"/>
  <c r="K90" i="19"/>
  <c r="L90" i="19"/>
  <c r="M90" i="19"/>
  <c r="O90" i="19" s="1"/>
  <c r="F91" i="19"/>
  <c r="K91" i="19"/>
  <c r="L91" i="19"/>
  <c r="M91" i="19"/>
  <c r="O91" i="19"/>
  <c r="F92" i="19"/>
  <c r="K92" i="19"/>
  <c r="L92" i="19"/>
  <c r="M92" i="19"/>
  <c r="O92" i="19"/>
  <c r="F93" i="19"/>
  <c r="K93" i="19"/>
  <c r="L93" i="19"/>
  <c r="M93" i="19"/>
  <c r="O93" i="19"/>
  <c r="F94" i="19"/>
  <c r="K94" i="19"/>
  <c r="L94" i="19"/>
  <c r="M94" i="19"/>
  <c r="O94" i="19" s="1"/>
  <c r="F95" i="19"/>
  <c r="K95" i="19"/>
  <c r="L95" i="19"/>
  <c r="M95" i="19"/>
  <c r="O95" i="19"/>
  <c r="F96" i="19"/>
  <c r="K96" i="19"/>
  <c r="L96" i="19"/>
  <c r="M96" i="19"/>
  <c r="O96" i="19"/>
  <c r="F97" i="19"/>
  <c r="K97" i="19"/>
  <c r="L97" i="19"/>
  <c r="M97" i="19"/>
  <c r="O97" i="19"/>
  <c r="E98" i="19"/>
  <c r="L98" i="19"/>
  <c r="M98" i="19"/>
  <c r="L99" i="19"/>
  <c r="BU85" i="19" s="1"/>
  <c r="B8" i="22" s="1"/>
  <c r="M99" i="19"/>
  <c r="F100" i="19"/>
  <c r="L100" i="19"/>
  <c r="M100" i="19"/>
  <c r="F101" i="19"/>
  <c r="K101" i="19"/>
  <c r="L101" i="19"/>
  <c r="M101" i="19"/>
  <c r="O101" i="19"/>
  <c r="F102" i="19"/>
  <c r="H102" i="19"/>
  <c r="L102" i="19"/>
  <c r="M102" i="19"/>
  <c r="F103" i="19"/>
  <c r="H103" i="19"/>
  <c r="L103" i="19"/>
  <c r="BU102" i="19" s="1"/>
  <c r="B9" i="22" s="1"/>
  <c r="M103" i="19"/>
  <c r="F104" i="19"/>
  <c r="H104" i="19"/>
  <c r="F105" i="19"/>
  <c r="H105" i="19"/>
  <c r="L105" i="19"/>
  <c r="M105" i="19"/>
  <c r="F106" i="19"/>
  <c r="L106" i="19"/>
  <c r="M106" i="19"/>
  <c r="N106" i="19" s="1"/>
  <c r="O106" i="19"/>
  <c r="E107" i="19"/>
  <c r="M107" i="19"/>
  <c r="O107" i="19" s="1"/>
  <c r="N107" i="19"/>
  <c r="E108" i="19"/>
  <c r="F108" i="19"/>
  <c r="H108" i="19"/>
  <c r="F109" i="19"/>
  <c r="H109" i="19"/>
  <c r="L109" i="19"/>
  <c r="M109" i="19"/>
  <c r="F110" i="19"/>
  <c r="K110" i="19"/>
  <c r="L110" i="19"/>
  <c r="M110" i="19"/>
  <c r="O110" i="19" s="1"/>
  <c r="F111" i="19"/>
  <c r="K111" i="19"/>
  <c r="L111" i="19"/>
  <c r="M111" i="19"/>
  <c r="O111" i="19"/>
  <c r="F112" i="19"/>
  <c r="L112" i="19"/>
  <c r="M112" i="19"/>
  <c r="N112" i="19"/>
  <c r="O112" i="19"/>
  <c r="F113" i="19"/>
  <c r="L113" i="19"/>
  <c r="M113" i="19"/>
  <c r="F114" i="19"/>
  <c r="K114" i="19"/>
  <c r="L114" i="19"/>
  <c r="M114" i="19"/>
  <c r="O114" i="19"/>
  <c r="F115" i="19"/>
  <c r="K115" i="19"/>
  <c r="L115" i="19"/>
  <c r="M115" i="19"/>
  <c r="O115" i="19"/>
  <c r="F116" i="19"/>
  <c r="K116" i="19"/>
  <c r="L116" i="19"/>
  <c r="M116" i="19"/>
  <c r="O116" i="19" s="1"/>
  <c r="F117" i="19"/>
  <c r="K117" i="19"/>
  <c r="L117" i="19"/>
  <c r="M117" i="19"/>
  <c r="O117" i="19"/>
  <c r="F118" i="19"/>
  <c r="K118" i="19"/>
  <c r="L118" i="19"/>
  <c r="M118" i="19"/>
  <c r="O118" i="19"/>
  <c r="F119" i="19"/>
  <c r="K119" i="19"/>
  <c r="L119" i="19"/>
  <c r="M119" i="19"/>
  <c r="O119" i="19"/>
  <c r="K120" i="19"/>
  <c r="L120" i="19"/>
  <c r="M120" i="19"/>
  <c r="O120" i="19"/>
  <c r="K121" i="19"/>
  <c r="L121" i="19"/>
  <c r="M121" i="19"/>
  <c r="O121" i="19"/>
  <c r="K122" i="19"/>
  <c r="L122" i="19"/>
  <c r="M122" i="19"/>
  <c r="O122" i="19"/>
  <c r="K123" i="19"/>
  <c r="L123" i="19"/>
  <c r="M123" i="19"/>
  <c r="O123" i="19"/>
  <c r="K124" i="19"/>
  <c r="L124" i="19"/>
  <c r="M124" i="19"/>
  <c r="O124" i="19"/>
  <c r="K125" i="19"/>
  <c r="L125" i="19"/>
  <c r="M125" i="19"/>
  <c r="O125" i="19"/>
  <c r="K126" i="19"/>
  <c r="L126" i="19"/>
  <c r="M126" i="19"/>
  <c r="O126" i="19"/>
  <c r="K127" i="19"/>
  <c r="L127" i="19"/>
  <c r="M127" i="19"/>
  <c r="O127" i="19"/>
  <c r="K128" i="19"/>
  <c r="L128" i="19"/>
  <c r="M128" i="19"/>
  <c r="O128" i="19"/>
  <c r="K129" i="19"/>
  <c r="L129" i="19"/>
  <c r="M129" i="19"/>
  <c r="O129" i="19"/>
  <c r="K130" i="19"/>
  <c r="L130" i="19"/>
  <c r="M130" i="19"/>
  <c r="O130" i="19"/>
  <c r="K131" i="19"/>
  <c r="L131" i="19"/>
  <c r="M131" i="19"/>
  <c r="O131" i="19"/>
  <c r="K132" i="19"/>
  <c r="L132" i="19"/>
  <c r="M132" i="19"/>
  <c r="O132" i="19"/>
  <c r="K133" i="19"/>
  <c r="L133" i="19"/>
  <c r="M133" i="19"/>
  <c r="O133" i="19"/>
  <c r="K134" i="19"/>
  <c r="L134" i="19"/>
  <c r="M134" i="19"/>
  <c r="O134" i="19"/>
  <c r="K135" i="19"/>
  <c r="L135" i="19"/>
  <c r="M135" i="19"/>
  <c r="O135" i="19"/>
  <c r="K136" i="19"/>
  <c r="L136" i="19"/>
  <c r="M136" i="19"/>
  <c r="O136" i="19"/>
  <c r="K137" i="19"/>
  <c r="L137" i="19"/>
  <c r="M137" i="19"/>
  <c r="O137" i="19"/>
  <c r="K138" i="19"/>
  <c r="L138" i="19"/>
  <c r="M138" i="19"/>
  <c r="O138" i="19"/>
  <c r="K139" i="19"/>
  <c r="L139" i="19"/>
  <c r="M139" i="19"/>
  <c r="O139" i="19"/>
  <c r="K140" i="19"/>
  <c r="L140" i="19"/>
  <c r="M140" i="19"/>
  <c r="O140" i="19"/>
  <c r="K141" i="19"/>
  <c r="L141" i="19"/>
  <c r="M141" i="19"/>
  <c r="O141" i="19"/>
  <c r="K142" i="19"/>
  <c r="L142" i="19"/>
  <c r="M142" i="19"/>
  <c r="O142" i="19"/>
  <c r="K143" i="19"/>
  <c r="L143" i="19"/>
  <c r="M143" i="19"/>
  <c r="O143" i="19"/>
  <c r="K144" i="19"/>
  <c r="L144" i="19"/>
  <c r="M144" i="19"/>
  <c r="O144" i="19"/>
  <c r="K145" i="19"/>
  <c r="L145" i="19"/>
  <c r="M145" i="19"/>
  <c r="O145" i="19"/>
  <c r="K146" i="19"/>
  <c r="L146" i="19"/>
  <c r="M146" i="19"/>
  <c r="O146" i="19"/>
  <c r="K147" i="19"/>
  <c r="L147" i="19"/>
  <c r="M147" i="19"/>
  <c r="O147" i="19"/>
  <c r="K148" i="19"/>
  <c r="L148" i="19"/>
  <c r="M148" i="19"/>
  <c r="O148" i="19"/>
  <c r="K149" i="19"/>
  <c r="L149" i="19"/>
  <c r="M149" i="19"/>
  <c r="O149" i="19"/>
  <c r="K150" i="19"/>
  <c r="L150" i="19"/>
  <c r="M150" i="19"/>
  <c r="O150" i="19"/>
  <c r="K151" i="19"/>
  <c r="L151" i="19"/>
  <c r="M151" i="19"/>
  <c r="O151" i="19"/>
  <c r="K152" i="19"/>
  <c r="L152" i="19"/>
  <c r="M152" i="19"/>
  <c r="O152" i="19"/>
  <c r="K153" i="19"/>
  <c r="L153" i="19"/>
  <c r="M153" i="19"/>
  <c r="O153" i="19"/>
  <c r="K154" i="19"/>
  <c r="L154" i="19"/>
  <c r="M154" i="19"/>
  <c r="O154" i="19"/>
  <c r="K155" i="19"/>
  <c r="L155" i="19"/>
  <c r="M155" i="19"/>
  <c r="O155" i="19"/>
  <c r="K156" i="19"/>
  <c r="L156" i="19"/>
  <c r="M156" i="19"/>
  <c r="O156" i="19"/>
  <c r="K157" i="19"/>
  <c r="L157" i="19"/>
  <c r="M157" i="19"/>
  <c r="O157" i="19"/>
  <c r="K158" i="19"/>
  <c r="L158" i="19"/>
  <c r="M158" i="19"/>
  <c r="O158" i="19"/>
  <c r="K159" i="19"/>
  <c r="L159" i="19"/>
  <c r="M159" i="19"/>
  <c r="O159" i="19"/>
  <c r="K160" i="19"/>
  <c r="L160" i="19"/>
  <c r="M160" i="19"/>
  <c r="O160" i="19"/>
  <c r="K161" i="19"/>
  <c r="L161" i="19"/>
  <c r="M161" i="19"/>
  <c r="O161" i="19"/>
  <c r="K162" i="19"/>
  <c r="L162" i="19"/>
  <c r="M162" i="19"/>
  <c r="O162" i="19"/>
  <c r="K163" i="19"/>
  <c r="L163" i="19"/>
  <c r="M163" i="19"/>
  <c r="O163" i="19"/>
  <c r="K164" i="19"/>
  <c r="L164" i="19"/>
  <c r="M164" i="19"/>
  <c r="O164" i="19"/>
  <c r="K165" i="19"/>
  <c r="L165" i="19"/>
  <c r="M165" i="19"/>
  <c r="O165" i="19"/>
  <c r="K166" i="19"/>
  <c r="L166" i="19"/>
  <c r="M166" i="19"/>
  <c r="O166" i="19"/>
  <c r="K167" i="19"/>
  <c r="L167" i="19"/>
  <c r="M167" i="19"/>
  <c r="O167" i="19"/>
  <c r="K168" i="19"/>
  <c r="L168" i="19"/>
  <c r="M168" i="19"/>
  <c r="O168" i="19"/>
  <c r="K169" i="19"/>
  <c r="L169" i="19"/>
  <c r="M169" i="19"/>
  <c r="O169" i="19"/>
  <c r="K170" i="19"/>
  <c r="L170" i="19"/>
  <c r="M170" i="19"/>
  <c r="O170" i="19"/>
  <c r="K171" i="19"/>
  <c r="L171" i="19"/>
  <c r="M171" i="19"/>
  <c r="O171" i="19"/>
  <c r="K172" i="19"/>
  <c r="L172" i="19"/>
  <c r="M172" i="19"/>
  <c r="O172" i="19"/>
  <c r="K173" i="19"/>
  <c r="L173" i="19"/>
  <c r="M173" i="19"/>
  <c r="O173" i="19"/>
  <c r="K174" i="19"/>
  <c r="L174" i="19"/>
  <c r="M174" i="19"/>
  <c r="O174" i="19"/>
  <c r="K175" i="19"/>
  <c r="L175" i="19"/>
  <c r="M175" i="19"/>
  <c r="O175" i="19"/>
  <c r="K176" i="19"/>
  <c r="L176" i="19"/>
  <c r="M176" i="19"/>
  <c r="O176" i="19"/>
  <c r="K177" i="19"/>
  <c r="L177" i="19"/>
  <c r="M177" i="19"/>
  <c r="O177" i="19"/>
  <c r="K178" i="19"/>
  <c r="L178" i="19"/>
  <c r="M178" i="19"/>
  <c r="O178" i="19"/>
  <c r="K179" i="19"/>
  <c r="L179" i="19"/>
  <c r="M179" i="19"/>
  <c r="O179" i="19"/>
  <c r="K180" i="19"/>
  <c r="L180" i="19"/>
  <c r="M180" i="19"/>
  <c r="O180" i="19"/>
  <c r="K181" i="19"/>
  <c r="L181" i="19"/>
  <c r="M181" i="19"/>
  <c r="O181" i="19"/>
  <c r="K182" i="19"/>
  <c r="L182" i="19"/>
  <c r="M182" i="19"/>
  <c r="O182" i="19"/>
  <c r="K183" i="19"/>
  <c r="L183" i="19"/>
  <c r="M183" i="19"/>
  <c r="O183" i="19"/>
  <c r="F184" i="19"/>
  <c r="H184" i="19"/>
  <c r="L184" i="19"/>
  <c r="F185" i="19"/>
  <c r="K185" i="19"/>
  <c r="L185" i="19"/>
  <c r="M185" i="19"/>
  <c r="O185" i="19" s="1"/>
  <c r="N185" i="19"/>
  <c r="F186" i="19"/>
  <c r="H186" i="19"/>
  <c r="L186" i="19" s="1"/>
  <c r="K186" i="19"/>
  <c r="F187" i="19"/>
  <c r="K187" i="19"/>
  <c r="L187" i="19"/>
  <c r="M187" i="19"/>
  <c r="N187" i="19"/>
  <c r="F188" i="19"/>
  <c r="H188" i="19"/>
  <c r="F189" i="19"/>
  <c r="H189" i="19"/>
  <c r="M189" i="19" s="1"/>
  <c r="L189" i="19"/>
  <c r="F190" i="19"/>
  <c r="H190" i="19"/>
  <c r="M190" i="19"/>
  <c r="O190" i="19"/>
  <c r="L190" i="19"/>
  <c r="F191" i="19"/>
  <c r="H191" i="19"/>
  <c r="L191" i="19"/>
  <c r="M191" i="19"/>
  <c r="F192" i="19"/>
  <c r="H192" i="19"/>
  <c r="J192" i="19"/>
  <c r="F193" i="19"/>
  <c r="F194" i="19"/>
  <c r="BT196" i="19"/>
  <c r="Q5" i="17"/>
  <c r="Q180" i="17" s="1"/>
  <c r="H7" i="17"/>
  <c r="M7" i="17"/>
  <c r="N7" i="17"/>
  <c r="O7" i="17"/>
  <c r="H8" i="17"/>
  <c r="M8" i="17"/>
  <c r="N8" i="17"/>
  <c r="O8" i="17"/>
  <c r="H9" i="17"/>
  <c r="M9" i="17"/>
  <c r="N9" i="17"/>
  <c r="O9" i="17"/>
  <c r="H10" i="17"/>
  <c r="M10" i="17"/>
  <c r="N10" i="17"/>
  <c r="O10" i="17"/>
  <c r="H11" i="17"/>
  <c r="M11" i="17"/>
  <c r="N11" i="17"/>
  <c r="O11" i="17"/>
  <c r="H12" i="17"/>
  <c r="M12" i="17"/>
  <c r="N12" i="17"/>
  <c r="O12" i="17"/>
  <c r="H13" i="17"/>
  <c r="J13" i="17"/>
  <c r="M13" i="17"/>
  <c r="N13" i="17"/>
  <c r="O13" i="17"/>
  <c r="H14" i="17"/>
  <c r="J14" i="17"/>
  <c r="O14" i="17" s="1"/>
  <c r="P14" i="17" s="1"/>
  <c r="M14" i="17"/>
  <c r="N14" i="17"/>
  <c r="H15" i="17"/>
  <c r="J15" i="17"/>
  <c r="H16" i="17"/>
  <c r="J16" i="17"/>
  <c r="J17" i="17" s="1"/>
  <c r="M17" i="17" s="1"/>
  <c r="K16" i="17"/>
  <c r="H17" i="17"/>
  <c r="K17" i="17"/>
  <c r="O17" i="17" s="1"/>
  <c r="P17" i="17" s="1"/>
  <c r="N17" i="17"/>
  <c r="H18" i="17"/>
  <c r="M18" i="17"/>
  <c r="N18" i="17" s="1"/>
  <c r="O18" i="17"/>
  <c r="P18" i="17"/>
  <c r="H19" i="17"/>
  <c r="J19" i="17"/>
  <c r="K19" i="17"/>
  <c r="O19" i="17" s="1"/>
  <c r="P19" i="17" s="1"/>
  <c r="M19" i="17"/>
  <c r="N19" i="17"/>
  <c r="H20" i="17"/>
  <c r="J20" i="17"/>
  <c r="M20" i="17" s="1"/>
  <c r="N20" i="17" s="1"/>
  <c r="K20" i="17"/>
  <c r="O20" i="17"/>
  <c r="P20" i="17" s="1"/>
  <c r="H21" i="17"/>
  <c r="J21" i="17"/>
  <c r="H22" i="17"/>
  <c r="J22" i="17"/>
  <c r="M22" i="17"/>
  <c r="N22" i="17"/>
  <c r="O22" i="17"/>
  <c r="P22" i="17" s="1"/>
  <c r="H23" i="17"/>
  <c r="J23" i="17"/>
  <c r="H24" i="17"/>
  <c r="J24" i="17"/>
  <c r="K24" i="17"/>
  <c r="O24" i="17" s="1"/>
  <c r="P24" i="17" s="1"/>
  <c r="M24" i="17"/>
  <c r="N24" i="17"/>
  <c r="H25" i="17"/>
  <c r="J25" i="17"/>
  <c r="M25" i="17" s="1"/>
  <c r="N25" i="17" s="1"/>
  <c r="K25" i="17"/>
  <c r="O25" i="17"/>
  <c r="P25" i="17" s="1"/>
  <c r="H26" i="17"/>
  <c r="J26" i="17"/>
  <c r="K26" i="17"/>
  <c r="H27" i="17"/>
  <c r="J27" i="17"/>
  <c r="K27" i="17"/>
  <c r="H28" i="17"/>
  <c r="J28" i="17"/>
  <c r="K28" i="17"/>
  <c r="O28" i="17" s="1"/>
  <c r="P28" i="17" s="1"/>
  <c r="M28" i="17"/>
  <c r="N28" i="17"/>
  <c r="H29" i="17"/>
  <c r="J29" i="17"/>
  <c r="K29" i="17"/>
  <c r="H34" i="17"/>
  <c r="J34" i="17"/>
  <c r="K34" i="17"/>
  <c r="H35" i="17"/>
  <c r="J35" i="17"/>
  <c r="K35" i="17"/>
  <c r="O35" i="17"/>
  <c r="M35" i="17"/>
  <c r="N35" i="17" s="1"/>
  <c r="H36" i="17"/>
  <c r="M36" i="17"/>
  <c r="N36" i="17"/>
  <c r="O36" i="17"/>
  <c r="P36" i="17"/>
  <c r="H37" i="17"/>
  <c r="M37" i="17"/>
  <c r="N37" i="17" s="1"/>
  <c r="O37" i="17"/>
  <c r="N38" i="17"/>
  <c r="N39" i="17"/>
  <c r="N40" i="17"/>
  <c r="N41" i="17"/>
  <c r="N42" i="17"/>
  <c r="N43" i="17"/>
  <c r="N44" i="17"/>
  <c r="H45" i="17"/>
  <c r="J45" i="17"/>
  <c r="H46" i="17"/>
  <c r="J46" i="17"/>
  <c r="L46" i="17"/>
  <c r="M46" i="17"/>
  <c r="N46" i="17"/>
  <c r="O46" i="17"/>
  <c r="P46" i="17"/>
  <c r="H47" i="17"/>
  <c r="J47" i="17"/>
  <c r="H48" i="17"/>
  <c r="K48" i="17"/>
  <c r="H49" i="17"/>
  <c r="J49" i="17"/>
  <c r="K49" i="17"/>
  <c r="L49" i="17"/>
  <c r="H50" i="17"/>
  <c r="K50" i="17"/>
  <c r="H51" i="17"/>
  <c r="M51" i="17"/>
  <c r="N51" i="17"/>
  <c r="O51" i="17"/>
  <c r="P51" i="17"/>
  <c r="O52" i="17"/>
  <c r="O53" i="17"/>
  <c r="O54" i="17"/>
  <c r="O55" i="17"/>
  <c r="H56" i="17"/>
  <c r="M56" i="17"/>
  <c r="N56" i="17" s="1"/>
  <c r="O56" i="17"/>
  <c r="H57" i="17"/>
  <c r="M57" i="17"/>
  <c r="N57" i="17" s="1"/>
  <c r="O57" i="17"/>
  <c r="H58" i="17"/>
  <c r="M58" i="17"/>
  <c r="N58" i="17" s="1"/>
  <c r="O58" i="17"/>
  <c r="H59" i="17"/>
  <c r="M59" i="17"/>
  <c r="N59" i="17" s="1"/>
  <c r="O59" i="17"/>
  <c r="H60" i="17"/>
  <c r="K60" i="17"/>
  <c r="H61" i="17"/>
  <c r="M61" i="17"/>
  <c r="N61" i="17"/>
  <c r="O61" i="17"/>
  <c r="P61" i="17" s="1"/>
  <c r="H62" i="17"/>
  <c r="K62" i="17"/>
  <c r="O62" i="17" s="1"/>
  <c r="P62" i="17" s="1"/>
  <c r="M62" i="17"/>
  <c r="N62" i="17" s="1"/>
  <c r="H63" i="17"/>
  <c r="M63" i="17"/>
  <c r="N63" i="17"/>
  <c r="O63" i="17"/>
  <c r="P63" i="17"/>
  <c r="H64" i="17"/>
  <c r="J64" i="17"/>
  <c r="K64" i="17"/>
  <c r="O64" i="17" s="1"/>
  <c r="P64" i="17" s="1"/>
  <c r="M64" i="17"/>
  <c r="N64" i="17" s="1"/>
  <c r="H65" i="17"/>
  <c r="J65" i="17"/>
  <c r="O65" i="17"/>
  <c r="P65" i="17"/>
  <c r="M65" i="17"/>
  <c r="N65" i="17" s="1"/>
  <c r="H66" i="17"/>
  <c r="J66" i="17"/>
  <c r="O66" i="17" s="1"/>
  <c r="P66" i="17" s="1"/>
  <c r="M66" i="17"/>
  <c r="N66" i="17" s="1"/>
  <c r="H67" i="17"/>
  <c r="J67" i="17"/>
  <c r="O67" i="17"/>
  <c r="P67" i="17"/>
  <c r="M67" i="17"/>
  <c r="N67" i="17" s="1"/>
  <c r="H68" i="17"/>
  <c r="M68" i="17"/>
  <c r="N68" i="17"/>
  <c r="O68" i="17"/>
  <c r="H69" i="17"/>
  <c r="M69" i="17"/>
  <c r="N69" i="17"/>
  <c r="O69" i="17"/>
  <c r="M70" i="17"/>
  <c r="N70" i="17"/>
  <c r="O70" i="17"/>
  <c r="M71" i="17"/>
  <c r="N71" i="17"/>
  <c r="O71" i="17"/>
  <c r="M72" i="17"/>
  <c r="N72" i="17" s="1"/>
  <c r="O72" i="17"/>
  <c r="M73" i="17"/>
  <c r="N73" i="17"/>
  <c r="O73" i="17"/>
  <c r="M74" i="17"/>
  <c r="N74" i="17"/>
  <c r="O74" i="17"/>
  <c r="M75" i="17"/>
  <c r="N75" i="17"/>
  <c r="O75" i="17"/>
  <c r="M76" i="17"/>
  <c r="N76" i="17" s="1"/>
  <c r="O76" i="17"/>
  <c r="M77" i="17"/>
  <c r="N77" i="17"/>
  <c r="O77" i="17"/>
  <c r="M78" i="17"/>
  <c r="N78" i="17"/>
  <c r="O78" i="17"/>
  <c r="M79" i="17"/>
  <c r="N79" i="17"/>
  <c r="O79" i="17"/>
  <c r="M80" i="17"/>
  <c r="N80" i="17" s="1"/>
  <c r="O80" i="17"/>
  <c r="G81" i="17"/>
  <c r="H81" i="17"/>
  <c r="J81" i="17"/>
  <c r="O81" i="17"/>
  <c r="P81" i="17"/>
  <c r="M81" i="17"/>
  <c r="N81" i="17" s="1"/>
  <c r="H82" i="17"/>
  <c r="J82" i="17"/>
  <c r="O82" i="17" s="1"/>
  <c r="P82" i="17" s="1"/>
  <c r="M82" i="17"/>
  <c r="N82" i="17" s="1"/>
  <c r="H83" i="17"/>
  <c r="J83" i="17"/>
  <c r="O83" i="17"/>
  <c r="P83" i="17"/>
  <c r="M83" i="17"/>
  <c r="N83" i="17" s="1"/>
  <c r="H84" i="17"/>
  <c r="J84" i="17"/>
  <c r="O84" i="17" s="1"/>
  <c r="P84" i="17" s="1"/>
  <c r="M84" i="17"/>
  <c r="N84" i="17" s="1"/>
  <c r="H85" i="17"/>
  <c r="J85" i="17"/>
  <c r="M85" i="17"/>
  <c r="N85" i="17"/>
  <c r="O85" i="17"/>
  <c r="P85" i="17" s="1"/>
  <c r="H86" i="17"/>
  <c r="J86" i="17"/>
  <c r="K86" i="17"/>
  <c r="H87" i="17"/>
  <c r="M87" i="17"/>
  <c r="N87" i="17"/>
  <c r="O87" i="17"/>
  <c r="H88" i="17"/>
  <c r="M88" i="17"/>
  <c r="N88" i="17"/>
  <c r="O88" i="17"/>
  <c r="H89" i="17"/>
  <c r="M89" i="17"/>
  <c r="N89" i="17"/>
  <c r="O89" i="17"/>
  <c r="H90" i="17"/>
  <c r="M90" i="17"/>
  <c r="N90" i="17"/>
  <c r="O90" i="17"/>
  <c r="H91" i="17"/>
  <c r="M91" i="17"/>
  <c r="N91" i="17"/>
  <c r="O91" i="17"/>
  <c r="H92" i="17"/>
  <c r="M92" i="17"/>
  <c r="N92" i="17"/>
  <c r="O92" i="17"/>
  <c r="H93" i="17"/>
  <c r="M93" i="17"/>
  <c r="N93" i="17"/>
  <c r="O93" i="17"/>
  <c r="H94" i="17"/>
  <c r="M94" i="17"/>
  <c r="N94" i="17"/>
  <c r="O94" i="17"/>
  <c r="H95" i="17"/>
  <c r="M95" i="17"/>
  <c r="N95" i="17"/>
  <c r="O95" i="17"/>
  <c r="H96" i="17"/>
  <c r="M96" i="17"/>
  <c r="N96" i="17"/>
  <c r="O96" i="17"/>
  <c r="H97" i="17"/>
  <c r="M97" i="17"/>
  <c r="N97" i="17"/>
  <c r="O97" i="17"/>
  <c r="J98" i="17"/>
  <c r="M98" i="17"/>
  <c r="N98" i="17"/>
  <c r="O98" i="17"/>
  <c r="P98" i="17" s="1"/>
  <c r="J99" i="17"/>
  <c r="M99" i="17"/>
  <c r="N99" i="17" s="1"/>
  <c r="O99" i="17"/>
  <c r="P99" i="17"/>
  <c r="H100" i="17"/>
  <c r="J100" i="17"/>
  <c r="M100" i="17" s="1"/>
  <c r="N100" i="17" s="1"/>
  <c r="O100" i="17"/>
  <c r="P100" i="17" s="1"/>
  <c r="H101" i="17"/>
  <c r="M101" i="17"/>
  <c r="N101" i="17"/>
  <c r="O101" i="17"/>
  <c r="H102" i="17"/>
  <c r="J102" i="17"/>
  <c r="H103" i="17"/>
  <c r="J103" i="17"/>
  <c r="M103" i="17" s="1"/>
  <c r="N103" i="17" s="1"/>
  <c r="G104" i="17"/>
  <c r="H104" i="17"/>
  <c r="J104" i="17"/>
  <c r="K104" i="17"/>
  <c r="O104" i="17"/>
  <c r="P104" i="17" s="1"/>
  <c r="H105" i="17"/>
  <c r="J105" i="17"/>
  <c r="H106" i="17"/>
  <c r="M106" i="17"/>
  <c r="N106" i="17" s="1"/>
  <c r="O106" i="17"/>
  <c r="P106" i="17"/>
  <c r="G107" i="17"/>
  <c r="H107" i="17" s="1"/>
  <c r="M107" i="17"/>
  <c r="O107" i="17"/>
  <c r="P107" i="17" s="1"/>
  <c r="G108" i="17"/>
  <c r="H108" i="17" s="1"/>
  <c r="J108" i="17"/>
  <c r="M108" i="17" s="1"/>
  <c r="N108" i="17" s="1"/>
  <c r="O108" i="17"/>
  <c r="P108" i="17" s="1"/>
  <c r="H109" i="17"/>
  <c r="J109" i="17"/>
  <c r="M109" i="17" s="1"/>
  <c r="N109" i="17" s="1"/>
  <c r="H110" i="17"/>
  <c r="M110" i="17"/>
  <c r="N110" i="17" s="1"/>
  <c r="O110" i="17"/>
  <c r="H111" i="17"/>
  <c r="M111" i="17"/>
  <c r="N111" i="17" s="1"/>
  <c r="O111" i="17"/>
  <c r="H112" i="17"/>
  <c r="M112" i="17"/>
  <c r="N112" i="17" s="1"/>
  <c r="O112" i="17"/>
  <c r="P112" i="17" s="1"/>
  <c r="H113" i="17"/>
  <c r="M113" i="17"/>
  <c r="N113" i="17"/>
  <c r="O113" i="17"/>
  <c r="P113" i="17" s="1"/>
  <c r="H114" i="17"/>
  <c r="M114" i="17"/>
  <c r="N114" i="17" s="1"/>
  <c r="O114" i="17"/>
  <c r="H115" i="17"/>
  <c r="M115" i="17"/>
  <c r="N115" i="17" s="1"/>
  <c r="O115" i="17"/>
  <c r="H116" i="17"/>
  <c r="M116" i="17"/>
  <c r="N116" i="17" s="1"/>
  <c r="O116" i="17"/>
  <c r="H117" i="17"/>
  <c r="M117" i="17"/>
  <c r="N117" i="17" s="1"/>
  <c r="O117" i="17"/>
  <c r="H118" i="17"/>
  <c r="M118" i="17"/>
  <c r="N118" i="17" s="1"/>
  <c r="O118" i="17"/>
  <c r="H119" i="17"/>
  <c r="M119" i="17"/>
  <c r="N119" i="17" s="1"/>
  <c r="O119" i="17"/>
  <c r="M120" i="17"/>
  <c r="N120" i="17"/>
  <c r="O120" i="17"/>
  <c r="M121" i="17"/>
  <c r="N121" i="17" s="1"/>
  <c r="O121" i="17"/>
  <c r="M122" i="17"/>
  <c r="N122" i="17" s="1"/>
  <c r="O122" i="17"/>
  <c r="M123" i="17"/>
  <c r="N123" i="17" s="1"/>
  <c r="O123" i="17"/>
  <c r="M124" i="17"/>
  <c r="N124" i="17"/>
  <c r="O124" i="17"/>
  <c r="M125" i="17"/>
  <c r="N125" i="17" s="1"/>
  <c r="O125" i="17"/>
  <c r="M126" i="17"/>
  <c r="N126" i="17" s="1"/>
  <c r="O126" i="17"/>
  <c r="M127" i="17"/>
  <c r="N127" i="17" s="1"/>
  <c r="O127" i="17"/>
  <c r="M128" i="17"/>
  <c r="N128" i="17"/>
  <c r="O128" i="17"/>
  <c r="M129" i="17"/>
  <c r="N129" i="17" s="1"/>
  <c r="O129" i="17"/>
  <c r="M130" i="17"/>
  <c r="N130" i="17" s="1"/>
  <c r="O130" i="17"/>
  <c r="M131" i="17"/>
  <c r="N131" i="17" s="1"/>
  <c r="O131" i="17"/>
  <c r="M132" i="17"/>
  <c r="N132" i="17"/>
  <c r="O132" i="17"/>
  <c r="M133" i="17"/>
  <c r="N133" i="17" s="1"/>
  <c r="O133" i="17"/>
  <c r="M134" i="17"/>
  <c r="N134" i="17" s="1"/>
  <c r="O134" i="17"/>
  <c r="M135" i="17"/>
  <c r="N135" i="17" s="1"/>
  <c r="O135" i="17"/>
  <c r="M136" i="17"/>
  <c r="N136" i="17"/>
  <c r="O136" i="17"/>
  <c r="M137" i="17"/>
  <c r="N137" i="17" s="1"/>
  <c r="O137" i="17"/>
  <c r="M138" i="17"/>
  <c r="N138" i="17" s="1"/>
  <c r="O138" i="17"/>
  <c r="M139" i="17"/>
  <c r="N139" i="17" s="1"/>
  <c r="O139" i="17"/>
  <c r="M140" i="17"/>
  <c r="N140" i="17"/>
  <c r="O140" i="17"/>
  <c r="M141" i="17"/>
  <c r="N141" i="17" s="1"/>
  <c r="O141" i="17"/>
  <c r="M142" i="17"/>
  <c r="N142" i="17" s="1"/>
  <c r="O142" i="17"/>
  <c r="M143" i="17"/>
  <c r="N143" i="17" s="1"/>
  <c r="O143" i="17"/>
  <c r="M144" i="17"/>
  <c r="N144" i="17"/>
  <c r="O144" i="17"/>
  <c r="M145" i="17"/>
  <c r="N145" i="17" s="1"/>
  <c r="O145" i="17"/>
  <c r="M146" i="17"/>
  <c r="N146" i="17" s="1"/>
  <c r="O146" i="17"/>
  <c r="M147" i="17"/>
  <c r="N147" i="17" s="1"/>
  <c r="O147" i="17"/>
  <c r="M148" i="17"/>
  <c r="N148" i="17"/>
  <c r="O148" i="17"/>
  <c r="M149" i="17"/>
  <c r="N149" i="17" s="1"/>
  <c r="O149" i="17"/>
  <c r="M150" i="17"/>
  <c r="N150" i="17" s="1"/>
  <c r="O150" i="17"/>
  <c r="M151" i="17"/>
  <c r="N151" i="17" s="1"/>
  <c r="O151" i="17"/>
  <c r="M152" i="17"/>
  <c r="N152" i="17"/>
  <c r="O152" i="17"/>
  <c r="M153" i="17"/>
  <c r="N153" i="17" s="1"/>
  <c r="O153" i="17"/>
  <c r="M154" i="17"/>
  <c r="N154" i="17" s="1"/>
  <c r="O154" i="17"/>
  <c r="M155" i="17"/>
  <c r="N155" i="17" s="1"/>
  <c r="O155" i="17"/>
  <c r="M156" i="17"/>
  <c r="N156" i="17"/>
  <c r="O156" i="17"/>
  <c r="M157" i="17"/>
  <c r="N157" i="17" s="1"/>
  <c r="O157" i="17"/>
  <c r="M158" i="17"/>
  <c r="N158" i="17" s="1"/>
  <c r="O158" i="17"/>
  <c r="M159" i="17"/>
  <c r="N159" i="17" s="1"/>
  <c r="O159" i="17"/>
  <c r="M160" i="17"/>
  <c r="N160" i="17"/>
  <c r="O160" i="17"/>
  <c r="M161" i="17"/>
  <c r="N161" i="17" s="1"/>
  <c r="O161" i="17"/>
  <c r="M162" i="17"/>
  <c r="N162" i="17" s="1"/>
  <c r="O162" i="17"/>
  <c r="M163" i="17"/>
  <c r="N163" i="17" s="1"/>
  <c r="O163" i="17"/>
  <c r="M164" i="17"/>
  <c r="N164" i="17"/>
  <c r="O164" i="17"/>
  <c r="M165" i="17"/>
  <c r="N165" i="17" s="1"/>
  <c r="O165" i="17"/>
  <c r="M166" i="17"/>
  <c r="N166" i="17" s="1"/>
  <c r="O166" i="17"/>
  <c r="M167" i="17"/>
  <c r="N167" i="17" s="1"/>
  <c r="O167" i="17"/>
  <c r="M168" i="17"/>
  <c r="N168" i="17"/>
  <c r="O168" i="17"/>
  <c r="M169" i="17"/>
  <c r="N169" i="17" s="1"/>
  <c r="O169" i="17"/>
  <c r="M170" i="17"/>
  <c r="N170" i="17" s="1"/>
  <c r="O170" i="17"/>
  <c r="M171" i="17"/>
  <c r="N171" i="17" s="1"/>
  <c r="O171" i="17"/>
  <c r="M172" i="17"/>
  <c r="N172" i="17"/>
  <c r="O172" i="17"/>
  <c r="M173" i="17"/>
  <c r="N173" i="17" s="1"/>
  <c r="O173" i="17"/>
  <c r="M174" i="17"/>
  <c r="N174" i="17" s="1"/>
  <c r="O174" i="17"/>
  <c r="M175" i="17"/>
  <c r="N175" i="17" s="1"/>
  <c r="O175" i="17"/>
  <c r="M176" i="17"/>
  <c r="N176" i="17"/>
  <c r="O176" i="17"/>
  <c r="M177" i="17"/>
  <c r="N177" i="17" s="1"/>
  <c r="O177" i="17"/>
  <c r="M178" i="17"/>
  <c r="N178" i="17" s="1"/>
  <c r="O178" i="17"/>
  <c r="M179" i="17"/>
  <c r="N179" i="17" s="1"/>
  <c r="O179" i="17"/>
  <c r="M180" i="17"/>
  <c r="N180" i="17"/>
  <c r="O180" i="17"/>
  <c r="M181" i="17"/>
  <c r="N181" i="17" s="1"/>
  <c r="O181" i="17"/>
  <c r="M182" i="17"/>
  <c r="N182" i="17" s="1"/>
  <c r="O182" i="17"/>
  <c r="M183" i="17"/>
  <c r="N183" i="17" s="1"/>
  <c r="O183" i="17"/>
  <c r="H184" i="17"/>
  <c r="J184" i="17"/>
  <c r="M184" i="17" s="1"/>
  <c r="N184" i="17" s="1"/>
  <c r="K184" i="17"/>
  <c r="H185" i="17"/>
  <c r="J185" i="17"/>
  <c r="J190" i="17"/>
  <c r="M190" i="17" s="1"/>
  <c r="N190" i="17" s="1"/>
  <c r="K185" i="17"/>
  <c r="H186" i="17"/>
  <c r="M186" i="17"/>
  <c r="N186" i="17" s="1"/>
  <c r="O186" i="17"/>
  <c r="P186" i="17"/>
  <c r="H187" i="17"/>
  <c r="J187" i="17"/>
  <c r="O187" i="17" s="1"/>
  <c r="P187" i="17" s="1"/>
  <c r="M187" i="17"/>
  <c r="N187" i="17" s="1"/>
  <c r="H188" i="17"/>
  <c r="J188" i="17"/>
  <c r="H189" i="17"/>
  <c r="H190" i="17"/>
  <c r="C5" i="12"/>
  <c r="C6" i="12"/>
  <c r="C8" i="12"/>
  <c r="F11" i="12"/>
  <c r="I11" i="12"/>
  <c r="K11" i="12"/>
  <c r="N11" i="12"/>
  <c r="N9" i="10"/>
  <c r="Q9" i="10" s="1"/>
  <c r="N10" i="10"/>
  <c r="Q10" i="10" s="1"/>
  <c r="N13" i="10"/>
  <c r="Q13" i="10" s="1"/>
  <c r="E33" i="10"/>
  <c r="M27" i="17"/>
  <c r="N27" i="17" s="1"/>
  <c r="O27" i="17"/>
  <c r="M185" i="17"/>
  <c r="N185" i="17" s="1"/>
  <c r="O185" i="17"/>
  <c r="M102" i="17"/>
  <c r="N102" i="17" s="1"/>
  <c r="O102" i="17"/>
  <c r="M48" i="17"/>
  <c r="N48" i="17"/>
  <c r="K47" i="17"/>
  <c r="O48" i="17"/>
  <c r="M45" i="17"/>
  <c r="N45" i="17"/>
  <c r="O45" i="17"/>
  <c r="M21" i="17"/>
  <c r="N21" i="17"/>
  <c r="O21" i="17"/>
  <c r="P21" i="17" s="1"/>
  <c r="L188" i="19"/>
  <c r="M188" i="19"/>
  <c r="F107" i="19"/>
  <c r="L107" i="19"/>
  <c r="N99" i="19"/>
  <c r="O99" i="19"/>
  <c r="N22" i="19"/>
  <c r="O22" i="19"/>
  <c r="O109" i="17"/>
  <c r="M23" i="17"/>
  <c r="N23" i="17" s="1"/>
  <c r="O23" i="17"/>
  <c r="L50" i="19"/>
  <c r="M50" i="19"/>
  <c r="O190" i="17"/>
  <c r="P190" i="17" s="1"/>
  <c r="M105" i="17"/>
  <c r="N105" i="17" s="1"/>
  <c r="O105" i="17"/>
  <c r="M16" i="17"/>
  <c r="N16" i="17" s="1"/>
  <c r="O16" i="17"/>
  <c r="N27" i="19"/>
  <c r="O27" i="19"/>
  <c r="N190" i="19"/>
  <c r="M184" i="19"/>
  <c r="K184" i="19"/>
  <c r="N105" i="19"/>
  <c r="O105" i="19"/>
  <c r="N86" i="19"/>
  <c r="O86" i="19"/>
  <c r="L46" i="19"/>
  <c r="BU45" i="19" s="1"/>
  <c r="B7" i="22" s="1"/>
  <c r="M46" i="19"/>
  <c r="H47" i="19"/>
  <c r="N25" i="19"/>
  <c r="O25" i="19"/>
  <c r="L24" i="19"/>
  <c r="BU22" i="19" s="1"/>
  <c r="B4" i="22" s="1"/>
  <c r="M24" i="19"/>
  <c r="M26" i="19"/>
  <c r="N26" i="19" s="1"/>
  <c r="N15" i="19"/>
  <c r="O15" i="19"/>
  <c r="O187" i="19"/>
  <c r="N113" i="19"/>
  <c r="O113" i="19"/>
  <c r="N98" i="19"/>
  <c r="O98" i="19"/>
  <c r="N85" i="19"/>
  <c r="O85" i="19"/>
  <c r="N82" i="19"/>
  <c r="O82" i="19"/>
  <c r="N67" i="19"/>
  <c r="O67" i="19"/>
  <c r="L66" i="19"/>
  <c r="M66" i="19"/>
  <c r="N66" i="19" s="1"/>
  <c r="N49" i="19"/>
  <c r="O49" i="19"/>
  <c r="N14" i="19"/>
  <c r="O14" i="19"/>
  <c r="N109" i="19"/>
  <c r="O109" i="19"/>
  <c r="L108" i="19"/>
  <c r="M108" i="19"/>
  <c r="N102" i="19"/>
  <c r="O102" i="19"/>
  <c r="N60" i="19"/>
  <c r="O60" i="19"/>
  <c r="L29" i="19"/>
  <c r="M29" i="19"/>
  <c r="N23" i="19"/>
  <c r="O23" i="19"/>
  <c r="L16" i="19"/>
  <c r="M16" i="19"/>
  <c r="H17" i="19"/>
  <c r="K35" i="19"/>
  <c r="O26" i="19"/>
  <c r="N188" i="19"/>
  <c r="O188" i="19"/>
  <c r="P48" i="17"/>
  <c r="N108" i="19"/>
  <c r="O108" i="19"/>
  <c r="P105" i="17"/>
  <c r="O47" i="17"/>
  <c r="M47" i="17"/>
  <c r="N47" i="17" s="1"/>
  <c r="P185" i="17"/>
  <c r="O46" i="19"/>
  <c r="N46" i="19"/>
  <c r="P23" i="17"/>
  <c r="P27" i="17"/>
  <c r="L17" i="19"/>
  <c r="M17" i="19"/>
  <c r="N50" i="19"/>
  <c r="O50" i="19"/>
  <c r="P109" i="17"/>
  <c r="P45" i="17"/>
  <c r="N16" i="19"/>
  <c r="O16" i="19"/>
  <c r="N29" i="19"/>
  <c r="O29" i="19"/>
  <c r="O184" i="19"/>
  <c r="N184" i="19"/>
  <c r="P16" i="17"/>
  <c r="P102" i="17"/>
  <c r="P47" i="17"/>
  <c r="N17" i="19"/>
  <c r="O17" i="19"/>
  <c r="N25" i="10"/>
  <c r="O25" i="10" s="1"/>
  <c r="N53" i="10"/>
  <c r="O53" i="10" s="1"/>
  <c r="N22" i="10"/>
  <c r="Q22" i="10" s="1"/>
  <c r="R22" i="10" s="1"/>
  <c r="N71" i="10"/>
  <c r="O71" i="10" s="1"/>
  <c r="N42" i="10"/>
  <c r="O42" i="10" s="1"/>
  <c r="N52" i="10"/>
  <c r="O52" i="10" s="1"/>
  <c r="N65" i="10"/>
  <c r="Q65" i="10" s="1"/>
  <c r="R65" i="10" s="1"/>
  <c r="N28" i="10"/>
  <c r="Q28" i="10" s="1"/>
  <c r="R28" i="10" s="1"/>
  <c r="N62" i="10"/>
  <c r="O62" i="10" s="1"/>
  <c r="N32" i="10"/>
  <c r="Q32" i="10" s="1"/>
  <c r="R32" i="10" s="1"/>
  <c r="N47" i="10"/>
  <c r="O47" i="10" s="1"/>
  <c r="N34" i="10"/>
  <c r="O34" i="10" s="1"/>
  <c r="N38" i="10"/>
  <c r="O38" i="10" s="1"/>
  <c r="O22" i="10"/>
  <c r="N49" i="10"/>
  <c r="Q49" i="10" s="1"/>
  <c r="R49" i="10" s="1"/>
  <c r="N19" i="10"/>
  <c r="Q19" i="10" s="1"/>
  <c r="R19" i="10" s="1"/>
  <c r="N68" i="10"/>
  <c r="Q68" i="10" s="1"/>
  <c r="R68" i="10" s="1"/>
  <c r="N29" i="10"/>
  <c r="Q29" i="10" s="1"/>
  <c r="R29" i="10" s="1"/>
  <c r="N55" i="10"/>
  <c r="O55" i="10" s="1"/>
  <c r="N57" i="10"/>
  <c r="O57" i="10" s="1"/>
  <c r="N73" i="10"/>
  <c r="O73" i="10" s="1"/>
  <c r="N44" i="10"/>
  <c r="Q44" i="10" s="1"/>
  <c r="R44" i="10" s="1"/>
  <c r="N23" i="10"/>
  <c r="Q23" i="10" s="1"/>
  <c r="R23" i="10" s="1"/>
  <c r="N66" i="10"/>
  <c r="Q66" i="10" s="1"/>
  <c r="R66" i="10" s="1"/>
  <c r="N17" i="10"/>
  <c r="Q17" i="10" s="1"/>
  <c r="R17" i="10" s="1"/>
  <c r="N36" i="10"/>
  <c r="Q36" i="10" s="1"/>
  <c r="R36" i="10" s="1"/>
  <c r="O31" i="10"/>
  <c r="Q31" i="10"/>
  <c r="R31" i="10" s="1"/>
  <c r="N67" i="10"/>
  <c r="O67" i="10" s="1"/>
  <c r="N21" i="10"/>
  <c r="Q21" i="10" s="1"/>
  <c r="R21" i="10" s="1"/>
  <c r="Q47" i="10"/>
  <c r="R47" i="10" s="1"/>
  <c r="Q62" i="10"/>
  <c r="R62" i="10" s="1"/>
  <c r="O29" i="10"/>
  <c r="O36" i="10"/>
  <c r="O17" i="10"/>
  <c r="Q55" i="17" l="1"/>
  <c r="Q25" i="10"/>
  <c r="R25" i="10" s="1"/>
  <c r="Q52" i="10"/>
  <c r="R52" i="10" s="1"/>
  <c r="O66" i="10"/>
  <c r="Q42" i="10"/>
  <c r="R42" i="10" s="1"/>
  <c r="Q57" i="10"/>
  <c r="R57" i="10" s="1"/>
  <c r="N41" i="10"/>
  <c r="O41" i="10" s="1"/>
  <c r="N64" i="10"/>
  <c r="N76" i="10"/>
  <c r="N72" i="10"/>
  <c r="N26" i="10"/>
  <c r="L26" i="10"/>
  <c r="O23" i="10"/>
  <c r="N33" i="10"/>
  <c r="O49" i="10"/>
  <c r="N74" i="10"/>
  <c r="O74" i="10" s="1"/>
  <c r="L74" i="10"/>
  <c r="N70" i="10"/>
  <c r="L70" i="10"/>
  <c r="N15" i="10"/>
  <c r="L15" i="10"/>
  <c r="N18" i="10"/>
  <c r="L18" i="10"/>
  <c r="N58" i="10"/>
  <c r="L58" i="10"/>
  <c r="N30" i="10"/>
  <c r="L30" i="10"/>
  <c r="N59" i="10"/>
  <c r="Q59" i="10" s="1"/>
  <c r="R59" i="10" s="1"/>
  <c r="N63" i="10"/>
  <c r="N37" i="10"/>
  <c r="N75" i="10"/>
  <c r="N60" i="10"/>
  <c r="L60" i="10"/>
  <c r="N54" i="10"/>
  <c r="Q54" i="10" s="1"/>
  <c r="R54" i="10" s="1"/>
  <c r="L54" i="10"/>
  <c r="N45" i="10"/>
  <c r="O45" i="10" s="1"/>
  <c r="N27" i="10"/>
  <c r="Q27" i="10" s="1"/>
  <c r="R27" i="10" s="1"/>
  <c r="L27" i="10"/>
  <c r="Q19" i="17"/>
  <c r="O21" i="10"/>
  <c r="Q55" i="10"/>
  <c r="R55" i="10" s="1"/>
  <c r="Q41" i="10"/>
  <c r="R41" i="10" s="1"/>
  <c r="N51" i="10"/>
  <c r="O32" i="10"/>
  <c r="N35" i="10"/>
  <c r="N20" i="10"/>
  <c r="O44" i="10"/>
  <c r="Q74" i="10"/>
  <c r="R74" i="10" s="1"/>
  <c r="N40" i="10"/>
  <c r="N24" i="10"/>
  <c r="N69" i="10"/>
  <c r="N43" i="10"/>
  <c r="Q53" i="10"/>
  <c r="R53" i="10" s="1"/>
  <c r="Q39" i="10"/>
  <c r="R39" i="10" s="1"/>
  <c r="O28" i="10"/>
  <c r="O19" i="10"/>
  <c r="N61" i="10"/>
  <c r="N56" i="10"/>
  <c r="N16" i="10"/>
  <c r="O16" i="10" s="1"/>
  <c r="Q47" i="17"/>
  <c r="Q134" i="17"/>
  <c r="Q89" i="17"/>
  <c r="Q74" i="17"/>
  <c r="Q14" i="17"/>
  <c r="Q160" i="17"/>
  <c r="Q94" i="17"/>
  <c r="Q48" i="17"/>
  <c r="Q142" i="17"/>
  <c r="Q8" i="17"/>
  <c r="Q182" i="17"/>
  <c r="Q99" i="17"/>
  <c r="Q27" i="17"/>
  <c r="Q88" i="17"/>
  <c r="Q81" i="17"/>
  <c r="Q144" i="17"/>
  <c r="Q149" i="17"/>
  <c r="Q58" i="17"/>
  <c r="Q69" i="17"/>
  <c r="Q7" i="17"/>
  <c r="R7" i="17" s="1"/>
  <c r="T7" i="17" s="1"/>
  <c r="Q53" i="17"/>
  <c r="Q108" i="17"/>
  <c r="Q120" i="17"/>
  <c r="Q122" i="17"/>
  <c r="Q59" i="17"/>
  <c r="Q173" i="17"/>
  <c r="Q169" i="17"/>
  <c r="Q21" i="17"/>
  <c r="Q106" i="17"/>
  <c r="Q24" i="17"/>
  <c r="Q57" i="17"/>
  <c r="Q166" i="17"/>
  <c r="Q97" i="17"/>
  <c r="Q129" i="17"/>
  <c r="Q152" i="17"/>
  <c r="Q16" i="17"/>
  <c r="Q98" i="17"/>
  <c r="Q63" i="17"/>
  <c r="Q67" i="10"/>
  <c r="R67" i="10" s="1"/>
  <c r="Q73" i="10"/>
  <c r="R73" i="10" s="1"/>
  <c r="Q34" i="10"/>
  <c r="R34" i="10" s="1"/>
  <c r="Q38" i="10"/>
  <c r="R38" i="10" s="1"/>
  <c r="O68" i="10"/>
  <c r="Q71" i="10"/>
  <c r="R71" i="10" s="1"/>
  <c r="O65" i="10"/>
  <c r="O66" i="19"/>
  <c r="N24" i="19"/>
  <c r="O24" i="19"/>
  <c r="M47" i="19"/>
  <c r="L47" i="19"/>
  <c r="M15" i="17"/>
  <c r="N15" i="17" s="1"/>
  <c r="O15" i="17"/>
  <c r="P15" i="17" s="1"/>
  <c r="L192" i="19"/>
  <c r="BU188" i="19" s="1"/>
  <c r="H193" i="19"/>
  <c r="M192" i="19"/>
  <c r="O189" i="19"/>
  <c r="N189" i="19"/>
  <c r="N100" i="19"/>
  <c r="O100" i="19"/>
  <c r="O184" i="17"/>
  <c r="P184" i="17" s="1"/>
  <c r="M29" i="17"/>
  <c r="N29" i="17" s="1"/>
  <c r="O29" i="17"/>
  <c r="P29" i="17" s="1"/>
  <c r="M188" i="17"/>
  <c r="N188" i="17" s="1"/>
  <c r="J189" i="17"/>
  <c r="O188" i="17"/>
  <c r="P188" i="17" s="1"/>
  <c r="N107" i="17"/>
  <c r="O49" i="17"/>
  <c r="P49" i="17" s="1"/>
  <c r="M49" i="17"/>
  <c r="N49" i="17" s="1"/>
  <c r="J50" i="17"/>
  <c r="L65" i="19"/>
  <c r="BU64" i="19" s="1"/>
  <c r="B10" i="22" s="1"/>
  <c r="M65" i="19"/>
  <c r="N61" i="19"/>
  <c r="O61" i="19"/>
  <c r="N51" i="19"/>
  <c r="O51" i="19"/>
  <c r="M104" i="17"/>
  <c r="N104" i="17" s="1"/>
  <c r="M86" i="17"/>
  <c r="N86" i="17" s="1"/>
  <c r="O86" i="17"/>
  <c r="P86" i="17" s="1"/>
  <c r="L104" i="19"/>
  <c r="BU104" i="19" s="1"/>
  <c r="B5" i="22" s="1"/>
  <c r="M104" i="19"/>
  <c r="O103" i="17"/>
  <c r="P103" i="17" s="1"/>
  <c r="M60" i="17"/>
  <c r="N60" i="17" s="1"/>
  <c r="O60" i="17"/>
  <c r="P60" i="17" s="1"/>
  <c r="O191" i="19"/>
  <c r="N191" i="19"/>
  <c r="O84" i="19"/>
  <c r="N84" i="19"/>
  <c r="O64" i="19"/>
  <c r="N64" i="19"/>
  <c r="O45" i="19"/>
  <c r="N45" i="19"/>
  <c r="M34" i="17"/>
  <c r="N34" i="17" s="1"/>
  <c r="O34" i="17"/>
  <c r="Q34" i="17" s="1"/>
  <c r="M26" i="17"/>
  <c r="N26" i="17" s="1"/>
  <c r="O26" i="17"/>
  <c r="O103" i="19"/>
  <c r="N103" i="19"/>
  <c r="L21" i="19"/>
  <c r="BU14" i="19" s="1"/>
  <c r="B3" i="22" s="1"/>
  <c r="M21" i="19"/>
  <c r="O19" i="19"/>
  <c r="N19" i="19"/>
  <c r="Q135" i="17"/>
  <c r="L28" i="19"/>
  <c r="M28" i="19"/>
  <c r="K13" i="19"/>
  <c r="L13" i="19" s="1"/>
  <c r="M13" i="19"/>
  <c r="O13" i="19" s="1"/>
  <c r="M186" i="19"/>
  <c r="M20" i="19"/>
  <c r="L20" i="19"/>
  <c r="H194" i="19"/>
  <c r="M34" i="19"/>
  <c r="O34" i="19" s="1"/>
  <c r="Q37" i="17"/>
  <c r="Q80" i="17"/>
  <c r="Q112" i="17"/>
  <c r="Q127" i="17"/>
  <c r="Q178" i="17"/>
  <c r="Q153" i="17"/>
  <c r="Q168" i="17"/>
  <c r="Q146" i="17"/>
  <c r="Q73" i="17"/>
  <c r="Q145" i="17"/>
  <c r="S7" i="17"/>
  <c r="Q121" i="17"/>
  <c r="Q190" i="17"/>
  <c r="Q62" i="17"/>
  <c r="Q174" i="17"/>
  <c r="Q13" i="17"/>
  <c r="Q159" i="17"/>
  <c r="Q117" i="17"/>
  <c r="Q54" i="17"/>
  <c r="Q171" i="17"/>
  <c r="Q61" i="17"/>
  <c r="Q157" i="17"/>
  <c r="Q52" i="17"/>
  <c r="Q86" i="17"/>
  <c r="Q79" i="17"/>
  <c r="Q85" i="17"/>
  <c r="Q100" i="17"/>
  <c r="Q147" i="17"/>
  <c r="Q123" i="17"/>
  <c r="Q20" i="17"/>
  <c r="Q75" i="17"/>
  <c r="Q125" i="17"/>
  <c r="Q83" i="17"/>
  <c r="Q15" i="17"/>
  <c r="Q36" i="17"/>
  <c r="Q82" i="17"/>
  <c r="Q124" i="17"/>
  <c r="Q186" i="17"/>
  <c r="Q18" i="17"/>
  <c r="Q17" i="17"/>
  <c r="Q131" i="17"/>
  <c r="Q49" i="17"/>
  <c r="Q95" i="17"/>
  <c r="Q143" i="17"/>
  <c r="Q46" i="17"/>
  <c r="Q183" i="17"/>
  <c r="Q102" i="17"/>
  <c r="Q23" i="17"/>
  <c r="Q126" i="17"/>
  <c r="Q92" i="17"/>
  <c r="Q66" i="17"/>
  <c r="Q72" i="17"/>
  <c r="Q110" i="17"/>
  <c r="Q136" i="17"/>
  <c r="Q132" i="17"/>
  <c r="Q179" i="17"/>
  <c r="Q28" i="17"/>
  <c r="Q177" i="17"/>
  <c r="Q175" i="17"/>
  <c r="Q101" i="17"/>
  <c r="Q114" i="17"/>
  <c r="Q151" i="17"/>
  <c r="Q71" i="17"/>
  <c r="Q65" i="17"/>
  <c r="Q137" i="17"/>
  <c r="Q187" i="17"/>
  <c r="Q84" i="17"/>
  <c r="Q163" i="17"/>
  <c r="Q154" i="17"/>
  <c r="Q64" i="17"/>
  <c r="Q155" i="17"/>
  <c r="Q56" i="17"/>
  <c r="Q76" i="17"/>
  <c r="Q130" i="17"/>
  <c r="Q115" i="17"/>
  <c r="Q138" i="17"/>
  <c r="Q109" i="17"/>
  <c r="Q133" i="17"/>
  <c r="Q91" i="17"/>
  <c r="Q161" i="17"/>
  <c r="Q45" i="17"/>
  <c r="Q70" i="17"/>
  <c r="Q116" i="17"/>
  <c r="Q67" i="17"/>
  <c r="Q167" i="17"/>
  <c r="Q164" i="17"/>
  <c r="Q140" i="17"/>
  <c r="Q22" i="17"/>
  <c r="Q185" i="17"/>
  <c r="Q139" i="17"/>
  <c r="Q60" i="17"/>
  <c r="Q105" i="17"/>
  <c r="Q172" i="17"/>
  <c r="Q141" i="17"/>
  <c r="Q165" i="17"/>
  <c r="Q107" i="17"/>
  <c r="Q156" i="17"/>
  <c r="Q104" i="17"/>
  <c r="Q68" i="17"/>
  <c r="Q113" i="17"/>
  <c r="Q128" i="17"/>
  <c r="Q181" i="17"/>
  <c r="Q176" i="17"/>
  <c r="Q119" i="17"/>
  <c r="Q90" i="17"/>
  <c r="Q93" i="17"/>
  <c r="Q96" i="17"/>
  <c r="Q150" i="17"/>
  <c r="Q111" i="17"/>
  <c r="Q35" i="17"/>
  <c r="Q78" i="17"/>
  <c r="Q51" i="17"/>
  <c r="Q170" i="17"/>
  <c r="Q77" i="17"/>
  <c r="Q25" i="17"/>
  <c r="Q184" i="17"/>
  <c r="Q148" i="17"/>
  <c r="Q87" i="17"/>
  <c r="Q162" i="17"/>
  <c r="Q158" i="17"/>
  <c r="Q118" i="17"/>
  <c r="O27" i="10" l="1"/>
  <c r="O72" i="10"/>
  <c r="Q72" i="10"/>
  <c r="R72" i="10" s="1"/>
  <c r="Q76" i="10"/>
  <c r="R76" i="10" s="1"/>
  <c r="O76" i="10"/>
  <c r="Q64" i="10"/>
  <c r="R64" i="10" s="1"/>
  <c r="O64" i="10"/>
  <c r="O30" i="10"/>
  <c r="Q30" i="10"/>
  <c r="R30" i="10" s="1"/>
  <c r="Q18" i="10"/>
  <c r="R18" i="10" s="1"/>
  <c r="O18" i="10"/>
  <c r="Q70" i="10"/>
  <c r="R70" i="10" s="1"/>
  <c r="O70" i="10"/>
  <c r="O33" i="10"/>
  <c r="Q33" i="10"/>
  <c r="R33" i="10" s="1"/>
  <c r="Q45" i="10"/>
  <c r="R45" i="10" s="1"/>
  <c r="O59" i="10"/>
  <c r="O54" i="10"/>
  <c r="O63" i="10"/>
  <c r="Q63" i="10"/>
  <c r="R63" i="10" s="1"/>
  <c r="O60" i="10"/>
  <c r="Q60" i="10"/>
  <c r="R60" i="10" s="1"/>
  <c r="O58" i="10"/>
  <c r="Q58" i="10"/>
  <c r="R58" i="10" s="1"/>
  <c r="Q15" i="10"/>
  <c r="R15" i="10" s="1"/>
  <c r="O15" i="10"/>
  <c r="Q37" i="10"/>
  <c r="R37" i="10" s="1"/>
  <c r="O37" i="10"/>
  <c r="O75" i="10"/>
  <c r="Q75" i="10"/>
  <c r="R75" i="10" s="1"/>
  <c r="Q26" i="10"/>
  <c r="R26" i="10" s="1"/>
  <c r="O26" i="10"/>
  <c r="O56" i="10"/>
  <c r="Q56" i="10"/>
  <c r="R56" i="10" s="1"/>
  <c r="Q69" i="10"/>
  <c r="R69" i="10" s="1"/>
  <c r="O69" i="10"/>
  <c r="Q35" i="10"/>
  <c r="R35" i="10" s="1"/>
  <c r="O35" i="10"/>
  <c r="O24" i="10"/>
  <c r="Q24" i="10"/>
  <c r="R24" i="10" s="1"/>
  <c r="O43" i="10"/>
  <c r="Q43" i="10"/>
  <c r="R43" i="10" s="1"/>
  <c r="Q16" i="10"/>
  <c r="R16" i="10" s="1"/>
  <c r="Q61" i="10"/>
  <c r="R61" i="10" s="1"/>
  <c r="O61" i="10"/>
  <c r="Q40" i="10"/>
  <c r="R40" i="10" s="1"/>
  <c r="O40" i="10"/>
  <c r="Q20" i="10"/>
  <c r="R20" i="10" s="1"/>
  <c r="O20" i="10"/>
  <c r="Q51" i="10"/>
  <c r="R51" i="10" s="1"/>
  <c r="O51" i="10"/>
  <c r="O104" i="19"/>
  <c r="N104" i="19"/>
  <c r="M189" i="17"/>
  <c r="N189" i="17" s="1"/>
  <c r="O189" i="17"/>
  <c r="N192" i="19"/>
  <c r="O192" i="19"/>
  <c r="N47" i="19"/>
  <c r="O47" i="19"/>
  <c r="N186" i="19"/>
  <c r="O186" i="19"/>
  <c r="O50" i="17"/>
  <c r="M50" i="17"/>
  <c r="N50" i="17" s="1"/>
  <c r="Q29" i="17"/>
  <c r="Q188" i="17"/>
  <c r="O21" i="19"/>
  <c r="N21" i="19"/>
  <c r="P26" i="17"/>
  <c r="Q26" i="17"/>
  <c r="O65" i="19"/>
  <c r="N65" i="19"/>
  <c r="L193" i="19"/>
  <c r="M193" i="19"/>
  <c r="Q103" i="17"/>
  <c r="L194" i="19"/>
  <c r="M194" i="19"/>
  <c r="O20" i="19"/>
  <c r="N20" i="19"/>
  <c r="N28" i="19"/>
  <c r="O28" i="19"/>
  <c r="BU196" i="19"/>
  <c r="B6" i="22"/>
  <c r="B11" i="22" s="1"/>
  <c r="P189" i="17" l="1"/>
  <c r="Q189" i="17"/>
  <c r="N193" i="19"/>
  <c r="O193" i="19"/>
  <c r="N194" i="19"/>
  <c r="O194" i="19"/>
  <c r="P50" i="17"/>
  <c r="Q50" i="17"/>
</calcChain>
</file>

<file path=xl/sharedStrings.xml><?xml version="1.0" encoding="utf-8"?>
<sst xmlns="http://schemas.openxmlformats.org/spreadsheetml/2006/main" count="1458" uniqueCount="538">
  <si>
    <t>Stock</t>
  </si>
  <si>
    <t>coef</t>
  </si>
  <si>
    <t>Besoin</t>
  </si>
  <si>
    <t>Bac fucible</t>
  </si>
  <si>
    <t xml:space="preserve">cache retro electrique gauche </t>
  </si>
  <si>
    <t xml:space="preserve">cache retro electrique droite </t>
  </si>
  <si>
    <t xml:space="preserve">cache retro manuel gauche </t>
  </si>
  <si>
    <t xml:space="preserve">cache retro manuel droite </t>
  </si>
  <si>
    <t>accoudoir E1 LVE G</t>
  </si>
  <si>
    <t>accoudoir E1 LVE D</t>
  </si>
  <si>
    <t>Habillage lat cond D</t>
  </si>
  <si>
    <t>Habillage lat pass D</t>
  </si>
  <si>
    <t>habillage lat cond G</t>
  </si>
  <si>
    <t>façade rangement passager(non airbag)</t>
  </si>
  <si>
    <t>habillage frein à main</t>
  </si>
  <si>
    <t xml:space="preserve">renfort Genou 1 conducteur </t>
  </si>
  <si>
    <t xml:space="preserve">renfort genou 3 et 4 passager </t>
  </si>
  <si>
    <t>dessous de visiere J92/FK67</t>
  </si>
  <si>
    <t xml:space="preserve">façade VP PLC </t>
  </si>
  <si>
    <t xml:space="preserve">Cache ELA </t>
  </si>
  <si>
    <t xml:space="preserve">renfort inferieur passager </t>
  </si>
  <si>
    <t xml:space="preserve">conduit de desembuage </t>
  </si>
  <si>
    <t xml:space="preserve">doublure portillon huche </t>
  </si>
  <si>
    <t>façade portillon huche</t>
  </si>
  <si>
    <t>façade couvercle coiffe J92</t>
  </si>
  <si>
    <t>doublure couvercle coiffe J92</t>
  </si>
  <si>
    <t xml:space="preserve">garniture PBA </t>
  </si>
  <si>
    <t xml:space="preserve">Garniture PLC </t>
  </si>
  <si>
    <t>accoudoire LVM D</t>
  </si>
  <si>
    <t>accoudoir E2 G</t>
  </si>
  <si>
    <t>accoudoir E2 D</t>
  </si>
  <si>
    <t>façade VP AR G</t>
  </si>
  <si>
    <t>façade VP AR D</t>
  </si>
  <si>
    <t>garniture habillage passage de roue G</t>
  </si>
  <si>
    <t>garniture habillage passage de roue D</t>
  </si>
  <si>
    <t>porteur AV G E 1</t>
  </si>
  <si>
    <t>porteur AV G E 0</t>
  </si>
  <si>
    <t>façade VP AV G</t>
  </si>
  <si>
    <t>porteur AV D E1</t>
  </si>
  <si>
    <t>porteur AV D E0</t>
  </si>
  <si>
    <t>façade VP AV D</t>
  </si>
  <si>
    <t>porteur AR G E1</t>
  </si>
  <si>
    <t>porteur AR G E0</t>
  </si>
  <si>
    <t>porteur AR D E1</t>
  </si>
  <si>
    <t>porteur AR D E0</t>
  </si>
  <si>
    <t>00115625-01-rcar</t>
  </si>
  <si>
    <t>00117138-01-rcar</t>
  </si>
  <si>
    <t>00117137-01-rcar</t>
  </si>
  <si>
    <t>00117140-01-rcar</t>
  </si>
  <si>
    <t>00117139-01-rcar</t>
  </si>
  <si>
    <t>00115651-02-rcar</t>
  </si>
  <si>
    <t>00116418-02-rtro</t>
  </si>
  <si>
    <t>00117312-02-rtro</t>
  </si>
  <si>
    <t>00115642-01-rtro</t>
  </si>
  <si>
    <t>00115644-01-rtro</t>
  </si>
  <si>
    <t>00115645-01-rtro</t>
  </si>
  <si>
    <t>00115647-01-rcar</t>
  </si>
  <si>
    <t>00128260-02-rcar</t>
  </si>
  <si>
    <t>00127662-01-0000</t>
  </si>
  <si>
    <t>00127663-01-0000</t>
  </si>
  <si>
    <t>00129905-01-rcar</t>
  </si>
  <si>
    <t>00117258-02-rcar</t>
  </si>
  <si>
    <t>00130772-02-rcar</t>
  </si>
  <si>
    <t>00115654-02-rcar</t>
  </si>
  <si>
    <t>00115653-01-rcar</t>
  </si>
  <si>
    <t>00115665-02-rcar</t>
  </si>
  <si>
    <t>00115748-02-0000</t>
  </si>
  <si>
    <t>00116424-02-0000</t>
  </si>
  <si>
    <t>00117316-02-0000</t>
  </si>
  <si>
    <t>00115670-02-0000</t>
  </si>
  <si>
    <t>00115615-02-rcar</t>
  </si>
  <si>
    <t>00115614-02-rcar</t>
  </si>
  <si>
    <t>00115556-02-rcar</t>
  </si>
  <si>
    <t>00115558-02-rcar</t>
  </si>
  <si>
    <t>00115622-02-rcar</t>
  </si>
  <si>
    <t>00115581-02-rcar</t>
  </si>
  <si>
    <t>00115583-02-rcar</t>
  </si>
  <si>
    <t>00152690-01-rcar</t>
  </si>
  <si>
    <t>00128398-02-s864</t>
  </si>
  <si>
    <t>00117255-03-rcar</t>
  </si>
  <si>
    <t>00116417-02-rtro</t>
  </si>
  <si>
    <t>00117311-02-rtro</t>
  </si>
  <si>
    <t>00116419-02-rtro</t>
  </si>
  <si>
    <t>00117314-02-rtro</t>
  </si>
  <si>
    <t>00116436-02-rcar</t>
  </si>
  <si>
    <t>00117321-02-rcar</t>
  </si>
  <si>
    <t>00152697-01-rcar</t>
  </si>
  <si>
    <t>00115549-02-rcar</t>
  </si>
  <si>
    <t>00115553-02-rcar</t>
  </si>
  <si>
    <t>00115554-02-rcar</t>
  </si>
  <si>
    <t>00117249-03-rcar</t>
  </si>
  <si>
    <t>00117248-02-rcar</t>
  </si>
  <si>
    <t>00128391-02-rcar</t>
  </si>
  <si>
    <t>00116411-02-rcar</t>
  </si>
  <si>
    <t>00116416-03-rcar</t>
  </si>
  <si>
    <t>00128392-03-rcar</t>
  </si>
  <si>
    <t>00117305-02-rcar</t>
  </si>
  <si>
    <t>00117310-03-rcar</t>
  </si>
  <si>
    <t>00128424-02-rcar</t>
  </si>
  <si>
    <t>00116432-02-rcar</t>
  </si>
  <si>
    <t>00128425-02-rcar</t>
  </si>
  <si>
    <t>00117317-02-rcar</t>
  </si>
  <si>
    <t>ENGL 250</t>
  </si>
  <si>
    <t>ENGL 700/1</t>
  </si>
  <si>
    <t>KM 800</t>
  </si>
  <si>
    <t>KM 1300</t>
  </si>
  <si>
    <t>KM 2000</t>
  </si>
  <si>
    <t>Designation</t>
  </si>
  <si>
    <t>Presse</t>
  </si>
  <si>
    <t>console levier de vitesse</t>
  </si>
  <si>
    <t xml:space="preserve">Habillage central sup </t>
  </si>
  <si>
    <t>Collection Tablette Latérale D et G</t>
  </si>
  <si>
    <t xml:space="preserve">Facade Central Clim </t>
  </si>
  <si>
    <t>Tablette pavillon AV</t>
  </si>
  <si>
    <t>Renfort genou (coquille)</t>
  </si>
  <si>
    <t>Mardi 5/14/2013</t>
  </si>
  <si>
    <t>681007344R</t>
  </si>
  <si>
    <t>PdB ASS FK67 E0-E1 sans VP inf Sans AB</t>
  </si>
  <si>
    <t>681006313R</t>
  </si>
  <si>
    <t>PdB ASS FK67 E1-E2 avec VP inf Sans AB</t>
  </si>
  <si>
    <t>681003901R</t>
  </si>
  <si>
    <t>PdB ASS FK67 E0-E1 sans VP inf Avec AB</t>
  </si>
  <si>
    <t>681007582R</t>
  </si>
  <si>
    <t>PdB ASS FK67 E1-E2 avec VP inf Avec AB</t>
  </si>
  <si>
    <t>681000643R</t>
  </si>
  <si>
    <t>PdB ASS J92 E1 ss VP sup avecVP inf</t>
  </si>
  <si>
    <t>681005017R</t>
  </si>
  <si>
    <t>PdB ASS J92 E2 avec VP sup et VP inf</t>
  </si>
  <si>
    <t>Vendredi</t>
  </si>
  <si>
    <t>Samedi</t>
  </si>
  <si>
    <t>Dimanche</t>
  </si>
  <si>
    <t>Nuit</t>
  </si>
  <si>
    <t>Soir</t>
  </si>
  <si>
    <t>Matin</t>
  </si>
  <si>
    <t>X52</t>
  </si>
  <si>
    <t xml:space="preserve">Matin </t>
  </si>
  <si>
    <t>Tps prod</t>
  </si>
  <si>
    <t>Reste à           produire</t>
  </si>
  <si>
    <t>Temps cycle (s)</t>
  </si>
  <si>
    <t xml:space="preserve"> Pièce  par heure</t>
  </si>
  <si>
    <t>Ref. client</t>
  </si>
  <si>
    <t>Désigantion</t>
  </si>
  <si>
    <t>Désignation</t>
  </si>
  <si>
    <t>Lundi 5/13/2013</t>
  </si>
  <si>
    <t>Mercredi 5/15/2013</t>
  </si>
  <si>
    <t>Jeudi 5/16/2013</t>
  </si>
  <si>
    <t>00::00</t>
  </si>
  <si>
    <t>Lundi 5/20/2013</t>
  </si>
  <si>
    <t>Lundi 5/20/2020</t>
  </si>
  <si>
    <t>Mardi  5/21/2014</t>
  </si>
  <si>
    <t>Mercredi 5/22/2015</t>
  </si>
  <si>
    <t>Jeudi  5/23/2016</t>
  </si>
  <si>
    <t>Vendredi  5/24/2017</t>
  </si>
  <si>
    <t>Samedi 5/25/2018</t>
  </si>
  <si>
    <t>Dimanche 5/26/2019</t>
  </si>
  <si>
    <t xml:space="preserve">                      </t>
  </si>
  <si>
    <t>KM 160</t>
  </si>
  <si>
    <t>M1</t>
  </si>
  <si>
    <t>Corps Aérateur D</t>
  </si>
  <si>
    <t>Corps Aérateur G</t>
  </si>
  <si>
    <t>M2 (CTF)</t>
  </si>
  <si>
    <t>Ailette H mobile 1 G</t>
  </si>
  <si>
    <t>Ailette H mobile 2 G</t>
  </si>
  <si>
    <t>Ailette H mobile 3G</t>
  </si>
  <si>
    <t>Ailette H mobile 4 G</t>
  </si>
  <si>
    <t>Ailette H mobile 5 G</t>
  </si>
  <si>
    <t>Ailette H mobile 6 G</t>
  </si>
  <si>
    <t>Ailette H mobile 7 G</t>
  </si>
  <si>
    <t>Ailette H mobile 8 G</t>
  </si>
  <si>
    <t>Ailette H Fixe Inf G</t>
  </si>
  <si>
    <t>Ailette H Fixe  Sup G</t>
  </si>
  <si>
    <t>M3 (CTF)</t>
  </si>
  <si>
    <t>Ailette H mobile 1 D</t>
  </si>
  <si>
    <t>Ailette H mobile 2 D</t>
  </si>
  <si>
    <t>Ailette H mobile 3 D</t>
  </si>
  <si>
    <t>Ailette H mobile 4 D</t>
  </si>
  <si>
    <t>Ailette H mobile 5 D</t>
  </si>
  <si>
    <t>Ailette H mobile 6 D</t>
  </si>
  <si>
    <t>Ailette H mobile 7 D</t>
  </si>
  <si>
    <t>Ailette H mobile 8 D</t>
  </si>
  <si>
    <t>Ailette H Fixe Inf D</t>
  </si>
  <si>
    <t>Ailette H Fixe  Sup D</t>
  </si>
  <si>
    <t>M8 (CTF)</t>
  </si>
  <si>
    <t>Molettes D</t>
  </si>
  <si>
    <t>Molettes G</t>
  </si>
  <si>
    <t>M8 (GTM)</t>
  </si>
  <si>
    <t>M4 (CTF)</t>
  </si>
  <si>
    <t>Ailettes Verticales Grandes V1</t>
  </si>
  <si>
    <t>Ailettes Verticales Grandes V2</t>
  </si>
  <si>
    <t>M5 (CTF)</t>
  </si>
  <si>
    <t>Ailettes Verticales Grandes V3</t>
  </si>
  <si>
    <t>Ailettes Verticales Grandes V4</t>
  </si>
  <si>
    <t>M 10 (CTF)</t>
  </si>
  <si>
    <t>Curseur</t>
  </si>
  <si>
    <t>Levier</t>
  </si>
  <si>
    <t>Glissière D</t>
  </si>
  <si>
    <t>Glissière G</t>
  </si>
  <si>
    <t>M 11 (CTF)</t>
  </si>
  <si>
    <t>M6 (CTF)</t>
  </si>
  <si>
    <t>Biellettes Ailettes Verticales</t>
  </si>
  <si>
    <t>Biellettes Ailettes Horizontales D</t>
  </si>
  <si>
    <t>Biellettes Ailettes Horizontales G</t>
  </si>
  <si>
    <t>M7 (CTF)</t>
  </si>
  <si>
    <t>M2 (GTM)</t>
  </si>
  <si>
    <t>M3 (GTM)</t>
  </si>
  <si>
    <t>M4 (GTM)</t>
  </si>
  <si>
    <t>M5 (GTM)</t>
  </si>
  <si>
    <t>M9 (CTF)</t>
  </si>
  <si>
    <t>M 10 (GTM)</t>
  </si>
  <si>
    <t>KM 80</t>
  </si>
  <si>
    <t>-</t>
  </si>
  <si>
    <t>Capacité</t>
  </si>
  <si>
    <t>Couverture en jours</t>
  </si>
  <si>
    <t>Passage de Roue Gauche</t>
  </si>
  <si>
    <t>Passage de Roue Droite</t>
  </si>
  <si>
    <t>00117248-02-RCAR</t>
  </si>
  <si>
    <t xml:space="preserve">Tablette pavillon AV </t>
  </si>
  <si>
    <t>00128398-02-S864</t>
  </si>
  <si>
    <t>Collection   PBAR</t>
  </si>
  <si>
    <t>00152690-01-RCAR</t>
  </si>
  <si>
    <t>00152697-01-RCAR</t>
  </si>
  <si>
    <t xml:space="preserve">Console LV </t>
  </si>
  <si>
    <t>00115665-02-RCAR</t>
  </si>
  <si>
    <t>1/2 Coquille Inf</t>
  </si>
  <si>
    <t>00115653-01-RCAR</t>
  </si>
  <si>
    <t>1/2 Coquille Sup</t>
  </si>
  <si>
    <t>00115654-02-RCAR</t>
  </si>
  <si>
    <t>Cache ELA assemblé</t>
  </si>
  <si>
    <t>Dessous de visière</t>
  </si>
  <si>
    <t>00128256-02-RCAR</t>
  </si>
  <si>
    <t>Cache rétro M D</t>
  </si>
  <si>
    <t>Cache rétro M G</t>
  </si>
  <si>
    <t>Cache rétro E D</t>
  </si>
  <si>
    <t>Cache rétro E G</t>
  </si>
  <si>
    <t>Bac Fusible</t>
  </si>
  <si>
    <t>Dispo</t>
  </si>
  <si>
    <t>ENGL 2000</t>
  </si>
  <si>
    <t>Coiffe X52</t>
  </si>
  <si>
    <t>Conduit de structure X52</t>
  </si>
  <si>
    <t>Conduit de répartition X52</t>
  </si>
  <si>
    <t>CDP Carbon Foncé</t>
  </si>
  <si>
    <t>Portillon Carbon Foncé</t>
  </si>
  <si>
    <t>CDP Beige Alphaga</t>
  </si>
  <si>
    <t>CDP Gris Lune</t>
  </si>
  <si>
    <t>Portillon Gris Lune</t>
  </si>
  <si>
    <t>Portillon Beige Alphaga</t>
  </si>
  <si>
    <t>Total général</t>
  </si>
  <si>
    <t>.</t>
  </si>
  <si>
    <t>681001812R</t>
  </si>
  <si>
    <t>681001820R</t>
  </si>
  <si>
    <t>681001877R</t>
  </si>
  <si>
    <t>681002552R</t>
  </si>
  <si>
    <t>681005921R</t>
  </si>
  <si>
    <t>N° Moule</t>
  </si>
  <si>
    <t>J63</t>
  </si>
  <si>
    <t>J13</t>
  </si>
  <si>
    <t>J12</t>
  </si>
  <si>
    <t>J19</t>
  </si>
  <si>
    <t>J53</t>
  </si>
  <si>
    <t>J09</t>
  </si>
  <si>
    <t>J10</t>
  </si>
  <si>
    <t>J16</t>
  </si>
  <si>
    <t>J61</t>
  </si>
  <si>
    <t>J56</t>
  </si>
  <si>
    <t>J03</t>
  </si>
  <si>
    <t>J06</t>
  </si>
  <si>
    <t>J15</t>
  </si>
  <si>
    <t>J07</t>
  </si>
  <si>
    <t>J14</t>
  </si>
  <si>
    <t>J51</t>
  </si>
  <si>
    <t>J52</t>
  </si>
  <si>
    <t>J54</t>
  </si>
  <si>
    <t>J62</t>
  </si>
  <si>
    <t>J64</t>
  </si>
  <si>
    <t>J67</t>
  </si>
  <si>
    <t>J57</t>
  </si>
  <si>
    <t>J58</t>
  </si>
  <si>
    <t>J01</t>
  </si>
  <si>
    <t>J04</t>
  </si>
  <si>
    <t>J05</t>
  </si>
  <si>
    <t>J59</t>
  </si>
  <si>
    <t>J60</t>
  </si>
  <si>
    <t>J65</t>
  </si>
  <si>
    <t>J66</t>
  </si>
  <si>
    <t>Total 9/12/2013</t>
  </si>
  <si>
    <t>Total 9/13/2013</t>
  </si>
  <si>
    <t>Total 9/16/2013</t>
  </si>
  <si>
    <t>Total 9/17/2013</t>
  </si>
  <si>
    <t>Total 9/18/2013</t>
  </si>
  <si>
    <t>Total 9/19/2013</t>
  </si>
  <si>
    <t>Total 9/20/2013</t>
  </si>
  <si>
    <t>Total 9/21/2013</t>
  </si>
  <si>
    <t>Total 9/23/2013</t>
  </si>
  <si>
    <t>Total 9/24/2013</t>
  </si>
  <si>
    <t>Total 9/25/2013</t>
  </si>
  <si>
    <t>Total 9/26/2013</t>
  </si>
  <si>
    <t>Total 9/27/2013</t>
  </si>
  <si>
    <t>Total 9/28/2013</t>
  </si>
  <si>
    <t>Total 9/30/2013</t>
  </si>
  <si>
    <t>shipto</t>
  </si>
  <si>
    <t>refcli</t>
  </si>
  <si>
    <t>DAG PDB EQP (avecAirbag ) CARBON FONCE - HARM 01</t>
  </si>
  <si>
    <t>DAG PDB EQP (avecAirbag )  GRIS LUNE - HARM 02</t>
  </si>
  <si>
    <t>PDB EQP (avec Airbag ) BEIGE  ALPHAGA - HARM 03</t>
  </si>
  <si>
    <t xml:space="preserve">DAG PDB EQP (sansAirbag )  GRIS LUNE - HARM 02 </t>
  </si>
  <si>
    <t>PDB EQP (avec Airbag ) CARBON FONCE - HARM 01</t>
  </si>
  <si>
    <t>Qte</t>
  </si>
  <si>
    <t>TOTAL / jours</t>
  </si>
  <si>
    <t>Besoin PDB X52</t>
  </si>
  <si>
    <t>ENGL 1000</t>
  </si>
  <si>
    <t>ENGL 700</t>
  </si>
  <si>
    <t>Vendredi 9/13/2013</t>
  </si>
  <si>
    <t>Lundi 9/16/2013</t>
  </si>
  <si>
    <t>Mardi 9/17/2013</t>
  </si>
  <si>
    <t>Mercredi 9/18/2013</t>
  </si>
  <si>
    <t>Jeudi 9/19/2013</t>
  </si>
  <si>
    <t>Vendredi 9/20/2013</t>
  </si>
  <si>
    <t>Samedi 9/21/2013</t>
  </si>
  <si>
    <t>Lundi 9/23/2013</t>
  </si>
  <si>
    <t>Mardi 9/24/2013</t>
  </si>
  <si>
    <t>Mercredi 9/25/2013</t>
  </si>
  <si>
    <t>Jeudi 9/26/2013</t>
  </si>
  <si>
    <t>Vendredi 9/27/2013</t>
  </si>
  <si>
    <t>Samedi 9/28/2013</t>
  </si>
  <si>
    <t>Lundi 9/30/2013</t>
  </si>
  <si>
    <t>Mardi 10/1/2013</t>
  </si>
  <si>
    <t>KM 1000</t>
  </si>
  <si>
    <t>00171658-02-RCAR</t>
  </si>
  <si>
    <t>00171658-02-T122</t>
  </si>
  <si>
    <t>00171658-02-S950</t>
  </si>
  <si>
    <t>00171657-02-RCAR</t>
  </si>
  <si>
    <t>00171660-02-0000</t>
  </si>
  <si>
    <t>00171659-02-0000</t>
  </si>
  <si>
    <t>00171670-01-RCAR</t>
  </si>
  <si>
    <t>00171670-01-T122</t>
  </si>
  <si>
    <t>00171670-01-S950</t>
  </si>
  <si>
    <t>SAND 1500</t>
  </si>
  <si>
    <t>X02</t>
  </si>
  <si>
    <t>X03</t>
  </si>
  <si>
    <t>X04</t>
  </si>
  <si>
    <t>X05</t>
  </si>
  <si>
    <t>X01</t>
  </si>
  <si>
    <t>Façade VP AR G</t>
  </si>
  <si>
    <t>Façade VP AR D</t>
  </si>
  <si>
    <t xml:space="preserve">Doublure portillon huche </t>
  </si>
  <si>
    <t>Façade portillon huche</t>
  </si>
  <si>
    <t xml:space="preserve">Garniture PBA </t>
  </si>
  <si>
    <t>Façade couvercle coiffe J92</t>
  </si>
  <si>
    <t>Doublure couvercle coiffe J92</t>
  </si>
  <si>
    <t>Accoudoir E1 LVE G</t>
  </si>
  <si>
    <t>Accoudoir E1 LVE D</t>
  </si>
  <si>
    <t xml:space="preserve">Padding AV G </t>
  </si>
  <si>
    <t>Padding AV D</t>
  </si>
  <si>
    <t xml:space="preserve">Façade rangement passager </t>
  </si>
  <si>
    <t xml:space="preserve">Façade VP PLC </t>
  </si>
  <si>
    <t>Coiffe J92</t>
  </si>
  <si>
    <t>Porteur AV G E 1</t>
  </si>
  <si>
    <t>Façade VP AV G</t>
  </si>
  <si>
    <t>Porteur AV G E 0</t>
  </si>
  <si>
    <t>Porteur AV D E1</t>
  </si>
  <si>
    <t>Façade VP AV D</t>
  </si>
  <si>
    <t>Porteur AV D E0</t>
  </si>
  <si>
    <t xml:space="preserve">Conduit de desembuage </t>
  </si>
  <si>
    <t>Bac rangement sup X67</t>
  </si>
  <si>
    <t>Dessous de coife DG X67</t>
  </si>
  <si>
    <t xml:space="preserve">Cuve rangement inf </t>
  </si>
  <si>
    <t>Coiffe X67</t>
  </si>
  <si>
    <t>Accoudoire LVM G</t>
  </si>
  <si>
    <t>Passage Roue G</t>
  </si>
  <si>
    <t>Passage Roue D</t>
  </si>
  <si>
    <t>Porteur AR G E1</t>
  </si>
  <si>
    <t>Porteur AR G E0</t>
  </si>
  <si>
    <t>Porteur AR D E1</t>
  </si>
  <si>
    <t>Porteur AR D E0</t>
  </si>
  <si>
    <t>Coquille ss volant sup</t>
  </si>
  <si>
    <t>Coquille ss volant inf</t>
  </si>
  <si>
    <t>Console levier de vitesse</t>
  </si>
  <si>
    <t xml:space="preserve">Renfort inferieur passager </t>
  </si>
  <si>
    <t xml:space="preserve">Renfort Genou 1 conducteur </t>
  </si>
  <si>
    <t xml:space="preserve">Renfort genou 3 et 4 passager </t>
  </si>
  <si>
    <t>Habillage lat cond G</t>
  </si>
  <si>
    <t xml:space="preserve"> Référence</t>
  </si>
  <si>
    <t>Corp de planche  J92/X67</t>
  </si>
  <si>
    <t xml:space="preserve"> X52 / jours</t>
  </si>
  <si>
    <t xml:space="preserve"> FK67/J92 / jours</t>
  </si>
  <si>
    <t xml:space="preserve"> FK67 / jours</t>
  </si>
  <si>
    <t xml:space="preserve"> J92/ jours</t>
  </si>
  <si>
    <t>Console FPM</t>
  </si>
  <si>
    <t>Couverture en équipe</t>
  </si>
  <si>
    <t>SOMACA</t>
  </si>
  <si>
    <t>J92</t>
  </si>
  <si>
    <t>Client</t>
  </si>
  <si>
    <t>Visteon</t>
  </si>
  <si>
    <t>RTE</t>
  </si>
  <si>
    <t>Injection</t>
  </si>
  <si>
    <t>Assemblage</t>
  </si>
  <si>
    <t>Proposition de travail (Injection/ Assemblage)</t>
  </si>
  <si>
    <t>J92 ( PDB/ PNO)</t>
  </si>
  <si>
    <t>Nbre de changement</t>
  </si>
  <si>
    <t xml:space="preserve">Charge </t>
  </si>
  <si>
    <t>CALCUL CHARGE CAPACITAIRE</t>
  </si>
  <si>
    <t>Nbre des livraisons</t>
  </si>
  <si>
    <t>3  L3PS et 1 PLC</t>
  </si>
  <si>
    <t>PDB</t>
  </si>
  <si>
    <t>PNO</t>
  </si>
  <si>
    <t>PLC</t>
  </si>
  <si>
    <t>à 10h</t>
  </si>
  <si>
    <t>ASSEMBLAGE</t>
  </si>
  <si>
    <t>PDB J92</t>
  </si>
  <si>
    <t>PDB X52</t>
  </si>
  <si>
    <t xml:space="preserve"> Pas de travail</t>
  </si>
  <si>
    <t>PLANNING TRAVAIL Samedi / Dimanche / Lundi</t>
  </si>
  <si>
    <t xml:space="preserve"> Travail</t>
  </si>
  <si>
    <t>Charge par semaine</t>
  </si>
  <si>
    <t>Nbre changement</t>
  </si>
  <si>
    <t>Charge/J</t>
  </si>
  <si>
    <t>KM   2000</t>
  </si>
  <si>
    <t>KM      1000</t>
  </si>
  <si>
    <t>ENGL  2000</t>
  </si>
  <si>
    <t>KM   1300</t>
  </si>
  <si>
    <t>KM     800</t>
  </si>
  <si>
    <t>4h</t>
  </si>
  <si>
    <t>5h</t>
  </si>
  <si>
    <t>2h</t>
  </si>
  <si>
    <t>Nbre Op</t>
  </si>
  <si>
    <t>Total</t>
  </si>
  <si>
    <t xml:space="preserve">Charge Horaire </t>
  </si>
  <si>
    <t>Eq 1 (H)</t>
  </si>
  <si>
    <t>Eq 2 (H)</t>
  </si>
  <si>
    <t>Eq 3 (H)</t>
  </si>
  <si>
    <t>Charge Capacitaire / Nbre Opérareurs Injection</t>
  </si>
  <si>
    <t>Heure Injection</t>
  </si>
  <si>
    <t>Nbre Cav</t>
  </si>
  <si>
    <t>Matière</t>
  </si>
  <si>
    <t>Silo 1</t>
  </si>
  <si>
    <t>Silo1</t>
  </si>
  <si>
    <t>Silo1+C</t>
  </si>
  <si>
    <t>Accoudoire LVM D</t>
  </si>
  <si>
    <t>Accoudoire E2 G</t>
  </si>
  <si>
    <t>Accoudoire E2 D</t>
  </si>
  <si>
    <t>Silo6</t>
  </si>
  <si>
    <t>Silo 5</t>
  </si>
  <si>
    <t>Silo 6</t>
  </si>
  <si>
    <t>Cuve 1</t>
  </si>
  <si>
    <t>Silo 2</t>
  </si>
  <si>
    <t>Silo 4</t>
  </si>
  <si>
    <t>Silo 3</t>
  </si>
  <si>
    <t>Cuve 4</t>
  </si>
  <si>
    <t xml:space="preserve"> </t>
  </si>
  <si>
    <t>Etat de stock de  27/12 à   06:00</t>
  </si>
  <si>
    <t>Bac rangement sup FK67</t>
  </si>
  <si>
    <t>Dessous de coife FK 67</t>
  </si>
  <si>
    <t>Coiffe FK67</t>
  </si>
  <si>
    <t>Etuve 1</t>
  </si>
  <si>
    <t xml:space="preserve">Réf </t>
  </si>
  <si>
    <t>Moule</t>
  </si>
  <si>
    <t>J6+</t>
  </si>
  <si>
    <t>J6+J12</t>
  </si>
  <si>
    <t>J12+J7</t>
  </si>
  <si>
    <t>J7</t>
  </si>
  <si>
    <t>Pièce/h</t>
  </si>
  <si>
    <t>CDP Gris Lune  X52</t>
  </si>
  <si>
    <t>CDP Beige Alphaga   X52</t>
  </si>
  <si>
    <t>CDP Carbon Foncé   X52</t>
  </si>
  <si>
    <t>1140</t>
  </si>
  <si>
    <t>5000</t>
  </si>
  <si>
    <t>Machine</t>
  </si>
  <si>
    <t>J9</t>
  </si>
  <si>
    <t>J2</t>
  </si>
  <si>
    <t>CIE</t>
  </si>
  <si>
    <t>Chrage (h)</t>
  </si>
  <si>
    <t>ABS</t>
  </si>
  <si>
    <t>Projet</t>
  </si>
  <si>
    <t>PLS</t>
  </si>
  <si>
    <t>PNO J92</t>
  </si>
  <si>
    <t>FCC Ecomode</t>
  </si>
  <si>
    <t>Etat du stock de  05/03/2014 à 12:09</t>
  </si>
  <si>
    <t>Wednesday, 5 Mar 2014</t>
  </si>
  <si>
    <t>00115625-02-RCAR</t>
  </si>
  <si>
    <t>00117138-02-RCAR</t>
  </si>
  <si>
    <t>00117137-02-RCAR</t>
  </si>
  <si>
    <t>00117140-02-RCAR</t>
  </si>
  <si>
    <t>00117139-02-RCAR</t>
  </si>
  <si>
    <t>00128260-03-RCAR</t>
  </si>
  <si>
    <t>00129905-02-RCAR</t>
  </si>
  <si>
    <t>00130772-03-RCAR</t>
  </si>
  <si>
    <t>00117249-03-RCAR</t>
  </si>
  <si>
    <t>00127664-01-0000</t>
  </si>
  <si>
    <t>Facade Portillon Gris Lune X52</t>
  </si>
  <si>
    <t>Doublure Portillon Gris Lune X52</t>
  </si>
  <si>
    <t>Facade Portillon Carbon Foncé X52</t>
  </si>
  <si>
    <t>Doublure Portillon Beige Alphaga X52</t>
  </si>
  <si>
    <t>Facade Portillon Beige Alphaga X52</t>
  </si>
  <si>
    <t>00171679-02-RCAR</t>
  </si>
  <si>
    <t>00171679-02-T122</t>
  </si>
  <si>
    <t>00171679-02-S950</t>
  </si>
  <si>
    <t>00116418-02-RTRO</t>
  </si>
  <si>
    <t>00117312-02-RTRO</t>
  </si>
  <si>
    <t>00115642-01-RTRO</t>
  </si>
  <si>
    <t>00115644-01-RTRO</t>
  </si>
  <si>
    <t>00115645-01-RTRO</t>
  </si>
  <si>
    <t>00116417-02-RTRO</t>
  </si>
  <si>
    <t>00117311-02-RTRO</t>
  </si>
  <si>
    <t>00116419-02-RTRO</t>
  </si>
  <si>
    <t>00117314-02-RTRO</t>
  </si>
  <si>
    <t>00115581-02-RCAR</t>
  </si>
  <si>
    <t>00115583-02-RCAR</t>
  </si>
  <si>
    <t>00115615-02-RCAR</t>
  </si>
  <si>
    <t>00115614-02-RCAR</t>
  </si>
  <si>
    <t>00116436-02-RCAR</t>
  </si>
  <si>
    <t>00117321-02-RCAR</t>
  </si>
  <si>
    <t>00115647-01-RCAR</t>
  </si>
  <si>
    <t>00117258-02-RCAR</t>
  </si>
  <si>
    <t>00116411-02-RCAR</t>
  </si>
  <si>
    <t>00128391-02-RCAR</t>
  </si>
  <si>
    <t>00116416-03-RCAR</t>
  </si>
  <si>
    <t>00117305-02-RCAR</t>
  </si>
  <si>
    <t>00128392-03-RCAR</t>
  </si>
  <si>
    <t>00117310-03-RCAR</t>
  </si>
  <si>
    <t>00128424-02-RCAR</t>
  </si>
  <si>
    <t>00116432-02-RCAR</t>
  </si>
  <si>
    <t>00128425-02-RCAR</t>
  </si>
  <si>
    <t>00117317-02-RCAR</t>
  </si>
  <si>
    <t>00115556-02-RCAR</t>
  </si>
  <si>
    <t>00115558-02-RCAR</t>
  </si>
  <si>
    <t>00115622-02-RCAR</t>
  </si>
  <si>
    <t>00115549-02-RCAR</t>
  </si>
  <si>
    <t>00115554-02-RCAR</t>
  </si>
  <si>
    <t>00115553-02-RCAR</t>
  </si>
  <si>
    <t>00117255-03-RCAR</t>
  </si>
  <si>
    <t>Doublure Portillon Carbon Foncé X52</t>
  </si>
  <si>
    <t>ENGL 1500</t>
  </si>
  <si>
    <t>J18</t>
  </si>
  <si>
    <t>J55</t>
  </si>
  <si>
    <t>J70</t>
  </si>
  <si>
    <t>J71</t>
  </si>
  <si>
    <t>J11</t>
  </si>
  <si>
    <t>J08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</si>
</sst>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-40C]d\-mmm\-yy;@"/>
    <numFmt numFmtId="165" formatCode="0.0"/>
    <numFmt numFmtId="166" formatCode="m/d/yy;@"/>
    <numFmt numFmtId="167" formatCode="h:mm;@"/>
    <numFmt numFmtId="168" formatCode="##,###,##0.0########"/>
    <numFmt numFmtId="169" formatCode="##,###,##0.0#########"/>
    <numFmt numFmtId="170" formatCode="d/m/yy\ h:mm;@"/>
  </numFmts>
  <fonts count="64">
    <font>
      <sz val="10"/>
      <name val="Arial"/>
    </font>
    <font>
      <sz val="10"/>
      <name val="Arial"/>
      <family val="2"/>
    </font>
    <font>
      <sz val="9"/>
      <name val="Arial MT"/>
    </font>
    <font>
      <sz val="10"/>
      <name val="Arial"/>
      <family val="2"/>
      <charset val="178"/>
    </font>
    <font>
      <sz val="14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sz val="18"/>
      <color indexed="12"/>
      <name val="Times New Roman"/>
      <family val="1"/>
    </font>
    <font>
      <sz val="18"/>
      <name val="Times New Roman"/>
      <family val="1"/>
    </font>
    <font>
      <sz val="18"/>
      <name val="Arial"/>
      <family val="2"/>
    </font>
    <font>
      <b/>
      <sz val="18"/>
      <color indexed="12"/>
      <name val="Times New Roman"/>
      <family val="1"/>
    </font>
    <font>
      <sz val="20"/>
      <name val="Arial"/>
      <family val="2"/>
    </font>
    <font>
      <sz val="12"/>
      <name val="Arial"/>
      <family val="2"/>
    </font>
    <font>
      <sz val="16"/>
      <name val="Arial"/>
      <family val="2"/>
    </font>
    <font>
      <b/>
      <sz val="20"/>
      <name val="Times New Roman"/>
      <family val="1"/>
    </font>
    <font>
      <sz val="16"/>
      <name val="Times New Roman"/>
      <family val="1"/>
    </font>
    <font>
      <b/>
      <sz val="12"/>
      <name val="Arial"/>
      <family val="2"/>
    </font>
    <font>
      <b/>
      <sz val="24"/>
      <name val="Times New Roman"/>
      <family val="1"/>
    </font>
    <font>
      <b/>
      <sz val="22"/>
      <name val="Arial"/>
      <family val="2"/>
    </font>
    <font>
      <b/>
      <sz val="48"/>
      <name val="Arial"/>
      <family val="2"/>
    </font>
    <font>
      <b/>
      <sz val="20"/>
      <name val="Arial"/>
      <family val="2"/>
    </font>
    <font>
      <sz val="12"/>
      <name val="Microsoft Sans Serif"/>
      <family val="2"/>
    </font>
    <font>
      <sz val="8.25"/>
      <color indexed="0"/>
      <name val="Microsoft Sans Serif"/>
      <family val="2"/>
    </font>
    <font>
      <sz val="10"/>
      <color indexed="0"/>
      <name val="Arial"/>
      <family val="2"/>
    </font>
    <font>
      <b/>
      <sz val="28"/>
      <name val="Arial"/>
      <family val="2"/>
    </font>
    <font>
      <sz val="28"/>
      <name val="Times New Roman"/>
      <family val="1"/>
    </font>
    <font>
      <b/>
      <sz val="16"/>
      <color indexed="12"/>
      <name val="Times New Roman"/>
      <family val="1"/>
    </font>
    <font>
      <b/>
      <sz val="16"/>
      <color indexed="12"/>
      <name val="Arial"/>
      <family val="2"/>
    </font>
    <font>
      <sz val="18"/>
      <color indexed="9"/>
      <name val="Times New Roman"/>
      <family val="1"/>
    </font>
    <font>
      <sz val="20"/>
      <name val="Times New Roman"/>
      <family val="1"/>
    </font>
    <font>
      <sz val="20"/>
      <color indexed="12"/>
      <name val="Times New Roman"/>
      <family val="1"/>
    </font>
    <font>
      <b/>
      <sz val="20"/>
      <color indexed="12"/>
      <name val="Times New Roman"/>
      <family val="1"/>
    </font>
    <font>
      <sz val="22"/>
      <name val="Arial"/>
      <family val="2"/>
    </font>
    <font>
      <b/>
      <sz val="22"/>
      <color indexed="12"/>
      <name val="Times New Roman"/>
      <family val="1"/>
    </font>
    <font>
      <sz val="22"/>
      <name val="Times New Roman"/>
      <family val="1"/>
    </font>
    <font>
      <b/>
      <sz val="24"/>
      <color indexed="12"/>
      <name val="Times New Roman"/>
      <family val="1"/>
    </font>
    <font>
      <b/>
      <sz val="28"/>
      <color indexed="12"/>
      <name val="Times New Roman"/>
      <family val="1"/>
    </font>
    <font>
      <b/>
      <sz val="22"/>
      <name val="Times New Roman"/>
      <family val="1"/>
    </font>
    <font>
      <b/>
      <sz val="36"/>
      <name val="Arial"/>
      <family val="2"/>
    </font>
    <font>
      <b/>
      <sz val="30"/>
      <name val="Times New Roman"/>
      <family val="1"/>
    </font>
    <font>
      <sz val="30"/>
      <name val="Arial"/>
      <family val="2"/>
    </font>
    <font>
      <sz val="24"/>
      <name val="Times New Roman"/>
      <family val="1"/>
    </font>
    <font>
      <sz val="26"/>
      <name val="Times New Roman"/>
      <family val="1"/>
    </font>
    <font>
      <sz val="24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0"/>
      <color theme="1"/>
      <name val="Arial"/>
      <family val="2"/>
    </font>
    <font>
      <sz val="20"/>
      <color theme="1"/>
      <name val="Times New Roman"/>
      <family val="1"/>
    </font>
    <font>
      <sz val="18"/>
      <color theme="1"/>
      <name val="Times New Roman"/>
      <family val="1"/>
    </font>
    <font>
      <sz val="22"/>
      <color theme="1"/>
      <name val="Times New Roman"/>
      <family val="1"/>
    </font>
    <font>
      <b/>
      <sz val="48"/>
      <color indexed="10"/>
      <name val="Cambria"/>
      <family val="1"/>
      <scheme val="major"/>
    </font>
    <font>
      <sz val="10"/>
      <color theme="1"/>
      <name val="Arial"/>
      <family val="2"/>
    </font>
    <font>
      <b/>
      <sz val="100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92D050"/>
      <name val="Calibri"/>
      <family val="2"/>
      <scheme val="minor"/>
    </font>
    <font>
      <sz val="18"/>
      <color theme="0" tint="-0.34998626667073579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14"/>
      <color theme="1"/>
      <name val="Arial"/>
      <family val="2"/>
    </font>
    <font>
      <sz val="26"/>
      <color theme="1"/>
      <name val="Times New Roman"/>
      <family val="1"/>
    </font>
    <font>
      <sz val="20"/>
      <color theme="1"/>
      <name val="Arial"/>
      <family val="2"/>
    </font>
    <font>
      <b/>
      <sz val="48"/>
      <color theme="1"/>
      <name val="Cambria"/>
      <family val="1"/>
      <scheme val="major"/>
    </font>
  </fonts>
  <fills count="24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theme="0" tint="-0.14999847407452621"/>
      </patternFill>
    </fill>
    <fill>
      <patternFill patternType="solid">
        <fgColor theme="0" tint="-0.34998626667073579"/>
        <bgColor theme="4" tint="0.79998168889431442"/>
      </patternFill>
    </fill>
    <fill>
      <patternFill patternType="solid">
        <fgColor theme="0" tint="-0.34998626667073579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</fills>
  <borders count="8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23" fillId="0" borderId="0"/>
    <xf numFmtId="0" fontId="44" fillId="0" borderId="0"/>
    <xf numFmtId="0" fontId="2" fillId="0" borderId="0"/>
    <xf numFmtId="0" fontId="3" fillId="0" borderId="0"/>
  </cellStyleXfs>
  <cellXfs count="1402">
    <xf numFmtId="0" fontId="0" fillId="0" borderId="0" xfId="0"/>
    <xf numFmtId="1" fontId="4" fillId="4" borderId="1" xfId="0" applyNumberFormat="1" applyFont="1" applyFill="1" applyBorder="1" applyAlignment="1">
      <alignment horizontal="center" vertical="center"/>
    </xf>
    <xf numFmtId="1" fontId="4" fillId="4" borderId="2" xfId="0" applyNumberFormat="1" applyFont="1" applyFill="1" applyBorder="1" applyAlignment="1">
      <alignment horizontal="center" vertical="center"/>
    </xf>
    <xf numFmtId="1" fontId="4" fillId="4" borderId="3" xfId="0" applyNumberFormat="1" applyFont="1" applyFill="1" applyBorder="1" applyAlignment="1">
      <alignment horizontal="center" vertical="center"/>
    </xf>
    <xf numFmtId="167" fontId="4" fillId="4" borderId="4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20" fontId="4" fillId="4" borderId="4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 applyFill="1" applyBorder="1" applyAlignment="1"/>
    <xf numFmtId="0" fontId="5" fillId="2" borderId="7" xfId="6" applyFont="1" applyFill="1" applyBorder="1" applyAlignment="1">
      <alignment vertical="center" wrapText="1"/>
    </xf>
    <xf numFmtId="0" fontId="5" fillId="2" borderId="8" xfId="6" applyFont="1" applyFill="1" applyBorder="1" applyAlignment="1">
      <alignment vertical="center" wrapText="1"/>
    </xf>
    <xf numFmtId="0" fontId="5" fillId="2" borderId="8" xfId="6" applyFont="1" applyFill="1" applyBorder="1" applyAlignment="1">
      <alignment horizontal="center" vertical="center" wrapText="1"/>
    </xf>
    <xf numFmtId="0" fontId="5" fillId="2" borderId="9" xfId="6" applyFont="1" applyFill="1" applyBorder="1" applyAlignment="1">
      <alignment horizontal="center" vertical="center" wrapText="1"/>
    </xf>
    <xf numFmtId="0" fontId="5" fillId="2" borderId="10" xfId="6" applyFont="1" applyFill="1" applyBorder="1" applyAlignment="1">
      <alignment horizontal="center" vertical="center" wrapText="1"/>
    </xf>
    <xf numFmtId="0" fontId="5" fillId="2" borderId="11" xfId="6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14" fontId="4" fillId="4" borderId="3" xfId="0" applyNumberFormat="1" applyFont="1" applyFill="1" applyBorder="1"/>
    <xf numFmtId="14" fontId="4" fillId="7" borderId="3" xfId="0" applyNumberFormat="1" applyFont="1" applyFill="1" applyBorder="1"/>
    <xf numFmtId="0" fontId="4" fillId="4" borderId="12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4" borderId="0" xfId="0" applyFont="1" applyFill="1" applyBorder="1"/>
    <xf numFmtId="0" fontId="4" fillId="7" borderId="0" xfId="0" applyFont="1" applyFill="1" applyBorder="1"/>
    <xf numFmtId="0" fontId="4" fillId="0" borderId="13" xfId="0" applyFont="1" applyBorder="1"/>
    <xf numFmtId="0" fontId="4" fillId="0" borderId="14" xfId="0" applyFont="1" applyBorder="1"/>
    <xf numFmtId="0" fontId="4" fillId="8" borderId="15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/>
    <xf numFmtId="0" fontId="4" fillId="0" borderId="6" xfId="0" applyFont="1" applyBorder="1"/>
    <xf numFmtId="0" fontId="4" fillId="0" borderId="18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9" xfId="0" applyFont="1" applyBorder="1"/>
    <xf numFmtId="0" fontId="4" fillId="0" borderId="2" xfId="0" applyFont="1" applyBorder="1"/>
    <xf numFmtId="0" fontId="4" fillId="0" borderId="1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4" borderId="20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0" borderId="15" xfId="0" applyFont="1" applyBorder="1"/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/>
    <xf numFmtId="0" fontId="4" fillId="0" borderId="24" xfId="0" applyFont="1" applyBorder="1"/>
    <xf numFmtId="0" fontId="4" fillId="0" borderId="2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8" borderId="9" xfId="0" applyFont="1" applyFill="1" applyBorder="1" applyAlignment="1">
      <alignment horizontal="center"/>
    </xf>
    <xf numFmtId="0" fontId="4" fillId="8" borderId="18" xfId="0" applyFont="1" applyFill="1" applyBorder="1" applyAlignment="1">
      <alignment horizontal="center"/>
    </xf>
    <xf numFmtId="0" fontId="4" fillId="8" borderId="22" xfId="0" applyFont="1" applyFill="1" applyBorder="1" applyAlignment="1">
      <alignment horizontal="center"/>
    </xf>
    <xf numFmtId="0" fontId="4" fillId="8" borderId="14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8" borderId="6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0" borderId="27" xfId="0" applyFont="1" applyBorder="1"/>
    <xf numFmtId="0" fontId="4" fillId="0" borderId="27" xfId="0" applyFont="1" applyBorder="1" applyAlignment="1">
      <alignment horizontal="center"/>
    </xf>
    <xf numFmtId="1" fontId="7" fillId="9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/>
    </xf>
    <xf numFmtId="165" fontId="7" fillId="9" borderId="14" xfId="0" applyNumberFormat="1" applyFont="1" applyFill="1" applyBorder="1" applyAlignment="1">
      <alignment horizontal="center" vertical="center"/>
    </xf>
    <xf numFmtId="1" fontId="7" fillId="4" borderId="9" xfId="0" applyNumberFormat="1" applyFont="1" applyFill="1" applyBorder="1" applyAlignment="1">
      <alignment horizontal="center" vertical="center"/>
    </xf>
    <xf numFmtId="1" fontId="7" fillId="4" borderId="7" xfId="0" applyNumberFormat="1" applyFont="1" applyFill="1" applyBorder="1" applyAlignment="1">
      <alignment horizontal="center" vertical="center"/>
    </xf>
    <xf numFmtId="165" fontId="7" fillId="4" borderId="8" xfId="0" applyNumberFormat="1" applyFont="1" applyFill="1" applyBorder="1" applyAlignment="1">
      <alignment horizontal="center" vertical="center"/>
    </xf>
    <xf numFmtId="0" fontId="4" fillId="10" borderId="0" xfId="0" applyFont="1" applyFill="1"/>
    <xf numFmtId="0" fontId="4" fillId="10" borderId="0" xfId="0" applyFont="1" applyFill="1" applyAlignment="1">
      <alignment horizontal="center"/>
    </xf>
    <xf numFmtId="0" fontId="0" fillId="0" borderId="0" xfId="0" applyBorder="1"/>
    <xf numFmtId="0" fontId="12" fillId="0" borderId="0" xfId="0" applyFont="1"/>
    <xf numFmtId="0" fontId="14" fillId="4" borderId="14" xfId="0" applyFont="1" applyFill="1" applyBorder="1" applyAlignment="1" applyProtection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1" fontId="7" fillId="9" borderId="26" xfId="0" applyNumberFormat="1" applyFont="1" applyFill="1" applyBorder="1" applyAlignment="1">
      <alignment horizontal="center" vertical="center"/>
    </xf>
    <xf numFmtId="1" fontId="7" fillId="9" borderId="16" xfId="0" applyNumberFormat="1" applyFont="1" applyFill="1" applyBorder="1" applyAlignment="1">
      <alignment horizontal="center" vertical="center"/>
    </xf>
    <xf numFmtId="165" fontId="7" fillId="9" borderId="26" xfId="0" applyNumberFormat="1" applyFont="1" applyFill="1" applyBorder="1" applyAlignment="1">
      <alignment horizontal="center" vertical="center"/>
    </xf>
    <xf numFmtId="0" fontId="4" fillId="8" borderId="24" xfId="0" applyFont="1" applyFill="1" applyBorder="1" applyAlignment="1">
      <alignment horizontal="center"/>
    </xf>
    <xf numFmtId="0" fontId="4" fillId="6" borderId="28" xfId="0" applyFont="1" applyFill="1" applyBorder="1" applyAlignment="1">
      <alignment horizontal="center"/>
    </xf>
    <xf numFmtId="0" fontId="4" fillId="6" borderId="16" xfId="0" applyFont="1" applyFill="1" applyBorder="1" applyAlignment="1">
      <alignment horizontal="center"/>
    </xf>
    <xf numFmtId="1" fontId="7" fillId="4" borderId="29" xfId="0" applyNumberFormat="1" applyFont="1" applyFill="1" applyBorder="1" applyAlignment="1">
      <alignment horizontal="center" vertical="center"/>
    </xf>
    <xf numFmtId="14" fontId="4" fillId="7" borderId="30" xfId="0" applyNumberFormat="1" applyFont="1" applyFill="1" applyBorder="1"/>
    <xf numFmtId="1" fontId="10" fillId="9" borderId="13" xfId="0" applyNumberFormat="1" applyFont="1" applyFill="1" applyBorder="1" applyAlignment="1">
      <alignment horizontal="center" vertical="center"/>
    </xf>
    <xf numFmtId="0" fontId="7" fillId="9" borderId="13" xfId="0" applyFont="1" applyFill="1" applyBorder="1" applyAlignment="1">
      <alignment horizontal="center" vertical="center" wrapText="1"/>
    </xf>
    <xf numFmtId="0" fontId="7" fillId="9" borderId="28" xfId="0" applyFont="1" applyFill="1" applyBorder="1" applyAlignment="1">
      <alignment horizontal="center" vertical="center" wrapText="1"/>
    </xf>
    <xf numFmtId="1" fontId="10" fillId="9" borderId="28" xfId="0" applyNumberFormat="1" applyFont="1" applyFill="1" applyBorder="1" applyAlignment="1">
      <alignment horizontal="center" vertical="center"/>
    </xf>
    <xf numFmtId="1" fontId="7" fillId="9" borderId="31" xfId="0" applyNumberFormat="1" applyFont="1" applyFill="1" applyBorder="1" applyAlignment="1">
      <alignment horizontal="center" vertical="center"/>
    </xf>
    <xf numFmtId="1" fontId="7" fillId="9" borderId="32" xfId="0" applyNumberFormat="1" applyFont="1" applyFill="1" applyBorder="1" applyAlignment="1">
      <alignment horizontal="center" vertical="center"/>
    </xf>
    <xf numFmtId="1" fontId="10" fillId="9" borderId="29" xfId="0" applyNumberFormat="1" applyFont="1" applyFill="1" applyBorder="1" applyAlignment="1">
      <alignment horizontal="center" vertical="center"/>
    </xf>
    <xf numFmtId="165" fontId="7" fillId="9" borderId="31" xfId="0" applyNumberFormat="1" applyFont="1" applyFill="1" applyBorder="1" applyAlignment="1">
      <alignment horizontal="center" vertical="center"/>
    </xf>
    <xf numFmtId="1" fontId="10" fillId="4" borderId="7" xfId="0" applyNumberFormat="1" applyFont="1" applyFill="1" applyBorder="1" applyAlignment="1">
      <alignment horizontal="center" vertical="center"/>
    </xf>
    <xf numFmtId="0" fontId="0" fillId="0" borderId="33" xfId="0" applyBorder="1"/>
    <xf numFmtId="0" fontId="0" fillId="0" borderId="34" xfId="0" applyBorder="1"/>
    <xf numFmtId="0" fontId="5" fillId="0" borderId="0" xfId="0" applyFont="1" applyAlignment="1">
      <alignment horizontal="center"/>
    </xf>
    <xf numFmtId="14" fontId="46" fillId="11" borderId="35" xfId="0" applyNumberFormat="1" applyFont="1" applyFill="1" applyBorder="1" applyAlignment="1">
      <alignment horizontal="center" vertical="center" wrapText="1"/>
    </xf>
    <xf numFmtId="14" fontId="46" fillId="12" borderId="0" xfId="0" applyNumberFormat="1" applyFont="1" applyFill="1" applyBorder="1" applyAlignment="1">
      <alignment horizontal="center" vertical="center" wrapText="1"/>
    </xf>
    <xf numFmtId="0" fontId="5" fillId="0" borderId="36" xfId="0" applyFont="1" applyBorder="1" applyAlignment="1">
      <alignment horizontal="center"/>
    </xf>
    <xf numFmtId="0" fontId="20" fillId="13" borderId="1" xfId="0" applyNumberFormat="1" applyFont="1" applyFill="1" applyBorder="1" applyAlignment="1">
      <alignment horizontal="center" vertical="center"/>
    </xf>
    <xf numFmtId="0" fontId="20" fillId="13" borderId="3" xfId="0" applyNumberFormat="1" applyFont="1" applyFill="1" applyBorder="1" applyAlignment="1">
      <alignment horizontal="center" vertical="center"/>
    </xf>
    <xf numFmtId="0" fontId="20" fillId="14" borderId="37" xfId="0" applyNumberFormat="1" applyFont="1" applyFill="1" applyBorder="1" applyAlignment="1">
      <alignment horizontal="center" vertical="center"/>
    </xf>
    <xf numFmtId="0" fontId="20" fillId="12" borderId="37" xfId="0" applyNumberFormat="1" applyFont="1" applyFill="1" applyBorder="1" applyAlignment="1">
      <alignment horizontal="center" vertical="center"/>
    </xf>
    <xf numFmtId="0" fontId="20" fillId="0" borderId="3" xfId="0" applyNumberFormat="1" applyFont="1" applyBorder="1" applyAlignment="1">
      <alignment horizontal="center" vertical="center"/>
    </xf>
    <xf numFmtId="0" fontId="20" fillId="0" borderId="38" xfId="0" applyNumberFormat="1" applyFont="1" applyBorder="1" applyAlignment="1">
      <alignment horizontal="center" vertical="center"/>
    </xf>
    <xf numFmtId="0" fontId="20" fillId="13" borderId="39" xfId="0" applyNumberFormat="1" applyFont="1" applyFill="1" applyBorder="1" applyAlignment="1">
      <alignment horizontal="center" vertical="center"/>
    </xf>
    <xf numFmtId="0" fontId="20" fillId="13" borderId="4" xfId="0" applyNumberFormat="1" applyFont="1" applyFill="1" applyBorder="1" applyAlignment="1">
      <alignment horizontal="center" vertical="center"/>
    </xf>
    <xf numFmtId="0" fontId="20" fillId="0" borderId="39" xfId="0" applyNumberFormat="1" applyFont="1" applyBorder="1" applyAlignment="1">
      <alignment horizontal="center" vertical="center"/>
    </xf>
    <xf numFmtId="0" fontId="20" fillId="0" borderId="4" xfId="0" applyNumberFormat="1" applyFont="1" applyBorder="1" applyAlignment="1">
      <alignment horizontal="center" vertical="center"/>
    </xf>
    <xf numFmtId="0" fontId="20" fillId="0" borderId="40" xfId="0" applyNumberFormat="1" applyFont="1" applyBorder="1" applyAlignment="1">
      <alignment horizontal="center" vertical="center"/>
    </xf>
    <xf numFmtId="0" fontId="20" fillId="12" borderId="13" xfId="0" applyNumberFormat="1" applyFont="1" applyFill="1" applyBorder="1" applyAlignment="1">
      <alignment horizontal="center" vertical="center"/>
    </xf>
    <xf numFmtId="0" fontId="20" fillId="13" borderId="40" xfId="0" applyNumberFormat="1" applyFont="1" applyFill="1" applyBorder="1" applyAlignment="1">
      <alignment horizontal="center" vertical="center"/>
    </xf>
    <xf numFmtId="0" fontId="20" fillId="14" borderId="13" xfId="0" applyNumberFormat="1" applyFont="1" applyFill="1" applyBorder="1" applyAlignment="1">
      <alignment horizontal="center" vertical="center"/>
    </xf>
    <xf numFmtId="0" fontId="20" fillId="13" borderId="20" xfId="0" applyNumberFormat="1" applyFont="1" applyFill="1" applyBorder="1" applyAlignment="1">
      <alignment horizontal="center" vertical="center"/>
    </xf>
    <xf numFmtId="0" fontId="20" fillId="13" borderId="5" xfId="0" applyNumberFormat="1" applyFont="1" applyFill="1" applyBorder="1" applyAlignment="1">
      <alignment horizontal="center" vertical="center"/>
    </xf>
    <xf numFmtId="0" fontId="20" fillId="14" borderId="0" xfId="0" applyNumberFormat="1" applyFont="1" applyFill="1" applyAlignment="1">
      <alignment horizontal="center" vertical="center"/>
    </xf>
    <xf numFmtId="0" fontId="20" fillId="14" borderId="0" xfId="0" applyNumberFormat="1" applyFont="1" applyFill="1" applyBorder="1" applyAlignment="1">
      <alignment horizontal="center" vertical="center"/>
    </xf>
    <xf numFmtId="0" fontId="20" fillId="12" borderId="0" xfId="0" applyNumberFormat="1" applyFont="1" applyFill="1" applyAlignment="1">
      <alignment horizontal="center" vertical="center"/>
    </xf>
    <xf numFmtId="0" fontId="20" fillId="13" borderId="33" xfId="0" applyNumberFormat="1" applyFont="1" applyFill="1" applyBorder="1" applyAlignment="1">
      <alignment horizontal="center" vertical="center"/>
    </xf>
    <xf numFmtId="0" fontId="20" fillId="13" borderId="34" xfId="0" applyNumberFormat="1" applyFont="1" applyFill="1" applyBorder="1" applyAlignment="1">
      <alignment horizontal="center" vertical="center"/>
    </xf>
    <xf numFmtId="0" fontId="20" fillId="13" borderId="41" xfId="0" applyNumberFormat="1" applyFont="1" applyFill="1" applyBorder="1" applyAlignment="1">
      <alignment horizontal="center" vertical="center"/>
    </xf>
    <xf numFmtId="0" fontId="20" fillId="0" borderId="41" xfId="0" applyNumberFormat="1" applyFont="1" applyBorder="1" applyAlignment="1">
      <alignment horizontal="center" vertical="center"/>
    </xf>
    <xf numFmtId="0" fontId="46" fillId="11" borderId="8" xfId="0" applyFont="1" applyFill="1" applyBorder="1" applyAlignment="1">
      <alignment horizontal="center"/>
    </xf>
    <xf numFmtId="0" fontId="5" fillId="0" borderId="14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20" fillId="13" borderId="42" xfId="0" applyNumberFormat="1" applyFont="1" applyFill="1" applyBorder="1" applyAlignment="1">
      <alignment horizontal="center" vertical="center"/>
    </xf>
    <xf numFmtId="0" fontId="20" fillId="13" borderId="43" xfId="0" applyNumberFormat="1" applyFont="1" applyFill="1" applyBorder="1" applyAlignment="1">
      <alignment horizontal="center" vertical="center"/>
    </xf>
    <xf numFmtId="0" fontId="20" fillId="14" borderId="44" xfId="0" applyNumberFormat="1" applyFont="1" applyFill="1" applyBorder="1" applyAlignment="1">
      <alignment horizontal="center" vertical="center"/>
    </xf>
    <xf numFmtId="0" fontId="20" fillId="12" borderId="44" xfId="0" applyNumberFormat="1" applyFont="1" applyFill="1" applyBorder="1" applyAlignment="1">
      <alignment horizontal="center" vertical="center"/>
    </xf>
    <xf numFmtId="0" fontId="20" fillId="0" borderId="42" xfId="0" applyNumberFormat="1" applyFont="1" applyBorder="1" applyAlignment="1">
      <alignment horizontal="center" vertical="center"/>
    </xf>
    <xf numFmtId="0" fontId="20" fillId="0" borderId="43" xfId="0" applyNumberFormat="1" applyFont="1" applyBorder="1" applyAlignment="1">
      <alignment horizontal="center" vertical="center"/>
    </xf>
    <xf numFmtId="0" fontId="20" fillId="0" borderId="45" xfId="0" applyNumberFormat="1" applyFont="1" applyBorder="1" applyAlignment="1">
      <alignment horizontal="center" vertical="center"/>
    </xf>
    <xf numFmtId="0" fontId="20" fillId="12" borderId="28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20" fillId="14" borderId="46" xfId="0" applyNumberFormat="1" applyFont="1" applyFill="1" applyBorder="1" applyAlignment="1">
      <alignment horizontal="center" vertical="center"/>
    </xf>
    <xf numFmtId="0" fontId="20" fillId="12" borderId="46" xfId="0" applyNumberFormat="1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20" fillId="14" borderId="47" xfId="0" applyNumberFormat="1" applyFont="1" applyFill="1" applyBorder="1" applyAlignment="1">
      <alignment horizontal="center" vertical="center"/>
    </xf>
    <xf numFmtId="0" fontId="20" fillId="12" borderId="47" xfId="0" applyNumberFormat="1" applyFont="1" applyFill="1" applyBorder="1" applyAlignment="1">
      <alignment horizontal="center" vertical="center"/>
    </xf>
    <xf numFmtId="0" fontId="20" fillId="0" borderId="20" xfId="0" applyNumberFormat="1" applyFont="1" applyBorder="1" applyAlignment="1">
      <alignment horizontal="center" vertical="center"/>
    </xf>
    <xf numFmtId="0" fontId="20" fillId="0" borderId="5" xfId="0" applyNumberFormat="1" applyFont="1" applyBorder="1" applyAlignment="1">
      <alignment horizontal="center" vertical="center"/>
    </xf>
    <xf numFmtId="0" fontId="20" fillId="0" borderId="48" xfId="0" applyNumberFormat="1" applyFont="1" applyBorder="1" applyAlignment="1">
      <alignment horizontal="center" vertical="center"/>
    </xf>
    <xf numFmtId="0" fontId="20" fillId="12" borderId="17" xfId="0" applyNumberFormat="1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/>
    </xf>
    <xf numFmtId="0" fontId="20" fillId="0" borderId="49" xfId="0" applyFont="1" applyBorder="1" applyAlignment="1">
      <alignment horizontal="center" vertical="center"/>
    </xf>
    <xf numFmtId="0" fontId="4" fillId="0" borderId="36" xfId="0" applyFont="1" applyBorder="1"/>
    <xf numFmtId="0" fontId="20" fillId="4" borderId="40" xfId="0" applyNumberFormat="1" applyFont="1" applyFill="1" applyBorder="1" applyAlignment="1">
      <alignment horizontal="center" vertical="center"/>
    </xf>
    <xf numFmtId="0" fontId="47" fillId="0" borderId="2" xfId="0" applyFont="1" applyBorder="1" applyAlignment="1">
      <alignment horizontal="center" vertical="center" wrapText="1"/>
    </xf>
    <xf numFmtId="0" fontId="47" fillId="0" borderId="6" xfId="0" applyFont="1" applyBorder="1" applyAlignment="1">
      <alignment horizontal="center" vertical="center" wrapText="1"/>
    </xf>
    <xf numFmtId="0" fontId="47" fillId="0" borderId="26" xfId="0" applyFont="1" applyBorder="1" applyAlignment="1">
      <alignment horizontal="center" vertical="center" wrapText="1"/>
    </xf>
    <xf numFmtId="0" fontId="47" fillId="0" borderId="14" xfId="0" applyFont="1" applyBorder="1" applyAlignment="1">
      <alignment horizontal="center" vertical="center" wrapText="1"/>
    </xf>
    <xf numFmtId="0" fontId="47" fillId="0" borderId="8" xfId="0" applyFont="1" applyBorder="1" applyAlignment="1">
      <alignment horizontal="center" vertical="center" wrapText="1"/>
    </xf>
    <xf numFmtId="0" fontId="46" fillId="15" borderId="50" xfId="0" applyFont="1" applyFill="1" applyBorder="1" applyAlignment="1">
      <alignment horizontal="center"/>
    </xf>
    <xf numFmtId="14" fontId="46" fillId="16" borderId="0" xfId="0" applyNumberFormat="1" applyFont="1" applyFill="1" applyBorder="1" applyAlignment="1">
      <alignment horizontal="center" vertical="center" wrapText="1"/>
    </xf>
    <xf numFmtId="14" fontId="46" fillId="15" borderId="51" xfId="0" applyNumberFormat="1" applyFont="1" applyFill="1" applyBorder="1" applyAlignment="1">
      <alignment horizontal="center" vertical="center" wrapText="1"/>
    </xf>
    <xf numFmtId="0" fontId="20" fillId="17" borderId="38" xfId="0" applyNumberFormat="1" applyFont="1" applyFill="1" applyBorder="1" applyAlignment="1">
      <alignment horizontal="center" vertical="center"/>
    </xf>
    <xf numFmtId="0" fontId="20" fillId="18" borderId="46" xfId="0" applyNumberFormat="1" applyFont="1" applyFill="1" applyBorder="1" applyAlignment="1">
      <alignment horizontal="center" vertical="center"/>
    </xf>
    <xf numFmtId="0" fontId="48" fillId="17" borderId="38" xfId="0" applyNumberFormat="1" applyFont="1" applyFill="1" applyBorder="1" applyAlignment="1">
      <alignment horizontal="center" vertical="center"/>
    </xf>
    <xf numFmtId="0" fontId="20" fillId="18" borderId="19" xfId="0" applyNumberFormat="1" applyFont="1" applyFill="1" applyBorder="1" applyAlignment="1">
      <alignment horizontal="center" vertical="center"/>
    </xf>
    <xf numFmtId="0" fontId="20" fillId="17" borderId="3" xfId="0" applyNumberFormat="1" applyFont="1" applyFill="1" applyBorder="1" applyAlignment="1">
      <alignment horizontal="center" vertical="center"/>
    </xf>
    <xf numFmtId="14" fontId="46" fillId="15" borderId="52" xfId="0" applyNumberFormat="1" applyFont="1" applyFill="1" applyBorder="1" applyAlignment="1">
      <alignment horizontal="center" vertical="center" wrapText="1"/>
    </xf>
    <xf numFmtId="0" fontId="20" fillId="0" borderId="32" xfId="0" applyFont="1" applyBorder="1" applyAlignment="1">
      <alignment horizontal="center" vertical="center"/>
    </xf>
    <xf numFmtId="0" fontId="20" fillId="17" borderId="4" xfId="0" applyNumberFormat="1" applyFont="1" applyFill="1" applyBorder="1" applyAlignment="1">
      <alignment horizontal="center" vertical="center"/>
    </xf>
    <xf numFmtId="0" fontId="20" fillId="13" borderId="48" xfId="0" applyNumberFormat="1" applyFont="1" applyFill="1" applyBorder="1" applyAlignment="1">
      <alignment horizontal="center" vertical="center"/>
    </xf>
    <xf numFmtId="0" fontId="1" fillId="0" borderId="0" xfId="0" applyFont="1"/>
    <xf numFmtId="1" fontId="7" fillId="4" borderId="8" xfId="0" applyNumberFormat="1" applyFont="1" applyFill="1" applyBorder="1" applyAlignment="1">
      <alignment horizontal="center" vertical="center"/>
    </xf>
    <xf numFmtId="0" fontId="8" fillId="9" borderId="0" xfId="0" applyFont="1" applyFill="1" applyBorder="1" applyAlignment="1">
      <alignment horizontal="center" vertical="center" wrapText="1"/>
    </xf>
    <xf numFmtId="0" fontId="8" fillId="4" borderId="38" xfId="0" applyFont="1" applyFill="1" applyBorder="1" applyAlignment="1">
      <alignment horizontal="center" vertical="center" wrapText="1"/>
    </xf>
    <xf numFmtId="49" fontId="8" fillId="9" borderId="37" xfId="5" applyNumberFormat="1" applyFont="1" applyFill="1" applyBorder="1" applyAlignment="1" applyProtection="1">
      <alignment horizontal="center" vertical="center" wrapText="1"/>
    </xf>
    <xf numFmtId="0" fontId="8" fillId="9" borderId="36" xfId="0" applyFont="1" applyFill="1" applyBorder="1" applyAlignment="1">
      <alignment horizontal="left" vertical="center" wrapText="1"/>
    </xf>
    <xf numFmtId="0" fontId="8" fillId="4" borderId="40" xfId="0" applyFont="1" applyFill="1" applyBorder="1" applyAlignment="1">
      <alignment horizontal="center" vertical="center" wrapText="1"/>
    </xf>
    <xf numFmtId="0" fontId="8" fillId="9" borderId="37" xfId="0" applyFont="1" applyFill="1" applyBorder="1" applyAlignment="1">
      <alignment horizontal="center" vertical="center"/>
    </xf>
    <xf numFmtId="0" fontId="8" fillId="9" borderId="45" xfId="0" applyFont="1" applyFill="1" applyBorder="1" applyAlignment="1">
      <alignment horizontal="left" vertical="center" wrapText="1"/>
    </xf>
    <xf numFmtId="0" fontId="8" fillId="9" borderId="40" xfId="0" applyFont="1" applyFill="1" applyBorder="1" applyAlignment="1">
      <alignment horizontal="left" vertical="center" wrapText="1"/>
    </xf>
    <xf numFmtId="0" fontId="8" fillId="4" borderId="35" xfId="0" applyFont="1" applyFill="1" applyBorder="1" applyAlignment="1">
      <alignment vertical="center" wrapText="1"/>
    </xf>
    <xf numFmtId="0" fontId="8" fillId="4" borderId="53" xfId="0" applyFont="1" applyFill="1" applyBorder="1" applyAlignment="1">
      <alignment horizontal="center" vertical="center" wrapText="1"/>
    </xf>
    <xf numFmtId="0" fontId="8" fillId="4" borderId="54" xfId="5" applyFont="1" applyFill="1" applyBorder="1" applyAlignment="1" applyProtection="1">
      <alignment horizontal="center" vertical="center" wrapText="1"/>
    </xf>
    <xf numFmtId="0" fontId="8" fillId="4" borderId="53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14" fontId="9" fillId="4" borderId="11" xfId="0" applyNumberFormat="1" applyFont="1" applyFill="1" applyBorder="1" applyAlignment="1">
      <alignment horizontal="center" vertical="center"/>
    </xf>
    <xf numFmtId="14" fontId="9" fillId="4" borderId="49" xfId="0" applyNumberFormat="1" applyFont="1" applyFill="1" applyBorder="1" applyAlignment="1">
      <alignment horizontal="center" vertical="center"/>
    </xf>
    <xf numFmtId="14" fontId="9" fillId="4" borderId="43" xfId="0" applyNumberFormat="1" applyFont="1" applyFill="1" applyBorder="1" applyAlignment="1">
      <alignment horizontal="center" vertical="center"/>
    </xf>
    <xf numFmtId="14" fontId="9" fillId="4" borderId="4" xfId="0" applyNumberFormat="1" applyFont="1" applyFill="1" applyBorder="1" applyAlignment="1">
      <alignment horizontal="center" vertical="center"/>
    </xf>
    <xf numFmtId="0" fontId="32" fillId="0" borderId="0" xfId="0" applyFont="1"/>
    <xf numFmtId="1" fontId="33" fillId="8" borderId="53" xfId="0" applyNumberFormat="1" applyFont="1" applyFill="1" applyBorder="1" applyAlignment="1">
      <alignment horizontal="center" vertical="center"/>
    </xf>
    <xf numFmtId="1" fontId="33" fillId="8" borderId="36" xfId="0" applyNumberFormat="1" applyFont="1" applyFill="1" applyBorder="1" applyAlignment="1">
      <alignment horizontal="center" vertical="center"/>
    </xf>
    <xf numFmtId="1" fontId="33" fillId="8" borderId="45" xfId="0" applyNumberFormat="1" applyFont="1" applyFill="1" applyBorder="1" applyAlignment="1">
      <alignment horizontal="center" vertical="center"/>
    </xf>
    <xf numFmtId="1" fontId="33" fillId="8" borderId="40" xfId="0" applyNumberFormat="1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/>
    </xf>
    <xf numFmtId="0" fontId="4" fillId="6" borderId="26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0" fontId="4" fillId="6" borderId="43" xfId="0" applyFont="1" applyFill="1" applyBorder="1" applyAlignment="1">
      <alignment horizontal="center"/>
    </xf>
    <xf numFmtId="0" fontId="4" fillId="6" borderId="10" xfId="0" applyFont="1" applyFill="1" applyBorder="1" applyAlignment="1">
      <alignment horizontal="center"/>
    </xf>
    <xf numFmtId="0" fontId="4" fillId="6" borderId="42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 vertical="center"/>
    </xf>
    <xf numFmtId="0" fontId="4" fillId="6" borderId="26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43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43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42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42" xfId="0" applyFont="1" applyFill="1" applyBorder="1" applyAlignment="1">
      <alignment horizontal="center" vertical="center"/>
    </xf>
    <xf numFmtId="0" fontId="4" fillId="6" borderId="55" xfId="0" applyFont="1" applyFill="1" applyBorder="1" applyAlignment="1">
      <alignment horizontal="center"/>
    </xf>
    <xf numFmtId="0" fontId="4" fillId="6" borderId="56" xfId="0" applyFont="1" applyFill="1" applyBorder="1" applyAlignment="1">
      <alignment horizontal="center"/>
    </xf>
    <xf numFmtId="0" fontId="4" fillId="6" borderId="55" xfId="0" applyFont="1" applyFill="1" applyBorder="1" applyAlignment="1">
      <alignment horizontal="center" vertical="center"/>
    </xf>
    <xf numFmtId="0" fontId="4" fillId="6" borderId="56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/>
    </xf>
    <xf numFmtId="0" fontId="4" fillId="4" borderId="55" xfId="0" applyFont="1" applyFill="1" applyBorder="1" applyAlignment="1">
      <alignment horizontal="center" vertical="center"/>
    </xf>
    <xf numFmtId="0" fontId="4" fillId="4" borderId="56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4" fillId="5" borderId="56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/>
    </xf>
    <xf numFmtId="0" fontId="4" fillId="4" borderId="56" xfId="0" applyFont="1" applyFill="1" applyBorder="1" applyAlignment="1">
      <alignment horizontal="center"/>
    </xf>
    <xf numFmtId="0" fontId="4" fillId="4" borderId="24" xfId="0" applyFont="1" applyFill="1" applyBorder="1" applyAlignment="1">
      <alignment horizontal="center"/>
    </xf>
    <xf numFmtId="0" fontId="4" fillId="4" borderId="55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39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4" fillId="4" borderId="39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6" borderId="39" xfId="0" applyFont="1" applyFill="1" applyBorder="1" applyAlignment="1">
      <alignment horizontal="center"/>
    </xf>
    <xf numFmtId="0" fontId="4" fillId="6" borderId="14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6" borderId="39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 vertical="center"/>
    </xf>
    <xf numFmtId="0" fontId="4" fillId="5" borderId="39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168" fontId="22" fillId="0" borderId="57" xfId="0" applyNumberFormat="1" applyFont="1" applyBorder="1" applyAlignment="1">
      <alignment horizontal="right" vertical="center"/>
    </xf>
    <xf numFmtId="168" fontId="22" fillId="3" borderId="57" xfId="0" applyNumberFormat="1" applyFont="1" applyFill="1" applyBorder="1" applyAlignment="1">
      <alignment horizontal="right" vertical="center"/>
    </xf>
    <xf numFmtId="168" fontId="21" fillId="0" borderId="57" xfId="0" applyNumberFormat="1" applyFont="1" applyBorder="1" applyAlignment="1">
      <alignment horizontal="right" vertical="center"/>
    </xf>
    <xf numFmtId="169" fontId="21" fillId="3" borderId="57" xfId="0" applyNumberFormat="1" applyFont="1" applyFill="1" applyBorder="1" applyAlignment="1">
      <alignment horizontal="right" vertical="center"/>
    </xf>
    <xf numFmtId="1" fontId="30" fillId="0" borderId="2" xfId="0" applyNumberFormat="1" applyFont="1" applyFill="1" applyBorder="1" applyAlignment="1">
      <alignment horizontal="center" vertical="center" wrapText="1"/>
    </xf>
    <xf numFmtId="1" fontId="30" fillId="0" borderId="2" xfId="0" applyNumberFormat="1" applyFont="1" applyFill="1" applyBorder="1" applyAlignment="1">
      <alignment horizontal="center" vertical="center"/>
    </xf>
    <xf numFmtId="1" fontId="30" fillId="0" borderId="12" xfId="0" applyNumberFormat="1" applyFont="1" applyFill="1" applyBorder="1" applyAlignment="1">
      <alignment horizontal="center" vertical="center"/>
    </xf>
    <xf numFmtId="1" fontId="30" fillId="0" borderId="19" xfId="0" applyNumberFormat="1" applyFont="1" applyFill="1" applyBorder="1" applyAlignment="1">
      <alignment horizontal="center" vertical="center"/>
    </xf>
    <xf numFmtId="165" fontId="30" fillId="0" borderId="2" xfId="0" applyNumberFormat="1" applyFont="1" applyFill="1" applyBorder="1" applyAlignment="1">
      <alignment horizontal="center" vertical="center"/>
    </xf>
    <xf numFmtId="14" fontId="11" fillId="0" borderId="3" xfId="0" applyNumberFormat="1" applyFont="1" applyFill="1" applyBorder="1" applyAlignment="1">
      <alignment horizontal="center" vertical="center"/>
    </xf>
    <xf numFmtId="0" fontId="8" fillId="0" borderId="14" xfId="5" applyFont="1" applyFill="1" applyBorder="1" applyAlignment="1" applyProtection="1">
      <alignment horizontal="center" vertical="center" wrapText="1"/>
    </xf>
    <xf numFmtId="1" fontId="30" fillId="0" borderId="14" xfId="0" applyNumberFormat="1" applyFont="1" applyFill="1" applyBorder="1" applyAlignment="1">
      <alignment horizontal="center" vertical="center" wrapText="1"/>
    </xf>
    <xf numFmtId="1" fontId="30" fillId="0" borderId="14" xfId="0" applyNumberFormat="1" applyFont="1" applyFill="1" applyBorder="1" applyAlignment="1">
      <alignment horizontal="center" vertical="center"/>
    </xf>
    <xf numFmtId="1" fontId="30" fillId="0" borderId="15" xfId="0" applyNumberFormat="1" applyFont="1" applyFill="1" applyBorder="1" applyAlignment="1">
      <alignment horizontal="center" vertical="center"/>
    </xf>
    <xf numFmtId="1" fontId="30" fillId="0" borderId="13" xfId="0" applyNumberFormat="1" applyFont="1" applyFill="1" applyBorder="1" applyAlignment="1">
      <alignment horizontal="center" vertical="center"/>
    </xf>
    <xf numFmtId="165" fontId="30" fillId="0" borderId="14" xfId="0" applyNumberFormat="1" applyFont="1" applyFill="1" applyBorder="1" applyAlignment="1">
      <alignment horizontal="center" vertical="center"/>
    </xf>
    <xf numFmtId="14" fontId="11" fillId="0" borderId="4" xfId="0" applyNumberFormat="1" applyFont="1" applyFill="1" applyBorder="1" applyAlignment="1">
      <alignment horizontal="center" vertical="center"/>
    </xf>
    <xf numFmtId="0" fontId="29" fillId="0" borderId="14" xfId="0" applyFont="1" applyFill="1" applyBorder="1" applyAlignment="1">
      <alignment horizontal="left" vertical="center" wrapText="1"/>
    </xf>
    <xf numFmtId="0" fontId="29" fillId="0" borderId="14" xfId="0" applyFont="1" applyFill="1" applyBorder="1" applyAlignment="1">
      <alignment horizontal="center" vertical="center" wrapText="1"/>
    </xf>
    <xf numFmtId="0" fontId="29" fillId="0" borderId="6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/>
    </xf>
    <xf numFmtId="0" fontId="29" fillId="0" borderId="6" xfId="0" applyFont="1" applyFill="1" applyBorder="1" applyAlignment="1">
      <alignment horizontal="left" vertical="center" wrapText="1"/>
    </xf>
    <xf numFmtId="1" fontId="30" fillId="0" borderId="6" xfId="0" applyNumberFormat="1" applyFont="1" applyFill="1" applyBorder="1" applyAlignment="1">
      <alignment horizontal="center" vertical="center"/>
    </xf>
    <xf numFmtId="1" fontId="30" fillId="0" borderId="18" xfId="0" applyNumberFormat="1" applyFont="1" applyFill="1" applyBorder="1" applyAlignment="1">
      <alignment horizontal="center" vertical="center"/>
    </xf>
    <xf numFmtId="1" fontId="30" fillId="0" borderId="17" xfId="0" applyNumberFormat="1" applyFont="1" applyFill="1" applyBorder="1" applyAlignment="1">
      <alignment horizontal="center" vertical="center"/>
    </xf>
    <xf numFmtId="165" fontId="30" fillId="0" borderId="6" xfId="0" applyNumberFormat="1" applyFont="1" applyFill="1" applyBorder="1" applyAlignment="1">
      <alignment horizontal="center" vertical="center"/>
    </xf>
    <xf numFmtId="14" fontId="11" fillId="0" borderId="5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1" fontId="29" fillId="0" borderId="14" xfId="0" applyNumberFormat="1" applyFont="1" applyFill="1" applyBorder="1" applyAlignment="1">
      <alignment horizontal="left" vertical="center" wrapText="1"/>
    </xf>
    <xf numFmtId="0" fontId="29" fillId="0" borderId="15" xfId="0" applyFont="1" applyFill="1" applyBorder="1" applyAlignment="1">
      <alignment horizontal="left" vertical="center" wrapText="1"/>
    </xf>
    <xf numFmtId="0" fontId="29" fillId="0" borderId="13" xfId="0" applyFont="1" applyFill="1" applyBorder="1" applyAlignment="1">
      <alignment horizontal="left" vertical="center" wrapText="1"/>
    </xf>
    <xf numFmtId="0" fontId="29" fillId="0" borderId="4" xfId="0" applyFont="1" applyFill="1" applyBorder="1" applyAlignment="1">
      <alignment horizontal="center" vertical="center" wrapText="1"/>
    </xf>
    <xf numFmtId="0" fontId="29" fillId="0" borderId="26" xfId="0" applyFont="1" applyFill="1" applyBorder="1" applyAlignment="1">
      <alignment horizontal="center" vertical="center" wrapText="1"/>
    </xf>
    <xf numFmtId="0" fontId="8" fillId="0" borderId="26" xfId="0" applyFont="1" applyFill="1" applyBorder="1" applyAlignment="1">
      <alignment horizontal="center" vertical="center"/>
    </xf>
    <xf numFmtId="0" fontId="29" fillId="0" borderId="26" xfId="0" applyFont="1" applyFill="1" applyBorder="1" applyAlignment="1">
      <alignment horizontal="left" vertical="center" wrapText="1"/>
    </xf>
    <xf numFmtId="1" fontId="30" fillId="0" borderId="26" xfId="0" applyNumberFormat="1" applyFont="1" applyFill="1" applyBorder="1" applyAlignment="1">
      <alignment horizontal="center" vertical="center"/>
    </xf>
    <xf numFmtId="1" fontId="30" fillId="0" borderId="16" xfId="0" applyNumberFormat="1" applyFont="1" applyFill="1" applyBorder="1" applyAlignment="1">
      <alignment horizontal="center" vertical="center"/>
    </xf>
    <xf numFmtId="1" fontId="30" fillId="0" borderId="28" xfId="0" applyNumberFormat="1" applyFont="1" applyFill="1" applyBorder="1" applyAlignment="1">
      <alignment horizontal="center" vertical="center"/>
    </xf>
    <xf numFmtId="165" fontId="30" fillId="0" borderId="26" xfId="0" applyNumberFormat="1" applyFont="1" applyFill="1" applyBorder="1" applyAlignment="1">
      <alignment horizontal="center" vertical="center"/>
    </xf>
    <xf numFmtId="14" fontId="11" fillId="0" borderId="43" xfId="0" applyNumberFormat="1" applyFont="1" applyFill="1" applyBorder="1" applyAlignment="1">
      <alignment horizontal="center" vertical="center"/>
    </xf>
    <xf numFmtId="0" fontId="29" fillId="0" borderId="8" xfId="0" applyFont="1" applyFill="1" applyBorder="1" applyAlignment="1">
      <alignment horizontal="center" vertical="center" wrapText="1"/>
    </xf>
    <xf numFmtId="0" fontId="8" fillId="0" borderId="8" xfId="5" applyFont="1" applyFill="1" applyBorder="1" applyAlignment="1" applyProtection="1">
      <alignment horizontal="center" vertical="center" wrapText="1"/>
    </xf>
    <xf numFmtId="0" fontId="29" fillId="0" borderId="8" xfId="0" applyFont="1" applyFill="1" applyBorder="1" applyAlignment="1">
      <alignment horizontal="left" vertical="center" wrapText="1"/>
    </xf>
    <xf numFmtId="1" fontId="29" fillId="0" borderId="8" xfId="0" applyNumberFormat="1" applyFont="1" applyFill="1" applyBorder="1" applyAlignment="1">
      <alignment horizontal="left" vertical="center" wrapText="1"/>
    </xf>
    <xf numFmtId="0" fontId="29" fillId="0" borderId="9" xfId="0" applyFont="1" applyFill="1" applyBorder="1" applyAlignment="1">
      <alignment horizontal="left" vertical="center" wrapText="1"/>
    </xf>
    <xf numFmtId="0" fontId="29" fillId="0" borderId="7" xfId="0" applyFont="1" applyFill="1" applyBorder="1" applyAlignment="1">
      <alignment horizontal="left" vertical="center" wrapText="1"/>
    </xf>
    <xf numFmtId="165" fontId="30" fillId="0" borderId="8" xfId="0" applyNumberFormat="1" applyFont="1" applyFill="1" applyBorder="1" applyAlignment="1">
      <alignment horizontal="center" vertical="center"/>
    </xf>
    <xf numFmtId="0" fontId="29" fillId="0" borderId="11" xfId="0" applyFont="1" applyFill="1" applyBorder="1" applyAlignment="1">
      <alignment horizontal="center" vertical="center" wrapText="1"/>
    </xf>
    <xf numFmtId="0" fontId="49" fillId="0" borderId="2" xfId="0" applyFont="1" applyFill="1" applyBorder="1" applyAlignment="1">
      <alignment horizontal="left" vertical="center" wrapText="1"/>
    </xf>
    <xf numFmtId="1" fontId="30" fillId="0" borderId="6" xfId="0" applyNumberFormat="1" applyFont="1" applyFill="1" applyBorder="1" applyAlignment="1">
      <alignment horizontal="center" vertical="center" wrapText="1"/>
    </xf>
    <xf numFmtId="0" fontId="29" fillId="0" borderId="19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29" fillId="0" borderId="13" xfId="0" applyFont="1" applyFill="1" applyBorder="1" applyAlignment="1">
      <alignment horizontal="center" vertical="center" wrapText="1"/>
    </xf>
    <xf numFmtId="49" fontId="8" fillId="0" borderId="14" xfId="5" applyNumberFormat="1" applyFont="1" applyFill="1" applyBorder="1" applyAlignment="1" applyProtection="1">
      <alignment horizontal="center" vertical="center" wrapText="1"/>
    </xf>
    <xf numFmtId="1" fontId="30" fillId="0" borderId="8" xfId="0" applyNumberFormat="1" applyFont="1" applyFill="1" applyBorder="1" applyAlignment="1">
      <alignment horizontal="center" vertical="center" wrapText="1"/>
    </xf>
    <xf numFmtId="1" fontId="30" fillId="0" borderId="8" xfId="0" applyNumberFormat="1" applyFont="1" applyFill="1" applyBorder="1" applyAlignment="1">
      <alignment horizontal="center" vertical="center"/>
    </xf>
    <xf numFmtId="1" fontId="30" fillId="0" borderId="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0" fontId="29" fillId="0" borderId="17" xfId="0" applyFont="1" applyFill="1" applyBorder="1" applyAlignment="1">
      <alignment horizontal="center" vertical="center" wrapText="1"/>
    </xf>
    <xf numFmtId="0" fontId="50" fillId="0" borderId="6" xfId="0" applyFont="1" applyFill="1" applyBorder="1" applyAlignment="1">
      <alignment horizontal="center" vertical="center" wrapText="1"/>
    </xf>
    <xf numFmtId="0" fontId="49" fillId="0" borderId="6" xfId="0" applyFont="1" applyFill="1" applyBorder="1" applyAlignment="1">
      <alignment horizontal="left" vertical="center" wrapText="1"/>
    </xf>
    <xf numFmtId="0" fontId="29" fillId="0" borderId="58" xfId="0" applyFont="1" applyFill="1" applyBorder="1" applyAlignment="1">
      <alignment horizontal="center" vertical="center" wrapText="1"/>
    </xf>
    <xf numFmtId="0" fontId="8" fillId="0" borderId="58" xfId="5" applyFont="1" applyFill="1" applyBorder="1" applyAlignment="1" applyProtection="1">
      <alignment horizontal="center" vertical="center" wrapText="1"/>
    </xf>
    <xf numFmtId="1" fontId="30" fillId="0" borderId="58" xfId="0" applyNumberFormat="1" applyFont="1" applyFill="1" applyBorder="1" applyAlignment="1">
      <alignment horizontal="center" vertical="center" wrapText="1"/>
    </xf>
    <xf numFmtId="1" fontId="30" fillId="0" borderId="58" xfId="0" applyNumberFormat="1" applyFont="1" applyFill="1" applyBorder="1" applyAlignment="1">
      <alignment horizontal="center" vertical="center"/>
    </xf>
    <xf numFmtId="1" fontId="30" fillId="0" borderId="59" xfId="0" applyNumberFormat="1" applyFont="1" applyFill="1" applyBorder="1" applyAlignment="1">
      <alignment horizontal="center" vertical="center"/>
    </xf>
    <xf numFmtId="165" fontId="30" fillId="0" borderId="58" xfId="0" applyNumberFormat="1" applyFont="1" applyFill="1" applyBorder="1" applyAlignment="1">
      <alignment horizontal="center" vertical="center"/>
    </xf>
    <xf numFmtId="14" fontId="11" fillId="0" borderId="60" xfId="0" applyNumberFormat="1" applyFont="1" applyFill="1" applyBorder="1" applyAlignment="1">
      <alignment horizontal="center" vertical="center"/>
    </xf>
    <xf numFmtId="0" fontId="50" fillId="0" borderId="2" xfId="0" applyFont="1" applyFill="1" applyBorder="1" applyAlignment="1">
      <alignment horizontal="center" vertical="center" wrapText="1"/>
    </xf>
    <xf numFmtId="0" fontId="29" fillId="0" borderId="24" xfId="0" applyFont="1" applyFill="1" applyBorder="1" applyAlignment="1">
      <alignment vertical="center" wrapText="1"/>
    </xf>
    <xf numFmtId="1" fontId="29" fillId="0" borderId="26" xfId="0" applyNumberFormat="1" applyFont="1" applyFill="1" applyBorder="1" applyAlignment="1">
      <alignment horizontal="left" vertical="center" wrapText="1"/>
    </xf>
    <xf numFmtId="0" fontId="29" fillId="0" borderId="16" xfId="0" applyFont="1" applyFill="1" applyBorder="1" applyAlignment="1">
      <alignment horizontal="left" vertical="center" wrapText="1"/>
    </xf>
    <xf numFmtId="0" fontId="14" fillId="0" borderId="61" xfId="0" applyFont="1" applyFill="1" applyBorder="1" applyAlignment="1">
      <alignment horizontal="left" vertical="center" wrapText="1"/>
    </xf>
    <xf numFmtId="0" fontId="8" fillId="0" borderId="8" xfId="0" applyFont="1" applyFill="1" applyBorder="1" applyAlignment="1">
      <alignment horizontal="center" vertical="center"/>
    </xf>
    <xf numFmtId="0" fontId="14" fillId="0" borderId="62" xfId="0" applyFont="1" applyFill="1" applyBorder="1" applyAlignment="1">
      <alignment horizontal="left" vertical="center" wrapText="1"/>
    </xf>
    <xf numFmtId="0" fontId="11" fillId="0" borderId="33" xfId="0" applyFont="1" applyFill="1" applyBorder="1" applyAlignment="1">
      <alignment vertical="center"/>
    </xf>
    <xf numFmtId="0" fontId="9" fillId="0" borderId="63" xfId="0" applyFont="1" applyFill="1" applyBorder="1" applyAlignment="1">
      <alignment horizontal="center" vertical="center"/>
    </xf>
    <xf numFmtId="0" fontId="11" fillId="0" borderId="2" xfId="0" applyFont="1" applyFill="1" applyBorder="1"/>
    <xf numFmtId="1" fontId="31" fillId="0" borderId="64" xfId="0" applyNumberFormat="1" applyFont="1" applyFill="1" applyBorder="1" applyAlignment="1">
      <alignment horizontal="center" vertical="center"/>
    </xf>
    <xf numFmtId="0" fontId="11" fillId="0" borderId="6" xfId="0" applyFont="1" applyFill="1" applyBorder="1"/>
    <xf numFmtId="0" fontId="11" fillId="0" borderId="14" xfId="0" applyFont="1" applyFill="1" applyBorder="1"/>
    <xf numFmtId="0" fontId="11" fillId="0" borderId="65" xfId="0" applyFont="1" applyFill="1" applyBorder="1" applyAlignment="1">
      <alignment vertical="center"/>
    </xf>
    <xf numFmtId="0" fontId="11" fillId="0" borderId="51" xfId="0" applyFont="1" applyFill="1" applyBorder="1" applyAlignment="1">
      <alignment vertical="center"/>
    </xf>
    <xf numFmtId="0" fontId="9" fillId="0" borderId="66" xfId="0" applyFont="1" applyFill="1" applyBorder="1" applyAlignment="1">
      <alignment horizontal="center" vertical="center"/>
    </xf>
    <xf numFmtId="0" fontId="11" fillId="0" borderId="31" xfId="0" applyFont="1" applyFill="1" applyBorder="1"/>
    <xf numFmtId="0" fontId="9" fillId="0" borderId="66" xfId="0" applyFont="1" applyFill="1" applyBorder="1" applyAlignment="1">
      <alignment horizontal="center"/>
    </xf>
    <xf numFmtId="0" fontId="11" fillId="0" borderId="58" xfId="0" applyFont="1" applyFill="1" applyBorder="1"/>
    <xf numFmtId="1" fontId="30" fillId="0" borderId="9" xfId="0" applyNumberFormat="1" applyFont="1" applyFill="1" applyBorder="1" applyAlignment="1">
      <alignment horizontal="center" vertical="center"/>
    </xf>
    <xf numFmtId="1" fontId="31" fillId="0" borderId="62" xfId="0" applyNumberFormat="1" applyFont="1" applyFill="1" applyBorder="1" applyAlignment="1">
      <alignment horizontal="center" vertical="center"/>
    </xf>
    <xf numFmtId="0" fontId="8" fillId="7" borderId="2" xfId="5" applyFont="1" applyFill="1" applyBorder="1" applyAlignment="1" applyProtection="1">
      <alignment horizontal="center" vertical="center" wrapText="1"/>
    </xf>
    <xf numFmtId="1" fontId="30" fillId="7" borderId="2" xfId="0" applyNumberFormat="1" applyFont="1" applyFill="1" applyBorder="1" applyAlignment="1">
      <alignment horizontal="center" vertical="center" wrapText="1"/>
    </xf>
    <xf numFmtId="1" fontId="30" fillId="7" borderId="2" xfId="0" applyNumberFormat="1" applyFont="1" applyFill="1" applyBorder="1" applyAlignment="1">
      <alignment horizontal="center" vertical="center"/>
    </xf>
    <xf numFmtId="1" fontId="30" fillId="7" borderId="12" xfId="0" applyNumberFormat="1" applyFont="1" applyFill="1" applyBorder="1" applyAlignment="1">
      <alignment horizontal="center" vertical="center"/>
    </xf>
    <xf numFmtId="1" fontId="30" fillId="7" borderId="19" xfId="0" applyNumberFormat="1" applyFont="1" applyFill="1" applyBorder="1" applyAlignment="1">
      <alignment horizontal="center" vertical="center"/>
    </xf>
    <xf numFmtId="165" fontId="30" fillId="7" borderId="2" xfId="0" applyNumberFormat="1" applyFont="1" applyFill="1" applyBorder="1" applyAlignment="1">
      <alignment horizontal="center" vertical="center"/>
    </xf>
    <xf numFmtId="14" fontId="11" fillId="7" borderId="3" xfId="0" applyNumberFormat="1" applyFont="1" applyFill="1" applyBorder="1" applyAlignment="1">
      <alignment horizontal="center" vertical="center"/>
    </xf>
    <xf numFmtId="0" fontId="8" fillId="7" borderId="14" xfId="5" applyFont="1" applyFill="1" applyBorder="1" applyAlignment="1" applyProtection="1">
      <alignment horizontal="center" vertical="center" wrapText="1"/>
    </xf>
    <xf numFmtId="1" fontId="30" fillId="7" borderId="14" xfId="0" applyNumberFormat="1" applyFont="1" applyFill="1" applyBorder="1" applyAlignment="1">
      <alignment horizontal="center" vertical="center" wrapText="1"/>
    </xf>
    <xf numFmtId="1" fontId="30" fillId="7" borderId="14" xfId="0" applyNumberFormat="1" applyFont="1" applyFill="1" applyBorder="1" applyAlignment="1">
      <alignment horizontal="center" vertical="center"/>
    </xf>
    <xf numFmtId="1" fontId="30" fillId="7" borderId="15" xfId="0" applyNumberFormat="1" applyFont="1" applyFill="1" applyBorder="1" applyAlignment="1">
      <alignment horizontal="center" vertical="center"/>
    </xf>
    <xf numFmtId="1" fontId="30" fillId="7" borderId="13" xfId="0" applyNumberFormat="1" applyFont="1" applyFill="1" applyBorder="1" applyAlignment="1">
      <alignment horizontal="center" vertical="center"/>
    </xf>
    <xf numFmtId="165" fontId="30" fillId="7" borderId="14" xfId="0" applyNumberFormat="1" applyFont="1" applyFill="1" applyBorder="1" applyAlignment="1">
      <alignment horizontal="center" vertical="center"/>
    </xf>
    <xf numFmtId="14" fontId="11" fillId="7" borderId="4" xfId="0" applyNumberFormat="1" applyFont="1" applyFill="1" applyBorder="1" applyAlignment="1">
      <alignment horizontal="center" vertical="center"/>
    </xf>
    <xf numFmtId="0" fontId="29" fillId="7" borderId="14" xfId="0" applyFont="1" applyFill="1" applyBorder="1" applyAlignment="1">
      <alignment horizontal="left" vertical="center" wrapText="1"/>
    </xf>
    <xf numFmtId="0" fontId="29" fillId="7" borderId="14" xfId="0" applyFont="1" applyFill="1" applyBorder="1" applyAlignment="1">
      <alignment horizontal="center" vertical="center" wrapText="1"/>
    </xf>
    <xf numFmtId="0" fontId="29" fillId="7" borderId="6" xfId="0" applyFont="1" applyFill="1" applyBorder="1" applyAlignment="1">
      <alignment horizontal="center" vertical="center" wrapText="1"/>
    </xf>
    <xf numFmtId="0" fontId="8" fillId="7" borderId="6" xfId="0" applyFont="1" applyFill="1" applyBorder="1" applyAlignment="1">
      <alignment horizontal="center" vertical="center"/>
    </xf>
    <xf numFmtId="1" fontId="30" fillId="7" borderId="6" xfId="0" applyNumberFormat="1" applyFont="1" applyFill="1" applyBorder="1" applyAlignment="1">
      <alignment horizontal="center" vertical="center"/>
    </xf>
    <xf numFmtId="1" fontId="30" fillId="7" borderId="18" xfId="0" applyNumberFormat="1" applyFont="1" applyFill="1" applyBorder="1" applyAlignment="1">
      <alignment horizontal="center" vertical="center"/>
    </xf>
    <xf numFmtId="1" fontId="30" fillId="7" borderId="17" xfId="0" applyNumberFormat="1" applyFont="1" applyFill="1" applyBorder="1" applyAlignment="1">
      <alignment horizontal="center" vertical="center"/>
    </xf>
    <xf numFmtId="165" fontId="30" fillId="7" borderId="6" xfId="0" applyNumberFormat="1" applyFont="1" applyFill="1" applyBorder="1" applyAlignment="1">
      <alignment horizontal="center" vertical="center"/>
    </xf>
    <xf numFmtId="14" fontId="11" fillId="7" borderId="5" xfId="0" applyNumberFormat="1" applyFont="1" applyFill="1" applyBorder="1" applyAlignment="1">
      <alignment horizontal="center" vertical="center"/>
    </xf>
    <xf numFmtId="0" fontId="29" fillId="7" borderId="2" xfId="0" applyFont="1" applyFill="1" applyBorder="1" applyAlignment="1">
      <alignment horizontal="center" vertical="center" wrapText="1"/>
    </xf>
    <xf numFmtId="0" fontId="8" fillId="7" borderId="14" xfId="0" applyFont="1" applyFill="1" applyBorder="1" applyAlignment="1">
      <alignment horizontal="center" vertical="center"/>
    </xf>
    <xf numFmtId="0" fontId="8" fillId="7" borderId="14" xfId="0" applyFont="1" applyFill="1" applyBorder="1" applyAlignment="1">
      <alignment horizontal="center" vertical="center" wrapText="1"/>
    </xf>
    <xf numFmtId="1" fontId="29" fillId="7" borderId="14" xfId="0" applyNumberFormat="1" applyFont="1" applyFill="1" applyBorder="1" applyAlignment="1">
      <alignment horizontal="left" vertical="center" wrapText="1"/>
    </xf>
    <xf numFmtId="0" fontId="29" fillId="7" borderId="15" xfId="0" applyFont="1" applyFill="1" applyBorder="1" applyAlignment="1">
      <alignment horizontal="left" vertical="center" wrapText="1"/>
    </xf>
    <xf numFmtId="0" fontId="29" fillId="7" borderId="13" xfId="0" applyFont="1" applyFill="1" applyBorder="1" applyAlignment="1">
      <alignment horizontal="left" vertical="center" wrapText="1"/>
    </xf>
    <xf numFmtId="1" fontId="30" fillId="7" borderId="6" xfId="0" applyNumberFormat="1" applyFont="1" applyFill="1" applyBorder="1" applyAlignment="1">
      <alignment horizontal="center" vertical="center" wrapText="1"/>
    </xf>
    <xf numFmtId="0" fontId="29" fillId="7" borderId="28" xfId="0" applyFont="1" applyFill="1" applyBorder="1" applyAlignment="1">
      <alignment horizontal="center" vertical="center" wrapText="1"/>
    </xf>
    <xf numFmtId="0" fontId="8" fillId="7" borderId="26" xfId="5" applyFont="1" applyFill="1" applyBorder="1" applyAlignment="1" applyProtection="1">
      <alignment horizontal="center" vertical="center" wrapText="1"/>
    </xf>
    <xf numFmtId="1" fontId="30" fillId="7" borderId="26" xfId="0" applyNumberFormat="1" applyFont="1" applyFill="1" applyBorder="1" applyAlignment="1">
      <alignment horizontal="center" vertical="center" wrapText="1"/>
    </xf>
    <xf numFmtId="1" fontId="30" fillId="7" borderId="26" xfId="0" applyNumberFormat="1" applyFont="1" applyFill="1" applyBorder="1" applyAlignment="1">
      <alignment horizontal="center" vertical="center"/>
    </xf>
    <xf numFmtId="1" fontId="30" fillId="7" borderId="16" xfId="0" applyNumberFormat="1" applyFont="1" applyFill="1" applyBorder="1" applyAlignment="1">
      <alignment horizontal="center" vertical="center"/>
    </xf>
    <xf numFmtId="1" fontId="30" fillId="7" borderId="28" xfId="0" applyNumberFormat="1" applyFont="1" applyFill="1" applyBorder="1" applyAlignment="1">
      <alignment horizontal="center" vertical="center"/>
    </xf>
    <xf numFmtId="165" fontId="30" fillId="7" borderId="26" xfId="0" applyNumberFormat="1" applyFont="1" applyFill="1" applyBorder="1" applyAlignment="1">
      <alignment horizontal="center" vertical="center"/>
    </xf>
    <xf numFmtId="14" fontId="11" fillId="7" borderId="43" xfId="0" applyNumberFormat="1" applyFont="1" applyFill="1" applyBorder="1" applyAlignment="1">
      <alignment horizontal="center" vertical="center"/>
    </xf>
    <xf numFmtId="0" fontId="29" fillId="7" borderId="13" xfId="0" applyFont="1" applyFill="1" applyBorder="1" applyAlignment="1">
      <alignment horizontal="center" vertical="center" wrapText="1"/>
    </xf>
    <xf numFmtId="0" fontId="50" fillId="7" borderId="14" xfId="0" applyFont="1" applyFill="1" applyBorder="1" applyAlignment="1">
      <alignment horizontal="center" vertical="center" wrapText="1"/>
    </xf>
    <xf numFmtId="0" fontId="49" fillId="7" borderId="14" xfId="0" applyFont="1" applyFill="1" applyBorder="1" applyAlignment="1">
      <alignment horizontal="left" vertical="center" wrapText="1"/>
    </xf>
    <xf numFmtId="0" fontId="50" fillId="7" borderId="6" xfId="0" applyFont="1" applyFill="1" applyBorder="1" applyAlignment="1">
      <alignment horizontal="center" vertical="center" wrapText="1"/>
    </xf>
    <xf numFmtId="0" fontId="49" fillId="7" borderId="6" xfId="0" applyFont="1" applyFill="1" applyBorder="1" applyAlignment="1">
      <alignment horizontal="left" vertical="center" wrapText="1"/>
    </xf>
    <xf numFmtId="0" fontId="11" fillId="7" borderId="13" xfId="0" applyFont="1" applyFill="1" applyBorder="1" applyAlignment="1">
      <alignment horizontal="center" vertical="center" wrapText="1"/>
    </xf>
    <xf numFmtId="0" fontId="34" fillId="7" borderId="2" xfId="5" applyFont="1" applyFill="1" applyBorder="1" applyAlignment="1" applyProtection="1">
      <alignment horizontal="left" vertical="center" wrapText="1"/>
    </xf>
    <xf numFmtId="0" fontId="34" fillId="7" borderId="14" xfId="5" applyFont="1" applyFill="1" applyBorder="1" applyAlignment="1" applyProtection="1">
      <alignment horizontal="left" vertical="center" wrapText="1"/>
    </xf>
    <xf numFmtId="0" fontId="34" fillId="7" borderId="14" xfId="0" applyFont="1" applyFill="1" applyBorder="1" applyAlignment="1">
      <alignment horizontal="left" vertical="center" wrapText="1"/>
    </xf>
    <xf numFmtId="0" fontId="34" fillId="7" borderId="6" xfId="0" applyFont="1" applyFill="1" applyBorder="1" applyAlignment="1">
      <alignment horizontal="left" vertical="center" wrapText="1"/>
    </xf>
    <xf numFmtId="0" fontId="34" fillId="0" borderId="2" xfId="0" applyFont="1" applyFill="1" applyBorder="1" applyAlignment="1">
      <alignment horizontal="left" vertical="center" wrapText="1"/>
    </xf>
    <xf numFmtId="0" fontId="34" fillId="0" borderId="14" xfId="0" applyFont="1" applyFill="1" applyBorder="1" applyAlignment="1">
      <alignment horizontal="left" vertical="center" wrapText="1"/>
    </xf>
    <xf numFmtId="0" fontId="34" fillId="0" borderId="6" xfId="0" applyFont="1" applyFill="1" applyBorder="1" applyAlignment="1">
      <alignment horizontal="left" vertical="center" wrapText="1"/>
    </xf>
    <xf numFmtId="0" fontId="34" fillId="0" borderId="26" xfId="0" applyFont="1" applyFill="1" applyBorder="1" applyAlignment="1">
      <alignment horizontal="left" vertical="center" wrapText="1"/>
    </xf>
    <xf numFmtId="0" fontId="34" fillId="0" borderId="8" xfId="0" applyFont="1" applyFill="1" applyBorder="1" applyAlignment="1">
      <alignment horizontal="left" vertical="center" wrapText="1"/>
    </xf>
    <xf numFmtId="0" fontId="51" fillId="7" borderId="2" xfId="0" applyFont="1" applyFill="1" applyBorder="1" applyAlignment="1">
      <alignment horizontal="left" vertical="center" wrapText="1"/>
    </xf>
    <xf numFmtId="0" fontId="34" fillId="0" borderId="14" xfId="5" applyFont="1" applyFill="1" applyBorder="1" applyAlignment="1" applyProtection="1">
      <alignment horizontal="left" vertical="center" wrapText="1"/>
    </xf>
    <xf numFmtId="0" fontId="34" fillId="0" borderId="8" xfId="5" applyFont="1" applyFill="1" applyBorder="1" applyAlignment="1" applyProtection="1">
      <alignment horizontal="left" vertical="center" wrapText="1"/>
    </xf>
    <xf numFmtId="0" fontId="34" fillId="7" borderId="26" xfId="0" applyFont="1" applyFill="1" applyBorder="1" applyAlignment="1">
      <alignment horizontal="left" vertical="center" wrapText="1"/>
    </xf>
    <xf numFmtId="0" fontId="51" fillId="7" borderId="14" xfId="0" applyFont="1" applyFill="1" applyBorder="1" applyAlignment="1">
      <alignment horizontal="left" vertical="center" wrapText="1"/>
    </xf>
    <xf numFmtId="0" fontId="51" fillId="7" borderId="6" xfId="0" applyFont="1" applyFill="1" applyBorder="1" applyAlignment="1">
      <alignment horizontal="left" vertical="center" wrapText="1"/>
    </xf>
    <xf numFmtId="0" fontId="34" fillId="0" borderId="58" xfId="5" applyFont="1" applyFill="1" applyBorder="1" applyAlignment="1" applyProtection="1">
      <alignment horizontal="left" vertical="center" wrapText="1"/>
    </xf>
    <xf numFmtId="0" fontId="34" fillId="7" borderId="26" xfId="5" applyFont="1" applyFill="1" applyBorder="1" applyAlignment="1" applyProtection="1">
      <alignment horizontal="left" vertical="center" wrapText="1"/>
    </xf>
    <xf numFmtId="0" fontId="32" fillId="0" borderId="2" xfId="0" applyFont="1" applyFill="1" applyBorder="1"/>
    <xf numFmtId="0" fontId="32" fillId="0" borderId="6" xfId="0" applyFont="1" applyFill="1" applyBorder="1"/>
    <xf numFmtId="0" fontId="32" fillId="0" borderId="14" xfId="0" applyFont="1" applyFill="1" applyBorder="1"/>
    <xf numFmtId="0" fontId="32" fillId="0" borderId="31" xfId="0" applyFont="1" applyFill="1" applyBorder="1"/>
    <xf numFmtId="0" fontId="32" fillId="0" borderId="58" xfId="0" applyFont="1" applyFill="1" applyBorder="1"/>
    <xf numFmtId="0" fontId="32" fillId="0" borderId="42" xfId="0" applyFont="1" applyFill="1" applyBorder="1" applyAlignment="1">
      <alignment vertical="center" wrapText="1"/>
    </xf>
    <xf numFmtId="0" fontId="32" fillId="0" borderId="39" xfId="0" applyFont="1" applyFill="1" applyBorder="1" applyAlignment="1">
      <alignment vertical="center" wrapText="1"/>
    </xf>
    <xf numFmtId="0" fontId="32" fillId="0" borderId="10" xfId="0" applyFont="1" applyFill="1" applyBorder="1" applyAlignment="1">
      <alignment vertical="center" wrapText="1"/>
    </xf>
    <xf numFmtId="0" fontId="34" fillId="0" borderId="63" xfId="0" applyFont="1" applyFill="1" applyBorder="1" applyAlignment="1">
      <alignment vertical="center" wrapText="1"/>
    </xf>
    <xf numFmtId="0" fontId="34" fillId="0" borderId="56" xfId="0" applyFont="1" applyFill="1" applyBorder="1" applyAlignment="1">
      <alignment vertical="center" wrapText="1"/>
    </xf>
    <xf numFmtId="0" fontId="34" fillId="0" borderId="42" xfId="0" applyFont="1" applyFill="1" applyBorder="1" applyAlignment="1">
      <alignment vertical="center" wrapText="1"/>
    </xf>
    <xf numFmtId="0" fontId="32" fillId="0" borderId="53" xfId="0" applyFont="1" applyFill="1" applyBorder="1" applyAlignment="1">
      <alignment vertical="center"/>
    </xf>
    <xf numFmtId="0" fontId="32" fillId="0" borderId="41" xfId="0" applyFont="1" applyFill="1" applyBorder="1" applyAlignment="1">
      <alignment vertical="center"/>
    </xf>
    <xf numFmtId="0" fontId="32" fillId="0" borderId="67" xfId="0" applyFont="1" applyFill="1" applyBorder="1" applyAlignment="1">
      <alignment vertical="center"/>
    </xf>
    <xf numFmtId="0" fontId="32" fillId="0" borderId="35" xfId="0" applyFont="1" applyFill="1" applyBorder="1" applyAlignment="1">
      <alignment vertical="center"/>
    </xf>
    <xf numFmtId="1" fontId="35" fillId="8" borderId="38" xfId="0" applyNumberFormat="1" applyFont="1" applyFill="1" applyBorder="1" applyAlignment="1">
      <alignment horizontal="center" vertical="center"/>
    </xf>
    <xf numFmtId="1" fontId="35" fillId="8" borderId="40" xfId="0" applyNumberFormat="1" applyFont="1" applyFill="1" applyBorder="1" applyAlignment="1">
      <alignment horizontal="center" vertical="center"/>
    </xf>
    <xf numFmtId="1" fontId="35" fillId="8" borderId="48" xfId="0" applyNumberFormat="1" applyFont="1" applyFill="1" applyBorder="1" applyAlignment="1">
      <alignment horizontal="center" vertical="center"/>
    </xf>
    <xf numFmtId="0" fontId="17" fillId="8" borderId="40" xfId="0" applyFont="1" applyFill="1" applyBorder="1" applyAlignment="1">
      <alignment horizontal="left" vertical="center" wrapText="1"/>
    </xf>
    <xf numFmtId="1" fontId="35" fillId="8" borderId="45" xfId="0" applyNumberFormat="1" applyFont="1" applyFill="1" applyBorder="1" applyAlignment="1">
      <alignment horizontal="center" vertical="center"/>
    </xf>
    <xf numFmtId="0" fontId="17" fillId="8" borderId="53" xfId="0" applyFont="1" applyFill="1" applyBorder="1" applyAlignment="1">
      <alignment horizontal="left" vertical="center" wrapText="1"/>
    </xf>
    <xf numFmtId="1" fontId="35" fillId="8" borderId="53" xfId="0" applyNumberFormat="1" applyFont="1" applyFill="1" applyBorder="1" applyAlignment="1">
      <alignment horizontal="center" vertical="center"/>
    </xf>
    <xf numFmtId="0" fontId="17" fillId="8" borderId="45" xfId="0" applyFont="1" applyFill="1" applyBorder="1" applyAlignment="1">
      <alignment horizontal="left" vertical="center" wrapText="1"/>
    </xf>
    <xf numFmtId="1" fontId="35" fillId="8" borderId="35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28" fillId="9" borderId="28" xfId="0" applyFont="1" applyFill="1" applyBorder="1" applyAlignment="1">
      <alignment horizontal="center" vertical="center" wrapText="1"/>
    </xf>
    <xf numFmtId="0" fontId="50" fillId="9" borderId="24" xfId="0" applyFont="1" applyFill="1" applyBorder="1" applyAlignment="1">
      <alignment horizontal="left" vertical="center" wrapText="1"/>
    </xf>
    <xf numFmtId="1" fontId="7" fillId="9" borderId="24" xfId="0" applyNumberFormat="1" applyFont="1" applyFill="1" applyBorder="1" applyAlignment="1">
      <alignment horizontal="center" vertical="center"/>
    </xf>
    <xf numFmtId="164" fontId="7" fillId="9" borderId="24" xfId="0" applyNumberFormat="1" applyFont="1" applyFill="1" applyBorder="1" applyAlignment="1">
      <alignment horizontal="center" vertical="center"/>
    </xf>
    <xf numFmtId="1" fontId="7" fillId="9" borderId="25" xfId="0" applyNumberFormat="1" applyFont="1" applyFill="1" applyBorder="1" applyAlignment="1">
      <alignment horizontal="center" vertical="center"/>
    </xf>
    <xf numFmtId="1" fontId="33" fillId="8" borderId="41" xfId="0" applyNumberFormat="1" applyFont="1" applyFill="1" applyBorder="1" applyAlignment="1">
      <alignment horizontal="center" vertical="center"/>
    </xf>
    <xf numFmtId="1" fontId="10" fillId="9" borderId="23" xfId="0" applyNumberFormat="1" applyFont="1" applyFill="1" applyBorder="1" applyAlignment="1">
      <alignment horizontal="center" vertical="center"/>
    </xf>
    <xf numFmtId="165" fontId="7" fillId="9" borderId="24" xfId="0" applyNumberFormat="1" applyFont="1" applyFill="1" applyBorder="1" applyAlignment="1">
      <alignment horizontal="center" vertical="center"/>
    </xf>
    <xf numFmtId="14" fontId="9" fillId="4" borderId="55" xfId="0" applyNumberFormat="1" applyFont="1" applyFill="1" applyBorder="1" applyAlignment="1">
      <alignment horizontal="center" vertical="center"/>
    </xf>
    <xf numFmtId="0" fontId="52" fillId="4" borderId="0" xfId="0" applyFont="1" applyFill="1" applyBorder="1" applyAlignment="1">
      <alignment vertical="center" wrapText="1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1" fontId="35" fillId="8" borderId="64" xfId="0" applyNumberFormat="1" applyFont="1" applyFill="1" applyBorder="1" applyAlignment="1">
      <alignment horizontal="center" vertical="center"/>
    </xf>
    <xf numFmtId="1" fontId="35" fillId="8" borderId="68" xfId="0" applyNumberFormat="1" applyFont="1" applyFill="1" applyBorder="1" applyAlignment="1">
      <alignment horizontal="center" vertical="center"/>
    </xf>
    <xf numFmtId="1" fontId="30" fillId="0" borderId="25" xfId="0" applyNumberFormat="1" applyFont="1" applyFill="1" applyBorder="1" applyAlignment="1">
      <alignment horizontal="center" vertical="center"/>
    </xf>
    <xf numFmtId="1" fontId="35" fillId="8" borderId="62" xfId="0" applyNumberFormat="1" applyFont="1" applyFill="1" applyBorder="1" applyAlignment="1">
      <alignment horizontal="center" vertical="center"/>
    </xf>
    <xf numFmtId="165" fontId="7" fillId="9" borderId="25" xfId="0" applyNumberFormat="1" applyFont="1" applyFill="1" applyBorder="1" applyAlignment="1">
      <alignment horizontal="center" vertical="center"/>
    </xf>
    <xf numFmtId="165" fontId="7" fillId="9" borderId="32" xfId="0" applyNumberFormat="1" applyFont="1" applyFill="1" applyBorder="1" applyAlignment="1">
      <alignment horizontal="center" vertical="center"/>
    </xf>
    <xf numFmtId="165" fontId="7" fillId="9" borderId="16" xfId="0" applyNumberFormat="1" applyFont="1" applyFill="1" applyBorder="1" applyAlignment="1">
      <alignment horizontal="center" vertical="center"/>
    </xf>
    <xf numFmtId="165" fontId="7" fillId="9" borderId="15" xfId="0" applyNumberFormat="1" applyFont="1" applyFill="1" applyBorder="1" applyAlignment="1">
      <alignment horizontal="center" vertical="center"/>
    </xf>
    <xf numFmtId="165" fontId="7" fillId="4" borderId="9" xfId="0" applyNumberFormat="1" applyFont="1" applyFill="1" applyBorder="1" applyAlignment="1">
      <alignment horizontal="center" vertical="center"/>
    </xf>
    <xf numFmtId="165" fontId="33" fillId="7" borderId="12" xfId="0" applyNumberFormat="1" applyFont="1" applyFill="1" applyBorder="1" applyAlignment="1">
      <alignment horizontal="center" vertical="center"/>
    </xf>
    <xf numFmtId="165" fontId="33" fillId="7" borderId="15" xfId="0" applyNumberFormat="1" applyFont="1" applyFill="1" applyBorder="1" applyAlignment="1">
      <alignment horizontal="center" vertical="center"/>
    </xf>
    <xf numFmtId="165" fontId="33" fillId="7" borderId="18" xfId="0" applyNumberFormat="1" applyFont="1" applyFill="1" applyBorder="1" applyAlignment="1">
      <alignment horizontal="center" vertical="center"/>
    </xf>
    <xf numFmtId="165" fontId="33" fillId="0" borderId="12" xfId="0" applyNumberFormat="1" applyFont="1" applyFill="1" applyBorder="1" applyAlignment="1">
      <alignment horizontal="center" vertical="center"/>
    </xf>
    <xf numFmtId="165" fontId="33" fillId="0" borderId="15" xfId="0" applyNumberFormat="1" applyFont="1" applyFill="1" applyBorder="1" applyAlignment="1">
      <alignment horizontal="center" vertical="center"/>
    </xf>
    <xf numFmtId="0" fontId="37" fillId="0" borderId="15" xfId="0" applyFont="1" applyFill="1" applyBorder="1" applyAlignment="1">
      <alignment horizontal="left" vertical="center" wrapText="1"/>
    </xf>
    <xf numFmtId="165" fontId="33" fillId="0" borderId="18" xfId="0" applyNumberFormat="1" applyFont="1" applyFill="1" applyBorder="1" applyAlignment="1">
      <alignment horizontal="center" vertical="center"/>
    </xf>
    <xf numFmtId="165" fontId="33" fillId="0" borderId="16" xfId="0" applyNumberFormat="1" applyFont="1" applyFill="1" applyBorder="1" applyAlignment="1">
      <alignment horizontal="center" vertical="center"/>
    </xf>
    <xf numFmtId="0" fontId="37" fillId="0" borderId="9" xfId="0" applyFont="1" applyFill="1" applyBorder="1" applyAlignment="1">
      <alignment horizontal="left" vertical="center" wrapText="1"/>
    </xf>
    <xf numFmtId="165" fontId="33" fillId="7" borderId="16" xfId="0" applyNumberFormat="1" applyFont="1" applyFill="1" applyBorder="1" applyAlignment="1">
      <alignment horizontal="center" vertical="center"/>
    </xf>
    <xf numFmtId="165" fontId="33" fillId="0" borderId="69" xfId="0" applyNumberFormat="1" applyFont="1" applyFill="1" applyBorder="1" applyAlignment="1">
      <alignment horizontal="center" vertical="center"/>
    </xf>
    <xf numFmtId="165" fontId="33" fillId="0" borderId="25" xfId="0" applyNumberFormat="1" applyFont="1" applyFill="1" applyBorder="1" applyAlignment="1">
      <alignment horizontal="center" vertical="center"/>
    </xf>
    <xf numFmtId="0" fontId="4" fillId="4" borderId="39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43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42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42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26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43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/>
    </xf>
    <xf numFmtId="0" fontId="4" fillId="6" borderId="42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4" fillId="6" borderId="26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0" fontId="4" fillId="6" borderId="43" xfId="0" applyFont="1" applyFill="1" applyBorder="1" applyAlignment="1">
      <alignment horizontal="center"/>
    </xf>
    <xf numFmtId="0" fontId="4" fillId="4" borderId="20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9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6" borderId="39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39" xfId="0" applyFont="1" applyFill="1" applyBorder="1" applyAlignment="1">
      <alignment horizontal="center"/>
    </xf>
    <xf numFmtId="0" fontId="4" fillId="6" borderId="20" xfId="0" applyFont="1" applyFill="1" applyBorder="1" applyAlignment="1">
      <alignment horizontal="center"/>
    </xf>
    <xf numFmtId="0" fontId="4" fillId="6" borderId="14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29" fillId="7" borderId="2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/>
    </xf>
    <xf numFmtId="0" fontId="4" fillId="4" borderId="39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56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55" xfId="0" applyFont="1" applyFill="1" applyBorder="1" applyAlignment="1">
      <alignment horizontal="center" vertical="center"/>
    </xf>
    <xf numFmtId="0" fontId="4" fillId="4" borderId="56" xfId="0" applyFont="1" applyFill="1" applyBorder="1" applyAlignment="1">
      <alignment horizontal="center"/>
    </xf>
    <xf numFmtId="0" fontId="4" fillId="4" borderId="55" xfId="0" applyFont="1" applyFill="1" applyBorder="1" applyAlignment="1">
      <alignment horizontal="center"/>
    </xf>
    <xf numFmtId="0" fontId="4" fillId="4" borderId="24" xfId="0" applyFont="1" applyFill="1" applyBorder="1" applyAlignment="1">
      <alignment horizontal="center"/>
    </xf>
    <xf numFmtId="0" fontId="4" fillId="5" borderId="24" xfId="0" applyFont="1" applyFill="1" applyBorder="1" applyAlignment="1">
      <alignment horizontal="center" vertical="center"/>
    </xf>
    <xf numFmtId="0" fontId="4" fillId="5" borderId="56" xfId="0" applyFont="1" applyFill="1" applyBorder="1" applyAlignment="1">
      <alignment horizontal="center" vertical="center"/>
    </xf>
    <xf numFmtId="0" fontId="4" fillId="6" borderId="56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4" fillId="6" borderId="55" xfId="0" applyFont="1" applyFill="1" applyBorder="1" applyAlignment="1">
      <alignment horizontal="center" vertical="center"/>
    </xf>
    <xf numFmtId="0" fontId="4" fillId="6" borderId="56" xfId="0" applyFont="1" applyFill="1" applyBorder="1" applyAlignment="1">
      <alignment horizontal="center"/>
    </xf>
    <xf numFmtId="0" fontId="4" fillId="6" borderId="24" xfId="0" applyFont="1" applyFill="1" applyBorder="1" applyAlignment="1">
      <alignment horizontal="center"/>
    </xf>
    <xf numFmtId="0" fontId="4" fillId="6" borderId="55" xfId="0" applyFont="1" applyFill="1" applyBorder="1" applyAlignment="1">
      <alignment horizontal="center"/>
    </xf>
    <xf numFmtId="0" fontId="29" fillId="7" borderId="14" xfId="0" applyFont="1" applyFill="1" applyBorder="1" applyAlignment="1">
      <alignment horizontal="center" vertical="center" wrapText="1"/>
    </xf>
    <xf numFmtId="0" fontId="29" fillId="7" borderId="6" xfId="0" applyFont="1" applyFill="1" applyBorder="1" applyAlignment="1">
      <alignment horizontal="center" vertical="center" wrapText="1"/>
    </xf>
    <xf numFmtId="1" fontId="30" fillId="7" borderId="13" xfId="0" applyNumberFormat="1" applyFont="1" applyFill="1" applyBorder="1" applyAlignment="1">
      <alignment horizontal="center" vertical="center"/>
    </xf>
    <xf numFmtId="1" fontId="30" fillId="7" borderId="17" xfId="0" applyNumberFormat="1" applyFont="1" applyFill="1" applyBorder="1" applyAlignment="1">
      <alignment horizontal="center" vertical="center"/>
    </xf>
    <xf numFmtId="0" fontId="29" fillId="7" borderId="13" xfId="0" applyFont="1" applyFill="1" applyBorder="1" applyAlignment="1">
      <alignment horizontal="center" vertical="center" wrapText="1"/>
    </xf>
    <xf numFmtId="0" fontId="29" fillId="7" borderId="28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0" fillId="0" borderId="70" xfId="0" applyBorder="1"/>
    <xf numFmtId="0" fontId="0" fillId="0" borderId="50" xfId="0" applyBorder="1"/>
    <xf numFmtId="0" fontId="0" fillId="5" borderId="14" xfId="0" applyFill="1" applyBorder="1" applyAlignment="1">
      <alignment horizontal="center"/>
    </xf>
    <xf numFmtId="0" fontId="53" fillId="19" borderId="14" xfId="0" applyFont="1" applyFill="1" applyBorder="1" applyAlignment="1">
      <alignment horizontal="center"/>
    </xf>
    <xf numFmtId="0" fontId="0" fillId="19" borderId="14" xfId="0" applyFill="1" applyBorder="1" applyAlignment="1">
      <alignment horizontal="center"/>
    </xf>
    <xf numFmtId="0" fontId="1" fillId="0" borderId="2" xfId="0" applyFont="1" applyBorder="1"/>
    <xf numFmtId="0" fontId="0" fillId="5" borderId="2" xfId="0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1" fillId="0" borderId="6" xfId="0" applyFont="1" applyBorder="1"/>
    <xf numFmtId="0" fontId="0" fillId="5" borderId="6" xfId="0" applyFill="1" applyBorder="1" applyAlignment="1">
      <alignment horizontal="center"/>
    </xf>
    <xf numFmtId="0" fontId="0" fillId="19" borderId="6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19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19" borderId="9" xfId="0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0" fillId="19" borderId="16" xfId="0" applyFill="1" applyBorder="1" applyAlignment="1">
      <alignment horizontal="center"/>
    </xf>
    <xf numFmtId="0" fontId="0" fillId="5" borderId="26" xfId="0" applyFill="1" applyBorder="1" applyAlignment="1">
      <alignment horizontal="center"/>
    </xf>
    <xf numFmtId="0" fontId="53" fillId="19" borderId="26" xfId="0" applyFont="1" applyFill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51" xfId="0" applyBorder="1"/>
    <xf numFmtId="0" fontId="1" fillId="5" borderId="4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53" fillId="19" borderId="16" xfId="0" applyFont="1" applyFill="1" applyBorder="1" applyAlignment="1">
      <alignment horizontal="center"/>
    </xf>
    <xf numFmtId="0" fontId="53" fillId="19" borderId="15" xfId="0" applyFont="1" applyFill="1" applyBorder="1" applyAlignment="1">
      <alignment horizontal="center"/>
    </xf>
    <xf numFmtId="0" fontId="0" fillId="19" borderId="15" xfId="0" applyFill="1" applyBorder="1" applyAlignment="1">
      <alignment horizontal="center"/>
    </xf>
    <xf numFmtId="0" fontId="0" fillId="19" borderId="18" xfId="0" applyFill="1" applyBorder="1" applyAlignment="1">
      <alignment horizontal="center"/>
    </xf>
    <xf numFmtId="0" fontId="0" fillId="5" borderId="61" xfId="0" applyFill="1" applyBorder="1" applyAlignment="1">
      <alignment horizontal="center"/>
    </xf>
    <xf numFmtId="0" fontId="0" fillId="5" borderId="64" xfId="0" applyFill="1" applyBorder="1" applyAlignment="1">
      <alignment horizontal="center"/>
    </xf>
    <xf numFmtId="0" fontId="0" fillId="5" borderId="68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0" fillId="5" borderId="62" xfId="0" applyFill="1" applyBorder="1" applyAlignment="1">
      <alignment horizontal="center"/>
    </xf>
    <xf numFmtId="0" fontId="1" fillId="5" borderId="64" xfId="0" applyFont="1" applyFill="1" applyBorder="1" applyAlignment="1">
      <alignment horizontal="center"/>
    </xf>
    <xf numFmtId="0" fontId="1" fillId="5" borderId="68" xfId="0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14" fontId="1" fillId="0" borderId="3" xfId="0" applyNumberFormat="1" applyFont="1" applyBorder="1" applyAlignment="1">
      <alignment horizontal="center"/>
    </xf>
    <xf numFmtId="0" fontId="0" fillId="19" borderId="42" xfId="0" applyFill="1" applyBorder="1" applyAlignment="1">
      <alignment horizontal="center"/>
    </xf>
    <xf numFmtId="0" fontId="0" fillId="19" borderId="43" xfId="0" applyFill="1" applyBorder="1" applyAlignment="1">
      <alignment horizontal="center"/>
    </xf>
    <xf numFmtId="0" fontId="0" fillId="5" borderId="39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19" borderId="10" xfId="0" applyFill="1" applyBorder="1" applyAlignment="1">
      <alignment horizontal="center"/>
    </xf>
    <xf numFmtId="0" fontId="1" fillId="19" borderId="39" xfId="0" applyFont="1" applyFill="1" applyBorder="1" applyAlignment="1">
      <alignment horizontal="center"/>
    </xf>
    <xf numFmtId="0" fontId="1" fillId="19" borderId="20" xfId="0" applyFont="1" applyFill="1" applyBorder="1" applyAlignment="1">
      <alignment horizontal="center"/>
    </xf>
    <xf numFmtId="0" fontId="8" fillId="4" borderId="2" xfId="5" applyFont="1" applyFill="1" applyBorder="1" applyAlignment="1" applyProtection="1">
      <alignment horizontal="center" vertical="center" wrapText="1"/>
    </xf>
    <xf numFmtId="0" fontId="34" fillId="4" borderId="2" xfId="5" applyFont="1" applyFill="1" applyBorder="1" applyAlignment="1" applyProtection="1">
      <alignment horizontal="left" vertical="center" wrapText="1"/>
    </xf>
    <xf numFmtId="1" fontId="30" fillId="4" borderId="2" xfId="0" applyNumberFormat="1" applyFont="1" applyFill="1" applyBorder="1" applyAlignment="1">
      <alignment horizontal="center" vertical="center" wrapText="1"/>
    </xf>
    <xf numFmtId="1" fontId="30" fillId="4" borderId="2" xfId="0" applyNumberFormat="1" applyFont="1" applyFill="1" applyBorder="1" applyAlignment="1">
      <alignment horizontal="center" vertical="center"/>
    </xf>
    <xf numFmtId="1" fontId="30" fillId="4" borderId="19" xfId="0" applyNumberFormat="1" applyFont="1" applyFill="1" applyBorder="1" applyAlignment="1">
      <alignment horizontal="center" vertical="center"/>
    </xf>
    <xf numFmtId="165" fontId="30" fillId="4" borderId="2" xfId="0" applyNumberFormat="1" applyFont="1" applyFill="1" applyBorder="1" applyAlignment="1">
      <alignment horizontal="center" vertical="center"/>
    </xf>
    <xf numFmtId="165" fontId="33" fillId="4" borderId="12" xfId="0" applyNumberFormat="1" applyFont="1" applyFill="1" applyBorder="1" applyAlignment="1">
      <alignment horizontal="center" vertical="center"/>
    </xf>
    <xf numFmtId="14" fontId="11" fillId="4" borderId="3" xfId="0" applyNumberFormat="1" applyFont="1" applyFill="1" applyBorder="1" applyAlignment="1">
      <alignment horizontal="center" vertical="center"/>
    </xf>
    <xf numFmtId="0" fontId="8" fillId="4" borderId="14" xfId="5" applyFont="1" applyFill="1" applyBorder="1" applyAlignment="1" applyProtection="1">
      <alignment horizontal="center" vertical="center" wrapText="1"/>
    </xf>
    <xf numFmtId="0" fontId="34" fillId="4" borderId="14" xfId="5" applyFont="1" applyFill="1" applyBorder="1" applyAlignment="1" applyProtection="1">
      <alignment horizontal="left" vertical="center" wrapText="1"/>
    </xf>
    <xf numFmtId="1" fontId="30" fillId="4" borderId="14" xfId="0" applyNumberFormat="1" applyFont="1" applyFill="1" applyBorder="1" applyAlignment="1">
      <alignment horizontal="center" vertical="center" wrapText="1"/>
    </xf>
    <xf numFmtId="1" fontId="30" fillId="4" borderId="14" xfId="0" applyNumberFormat="1" applyFont="1" applyFill="1" applyBorder="1" applyAlignment="1">
      <alignment horizontal="center" vertical="center"/>
    </xf>
    <xf numFmtId="1" fontId="30" fillId="4" borderId="13" xfId="0" applyNumberFormat="1" applyFont="1" applyFill="1" applyBorder="1" applyAlignment="1">
      <alignment horizontal="center" vertical="center"/>
    </xf>
    <xf numFmtId="165" fontId="30" fillId="4" borderId="14" xfId="0" applyNumberFormat="1" applyFont="1" applyFill="1" applyBorder="1" applyAlignment="1">
      <alignment horizontal="center" vertical="center"/>
    </xf>
    <xf numFmtId="14" fontId="11" fillId="4" borderId="4" xfId="0" applyNumberFormat="1" applyFont="1" applyFill="1" applyBorder="1" applyAlignment="1">
      <alignment horizontal="center" vertical="center"/>
    </xf>
    <xf numFmtId="0" fontId="29" fillId="4" borderId="13" xfId="0" applyFont="1" applyFill="1" applyBorder="1" applyAlignment="1">
      <alignment horizontal="center" vertical="center" wrapText="1"/>
    </xf>
    <xf numFmtId="0" fontId="34" fillId="4" borderId="14" xfId="0" applyFont="1" applyFill="1" applyBorder="1" applyAlignment="1">
      <alignment horizontal="left" vertical="center" wrapText="1"/>
    </xf>
    <xf numFmtId="165" fontId="33" fillId="4" borderId="15" xfId="0" applyNumberFormat="1" applyFont="1" applyFill="1" applyBorder="1" applyAlignment="1">
      <alignment horizontal="center" vertical="center"/>
    </xf>
    <xf numFmtId="49" fontId="8" fillId="4" borderId="14" xfId="5" applyNumberFormat="1" applyFont="1" applyFill="1" applyBorder="1" applyAlignment="1" applyProtection="1">
      <alignment horizontal="center" vertical="center" wrapText="1"/>
    </xf>
    <xf numFmtId="49" fontId="8" fillId="4" borderId="6" xfId="5" applyNumberFormat="1" applyFont="1" applyFill="1" applyBorder="1" applyAlignment="1" applyProtection="1">
      <alignment horizontal="center" vertical="center" wrapText="1"/>
    </xf>
    <xf numFmtId="0" fontId="34" fillId="4" borderId="6" xfId="0" applyFont="1" applyFill="1" applyBorder="1" applyAlignment="1">
      <alignment horizontal="left" vertical="center" wrapText="1"/>
    </xf>
    <xf numFmtId="1" fontId="30" fillId="4" borderId="6" xfId="0" applyNumberFormat="1" applyFont="1" applyFill="1" applyBorder="1" applyAlignment="1">
      <alignment horizontal="center" vertical="center" wrapText="1"/>
    </xf>
    <xf numFmtId="1" fontId="30" fillId="4" borderId="6" xfId="0" applyNumberFormat="1" applyFont="1" applyFill="1" applyBorder="1" applyAlignment="1">
      <alignment horizontal="center" vertical="center"/>
    </xf>
    <xf numFmtId="1" fontId="30" fillId="4" borderId="17" xfId="0" applyNumberFormat="1" applyFont="1" applyFill="1" applyBorder="1" applyAlignment="1">
      <alignment horizontal="center" vertical="center"/>
    </xf>
    <xf numFmtId="165" fontId="30" fillId="4" borderId="6" xfId="0" applyNumberFormat="1" applyFont="1" applyFill="1" applyBorder="1" applyAlignment="1">
      <alignment horizontal="center" vertical="center"/>
    </xf>
    <xf numFmtId="165" fontId="33" fillId="4" borderId="18" xfId="0" applyNumberFormat="1" applyFont="1" applyFill="1" applyBorder="1" applyAlignment="1">
      <alignment horizontal="center" vertical="center"/>
    </xf>
    <xf numFmtId="14" fontId="11" fillId="4" borderId="5" xfId="0" applyNumberFormat="1" applyFont="1" applyFill="1" applyBorder="1" applyAlignment="1">
      <alignment horizontal="center" vertical="center"/>
    </xf>
    <xf numFmtId="0" fontId="4" fillId="4" borderId="41" xfId="0" applyFont="1" applyFill="1" applyBorder="1" applyAlignment="1">
      <alignment horizontal="center"/>
    </xf>
    <xf numFmtId="0" fontId="4" fillId="0" borderId="41" xfId="0" applyFont="1" applyBorder="1" applyAlignment="1">
      <alignment horizontal="center"/>
    </xf>
    <xf numFmtId="1" fontId="30" fillId="7" borderId="8" xfId="0" applyNumberFormat="1" applyFont="1" applyFill="1" applyBorder="1" applyAlignment="1">
      <alignment horizontal="center" vertical="center" wrapText="1"/>
    </xf>
    <xf numFmtId="1" fontId="30" fillId="7" borderId="8" xfId="0" applyNumberFormat="1" applyFont="1" applyFill="1" applyBorder="1" applyAlignment="1">
      <alignment horizontal="center" vertical="center"/>
    </xf>
    <xf numFmtId="1" fontId="30" fillId="7" borderId="7" xfId="0" applyNumberFormat="1" applyFont="1" applyFill="1" applyBorder="1" applyAlignment="1">
      <alignment horizontal="center" vertical="center"/>
    </xf>
    <xf numFmtId="165" fontId="30" fillId="7" borderId="8" xfId="0" applyNumberFormat="1" applyFont="1" applyFill="1" applyBorder="1" applyAlignment="1">
      <alignment horizontal="center" vertical="center"/>
    </xf>
    <xf numFmtId="14" fontId="11" fillId="7" borderId="11" xfId="0" applyNumberFormat="1" applyFont="1" applyFill="1" applyBorder="1" applyAlignment="1">
      <alignment horizontal="center" vertical="center"/>
    </xf>
    <xf numFmtId="1" fontId="35" fillId="8" borderId="30" xfId="0" applyNumberFormat="1" applyFont="1" applyFill="1" applyBorder="1" applyAlignment="1">
      <alignment horizontal="center" vertical="center"/>
    </xf>
    <xf numFmtId="0" fontId="17" fillId="8" borderId="64" xfId="0" applyFont="1" applyFill="1" applyBorder="1" applyAlignment="1">
      <alignment horizontal="left" vertical="center" wrapText="1"/>
    </xf>
    <xf numFmtId="1" fontId="35" fillId="8" borderId="61" xfId="0" applyNumberFormat="1" applyFont="1" applyFill="1" applyBorder="1" applyAlignment="1">
      <alignment horizontal="center" vertical="center"/>
    </xf>
    <xf numFmtId="0" fontId="17" fillId="8" borderId="62" xfId="0" applyFont="1" applyFill="1" applyBorder="1" applyAlignment="1">
      <alignment horizontal="left" vertical="center" wrapText="1"/>
    </xf>
    <xf numFmtId="1" fontId="35" fillId="7" borderId="64" xfId="0" applyNumberFormat="1" applyFont="1" applyFill="1" applyBorder="1" applyAlignment="1">
      <alignment horizontal="center" vertical="center"/>
    </xf>
    <xf numFmtId="1" fontId="35" fillId="7" borderId="62" xfId="0" applyNumberFormat="1" applyFont="1" applyFill="1" applyBorder="1" applyAlignment="1">
      <alignment horizontal="center" vertical="center"/>
    </xf>
    <xf numFmtId="1" fontId="35" fillId="8" borderId="50" xfId="0" applyNumberFormat="1" applyFont="1" applyFill="1" applyBorder="1" applyAlignment="1">
      <alignment horizontal="center" vertical="center"/>
    </xf>
    <xf numFmtId="0" fontId="29" fillId="7" borderId="8" xfId="0" applyFont="1" applyFill="1" applyBorder="1" applyAlignment="1">
      <alignment vertical="center" wrapText="1"/>
    </xf>
    <xf numFmtId="0" fontId="29" fillId="7" borderId="26" xfId="0" applyFont="1" applyFill="1" applyBorder="1" applyAlignment="1">
      <alignment vertical="center" wrapText="1"/>
    </xf>
    <xf numFmtId="0" fontId="29" fillId="7" borderId="71" xfId="0" applyFont="1" applyFill="1" applyBorder="1" applyAlignment="1">
      <alignment vertical="center" wrapText="1"/>
    </xf>
    <xf numFmtId="0" fontId="0" fillId="0" borderId="41" xfId="0" applyBorder="1" applyAlignment="1">
      <alignment horizontal="center" vertical="center"/>
    </xf>
    <xf numFmtId="0" fontId="0" fillId="5" borderId="12" xfId="0" applyFill="1" applyBorder="1" applyAlignment="1">
      <alignment horizontal="center"/>
    </xf>
    <xf numFmtId="0" fontId="0" fillId="0" borderId="14" xfId="0" applyBorder="1" applyAlignment="1">
      <alignment horizontal="center"/>
    </xf>
    <xf numFmtId="14" fontId="0" fillId="0" borderId="14" xfId="0" applyNumberFormat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1" fillId="0" borderId="8" xfId="0" applyFont="1" applyBorder="1"/>
    <xf numFmtId="14" fontId="1" fillId="0" borderId="19" xfId="0" applyNumberFormat="1" applyFont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19" borderId="26" xfId="0" applyFill="1" applyBorder="1" applyAlignment="1">
      <alignment horizontal="center"/>
    </xf>
    <xf numFmtId="0" fontId="0" fillId="19" borderId="71" xfId="0" applyFill="1" applyBorder="1" applyAlignment="1">
      <alignment horizontal="center"/>
    </xf>
    <xf numFmtId="0" fontId="1" fillId="19" borderId="72" xfId="0" applyFont="1" applyFill="1" applyBorder="1" applyAlignment="1">
      <alignment horizontal="center"/>
    </xf>
    <xf numFmtId="0" fontId="1" fillId="5" borderId="71" xfId="0" applyFont="1" applyFill="1" applyBorder="1" applyAlignment="1">
      <alignment horizontal="center"/>
    </xf>
    <xf numFmtId="0" fontId="1" fillId="5" borderId="73" xfId="0" applyFont="1" applyFill="1" applyBorder="1" applyAlignment="1">
      <alignment horizontal="center"/>
    </xf>
    <xf numFmtId="0" fontId="0" fillId="5" borderId="46" xfId="0" applyFill="1" applyBorder="1" applyAlignment="1">
      <alignment horizontal="center"/>
    </xf>
    <xf numFmtId="0" fontId="0" fillId="5" borderId="54" xfId="0" applyFill="1" applyBorder="1" applyAlignment="1">
      <alignment horizontal="center"/>
    </xf>
    <xf numFmtId="0" fontId="0" fillId="5" borderId="37" xfId="0" applyFill="1" applyBorder="1" applyAlignment="1">
      <alignment horizontal="center"/>
    </xf>
    <xf numFmtId="0" fontId="53" fillId="19" borderId="1" xfId="0" applyFont="1" applyFill="1" applyBorder="1" applyAlignment="1">
      <alignment horizontal="center"/>
    </xf>
    <xf numFmtId="0" fontId="53" fillId="19" borderId="2" xfId="0" applyFont="1" applyFill="1" applyBorder="1" applyAlignment="1">
      <alignment horizontal="center"/>
    </xf>
    <xf numFmtId="0" fontId="53" fillId="5" borderId="2" xfId="0" applyFont="1" applyFill="1" applyBorder="1" applyAlignment="1">
      <alignment horizontal="center"/>
    </xf>
    <xf numFmtId="0" fontId="0" fillId="19" borderId="39" xfId="0" applyFill="1" applyBorder="1" applyAlignment="1">
      <alignment horizontal="center"/>
    </xf>
    <xf numFmtId="0" fontId="1" fillId="0" borderId="26" xfId="0" applyFont="1" applyBorder="1"/>
    <xf numFmtId="0" fontId="1" fillId="0" borderId="38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0" fontId="19" fillId="0" borderId="0" xfId="0" applyFont="1" applyBorder="1" applyAlignment="1">
      <alignment vertical="center"/>
    </xf>
    <xf numFmtId="0" fontId="4" fillId="4" borderId="39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43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42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39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9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42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26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43" xfId="0" applyFont="1" applyFill="1" applyBorder="1" applyAlignment="1">
      <alignment horizontal="center"/>
    </xf>
    <xf numFmtId="1" fontId="30" fillId="7" borderId="13" xfId="0" applyNumberFormat="1" applyFont="1" applyFill="1" applyBorder="1" applyAlignment="1">
      <alignment horizontal="center" vertical="center"/>
    </xf>
    <xf numFmtId="1" fontId="30" fillId="7" borderId="17" xfId="0" applyNumberFormat="1" applyFont="1" applyFill="1" applyBorder="1" applyAlignment="1">
      <alignment horizontal="center" vertical="center"/>
    </xf>
    <xf numFmtId="0" fontId="29" fillId="0" borderId="7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34" fillId="4" borderId="0" xfId="0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 wrapText="1"/>
    </xf>
    <xf numFmtId="49" fontId="8" fillId="4" borderId="0" xfId="5" applyNumberFormat="1" applyFont="1" applyFill="1" applyBorder="1" applyAlignment="1" applyProtection="1">
      <alignment horizontal="center" vertical="center" wrapText="1"/>
    </xf>
    <xf numFmtId="0" fontId="34" fillId="4" borderId="0" xfId="0" applyFont="1" applyFill="1" applyBorder="1" applyAlignment="1">
      <alignment horizontal="left" vertical="center" wrapText="1"/>
    </xf>
    <xf numFmtId="1" fontId="30" fillId="4" borderId="0" xfId="0" applyNumberFormat="1" applyFont="1" applyFill="1" applyBorder="1" applyAlignment="1">
      <alignment horizontal="center" vertical="center" wrapText="1"/>
    </xf>
    <xf numFmtId="1" fontId="30" fillId="4" borderId="0" xfId="0" applyNumberFormat="1" applyFont="1" applyFill="1" applyBorder="1" applyAlignment="1">
      <alignment horizontal="center" vertical="center"/>
    </xf>
    <xf numFmtId="1" fontId="35" fillId="8" borderId="0" xfId="0" applyNumberFormat="1" applyFont="1" applyFill="1" applyBorder="1" applyAlignment="1">
      <alignment horizontal="center" vertical="center"/>
    </xf>
    <xf numFmtId="165" fontId="30" fillId="4" borderId="0" xfId="0" applyNumberFormat="1" applyFont="1" applyFill="1" applyBorder="1" applyAlignment="1">
      <alignment horizontal="center" vertical="center"/>
    </xf>
    <xf numFmtId="165" fontId="33" fillId="4" borderId="0" xfId="0" applyNumberFormat="1" applyFont="1" applyFill="1" applyBorder="1" applyAlignment="1">
      <alignment horizontal="center" vertical="center"/>
    </xf>
    <xf numFmtId="14" fontId="11" fillId="4" borderId="0" xfId="0" applyNumberFormat="1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/>
    </xf>
    <xf numFmtId="168" fontId="22" fillId="3" borderId="0" xfId="0" applyNumberFormat="1" applyFont="1" applyFill="1" applyBorder="1" applyAlignment="1">
      <alignment horizontal="right" vertical="center"/>
    </xf>
    <xf numFmtId="165" fontId="4" fillId="0" borderId="0" xfId="0" applyNumberFormat="1" applyFont="1" applyBorder="1" applyAlignment="1">
      <alignment horizontal="center" vertical="center"/>
    </xf>
    <xf numFmtId="165" fontId="4" fillId="0" borderId="14" xfId="0" applyNumberFormat="1" applyFont="1" applyBorder="1" applyAlignment="1">
      <alignment horizontal="center" vertical="center"/>
    </xf>
    <xf numFmtId="0" fontId="50" fillId="0" borderId="8" xfId="0" applyFont="1" applyFill="1" applyBorder="1" applyAlignment="1">
      <alignment horizontal="center" vertical="center" wrapText="1"/>
    </xf>
    <xf numFmtId="0" fontId="49" fillId="0" borderId="8" xfId="0" applyFont="1" applyFill="1" applyBorder="1" applyAlignment="1">
      <alignment horizontal="left" vertical="center" wrapText="1"/>
    </xf>
    <xf numFmtId="0" fontId="4" fillId="0" borderId="7" xfId="0" applyFont="1" applyBorder="1"/>
    <xf numFmtId="0" fontId="4" fillId="0" borderId="8" xfId="0" applyFont="1" applyBorder="1"/>
    <xf numFmtId="0" fontId="4" fillId="8" borderId="8" xfId="0" applyFont="1" applyFill="1" applyBorder="1" applyAlignment="1">
      <alignment horizontal="center"/>
    </xf>
    <xf numFmtId="0" fontId="29" fillId="0" borderId="28" xfId="0" applyFont="1" applyFill="1" applyBorder="1" applyAlignment="1">
      <alignment horizontal="left" vertical="center" wrapText="1"/>
    </xf>
    <xf numFmtId="0" fontId="4" fillId="0" borderId="28" xfId="0" applyFont="1" applyBorder="1"/>
    <xf numFmtId="0" fontId="4" fillId="0" borderId="26" xfId="0" applyFont="1" applyBorder="1"/>
    <xf numFmtId="0" fontId="29" fillId="7" borderId="1" xfId="0" applyFont="1" applyFill="1" applyBorder="1" applyAlignment="1">
      <alignment horizontal="center" vertical="center" wrapText="1"/>
    </xf>
    <xf numFmtId="0" fontId="4" fillId="0" borderId="70" xfId="0" applyFont="1" applyBorder="1"/>
    <xf numFmtId="0" fontId="29" fillId="7" borderId="39" xfId="0" applyFont="1" applyFill="1" applyBorder="1" applyAlignment="1">
      <alignment horizontal="center" vertical="center" wrapText="1"/>
    </xf>
    <xf numFmtId="0" fontId="11" fillId="7" borderId="39" xfId="0" applyFont="1" applyFill="1" applyBorder="1" applyAlignment="1">
      <alignment horizontal="center" vertical="center" wrapText="1"/>
    </xf>
    <xf numFmtId="0" fontId="29" fillId="7" borderId="20" xfId="0" applyFont="1" applyFill="1" applyBorder="1" applyAlignment="1">
      <alignment horizontal="center" vertical="center" wrapText="1"/>
    </xf>
    <xf numFmtId="0" fontId="8" fillId="7" borderId="6" xfId="5" applyFont="1" applyFill="1" applyBorder="1" applyAlignment="1" applyProtection="1">
      <alignment horizontal="center" vertical="center" wrapText="1"/>
    </xf>
    <xf numFmtId="0" fontId="54" fillId="7" borderId="24" xfId="0" applyFont="1" applyFill="1" applyBorder="1" applyAlignment="1">
      <alignment horizontal="center" vertical="center" wrapText="1"/>
    </xf>
    <xf numFmtId="0" fontId="54" fillId="7" borderId="36" xfId="0" applyFont="1" applyFill="1" applyBorder="1" applyAlignment="1">
      <alignment horizontal="center" vertical="center" wrapText="1"/>
    </xf>
    <xf numFmtId="0" fontId="55" fillId="0" borderId="74" xfId="0" applyFont="1" applyBorder="1" applyAlignment="1">
      <alignment horizontal="center" vertical="center" wrapText="1"/>
    </xf>
    <xf numFmtId="0" fontId="56" fillId="17" borderId="74" xfId="0" applyFont="1" applyFill="1" applyBorder="1" applyAlignment="1">
      <alignment horizontal="center" vertical="center" wrapText="1"/>
    </xf>
    <xf numFmtId="0" fontId="56" fillId="0" borderId="0" xfId="0" applyFont="1" applyAlignment="1">
      <alignment vertical="center" wrapText="1"/>
    </xf>
    <xf numFmtId="0" fontId="56" fillId="0" borderId="0" xfId="0" applyFont="1" applyAlignment="1">
      <alignment horizontal="center" vertical="center" wrapText="1"/>
    </xf>
    <xf numFmtId="0" fontId="57" fillId="17" borderId="74" xfId="0" applyFont="1" applyFill="1" applyBorder="1" applyAlignment="1">
      <alignment horizontal="center" vertical="center" wrapText="1"/>
    </xf>
    <xf numFmtId="0" fontId="58" fillId="17" borderId="74" xfId="0" applyFont="1" applyFill="1" applyBorder="1" applyAlignment="1">
      <alignment horizontal="center" vertical="center" wrapText="1"/>
    </xf>
    <xf numFmtId="0" fontId="4" fillId="4" borderId="39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6" borderId="39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39" xfId="0" applyFont="1" applyFill="1" applyBorder="1" applyAlignment="1">
      <alignment horizontal="center"/>
    </xf>
    <xf numFmtId="0" fontId="4" fillId="6" borderId="14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29" fillId="7" borderId="2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/>
    </xf>
    <xf numFmtId="0" fontId="29" fillId="7" borderId="14" xfId="0" applyFont="1" applyFill="1" applyBorder="1" applyAlignment="1">
      <alignment horizontal="center" vertical="center" wrapText="1"/>
    </xf>
    <xf numFmtId="0" fontId="29" fillId="7" borderId="6" xfId="0" applyFont="1" applyFill="1" applyBorder="1" applyAlignment="1">
      <alignment horizontal="center" vertical="center" wrapText="1"/>
    </xf>
    <xf numFmtId="1" fontId="30" fillId="7" borderId="13" xfId="0" applyNumberFormat="1" applyFont="1" applyFill="1" applyBorder="1" applyAlignment="1">
      <alignment horizontal="center" vertical="center"/>
    </xf>
    <xf numFmtId="0" fontId="29" fillId="7" borderId="13" xfId="0" applyFont="1" applyFill="1" applyBorder="1" applyAlignment="1">
      <alignment horizontal="center" vertical="center" wrapText="1"/>
    </xf>
    <xf numFmtId="0" fontId="29" fillId="7" borderId="28" xfId="0" applyFont="1" applyFill="1" applyBorder="1" applyAlignment="1">
      <alignment horizontal="center" vertical="center" wrapText="1"/>
    </xf>
    <xf numFmtId="0" fontId="11" fillId="7" borderId="13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8" fillId="9" borderId="75" xfId="0" applyFont="1" applyFill="1" applyBorder="1" applyAlignment="1">
      <alignment horizontal="center" vertical="center" wrapText="1"/>
    </xf>
    <xf numFmtId="0" fontId="59" fillId="17" borderId="74" xfId="0" applyFont="1" applyFill="1" applyBorder="1" applyAlignment="1">
      <alignment horizontal="center" vertical="center" wrapText="1"/>
    </xf>
    <xf numFmtId="0" fontId="54" fillId="7" borderId="0" xfId="0" applyFont="1" applyFill="1" applyBorder="1" applyAlignment="1">
      <alignment horizontal="center" vertical="center" wrapText="1"/>
    </xf>
    <xf numFmtId="0" fontId="59" fillId="17" borderId="76" xfId="0" applyFont="1" applyFill="1" applyBorder="1" applyAlignment="1">
      <alignment horizontal="center" vertical="center" wrapText="1"/>
    </xf>
    <xf numFmtId="0" fontId="59" fillId="17" borderId="77" xfId="0" applyFont="1" applyFill="1" applyBorder="1" applyAlignment="1">
      <alignment horizontal="center" vertical="center" wrapText="1"/>
    </xf>
    <xf numFmtId="0" fontId="56" fillId="17" borderId="78" xfId="0" applyFont="1" applyFill="1" applyBorder="1" applyAlignment="1">
      <alignment horizontal="center" vertical="center" wrapText="1"/>
    </xf>
    <xf numFmtId="0" fontId="59" fillId="17" borderId="36" xfId="0" applyFont="1" applyFill="1" applyBorder="1" applyAlignment="1">
      <alignment horizontal="center" vertical="center" wrapText="1"/>
    </xf>
    <xf numFmtId="0" fontId="55" fillId="0" borderId="79" xfId="0" applyFont="1" applyBorder="1" applyAlignment="1">
      <alignment horizontal="center" vertical="center" wrapText="1"/>
    </xf>
    <xf numFmtId="0" fontId="55" fillId="7" borderId="36" xfId="0" applyFont="1" applyFill="1" applyBorder="1" applyAlignment="1">
      <alignment horizontal="center" vertical="center" wrapText="1"/>
    </xf>
    <xf numFmtId="0" fontId="55" fillId="7" borderId="78" xfId="0" applyFont="1" applyFill="1" applyBorder="1" applyAlignment="1">
      <alignment horizontal="center" vertical="center" wrapText="1"/>
    </xf>
    <xf numFmtId="0" fontId="0" fillId="7" borderId="0" xfId="0" applyFill="1"/>
    <xf numFmtId="0" fontId="59" fillId="7" borderId="74" xfId="0" applyFont="1" applyFill="1" applyBorder="1" applyAlignment="1">
      <alignment horizontal="center" vertical="center" wrapText="1"/>
    </xf>
    <xf numFmtId="0" fontId="8" fillId="9" borderId="80" xfId="0" applyFont="1" applyFill="1" applyBorder="1" applyAlignment="1">
      <alignment horizontal="center" vertical="center" wrapText="1"/>
    </xf>
    <xf numFmtId="0" fontId="8" fillId="9" borderId="81" xfId="0" applyFont="1" applyFill="1" applyBorder="1" applyAlignment="1">
      <alignment horizontal="center" vertical="center" wrapText="1"/>
    </xf>
    <xf numFmtId="0" fontId="8" fillId="4" borderId="41" xfId="0" applyFont="1" applyFill="1" applyBorder="1" applyAlignment="1">
      <alignment vertical="center" wrapText="1"/>
    </xf>
    <xf numFmtId="0" fontId="8" fillId="7" borderId="8" xfId="0" applyFont="1" applyFill="1" applyBorder="1" applyAlignment="1">
      <alignment horizontal="center" vertical="center"/>
    </xf>
    <xf numFmtId="0" fontId="34" fillId="7" borderId="8" xfId="0" applyFont="1" applyFill="1" applyBorder="1" applyAlignment="1">
      <alignment horizontal="left" vertical="center" wrapText="1"/>
    </xf>
    <xf numFmtId="1" fontId="30" fillId="7" borderId="9" xfId="0" applyNumberFormat="1" applyFont="1" applyFill="1" applyBorder="1" applyAlignment="1">
      <alignment horizontal="center" vertical="center"/>
    </xf>
    <xf numFmtId="0" fontId="29" fillId="0" borderId="28" xfId="0" applyFont="1" applyFill="1" applyBorder="1" applyAlignment="1">
      <alignment horizontal="center" vertical="center" wrapText="1"/>
    </xf>
    <xf numFmtId="0" fontId="8" fillId="17" borderId="2" xfId="5" applyFont="1" applyFill="1" applyBorder="1" applyAlignment="1" applyProtection="1">
      <alignment horizontal="center" vertical="center" wrapText="1"/>
    </xf>
    <xf numFmtId="0" fontId="34" fillId="17" borderId="2" xfId="5" applyFont="1" applyFill="1" applyBorder="1" applyAlignment="1" applyProtection="1">
      <alignment horizontal="left" vertical="center" wrapText="1"/>
    </xf>
    <xf numFmtId="1" fontId="30" fillId="17" borderId="2" xfId="0" applyNumberFormat="1" applyFont="1" applyFill="1" applyBorder="1" applyAlignment="1">
      <alignment horizontal="center" vertical="center" wrapText="1"/>
    </xf>
    <xf numFmtId="1" fontId="30" fillId="17" borderId="2" xfId="0" applyNumberFormat="1" applyFont="1" applyFill="1" applyBorder="1" applyAlignment="1">
      <alignment horizontal="center" vertical="center"/>
    </xf>
    <xf numFmtId="1" fontId="30" fillId="17" borderId="12" xfId="0" applyNumberFormat="1" applyFont="1" applyFill="1" applyBorder="1" applyAlignment="1">
      <alignment horizontal="center" vertical="center"/>
    </xf>
    <xf numFmtId="1" fontId="30" fillId="17" borderId="19" xfId="0" applyNumberFormat="1" applyFont="1" applyFill="1" applyBorder="1" applyAlignment="1">
      <alignment horizontal="center" vertical="center"/>
    </xf>
    <xf numFmtId="165" fontId="30" fillId="17" borderId="2" xfId="0" applyNumberFormat="1" applyFont="1" applyFill="1" applyBorder="1" applyAlignment="1">
      <alignment horizontal="center" vertical="center"/>
    </xf>
    <xf numFmtId="165" fontId="33" fillId="17" borderId="12" xfId="0" applyNumberFormat="1" applyFont="1" applyFill="1" applyBorder="1" applyAlignment="1">
      <alignment horizontal="center" vertical="center"/>
    </xf>
    <xf numFmtId="14" fontId="11" fillId="17" borderId="3" xfId="0" applyNumberFormat="1" applyFont="1" applyFill="1" applyBorder="1" applyAlignment="1">
      <alignment horizontal="center" vertical="center"/>
    </xf>
    <xf numFmtId="0" fontId="4" fillId="17" borderId="19" xfId="0" applyFont="1" applyFill="1" applyBorder="1"/>
    <xf numFmtId="0" fontId="4" fillId="17" borderId="2" xfId="0" applyFont="1" applyFill="1" applyBorder="1"/>
    <xf numFmtId="0" fontId="4" fillId="17" borderId="12" xfId="0" applyFont="1" applyFill="1" applyBorder="1" applyAlignment="1">
      <alignment horizontal="center"/>
    </xf>
    <xf numFmtId="0" fontId="4" fillId="17" borderId="2" xfId="0" applyFont="1" applyFill="1" applyBorder="1" applyAlignment="1">
      <alignment horizontal="center"/>
    </xf>
    <xf numFmtId="0" fontId="4" fillId="17" borderId="0" xfId="0" applyFont="1" applyFill="1" applyBorder="1"/>
    <xf numFmtId="168" fontId="22" fillId="17" borderId="57" xfId="0" applyNumberFormat="1" applyFont="1" applyFill="1" applyBorder="1" applyAlignment="1">
      <alignment horizontal="right" vertical="center"/>
    </xf>
    <xf numFmtId="0" fontId="8" fillId="17" borderId="14" xfId="5" applyFont="1" applyFill="1" applyBorder="1" applyAlignment="1" applyProtection="1">
      <alignment horizontal="center" vertical="center" wrapText="1"/>
    </xf>
    <xf numFmtId="0" fontId="34" fillId="17" borderId="14" xfId="5" applyFont="1" applyFill="1" applyBorder="1" applyAlignment="1" applyProtection="1">
      <alignment horizontal="left" vertical="center" wrapText="1"/>
    </xf>
    <xf numFmtId="1" fontId="30" fillId="17" borderId="14" xfId="0" applyNumberFormat="1" applyFont="1" applyFill="1" applyBorder="1" applyAlignment="1">
      <alignment horizontal="center" vertical="center" wrapText="1"/>
    </xf>
    <xf numFmtId="1" fontId="30" fillId="17" borderId="14" xfId="0" applyNumberFormat="1" applyFont="1" applyFill="1" applyBorder="1" applyAlignment="1">
      <alignment horizontal="center" vertical="center"/>
    </xf>
    <xf numFmtId="1" fontId="30" fillId="17" borderId="15" xfId="0" applyNumberFormat="1" applyFont="1" applyFill="1" applyBorder="1" applyAlignment="1">
      <alignment horizontal="center" vertical="center"/>
    </xf>
    <xf numFmtId="1" fontId="30" fillId="17" borderId="13" xfId="0" applyNumberFormat="1" applyFont="1" applyFill="1" applyBorder="1" applyAlignment="1">
      <alignment horizontal="center" vertical="center"/>
    </xf>
    <xf numFmtId="165" fontId="30" fillId="17" borderId="14" xfId="0" applyNumberFormat="1" applyFont="1" applyFill="1" applyBorder="1" applyAlignment="1">
      <alignment horizontal="center" vertical="center"/>
    </xf>
    <xf numFmtId="14" fontId="11" fillId="17" borderId="4" xfId="0" applyNumberFormat="1" applyFont="1" applyFill="1" applyBorder="1" applyAlignment="1">
      <alignment horizontal="center" vertical="center"/>
    </xf>
    <xf numFmtId="0" fontId="4" fillId="17" borderId="13" xfId="0" applyFont="1" applyFill="1" applyBorder="1"/>
    <xf numFmtId="0" fontId="4" fillId="17" borderId="14" xfId="0" applyFont="1" applyFill="1" applyBorder="1"/>
    <xf numFmtId="0" fontId="4" fillId="17" borderId="15" xfId="0" applyFont="1" applyFill="1" applyBorder="1" applyAlignment="1">
      <alignment horizontal="center"/>
    </xf>
    <xf numFmtId="0" fontId="4" fillId="17" borderId="14" xfId="0" applyFont="1" applyFill="1" applyBorder="1" applyAlignment="1">
      <alignment horizontal="center"/>
    </xf>
    <xf numFmtId="168" fontId="22" fillId="20" borderId="57" xfId="0" applyNumberFormat="1" applyFont="1" applyFill="1" applyBorder="1" applyAlignment="1">
      <alignment horizontal="right" vertical="center"/>
    </xf>
    <xf numFmtId="0" fontId="29" fillId="17" borderId="13" xfId="0" applyFont="1" applyFill="1" applyBorder="1" applyAlignment="1">
      <alignment horizontal="center" vertical="center" wrapText="1"/>
    </xf>
    <xf numFmtId="0" fontId="4" fillId="17" borderId="39" xfId="0" applyFont="1" applyFill="1" applyBorder="1" applyAlignment="1">
      <alignment horizontal="center" vertical="center"/>
    </xf>
    <xf numFmtId="0" fontId="4" fillId="17" borderId="14" xfId="0" applyFont="1" applyFill="1" applyBorder="1" applyAlignment="1">
      <alignment horizontal="center" vertical="center"/>
    </xf>
    <xf numFmtId="0" fontId="4" fillId="17" borderId="4" xfId="0" applyFont="1" applyFill="1" applyBorder="1" applyAlignment="1">
      <alignment horizontal="center" vertical="center"/>
    </xf>
    <xf numFmtId="0" fontId="4" fillId="17" borderId="39" xfId="0" applyFont="1" applyFill="1" applyBorder="1" applyAlignment="1">
      <alignment horizontal="center"/>
    </xf>
    <xf numFmtId="0" fontId="4" fillId="17" borderId="4" xfId="0" applyFont="1" applyFill="1" applyBorder="1" applyAlignment="1">
      <alignment horizontal="center"/>
    </xf>
    <xf numFmtId="0" fontId="34" fillId="17" borderId="14" xfId="0" applyFont="1" applyFill="1" applyBorder="1" applyAlignment="1">
      <alignment horizontal="left" vertical="center" wrapText="1"/>
    </xf>
    <xf numFmtId="165" fontId="33" fillId="17" borderId="15" xfId="0" applyNumberFormat="1" applyFont="1" applyFill="1" applyBorder="1" applyAlignment="1">
      <alignment horizontal="center" vertical="center"/>
    </xf>
    <xf numFmtId="20" fontId="4" fillId="17" borderId="4" xfId="0" applyNumberFormat="1" applyFont="1" applyFill="1" applyBorder="1" applyAlignment="1">
      <alignment horizontal="center" vertical="center"/>
    </xf>
    <xf numFmtId="49" fontId="8" fillId="17" borderId="14" xfId="5" applyNumberFormat="1" applyFont="1" applyFill="1" applyBorder="1" applyAlignment="1" applyProtection="1">
      <alignment horizontal="center" vertical="center" wrapText="1"/>
    </xf>
    <xf numFmtId="0" fontId="4" fillId="17" borderId="8" xfId="0" applyFont="1" applyFill="1" applyBorder="1" applyAlignment="1">
      <alignment horizontal="center"/>
    </xf>
    <xf numFmtId="0" fontId="4" fillId="17" borderId="11" xfId="0" applyFont="1" applyFill="1" applyBorder="1" applyAlignment="1">
      <alignment horizontal="center"/>
    </xf>
    <xf numFmtId="0" fontId="4" fillId="17" borderId="10" xfId="0" applyFont="1" applyFill="1" applyBorder="1" applyAlignment="1">
      <alignment horizontal="center"/>
    </xf>
    <xf numFmtId="0" fontId="4" fillId="17" borderId="24" xfId="0" applyFont="1" applyFill="1" applyBorder="1" applyAlignment="1">
      <alignment horizontal="center"/>
    </xf>
    <xf numFmtId="0" fontId="4" fillId="17" borderId="55" xfId="0" applyFont="1" applyFill="1" applyBorder="1" applyAlignment="1">
      <alignment horizontal="center"/>
    </xf>
    <xf numFmtId="0" fontId="4" fillId="17" borderId="56" xfId="0" applyFont="1" applyFill="1" applyBorder="1" applyAlignment="1">
      <alignment horizontal="center"/>
    </xf>
    <xf numFmtId="49" fontId="8" fillId="17" borderId="6" xfId="5" applyNumberFormat="1" applyFont="1" applyFill="1" applyBorder="1" applyAlignment="1" applyProtection="1">
      <alignment horizontal="center" vertical="center" wrapText="1"/>
    </xf>
    <xf numFmtId="0" fontId="34" fillId="17" borderId="6" xfId="0" applyFont="1" applyFill="1" applyBorder="1" applyAlignment="1">
      <alignment horizontal="left" vertical="center" wrapText="1"/>
    </xf>
    <xf numFmtId="1" fontId="30" fillId="17" borderId="6" xfId="0" applyNumberFormat="1" applyFont="1" applyFill="1" applyBorder="1" applyAlignment="1">
      <alignment horizontal="center" vertical="center" wrapText="1"/>
    </xf>
    <xf numFmtId="1" fontId="30" fillId="17" borderId="6" xfId="0" applyNumberFormat="1" applyFont="1" applyFill="1" applyBorder="1" applyAlignment="1">
      <alignment horizontal="center" vertical="center"/>
    </xf>
    <xf numFmtId="1" fontId="30" fillId="17" borderId="18" xfId="0" applyNumberFormat="1" applyFont="1" applyFill="1" applyBorder="1" applyAlignment="1">
      <alignment horizontal="center" vertical="center"/>
    </xf>
    <xf numFmtId="1" fontId="30" fillId="17" borderId="17" xfId="0" applyNumberFormat="1" applyFont="1" applyFill="1" applyBorder="1" applyAlignment="1">
      <alignment horizontal="center" vertical="center"/>
    </xf>
    <xf numFmtId="165" fontId="30" fillId="17" borderId="6" xfId="0" applyNumberFormat="1" applyFont="1" applyFill="1" applyBorder="1" applyAlignment="1">
      <alignment horizontal="center" vertical="center"/>
    </xf>
    <xf numFmtId="165" fontId="33" fillId="17" borderId="18" xfId="0" applyNumberFormat="1" applyFont="1" applyFill="1" applyBorder="1" applyAlignment="1">
      <alignment horizontal="center" vertical="center"/>
    </xf>
    <xf numFmtId="14" fontId="11" fillId="17" borderId="5" xfId="0" applyNumberFormat="1" applyFont="1" applyFill="1" applyBorder="1" applyAlignment="1">
      <alignment horizontal="center" vertical="center"/>
    </xf>
    <xf numFmtId="0" fontId="4" fillId="17" borderId="26" xfId="0" applyFont="1" applyFill="1" applyBorder="1" applyAlignment="1">
      <alignment horizontal="center"/>
    </xf>
    <xf numFmtId="0" fontId="4" fillId="17" borderId="43" xfId="0" applyFont="1" applyFill="1" applyBorder="1" applyAlignment="1">
      <alignment horizontal="center"/>
    </xf>
    <xf numFmtId="0" fontId="4" fillId="17" borderId="42" xfId="0" applyFont="1" applyFill="1" applyBorder="1" applyAlignment="1">
      <alignment horizontal="center"/>
    </xf>
    <xf numFmtId="0" fontId="4" fillId="17" borderId="0" xfId="0" applyFont="1" applyFill="1"/>
    <xf numFmtId="0" fontId="4" fillId="17" borderId="0" xfId="0" applyFont="1" applyFill="1" applyAlignment="1">
      <alignment horizontal="center"/>
    </xf>
    <xf numFmtId="0" fontId="32" fillId="17" borderId="0" xfId="0" applyFont="1" applyFill="1"/>
    <xf numFmtId="0" fontId="4" fillId="17" borderId="0" xfId="0" applyFont="1" applyFill="1" applyAlignment="1">
      <alignment horizontal="center" vertical="center"/>
    </xf>
    <xf numFmtId="0" fontId="32" fillId="0" borderId="41" xfId="0" applyFont="1" applyBorder="1" applyAlignment="1">
      <alignment horizontal="center"/>
    </xf>
    <xf numFmtId="0" fontId="32" fillId="10" borderId="41" xfId="0" applyFont="1" applyFill="1" applyBorder="1" applyAlignment="1">
      <alignment horizontal="center"/>
    </xf>
    <xf numFmtId="2" fontId="55" fillId="0" borderId="74" xfId="0" applyNumberFormat="1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/>
    </xf>
    <xf numFmtId="0" fontId="8" fillId="9" borderId="75" xfId="0" applyFont="1" applyFill="1" applyBorder="1" applyAlignment="1">
      <alignment horizontal="center" vertical="center" wrapText="1"/>
    </xf>
    <xf numFmtId="0" fontId="29" fillId="7" borderId="14" xfId="0" applyFont="1" applyFill="1" applyBorder="1" applyAlignment="1">
      <alignment horizontal="center" vertical="center" wrapText="1"/>
    </xf>
    <xf numFmtId="0" fontId="29" fillId="17" borderId="13" xfId="0" applyFont="1" applyFill="1" applyBorder="1" applyAlignment="1">
      <alignment horizontal="center" vertical="center" wrapText="1"/>
    </xf>
    <xf numFmtId="0" fontId="29" fillId="7" borderId="6" xfId="0" applyFont="1" applyFill="1" applyBorder="1" applyAlignment="1">
      <alignment horizontal="center" vertical="center" wrapText="1"/>
    </xf>
    <xf numFmtId="0" fontId="29" fillId="7" borderId="2" xfId="0" applyFont="1" applyFill="1" applyBorder="1" applyAlignment="1">
      <alignment horizontal="center" vertical="center" wrapText="1"/>
    </xf>
    <xf numFmtId="0" fontId="29" fillId="7" borderId="13" xfId="0" applyFont="1" applyFill="1" applyBorder="1" applyAlignment="1">
      <alignment horizontal="center" vertical="center" wrapText="1"/>
    </xf>
    <xf numFmtId="0" fontId="29" fillId="7" borderId="28" xfId="0" applyFont="1" applyFill="1" applyBorder="1" applyAlignment="1">
      <alignment horizontal="center" vertical="center" wrapText="1"/>
    </xf>
    <xf numFmtId="0" fontId="29" fillId="0" borderId="24" xfId="0" applyFont="1" applyFill="1" applyBorder="1" applyAlignment="1">
      <alignment horizontal="center" vertical="center" wrapText="1"/>
    </xf>
    <xf numFmtId="1" fontId="29" fillId="4" borderId="14" xfId="0" applyNumberFormat="1" applyFont="1" applyFill="1" applyBorder="1" applyAlignment="1">
      <alignment horizontal="left" vertical="center" wrapText="1"/>
    </xf>
    <xf numFmtId="1" fontId="30" fillId="4" borderId="26" xfId="0" applyNumberFormat="1" applyFont="1" applyFill="1" applyBorder="1" applyAlignment="1">
      <alignment horizontal="center" vertical="center"/>
    </xf>
    <xf numFmtId="1" fontId="29" fillId="4" borderId="8" xfId="0" applyNumberFormat="1" applyFont="1" applyFill="1" applyBorder="1" applyAlignment="1">
      <alignment horizontal="left" vertical="center" wrapText="1"/>
    </xf>
    <xf numFmtId="1" fontId="29" fillId="4" borderId="26" xfId="0" applyNumberFormat="1" applyFont="1" applyFill="1" applyBorder="1" applyAlignment="1">
      <alignment horizontal="left" vertical="center" wrapText="1"/>
    </xf>
    <xf numFmtId="1" fontId="30" fillId="4" borderId="8" xfId="0" applyNumberFormat="1" applyFont="1" applyFill="1" applyBorder="1" applyAlignment="1">
      <alignment horizontal="center" vertical="center" wrapText="1"/>
    </xf>
    <xf numFmtId="0" fontId="45" fillId="11" borderId="87" xfId="0" applyFont="1" applyFill="1" applyBorder="1"/>
    <xf numFmtId="14" fontId="45" fillId="11" borderId="87" xfId="0" applyNumberFormat="1" applyFont="1" applyFill="1" applyBorder="1"/>
    <xf numFmtId="0" fontId="45" fillId="0" borderId="87" xfId="0" applyFont="1" applyBorder="1"/>
    <xf numFmtId="0" fontId="45" fillId="11" borderId="88" xfId="0" applyFont="1" applyFill="1" applyBorder="1"/>
    <xf numFmtId="0" fontId="45" fillId="11" borderId="88" xfId="0" applyNumberFormat="1" applyFont="1" applyFill="1" applyBorder="1"/>
    <xf numFmtId="0" fontId="45" fillId="17" borderId="87" xfId="0" applyFont="1" applyFill="1" applyBorder="1"/>
    <xf numFmtId="0" fontId="0" fillId="17" borderId="0" xfId="0" applyFill="1"/>
    <xf numFmtId="0" fontId="0" fillId="17" borderId="0" xfId="0" applyNumberFormat="1" applyFill="1"/>
    <xf numFmtId="0" fontId="14" fillId="4" borderId="2" xfId="0" applyFont="1" applyFill="1" applyBorder="1" applyAlignment="1" applyProtection="1">
      <alignment horizontal="center" vertical="center"/>
    </xf>
    <xf numFmtId="0" fontId="14" fillId="4" borderId="6" xfId="0" applyFont="1" applyFill="1" applyBorder="1" applyAlignment="1" applyProtection="1">
      <alignment horizontal="center" vertical="center"/>
    </xf>
    <xf numFmtId="0" fontId="34" fillId="4" borderId="14" xfId="0" applyFont="1" applyFill="1" applyBorder="1" applyAlignment="1">
      <alignment horizontal="center" vertical="center" wrapText="1"/>
    </xf>
    <xf numFmtId="0" fontId="51" fillId="4" borderId="14" xfId="0" applyFont="1" applyFill="1" applyBorder="1" applyAlignment="1">
      <alignment horizontal="center" vertical="center" wrapText="1"/>
    </xf>
    <xf numFmtId="0" fontId="8" fillId="4" borderId="6" xfId="5" applyFont="1" applyFill="1" applyBorder="1" applyAlignment="1" applyProtection="1">
      <alignment horizontal="center" vertical="center" wrapText="1"/>
    </xf>
    <xf numFmtId="0" fontId="11" fillId="4" borderId="2" xfId="0" applyNumberFormat="1" applyFont="1" applyFill="1" applyBorder="1" applyAlignment="1">
      <alignment horizontal="center" vertical="center"/>
    </xf>
    <xf numFmtId="0" fontId="11" fillId="4" borderId="6" xfId="0" applyNumberFormat="1" applyFont="1" applyFill="1" applyBorder="1" applyAlignment="1">
      <alignment horizontal="center" vertical="center"/>
    </xf>
    <xf numFmtId="0" fontId="50" fillId="4" borderId="6" xfId="0" applyFont="1" applyFill="1" applyBorder="1" applyAlignment="1">
      <alignment horizontal="center" vertical="center" wrapText="1"/>
    </xf>
    <xf numFmtId="0" fontId="11" fillId="4" borderId="14" xfId="0" applyNumberFormat="1" applyFont="1" applyFill="1" applyBorder="1" applyAlignment="1">
      <alignment horizontal="center" vertical="center"/>
    </xf>
    <xf numFmtId="0" fontId="8" fillId="4" borderId="14" xfId="5" applyFont="1" applyFill="1" applyBorder="1" applyAlignment="1" applyProtection="1">
      <alignment horizontal="center" vertical="center" wrapText="1"/>
    </xf>
    <xf numFmtId="49" fontId="8" fillId="4" borderId="14" xfId="5" applyNumberFormat="1" applyFont="1" applyFill="1" applyBorder="1" applyAlignment="1" applyProtection="1">
      <alignment horizontal="center" vertical="center" wrapText="1"/>
    </xf>
    <xf numFmtId="0" fontId="50" fillId="4" borderId="14" xfId="0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horizontal="center" vertical="center"/>
    </xf>
    <xf numFmtId="0" fontId="16" fillId="4" borderId="14" xfId="0" applyFont="1" applyFill="1" applyBorder="1" applyAlignment="1" applyProtection="1">
      <alignment horizontal="center" vertical="center" wrapText="1"/>
    </xf>
    <xf numFmtId="0" fontId="51" fillId="4" borderId="14" xfId="0" applyFont="1" applyFill="1" applyBorder="1" applyAlignment="1">
      <alignment horizontal="left" vertical="center" wrapText="1"/>
    </xf>
    <xf numFmtId="0" fontId="16" fillId="4" borderId="2" xfId="0" applyFont="1" applyFill="1" applyBorder="1" applyAlignment="1" applyProtection="1">
      <alignment horizontal="center" vertical="center" wrapText="1"/>
    </xf>
    <xf numFmtId="0" fontId="34" fillId="4" borderId="2" xfId="0" applyFont="1" applyFill="1" applyBorder="1" applyAlignment="1">
      <alignment horizontal="left" vertical="center" wrapText="1"/>
    </xf>
    <xf numFmtId="0" fontId="16" fillId="4" borderId="6" xfId="0" applyFont="1" applyFill="1" applyBorder="1" applyAlignment="1" applyProtection="1">
      <alignment horizontal="center" vertical="center" wrapText="1"/>
    </xf>
    <xf numFmtId="0" fontId="34" fillId="4" borderId="14" xfId="5" applyFont="1" applyFill="1" applyBorder="1" applyAlignment="1" applyProtection="1">
      <alignment horizontal="center" vertical="center" wrapText="1"/>
    </xf>
    <xf numFmtId="0" fontId="34" fillId="4" borderId="6" xfId="0" applyFont="1" applyFill="1" applyBorder="1" applyAlignment="1">
      <alignment horizontal="center" vertical="center" wrapText="1"/>
    </xf>
    <xf numFmtId="0" fontId="34" fillId="4" borderId="2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51" fillId="4" borderId="6" xfId="0" applyFont="1" applyFill="1" applyBorder="1" applyAlignment="1">
      <alignment horizontal="center" vertical="center" wrapText="1"/>
    </xf>
    <xf numFmtId="0" fontId="51" fillId="4" borderId="6" xfId="0" applyFont="1" applyFill="1" applyBorder="1" applyAlignment="1">
      <alignment horizontal="left" vertical="center" wrapText="1"/>
    </xf>
    <xf numFmtId="0" fontId="34" fillId="4" borderId="6" xfId="5" applyFont="1" applyFill="1" applyBorder="1" applyAlignment="1" applyProtection="1">
      <alignment horizontal="center" vertical="center" wrapText="1"/>
    </xf>
    <xf numFmtId="0" fontId="34" fillId="4" borderId="6" xfId="5" applyFont="1" applyFill="1" applyBorder="1" applyAlignment="1" applyProtection="1">
      <alignment horizontal="left" vertical="center" wrapText="1"/>
    </xf>
    <xf numFmtId="0" fontId="8" fillId="21" borderId="14" xfId="5" applyFont="1" applyFill="1" applyBorder="1" applyAlignment="1" applyProtection="1">
      <alignment horizontal="center" vertical="center" wrapText="1"/>
    </xf>
    <xf numFmtId="0" fontId="11" fillId="21" borderId="14" xfId="0" applyNumberFormat="1" applyFont="1" applyFill="1" applyBorder="1" applyAlignment="1">
      <alignment horizontal="center" vertical="center"/>
    </xf>
    <xf numFmtId="0" fontId="34" fillId="21" borderId="14" xfId="0" applyFont="1" applyFill="1" applyBorder="1" applyAlignment="1">
      <alignment horizontal="left" vertical="center" wrapText="1"/>
    </xf>
    <xf numFmtId="0" fontId="16" fillId="21" borderId="14" xfId="0" applyFont="1" applyFill="1" applyBorder="1" applyAlignment="1" applyProtection="1">
      <alignment horizontal="center" vertical="center" wrapText="1"/>
    </xf>
    <xf numFmtId="0" fontId="34" fillId="21" borderId="14" xfId="0" applyFont="1" applyFill="1" applyBorder="1" applyAlignment="1">
      <alignment horizontal="center" vertical="center" wrapText="1"/>
    </xf>
    <xf numFmtId="0" fontId="8" fillId="21" borderId="2" xfId="5" applyFont="1" applyFill="1" applyBorder="1" applyAlignment="1" applyProtection="1">
      <alignment horizontal="center" vertical="center" wrapText="1"/>
    </xf>
    <xf numFmtId="0" fontId="11" fillId="21" borderId="2" xfId="0" applyNumberFormat="1" applyFont="1" applyFill="1" applyBorder="1" applyAlignment="1">
      <alignment horizontal="center" vertical="center"/>
    </xf>
    <xf numFmtId="0" fontId="34" fillId="21" borderId="2" xfId="0" applyFont="1" applyFill="1" applyBorder="1" applyAlignment="1" applyProtection="1">
      <alignment horizontal="center" vertical="center"/>
    </xf>
    <xf numFmtId="0" fontId="34" fillId="21" borderId="2" xfId="0" applyFont="1" applyFill="1" applyBorder="1" applyAlignment="1">
      <alignment horizontal="left" vertical="center" wrapText="1"/>
    </xf>
    <xf numFmtId="0" fontId="51" fillId="21" borderId="14" xfId="0" applyFont="1" applyFill="1" applyBorder="1" applyAlignment="1" applyProtection="1">
      <alignment horizontal="center" vertical="center" wrapText="1"/>
    </xf>
    <xf numFmtId="0" fontId="51" fillId="21" borderId="14" xfId="0" applyFont="1" applyFill="1" applyBorder="1" applyAlignment="1" applyProtection="1">
      <alignment horizontal="center" vertical="center"/>
    </xf>
    <xf numFmtId="0" fontId="34" fillId="21" borderId="14" xfId="0" applyFont="1" applyFill="1" applyBorder="1" applyAlignment="1" applyProtection="1">
      <alignment horizontal="center" vertical="center"/>
    </xf>
    <xf numFmtId="1" fontId="9" fillId="0" borderId="14" xfId="0" applyNumberFormat="1" applyFont="1" applyBorder="1" applyAlignment="1">
      <alignment horizontal="center" vertical="center"/>
    </xf>
    <xf numFmtId="0" fontId="16" fillId="21" borderId="2" xfId="0" applyFont="1" applyFill="1" applyBorder="1" applyAlignment="1" applyProtection="1">
      <alignment horizontal="center" vertical="center" wrapText="1"/>
    </xf>
    <xf numFmtId="0" fontId="34" fillId="21" borderId="2" xfId="0" applyFont="1" applyFill="1" applyBorder="1" applyAlignment="1" applyProtection="1">
      <alignment horizontal="center" vertical="center" wrapText="1"/>
    </xf>
    <xf numFmtId="0" fontId="29" fillId="4" borderId="14" xfId="0" applyFont="1" applyFill="1" applyBorder="1" applyAlignment="1">
      <alignment horizontal="center" vertical="center" wrapText="1"/>
    </xf>
    <xf numFmtId="0" fontId="29" fillId="4" borderId="6" xfId="0" applyFont="1" applyFill="1" applyBorder="1" applyAlignment="1">
      <alignment horizontal="center" vertical="center" wrapText="1"/>
    </xf>
    <xf numFmtId="0" fontId="29" fillId="21" borderId="14" xfId="0" applyFont="1" applyFill="1" applyBorder="1" applyAlignment="1">
      <alignment horizontal="center" vertical="center" wrapText="1"/>
    </xf>
    <xf numFmtId="0" fontId="8" fillId="4" borderId="14" xfId="5" applyFont="1" applyFill="1" applyBorder="1" applyAlignment="1" applyProtection="1">
      <alignment horizontal="center" vertical="center" wrapText="1"/>
    </xf>
    <xf numFmtId="0" fontId="8" fillId="4" borderId="6" xfId="5" applyFont="1" applyFill="1" applyBorder="1" applyAlignment="1" applyProtection="1">
      <alignment horizontal="center" vertical="center" wrapText="1"/>
    </xf>
    <xf numFmtId="0" fontId="8" fillId="4" borderId="14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29" fillId="4" borderId="2" xfId="0" applyFont="1" applyFill="1" applyBorder="1" applyAlignment="1">
      <alignment horizontal="center" vertical="center" wrapText="1"/>
    </xf>
    <xf numFmtId="1" fontId="32" fillId="0" borderId="1" xfId="0" applyNumberFormat="1" applyFont="1" applyBorder="1" applyAlignment="1">
      <alignment horizontal="center" vertical="center"/>
    </xf>
    <xf numFmtId="165" fontId="32" fillId="0" borderId="3" xfId="1" applyNumberFormat="1" applyFont="1" applyFill="1" applyBorder="1" applyAlignment="1" applyProtection="1">
      <alignment horizontal="center" vertical="center" wrapText="1"/>
    </xf>
    <xf numFmtId="165" fontId="32" fillId="0" borderId="4" xfId="1" applyNumberFormat="1" applyFont="1" applyFill="1" applyBorder="1" applyAlignment="1" applyProtection="1">
      <alignment horizontal="center" vertical="center" wrapText="1"/>
    </xf>
    <xf numFmtId="165" fontId="32" fillId="0" borderId="5" xfId="1" applyNumberFormat="1" applyFont="1" applyFill="1" applyBorder="1" applyAlignment="1" applyProtection="1">
      <alignment horizontal="center" vertical="center" wrapText="1"/>
    </xf>
    <xf numFmtId="1" fontId="18" fillId="0" borderId="2" xfId="1" applyNumberFormat="1" applyFont="1" applyFill="1" applyBorder="1" applyAlignment="1" applyProtection="1">
      <alignment horizontal="center" vertical="center" wrapText="1"/>
    </xf>
    <xf numFmtId="1" fontId="18" fillId="0" borderId="14" xfId="1" applyNumberFormat="1" applyFont="1" applyFill="1" applyBorder="1" applyAlignment="1" applyProtection="1">
      <alignment horizontal="center" vertical="center" wrapText="1"/>
    </xf>
    <xf numFmtId="1" fontId="18" fillId="0" borderId="6" xfId="1" applyNumberFormat="1" applyFont="1" applyFill="1" applyBorder="1" applyAlignment="1" applyProtection="1">
      <alignment horizontal="center" vertical="center" wrapText="1"/>
    </xf>
    <xf numFmtId="0" fontId="39" fillId="22" borderId="30" xfId="0" applyFont="1" applyFill="1" applyBorder="1" applyAlignment="1" applyProtection="1">
      <alignment horizontal="center" vertical="center" wrapText="1"/>
    </xf>
    <xf numFmtId="0" fontId="40" fillId="0" borderId="0" xfId="0" applyFont="1"/>
    <xf numFmtId="0" fontId="9" fillId="0" borderId="15" xfId="0" applyFont="1" applyBorder="1" applyAlignment="1">
      <alignment vertical="center"/>
    </xf>
    <xf numFmtId="0" fontId="41" fillId="21" borderId="2" xfId="0" applyFont="1" applyFill="1" applyBorder="1" applyAlignment="1">
      <alignment horizontal="center" vertical="center" wrapText="1"/>
    </xf>
    <xf numFmtId="0" fontId="41" fillId="21" borderId="14" xfId="0" applyFont="1" applyFill="1" applyBorder="1" applyAlignment="1">
      <alignment horizontal="center" vertical="center" wrapText="1"/>
    </xf>
    <xf numFmtId="0" fontId="41" fillId="4" borderId="14" xfId="0" applyFont="1" applyFill="1" applyBorder="1" applyAlignment="1">
      <alignment horizontal="center" vertical="center" wrapText="1"/>
    </xf>
    <xf numFmtId="0" fontId="41" fillId="4" borderId="2" xfId="0" applyFont="1" applyFill="1" applyBorder="1" applyAlignment="1">
      <alignment horizontal="center" vertical="center" wrapText="1"/>
    </xf>
    <xf numFmtId="0" fontId="41" fillId="4" borderId="6" xfId="0" applyFont="1" applyFill="1" applyBorder="1" applyAlignment="1">
      <alignment horizontal="center" vertical="center" wrapText="1"/>
    </xf>
    <xf numFmtId="0" fontId="29" fillId="4" borderId="26" xfId="0" applyFont="1" applyFill="1" applyBorder="1" applyAlignment="1">
      <alignment horizontal="center" vertical="center" wrapText="1"/>
    </xf>
    <xf numFmtId="0" fontId="8" fillId="4" borderId="26" xfId="0" applyFont="1" applyFill="1" applyBorder="1" applyAlignment="1">
      <alignment horizontal="center" vertical="center" wrapText="1"/>
    </xf>
    <xf numFmtId="0" fontId="34" fillId="4" borderId="26" xfId="0" applyFont="1" applyFill="1" applyBorder="1" applyAlignment="1">
      <alignment horizontal="center" vertical="center" wrapText="1"/>
    </xf>
    <xf numFmtId="0" fontId="34" fillId="4" borderId="26" xfId="0" applyFont="1" applyFill="1" applyBorder="1" applyAlignment="1">
      <alignment horizontal="left" vertical="center" wrapText="1"/>
    </xf>
    <xf numFmtId="0" fontId="41" fillId="4" borderId="26" xfId="0" applyFont="1" applyFill="1" applyBorder="1" applyAlignment="1">
      <alignment horizontal="center" vertical="center" wrapText="1"/>
    </xf>
    <xf numFmtId="1" fontId="18" fillId="0" borderId="26" xfId="1" applyNumberFormat="1" applyFont="1" applyFill="1" applyBorder="1" applyAlignment="1" applyProtection="1">
      <alignment horizontal="center" vertical="center" wrapText="1"/>
    </xf>
    <xf numFmtId="0" fontId="51" fillId="21" borderId="14" xfId="0" applyFont="1" applyFill="1" applyBorder="1" applyAlignment="1">
      <alignment horizontal="left" vertical="center" wrapText="1"/>
    </xf>
    <xf numFmtId="0" fontId="34" fillId="21" borderId="6" xfId="0" applyFont="1" applyFill="1" applyBorder="1" applyAlignment="1">
      <alignment horizontal="left" vertical="center" wrapText="1"/>
    </xf>
    <xf numFmtId="0" fontId="8" fillId="4" borderId="14" xfId="5" applyFont="1" applyFill="1" applyBorder="1" applyAlignment="1" applyProtection="1">
      <alignment horizontal="center" vertical="center" wrapText="1"/>
    </xf>
    <xf numFmtId="0" fontId="60" fillId="23" borderId="56" xfId="1" applyFont="1" applyFill="1" applyBorder="1" applyAlignment="1" applyProtection="1">
      <alignment horizontal="center" vertical="center" wrapText="1"/>
    </xf>
    <xf numFmtId="0" fontId="60" fillId="23" borderId="24" xfId="1" applyFont="1" applyFill="1" applyBorder="1" applyAlignment="1" applyProtection="1">
      <alignment horizontal="center" vertical="center" wrapText="1"/>
    </xf>
    <xf numFmtId="0" fontId="41" fillId="4" borderId="58" xfId="0" applyFont="1" applyFill="1" applyBorder="1" applyAlignment="1">
      <alignment horizontal="center" vertical="center" wrapText="1"/>
    </xf>
    <xf numFmtId="0" fontId="50" fillId="4" borderId="58" xfId="0" applyFont="1" applyFill="1" applyBorder="1" applyAlignment="1">
      <alignment horizontal="center" vertical="center" wrapText="1"/>
    </xf>
    <xf numFmtId="0" fontId="34" fillId="4" borderId="58" xfId="0" applyFont="1" applyFill="1" applyBorder="1" applyAlignment="1">
      <alignment horizontal="center" vertical="center" wrapText="1"/>
    </xf>
    <xf numFmtId="0" fontId="34" fillId="4" borderId="58" xfId="0" applyFont="1" applyFill="1" applyBorder="1" applyAlignment="1">
      <alignment horizontal="left" vertical="center" wrapText="1"/>
    </xf>
    <xf numFmtId="1" fontId="18" fillId="0" borderId="58" xfId="1" applyNumberFormat="1" applyFont="1" applyFill="1" applyBorder="1" applyAlignment="1" applyProtection="1">
      <alignment horizontal="center" vertical="center" wrapText="1"/>
    </xf>
    <xf numFmtId="0" fontId="50" fillId="4" borderId="66" xfId="0" applyFont="1" applyFill="1" applyBorder="1" applyAlignment="1">
      <alignment horizontal="center" vertical="center" wrapText="1"/>
    </xf>
    <xf numFmtId="0" fontId="34" fillId="4" borderId="31" xfId="0" applyFont="1" applyFill="1" applyBorder="1" applyAlignment="1">
      <alignment horizontal="center" vertical="center" wrapText="1"/>
    </xf>
    <xf numFmtId="0" fontId="34" fillId="4" borderId="31" xfId="0" applyFont="1" applyFill="1" applyBorder="1" applyAlignment="1">
      <alignment horizontal="left" vertical="center" wrapText="1"/>
    </xf>
    <xf numFmtId="0" fontId="41" fillId="4" borderId="31" xfId="0" applyFont="1" applyFill="1" applyBorder="1" applyAlignment="1">
      <alignment horizontal="center" vertical="center" wrapText="1"/>
    </xf>
    <xf numFmtId="1" fontId="18" fillId="0" borderId="31" xfId="1" applyNumberFormat="1" applyFont="1" applyFill="1" applyBorder="1" applyAlignment="1" applyProtection="1">
      <alignment horizontal="center" vertical="center" wrapText="1"/>
    </xf>
    <xf numFmtId="0" fontId="61" fillId="4" borderId="8" xfId="0" applyFont="1" applyFill="1" applyBorder="1" applyAlignment="1">
      <alignment vertical="center" wrapText="1"/>
    </xf>
    <xf numFmtId="0" fontId="29" fillId="4" borderId="58" xfId="0" applyFont="1" applyFill="1" applyBorder="1" applyAlignment="1">
      <alignment horizontal="center" vertical="center" wrapText="1"/>
    </xf>
    <xf numFmtId="0" fontId="29" fillId="21" borderId="26" xfId="0" applyFont="1" applyFill="1" applyBorder="1" applyAlignment="1">
      <alignment horizontal="center" vertical="center" wrapText="1"/>
    </xf>
    <xf numFmtId="0" fontId="8" fillId="21" borderId="26" xfId="5" applyFont="1" applyFill="1" applyBorder="1" applyAlignment="1" applyProtection="1">
      <alignment horizontal="center" vertical="center" wrapText="1"/>
    </xf>
    <xf numFmtId="0" fontId="61" fillId="4" borderId="66" xfId="0" applyFont="1" applyFill="1" applyBorder="1" applyAlignment="1">
      <alignment vertical="center" wrapText="1"/>
    </xf>
    <xf numFmtId="0" fontId="29" fillId="4" borderId="31" xfId="0" applyFont="1" applyFill="1" applyBorder="1" applyAlignment="1">
      <alignment horizontal="center" vertical="center" wrapText="1"/>
    </xf>
    <xf numFmtId="0" fontId="50" fillId="4" borderId="49" xfId="0" applyFont="1" applyFill="1" applyBorder="1" applyAlignment="1">
      <alignment horizontal="center" vertical="center" wrapText="1"/>
    </xf>
    <xf numFmtId="0" fontId="60" fillId="4" borderId="56" xfId="1" applyFont="1" applyFill="1" applyBorder="1" applyAlignment="1" applyProtection="1">
      <alignment horizontal="center" vertical="center" wrapText="1"/>
    </xf>
    <xf numFmtId="0" fontId="60" fillId="4" borderId="24" xfId="1" applyFont="1" applyFill="1" applyBorder="1" applyAlignment="1" applyProtection="1">
      <alignment horizontal="center" vertical="center" wrapText="1"/>
    </xf>
    <xf numFmtId="0" fontId="8" fillId="4" borderId="14" xfId="5" applyFont="1" applyFill="1" applyBorder="1" applyAlignment="1" applyProtection="1">
      <alignment horizontal="center" vertical="center" wrapText="1"/>
    </xf>
    <xf numFmtId="0" fontId="29" fillId="4" borderId="14" xfId="0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horizontal="center" vertical="center"/>
    </xf>
    <xf numFmtId="0" fontId="29" fillId="4" borderId="8" xfId="0" applyFont="1" applyFill="1" applyBorder="1" applyAlignment="1">
      <alignment horizontal="center" vertical="center" wrapText="1"/>
    </xf>
    <xf numFmtId="1" fontId="18" fillId="0" borderId="8" xfId="1" applyNumberFormat="1" applyFont="1" applyFill="1" applyBorder="1" applyAlignment="1" applyProtection="1">
      <alignment horizontal="center" vertical="center" wrapText="1"/>
    </xf>
    <xf numFmtId="0" fontId="34" fillId="4" borderId="8" xfId="0" applyFont="1" applyFill="1" applyBorder="1" applyAlignment="1">
      <alignment horizontal="center" vertical="center" wrapText="1"/>
    </xf>
    <xf numFmtId="0" fontId="41" fillId="21" borderId="2" xfId="0" applyFont="1" applyFill="1" applyBorder="1" applyAlignment="1">
      <alignment horizontal="center" vertical="center" wrapText="1"/>
    </xf>
    <xf numFmtId="170" fontId="62" fillId="4" borderId="82" xfId="0" quotePrefix="1" applyNumberFormat="1" applyFont="1" applyFill="1" applyBorder="1" applyAlignment="1">
      <alignment horizontal="center" vertical="center"/>
    </xf>
    <xf numFmtId="170" fontId="62" fillId="4" borderId="46" xfId="0" quotePrefix="1" applyNumberFormat="1" applyFont="1" applyFill="1" applyBorder="1" applyAlignment="1">
      <alignment horizontal="center" vertical="center"/>
    </xf>
    <xf numFmtId="170" fontId="62" fillId="4" borderId="30" xfId="0" quotePrefix="1" applyNumberFormat="1" applyFont="1" applyFill="1" applyBorder="1" applyAlignment="1">
      <alignment horizontal="center" vertical="center"/>
    </xf>
    <xf numFmtId="170" fontId="62" fillId="23" borderId="82" xfId="0" quotePrefix="1" applyNumberFormat="1" applyFont="1" applyFill="1" applyBorder="1" applyAlignment="1">
      <alignment horizontal="center" vertical="center"/>
    </xf>
    <xf numFmtId="170" fontId="62" fillId="23" borderId="46" xfId="0" quotePrefix="1" applyNumberFormat="1" applyFont="1" applyFill="1" applyBorder="1" applyAlignment="1">
      <alignment horizontal="center" vertical="center"/>
    </xf>
    <xf numFmtId="170" fontId="62" fillId="23" borderId="30" xfId="0" quotePrefix="1" applyNumberFormat="1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24" xfId="0" applyFont="1" applyFill="1" applyBorder="1" applyAlignment="1">
      <alignment horizontal="center" vertical="center"/>
    </xf>
    <xf numFmtId="0" fontId="8" fillId="4" borderId="26" xfId="0" applyFont="1" applyFill="1" applyBorder="1" applyAlignment="1">
      <alignment horizontal="center" vertical="center"/>
    </xf>
    <xf numFmtId="0" fontId="18" fillId="4" borderId="35" xfId="1" applyFont="1" applyFill="1" applyBorder="1" applyAlignment="1" applyProtection="1">
      <alignment horizontal="center" vertical="center" wrapText="1"/>
      <protection locked="0"/>
    </xf>
    <xf numFmtId="0" fontId="18" fillId="4" borderId="41" xfId="1" applyFont="1" applyFill="1" applyBorder="1" applyAlignment="1" applyProtection="1">
      <alignment horizontal="center" vertical="center" wrapText="1"/>
      <protection locked="0"/>
    </xf>
    <xf numFmtId="0" fontId="18" fillId="4" borderId="35" xfId="1" applyFont="1" applyFill="1" applyBorder="1" applyAlignment="1" applyProtection="1">
      <alignment horizontal="center" vertical="center" wrapText="1"/>
    </xf>
    <xf numFmtId="0" fontId="18" fillId="4" borderId="41" xfId="1" applyFont="1" applyFill="1" applyBorder="1" applyAlignment="1" applyProtection="1">
      <alignment horizontal="center" vertical="center" wrapText="1"/>
    </xf>
    <xf numFmtId="0" fontId="8" fillId="4" borderId="14" xfId="5" applyFont="1" applyFill="1" applyBorder="1" applyAlignment="1" applyProtection="1">
      <alignment horizontal="center" vertical="center" wrapText="1"/>
    </xf>
    <xf numFmtId="0" fontId="11" fillId="4" borderId="14" xfId="0" applyNumberFormat="1" applyFont="1" applyFill="1" applyBorder="1" applyAlignment="1">
      <alignment horizontal="center" vertical="center"/>
    </xf>
    <xf numFmtId="0" fontId="42" fillId="4" borderId="63" xfId="5" applyFont="1" applyFill="1" applyBorder="1" applyAlignment="1" applyProtection="1">
      <alignment horizontal="center" vertical="center" wrapText="1"/>
    </xf>
    <xf numFmtId="0" fontId="42" fillId="4" borderId="56" xfId="5" applyFont="1" applyFill="1" applyBorder="1" applyAlignment="1" applyProtection="1">
      <alignment horizontal="center" vertical="center" wrapText="1"/>
    </xf>
    <xf numFmtId="0" fontId="42" fillId="4" borderId="72" xfId="5" applyFont="1" applyFill="1" applyBorder="1" applyAlignment="1" applyProtection="1">
      <alignment horizontal="center" vertical="center" wrapText="1"/>
    </xf>
    <xf numFmtId="0" fontId="11" fillId="4" borderId="58" xfId="0" applyNumberFormat="1" applyFont="1" applyFill="1" applyBorder="1" applyAlignment="1">
      <alignment horizontal="center" vertical="center"/>
    </xf>
    <xf numFmtId="0" fontId="11" fillId="4" borderId="24" xfId="0" applyNumberFormat="1" applyFont="1" applyFill="1" applyBorder="1" applyAlignment="1">
      <alignment horizontal="center" vertical="center"/>
    </xf>
    <xf numFmtId="0" fontId="11" fillId="4" borderId="26" xfId="0" applyNumberFormat="1" applyFont="1" applyFill="1" applyBorder="1" applyAlignment="1">
      <alignment horizontal="center" vertical="center"/>
    </xf>
    <xf numFmtId="0" fontId="42" fillId="4" borderId="1" xfId="5" applyFont="1" applyFill="1" applyBorder="1" applyAlignment="1" applyProtection="1">
      <alignment horizontal="center" vertical="center" wrapText="1"/>
    </xf>
    <xf numFmtId="0" fontId="42" fillId="4" borderId="39" xfId="5" applyFont="1" applyFill="1" applyBorder="1" applyAlignment="1" applyProtection="1">
      <alignment horizontal="center" vertical="center" wrapText="1"/>
    </xf>
    <xf numFmtId="0" fontId="42" fillId="4" borderId="20" xfId="5" applyFont="1" applyFill="1" applyBorder="1" applyAlignment="1" applyProtection="1">
      <alignment horizontal="center" vertical="center" wrapText="1"/>
    </xf>
    <xf numFmtId="0" fontId="18" fillId="4" borderId="33" xfId="1" applyFont="1" applyFill="1" applyBorder="1" applyAlignment="1" applyProtection="1">
      <alignment horizontal="center" vertical="center" wrapText="1"/>
      <protection locked="0"/>
    </xf>
    <xf numFmtId="0" fontId="29" fillId="4" borderId="14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8" fillId="4" borderId="8" xfId="5" applyFont="1" applyFill="1" applyBorder="1" applyAlignment="1" applyProtection="1">
      <alignment horizontal="center" vertical="center" wrapText="1"/>
    </xf>
    <xf numFmtId="0" fontId="8" fillId="4" borderId="71" xfId="5" applyFont="1" applyFill="1" applyBorder="1" applyAlignment="1" applyProtection="1">
      <alignment horizontal="center" vertical="center" wrapText="1"/>
    </xf>
    <xf numFmtId="0" fontId="8" fillId="4" borderId="24" xfId="5" applyFont="1" applyFill="1" applyBorder="1" applyAlignment="1" applyProtection="1">
      <alignment horizontal="center" vertical="center" wrapText="1"/>
    </xf>
    <xf numFmtId="0" fontId="8" fillId="4" borderId="26" xfId="5" applyFont="1" applyFill="1" applyBorder="1" applyAlignment="1" applyProtection="1">
      <alignment horizontal="center" vertical="center" wrapText="1"/>
    </xf>
    <xf numFmtId="0" fontId="42" fillId="4" borderId="10" xfId="5" applyFont="1" applyFill="1" applyBorder="1" applyAlignment="1" applyProtection="1">
      <alignment horizontal="center" vertical="center" wrapText="1"/>
    </xf>
    <xf numFmtId="0" fontId="42" fillId="4" borderId="42" xfId="5" applyFont="1" applyFill="1" applyBorder="1" applyAlignment="1" applyProtection="1">
      <alignment horizontal="center" vertical="center" wrapText="1"/>
    </xf>
    <xf numFmtId="0" fontId="42" fillId="4" borderId="42" xfId="0" applyFont="1" applyFill="1" applyBorder="1" applyAlignment="1">
      <alignment horizontal="center" vertical="center" wrapText="1"/>
    </xf>
    <xf numFmtId="0" fontId="42" fillId="4" borderId="39" xfId="0" applyFont="1" applyFill="1" applyBorder="1" applyAlignment="1">
      <alignment horizontal="center" vertical="center" wrapText="1"/>
    </xf>
    <xf numFmtId="0" fontId="42" fillId="4" borderId="10" xfId="0" applyFont="1" applyFill="1" applyBorder="1" applyAlignment="1">
      <alignment horizontal="center" vertical="center" wrapText="1"/>
    </xf>
    <xf numFmtId="0" fontId="42" fillId="4" borderId="20" xfId="0" applyFont="1" applyFill="1" applyBorder="1" applyAlignment="1">
      <alignment horizontal="center" vertical="center" wrapText="1"/>
    </xf>
    <xf numFmtId="0" fontId="8" fillId="4" borderId="71" xfId="0" applyFont="1" applyFill="1" applyBorder="1" applyAlignment="1">
      <alignment horizontal="center" vertical="center"/>
    </xf>
    <xf numFmtId="0" fontId="8" fillId="4" borderId="58" xfId="5" applyFont="1" applyFill="1" applyBorder="1" applyAlignment="1" applyProtection="1">
      <alignment horizontal="center" vertical="center" wrapText="1"/>
    </xf>
    <xf numFmtId="0" fontId="50" fillId="4" borderId="8" xfId="0" applyFont="1" applyFill="1" applyBorder="1" applyAlignment="1">
      <alignment horizontal="center" vertical="center" wrapText="1"/>
    </xf>
    <xf numFmtId="0" fontId="50" fillId="4" borderId="24" xfId="0" applyFont="1" applyFill="1" applyBorder="1" applyAlignment="1">
      <alignment horizontal="center" vertical="center" wrapText="1"/>
    </xf>
    <xf numFmtId="0" fontId="50" fillId="4" borderId="27" xfId="0" applyFont="1" applyFill="1" applyBorder="1" applyAlignment="1">
      <alignment horizontal="center" vertical="center" wrapText="1"/>
    </xf>
    <xf numFmtId="0" fontId="11" fillId="21" borderId="58" xfId="0" applyNumberFormat="1" applyFont="1" applyFill="1" applyBorder="1" applyAlignment="1">
      <alignment horizontal="center" vertical="center"/>
    </xf>
    <xf numFmtId="0" fontId="11" fillId="21" borderId="24" xfId="0" applyNumberFormat="1" applyFont="1" applyFill="1" applyBorder="1" applyAlignment="1">
      <alignment horizontal="center" vertical="center"/>
    </xf>
    <xf numFmtId="0" fontId="11" fillId="21" borderId="26" xfId="0" applyNumberFormat="1" applyFont="1" applyFill="1" applyBorder="1" applyAlignment="1">
      <alignment horizontal="center" vertical="center"/>
    </xf>
    <xf numFmtId="0" fontId="8" fillId="4" borderId="58" xfId="0" applyFont="1" applyFill="1" applyBorder="1" applyAlignment="1">
      <alignment horizontal="center" vertical="center" wrapText="1"/>
    </xf>
    <xf numFmtId="0" fontId="8" fillId="4" borderId="24" xfId="0" applyFont="1" applyFill="1" applyBorder="1" applyAlignment="1">
      <alignment horizontal="center" vertical="center" wrapText="1"/>
    </xf>
    <xf numFmtId="0" fontId="8" fillId="4" borderId="26" xfId="0" applyFont="1" applyFill="1" applyBorder="1" applyAlignment="1">
      <alignment horizontal="center" vertical="center" wrapText="1"/>
    </xf>
    <xf numFmtId="0" fontId="29" fillId="21" borderId="2" xfId="0" applyFont="1" applyFill="1" applyBorder="1" applyAlignment="1">
      <alignment horizontal="center" vertical="center" wrapText="1"/>
    </xf>
    <xf numFmtId="0" fontId="29" fillId="21" borderId="14" xfId="0" applyFont="1" applyFill="1" applyBorder="1" applyAlignment="1">
      <alignment horizontal="center" vertical="center" wrapText="1"/>
    </xf>
    <xf numFmtId="0" fontId="29" fillId="4" borderId="6" xfId="0" applyFont="1" applyFill="1" applyBorder="1" applyAlignment="1">
      <alignment horizontal="center" vertical="center" wrapText="1"/>
    </xf>
    <xf numFmtId="0" fontId="42" fillId="4" borderId="63" xfId="0" applyFont="1" applyFill="1" applyBorder="1" applyAlignment="1">
      <alignment horizontal="center" vertical="center"/>
    </xf>
    <xf numFmtId="0" fontId="42" fillId="4" borderId="56" xfId="0" applyFont="1" applyFill="1" applyBorder="1" applyAlignment="1">
      <alignment horizontal="center" vertical="center"/>
    </xf>
    <xf numFmtId="0" fontId="42" fillId="4" borderId="72" xfId="0" applyFont="1" applyFill="1" applyBorder="1" applyAlignment="1">
      <alignment horizontal="center" vertical="center"/>
    </xf>
    <xf numFmtId="0" fontId="11" fillId="4" borderId="14" xfId="0" applyFont="1" applyFill="1" applyBorder="1" applyAlignment="1">
      <alignment horizontal="center" vertical="center" wrapText="1"/>
    </xf>
    <xf numFmtId="0" fontId="41" fillId="4" borderId="14" xfId="0" applyFont="1" applyFill="1" applyBorder="1" applyAlignment="1">
      <alignment horizontal="center" vertical="center" wrapText="1"/>
    </xf>
    <xf numFmtId="0" fontId="43" fillId="4" borderId="14" xfId="0" applyFont="1" applyFill="1" applyBorder="1" applyAlignment="1">
      <alignment horizontal="center" vertical="center" wrapText="1"/>
    </xf>
    <xf numFmtId="0" fontId="41" fillId="4" borderId="58" xfId="0" applyFont="1" applyFill="1" applyBorder="1" applyAlignment="1">
      <alignment horizontal="center" vertical="center" wrapText="1"/>
    </xf>
    <xf numFmtId="0" fontId="41" fillId="4" borderId="24" xfId="0" applyFont="1" applyFill="1" applyBorder="1" applyAlignment="1">
      <alignment horizontal="center" vertical="center" wrapText="1"/>
    </xf>
    <xf numFmtId="0" fontId="41" fillId="4" borderId="26" xfId="0" applyFont="1" applyFill="1" applyBorder="1" applyAlignment="1">
      <alignment horizontal="center" vertical="center" wrapText="1"/>
    </xf>
    <xf numFmtId="0" fontId="41" fillId="4" borderId="6" xfId="0" applyFont="1" applyFill="1" applyBorder="1" applyAlignment="1">
      <alignment horizontal="center" vertical="center" wrapText="1"/>
    </xf>
    <xf numFmtId="0" fontId="8" fillId="4" borderId="6" xfId="5" applyFont="1" applyFill="1" applyBorder="1" applyAlignment="1" applyProtection="1">
      <alignment horizontal="center" vertical="center" wrapText="1"/>
    </xf>
    <xf numFmtId="0" fontId="38" fillId="0" borderId="25" xfId="0" applyFont="1" applyBorder="1" applyAlignment="1">
      <alignment horizontal="center" vertical="center"/>
    </xf>
    <xf numFmtId="0" fontId="38" fillId="0" borderId="0" xfId="0" applyFont="1" applyBorder="1" applyAlignment="1">
      <alignment horizontal="center" vertical="center"/>
    </xf>
    <xf numFmtId="0" fontId="38" fillId="0" borderId="22" xfId="0" applyFont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41" fillId="4" borderId="8" xfId="0" applyFont="1" applyFill="1" applyBorder="1" applyAlignment="1">
      <alignment horizontal="center" vertical="center" wrapText="1"/>
    </xf>
    <xf numFmtId="0" fontId="18" fillId="4" borderId="67" xfId="1" applyFont="1" applyFill="1" applyBorder="1" applyAlignment="1" applyProtection="1">
      <alignment horizontal="center" vertical="center" wrapText="1"/>
      <protection locked="0"/>
    </xf>
    <xf numFmtId="0" fontId="43" fillId="4" borderId="6" xfId="0" applyFont="1" applyFill="1" applyBorder="1" applyAlignment="1">
      <alignment horizontal="center" vertical="center" wrapText="1"/>
    </xf>
    <xf numFmtId="0" fontId="17" fillId="22" borderId="35" xfId="0" applyFont="1" applyFill="1" applyBorder="1" applyAlignment="1" applyProtection="1">
      <alignment horizontal="center" vertical="center" wrapText="1"/>
    </xf>
    <xf numFmtId="0" fontId="17" fillId="22" borderId="41" xfId="0" applyFont="1" applyFill="1" applyBorder="1" applyAlignment="1" applyProtection="1">
      <alignment horizontal="center" vertical="center" wrapText="1"/>
    </xf>
    <xf numFmtId="0" fontId="8" fillId="4" borderId="58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71" xfId="0" applyBorder="1" applyAlignment="1">
      <alignment horizontal="center" vertical="center" wrapText="1"/>
    </xf>
    <xf numFmtId="0" fontId="11" fillId="21" borderId="14" xfId="0" applyNumberFormat="1" applyFont="1" applyFill="1" applyBorder="1" applyAlignment="1">
      <alignment horizontal="center" vertical="center"/>
    </xf>
    <xf numFmtId="0" fontId="41" fillId="21" borderId="2" xfId="0" applyFont="1" applyFill="1" applyBorder="1" applyAlignment="1">
      <alignment horizontal="center" vertical="center" wrapText="1"/>
    </xf>
    <xf numFmtId="0" fontId="41" fillId="21" borderId="14" xfId="0" applyFont="1" applyFill="1" applyBorder="1" applyAlignment="1">
      <alignment horizontal="center" vertical="center" wrapText="1"/>
    </xf>
    <xf numFmtId="0" fontId="50" fillId="4" borderId="14" xfId="0" applyFont="1" applyFill="1" applyBorder="1" applyAlignment="1">
      <alignment horizontal="center" vertical="center" wrapText="1"/>
    </xf>
    <xf numFmtId="0" fontId="50" fillId="4" borderId="6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14" fontId="46" fillId="11" borderId="51" xfId="0" applyNumberFormat="1" applyFont="1" applyFill="1" applyBorder="1" applyAlignment="1">
      <alignment horizontal="center" vertical="center" wrapText="1"/>
    </xf>
    <xf numFmtId="0" fontId="46" fillId="11" borderId="50" xfId="0" applyFont="1" applyFill="1" applyBorder="1" applyAlignment="1">
      <alignment horizontal="center"/>
    </xf>
    <xf numFmtId="14" fontId="46" fillId="15" borderId="51" xfId="0" applyNumberFormat="1" applyFont="1" applyFill="1" applyBorder="1" applyAlignment="1">
      <alignment horizontal="center" vertical="center" wrapText="1"/>
    </xf>
    <xf numFmtId="0" fontId="46" fillId="15" borderId="50" xfId="0" applyFont="1" applyFill="1" applyBorder="1" applyAlignment="1">
      <alignment horizontal="center"/>
    </xf>
    <xf numFmtId="14" fontId="46" fillId="15" borderId="52" xfId="0" applyNumberFormat="1" applyFont="1" applyFill="1" applyBorder="1" applyAlignment="1">
      <alignment horizontal="center" vertical="center" wrapText="1"/>
    </xf>
    <xf numFmtId="0" fontId="46" fillId="15" borderId="84" xfId="0" applyFont="1" applyFill="1" applyBorder="1" applyAlignment="1">
      <alignment horizontal="center"/>
    </xf>
    <xf numFmtId="0" fontId="20" fillId="0" borderId="31" xfId="0" applyFont="1" applyBorder="1" applyAlignment="1">
      <alignment horizontal="center" vertical="center"/>
    </xf>
    <xf numFmtId="0" fontId="46" fillId="0" borderId="38" xfId="0" applyFont="1" applyBorder="1" applyAlignment="1">
      <alignment horizontal="center" vertical="center" wrapText="1"/>
    </xf>
    <xf numFmtId="0" fontId="46" fillId="0" borderId="48" xfId="0" applyFont="1" applyBorder="1" applyAlignment="1">
      <alignment horizontal="center"/>
    </xf>
    <xf numFmtId="0" fontId="46" fillId="0" borderId="45" xfId="0" applyFont="1" applyBorder="1" applyAlignment="1">
      <alignment horizontal="center" vertical="center" wrapText="1"/>
    </xf>
    <xf numFmtId="0" fontId="46" fillId="0" borderId="40" xfId="0" applyFont="1" applyBorder="1" applyAlignment="1">
      <alignment horizontal="center"/>
    </xf>
    <xf numFmtId="0" fontId="5" fillId="0" borderId="52" xfId="0" applyFont="1" applyBorder="1" applyAlignment="1">
      <alignment horizontal="center"/>
    </xf>
    <xf numFmtId="0" fontId="5" fillId="0" borderId="83" xfId="0" applyFont="1" applyBorder="1" applyAlignment="1">
      <alignment horizontal="center"/>
    </xf>
    <xf numFmtId="0" fontId="5" fillId="0" borderId="84" xfId="0" applyFont="1" applyBorder="1" applyAlignment="1">
      <alignment horizontal="center"/>
    </xf>
    <xf numFmtId="14" fontId="0" fillId="0" borderId="60" xfId="0" applyNumberFormat="1" applyBorder="1" applyAlignment="1">
      <alignment horizontal="center" vertical="center"/>
    </xf>
    <xf numFmtId="14" fontId="0" fillId="0" borderId="61" xfId="0" applyNumberForma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1" fillId="0" borderId="82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75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4" fontId="0" fillId="0" borderId="58" xfId="0" applyNumberFormat="1" applyBorder="1" applyAlignment="1">
      <alignment horizontal="center" vertical="center"/>
    </xf>
    <xf numFmtId="14" fontId="0" fillId="0" borderId="26" xfId="0" applyNumberFormat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12" fillId="0" borderId="70" xfId="0" applyFont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14" fontId="0" fillId="0" borderId="58" xfId="0" applyNumberForma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63" fillId="4" borderId="33" xfId="0" applyFont="1" applyFill="1" applyBorder="1" applyAlignment="1">
      <alignment horizontal="center" vertical="center" wrapText="1"/>
    </xf>
    <xf numFmtId="0" fontId="63" fillId="4" borderId="0" xfId="0" applyFont="1" applyFill="1" applyBorder="1" applyAlignment="1">
      <alignment horizontal="center" vertical="center" wrapText="1"/>
    </xf>
    <xf numFmtId="0" fontId="8" fillId="9" borderId="35" xfId="0" applyFont="1" applyFill="1" applyBorder="1" applyAlignment="1">
      <alignment horizontal="center" vertical="center" wrapText="1"/>
    </xf>
    <xf numFmtId="0" fontId="8" fillId="9" borderId="41" xfId="0" applyFont="1" applyFill="1" applyBorder="1" applyAlignment="1">
      <alignment horizontal="center" vertical="center" wrapText="1"/>
    </xf>
    <xf numFmtId="0" fontId="8" fillId="9" borderId="67" xfId="0" applyFont="1" applyFill="1" applyBorder="1" applyAlignment="1">
      <alignment horizontal="center" vertical="center" wrapText="1"/>
    </xf>
    <xf numFmtId="164" fontId="26" fillId="23" borderId="19" xfId="0" applyNumberFormat="1" applyFont="1" applyFill="1" applyBorder="1" applyAlignment="1">
      <alignment horizontal="center" vertical="center" wrapText="1"/>
    </xf>
    <xf numFmtId="0" fontId="15" fillId="0" borderId="17" xfId="0" applyFont="1" applyBorder="1" applyAlignment="1">
      <alignment horizontal="center"/>
    </xf>
    <xf numFmtId="165" fontId="32" fillId="0" borderId="35" xfId="0" applyNumberFormat="1" applyFont="1" applyBorder="1" applyAlignment="1">
      <alignment horizontal="center" vertical="center"/>
    </xf>
    <xf numFmtId="165" fontId="32" fillId="0" borderId="41" xfId="0" applyNumberFormat="1" applyFont="1" applyBorder="1" applyAlignment="1">
      <alignment horizontal="center" vertical="center"/>
    </xf>
    <xf numFmtId="165" fontId="32" fillId="0" borderId="67" xfId="0" applyNumberFormat="1" applyFont="1" applyBorder="1" applyAlignment="1">
      <alignment horizontal="center" vertical="center"/>
    </xf>
    <xf numFmtId="0" fontId="32" fillId="0" borderId="35" xfId="0" applyFont="1" applyBorder="1" applyAlignment="1">
      <alignment horizontal="center" vertical="center"/>
    </xf>
    <xf numFmtId="0" fontId="32" fillId="0" borderId="41" xfId="0" applyFont="1" applyBorder="1" applyAlignment="1">
      <alignment horizontal="center" vertical="center"/>
    </xf>
    <xf numFmtId="0" fontId="32" fillId="0" borderId="67" xfId="0" applyFont="1" applyBorder="1" applyAlignment="1">
      <alignment horizontal="center" vertical="center"/>
    </xf>
    <xf numFmtId="0" fontId="34" fillId="7" borderId="58" xfId="0" applyFont="1" applyFill="1" applyBorder="1" applyAlignment="1">
      <alignment horizontal="center" vertical="center" wrapText="1"/>
    </xf>
    <xf numFmtId="0" fontId="34" fillId="7" borderId="26" xfId="0" applyFont="1" applyFill="1" applyBorder="1" applyAlignment="1">
      <alignment horizontal="center" vertical="center" wrapText="1"/>
    </xf>
    <xf numFmtId="0" fontId="34" fillId="7" borderId="8" xfId="0" applyFont="1" applyFill="1" applyBorder="1" applyAlignment="1">
      <alignment horizontal="center" vertical="center" wrapText="1"/>
    </xf>
    <xf numFmtId="0" fontId="34" fillId="7" borderId="71" xfId="0" applyFont="1" applyFill="1" applyBorder="1" applyAlignment="1">
      <alignment horizontal="center" vertical="center" wrapText="1"/>
    </xf>
    <xf numFmtId="0" fontId="29" fillId="7" borderId="8" xfId="0" applyFont="1" applyFill="1" applyBorder="1" applyAlignment="1">
      <alignment horizontal="center" vertical="center" wrapText="1"/>
    </xf>
    <xf numFmtId="0" fontId="29" fillId="7" borderId="24" xfId="0" applyFont="1" applyFill="1" applyBorder="1" applyAlignment="1">
      <alignment horizontal="center" vertical="center" wrapText="1"/>
    </xf>
    <xf numFmtId="0" fontId="29" fillId="7" borderId="26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4" fillId="6" borderId="26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56" xfId="0" applyFont="1" applyFill="1" applyBorder="1" applyAlignment="1">
      <alignment horizontal="center" vertical="center"/>
    </xf>
    <xf numFmtId="0" fontId="4" fillId="6" borderId="42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42" xfId="0" applyFont="1" applyFill="1" applyBorder="1" applyAlignment="1">
      <alignment horizontal="center" vertical="center"/>
    </xf>
    <xf numFmtId="0" fontId="4" fillId="4" borderId="56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5" borderId="55" xfId="0" applyFont="1" applyFill="1" applyBorder="1" applyAlignment="1">
      <alignment horizontal="center" vertical="center"/>
    </xf>
    <xf numFmtId="0" fontId="4" fillId="5" borderId="43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43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55" xfId="0" applyFont="1" applyFill="1" applyBorder="1" applyAlignment="1">
      <alignment horizontal="center" vertical="center"/>
    </xf>
    <xf numFmtId="0" fontId="4" fillId="6" borderId="43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/>
    </xf>
    <xf numFmtId="0" fontId="4" fillId="6" borderId="56" xfId="0" applyFont="1" applyFill="1" applyBorder="1" applyAlignment="1">
      <alignment horizontal="center"/>
    </xf>
    <xf numFmtId="0" fontId="4" fillId="6" borderId="42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4" fillId="6" borderId="24" xfId="0" applyFont="1" applyFill="1" applyBorder="1" applyAlignment="1">
      <alignment horizontal="center"/>
    </xf>
    <xf numFmtId="0" fontId="4" fillId="6" borderId="26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0" fontId="4" fillId="6" borderId="55" xfId="0" applyFont="1" applyFill="1" applyBorder="1" applyAlignment="1">
      <alignment horizontal="center"/>
    </xf>
    <xf numFmtId="0" fontId="4" fillId="6" borderId="43" xfId="0" applyFont="1" applyFill="1" applyBorder="1" applyAlignment="1">
      <alignment horizontal="center"/>
    </xf>
    <xf numFmtId="0" fontId="4" fillId="4" borderId="63" xfId="0" applyFont="1" applyFill="1" applyBorder="1" applyAlignment="1">
      <alignment horizontal="center"/>
    </xf>
    <xf numFmtId="0" fontId="4" fillId="4" borderId="42" xfId="0" applyFont="1" applyFill="1" applyBorder="1" applyAlignment="1">
      <alignment horizontal="center"/>
    </xf>
    <xf numFmtId="0" fontId="4" fillId="4" borderId="58" xfId="0" applyFont="1" applyFill="1" applyBorder="1" applyAlignment="1">
      <alignment horizontal="center"/>
    </xf>
    <xf numFmtId="0" fontId="4" fillId="4" borderId="26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39" xfId="0" applyFont="1" applyFill="1" applyBorder="1" applyAlignment="1">
      <alignment horizontal="center" vertical="center"/>
    </xf>
    <xf numFmtId="0" fontId="4" fillId="4" borderId="60" xfId="0" applyFont="1" applyFill="1" applyBorder="1" applyAlignment="1">
      <alignment horizontal="center"/>
    </xf>
    <xf numFmtId="0" fontId="4" fillId="4" borderId="43" xfId="0" applyFont="1" applyFill="1" applyBorder="1" applyAlignment="1">
      <alignment horizontal="center"/>
    </xf>
    <xf numFmtId="0" fontId="4" fillId="4" borderId="55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39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34" fillId="7" borderId="51" xfId="0" applyFont="1" applyFill="1" applyBorder="1" applyAlignment="1">
      <alignment horizontal="center" vertical="center" wrapText="1"/>
    </xf>
    <xf numFmtId="0" fontId="34" fillId="7" borderId="33" xfId="0" applyFont="1" applyFill="1" applyBorder="1" applyAlignment="1">
      <alignment horizontal="center" vertical="center" wrapText="1"/>
    </xf>
    <xf numFmtId="0" fontId="34" fillId="7" borderId="65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/>
    </xf>
    <xf numFmtId="0" fontId="4" fillId="5" borderId="56" xfId="0" applyFont="1" applyFill="1" applyBorder="1" applyAlignment="1">
      <alignment horizontal="center" vertical="center"/>
    </xf>
    <xf numFmtId="0" fontId="4" fillId="5" borderId="42" xfId="0" applyFont="1" applyFill="1" applyBorder="1" applyAlignment="1">
      <alignment horizontal="center" vertical="center"/>
    </xf>
    <xf numFmtId="0" fontId="29" fillId="7" borderId="7" xfId="0" applyFont="1" applyFill="1" applyBorder="1" applyAlignment="1">
      <alignment horizontal="center" vertical="center" wrapText="1"/>
    </xf>
    <xf numFmtId="0" fontId="29" fillId="7" borderId="23" xfId="0" applyFont="1" applyFill="1" applyBorder="1" applyAlignment="1">
      <alignment horizontal="center" vertical="center" wrapText="1"/>
    </xf>
    <xf numFmtId="0" fontId="29" fillId="7" borderId="85" xfId="0" applyFont="1" applyFill="1" applyBorder="1" applyAlignment="1">
      <alignment horizontal="center" vertical="center" wrapText="1"/>
    </xf>
    <xf numFmtId="1" fontId="30" fillId="7" borderId="13" xfId="0" applyNumberFormat="1" applyFont="1" applyFill="1" applyBorder="1" applyAlignment="1">
      <alignment horizontal="center" vertical="center"/>
    </xf>
    <xf numFmtId="1" fontId="30" fillId="7" borderId="17" xfId="0" applyNumberFormat="1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26" xfId="0" applyFont="1" applyFill="1" applyBorder="1" applyAlignment="1">
      <alignment horizontal="center" vertical="center"/>
    </xf>
    <xf numFmtId="0" fontId="34" fillId="4" borderId="35" xfId="0" applyFont="1" applyFill="1" applyBorder="1" applyAlignment="1">
      <alignment horizontal="center" vertical="center" wrapText="1"/>
    </xf>
    <xf numFmtId="0" fontId="34" fillId="4" borderId="41" xfId="0" applyFont="1" applyFill="1" applyBorder="1" applyAlignment="1">
      <alignment horizontal="center" vertical="center" wrapText="1"/>
    </xf>
    <xf numFmtId="0" fontId="34" fillId="4" borderId="67" xfId="0" applyFont="1" applyFill="1" applyBorder="1" applyAlignment="1">
      <alignment horizontal="center" vertical="center" wrapText="1"/>
    </xf>
    <xf numFmtId="0" fontId="29" fillId="4" borderId="19" xfId="0" applyFont="1" applyFill="1" applyBorder="1" applyAlignment="1">
      <alignment horizontal="center" vertical="center" wrapText="1"/>
    </xf>
    <xf numFmtId="0" fontId="11" fillId="4" borderId="13" xfId="0" applyFont="1" applyFill="1" applyBorder="1" applyAlignment="1">
      <alignment horizontal="center" vertical="center" wrapText="1"/>
    </xf>
    <xf numFmtId="0" fontId="29" fillId="4" borderId="13" xfId="0" applyFont="1" applyFill="1" applyBorder="1" applyAlignment="1">
      <alignment horizontal="center" vertical="center" wrapText="1"/>
    </xf>
    <xf numFmtId="0" fontId="11" fillId="4" borderId="17" xfId="0" applyFont="1" applyFill="1" applyBorder="1" applyAlignment="1">
      <alignment horizontal="center" vertical="center" wrapText="1"/>
    </xf>
    <xf numFmtId="0" fontId="9" fillId="0" borderId="63" xfId="0" applyFont="1" applyFill="1" applyBorder="1" applyAlignment="1">
      <alignment horizontal="center" vertical="center"/>
    </xf>
    <xf numFmtId="0" fontId="9" fillId="0" borderId="72" xfId="0" applyFont="1" applyFill="1" applyBorder="1" applyAlignment="1">
      <alignment horizontal="center" vertical="center"/>
    </xf>
    <xf numFmtId="1" fontId="30" fillId="0" borderId="8" xfId="0" applyNumberFormat="1" applyFont="1" applyFill="1" applyBorder="1" applyAlignment="1">
      <alignment horizontal="center" vertical="center" wrapText="1"/>
    </xf>
    <xf numFmtId="1" fontId="30" fillId="0" borderId="26" xfId="0" applyNumberFormat="1" applyFont="1" applyFill="1" applyBorder="1" applyAlignment="1">
      <alignment horizontal="center" vertical="center" wrapText="1"/>
    </xf>
    <xf numFmtId="1" fontId="30" fillId="0" borderId="8" xfId="0" applyNumberFormat="1" applyFont="1" applyFill="1" applyBorder="1" applyAlignment="1">
      <alignment horizontal="center" vertical="center"/>
    </xf>
    <xf numFmtId="1" fontId="30" fillId="0" borderId="26" xfId="0" applyNumberFormat="1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/>
    </xf>
    <xf numFmtId="0" fontId="29" fillId="0" borderId="14" xfId="0" applyFont="1" applyFill="1" applyBorder="1" applyAlignment="1">
      <alignment horizontal="center" vertical="center" wrapText="1"/>
    </xf>
    <xf numFmtId="0" fontId="9" fillId="0" borderId="56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34" fillId="0" borderId="35" xfId="0" applyFont="1" applyFill="1" applyBorder="1" applyAlignment="1">
      <alignment horizontal="center" vertical="center" wrapText="1"/>
    </xf>
    <xf numFmtId="0" fontId="34" fillId="0" borderId="41" xfId="0" applyFont="1" applyFill="1" applyBorder="1" applyAlignment="1">
      <alignment horizontal="center" vertical="center" wrapText="1"/>
    </xf>
    <xf numFmtId="0" fontId="34" fillId="0" borderId="67" xfId="0" applyFont="1" applyFill="1" applyBorder="1" applyAlignment="1">
      <alignment horizontal="center" vertical="center" wrapText="1"/>
    </xf>
    <xf numFmtId="0" fontId="29" fillId="0" borderId="13" xfId="0" applyFont="1" applyFill="1" applyBorder="1" applyAlignment="1">
      <alignment horizontal="center" vertical="center" wrapText="1"/>
    </xf>
    <xf numFmtId="0" fontId="29" fillId="0" borderId="7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4" borderId="55" xfId="0" applyFont="1" applyFill="1" applyBorder="1" applyAlignment="1">
      <alignment horizontal="center"/>
    </xf>
    <xf numFmtId="0" fontId="4" fillId="4" borderId="73" xfId="0" applyFont="1" applyFill="1" applyBorder="1" applyAlignment="1">
      <alignment horizontal="center"/>
    </xf>
    <xf numFmtId="0" fontId="4" fillId="4" borderId="56" xfId="0" applyFont="1" applyFill="1" applyBorder="1" applyAlignment="1">
      <alignment horizontal="center"/>
    </xf>
    <xf numFmtId="0" fontId="4" fillId="4" borderId="72" xfId="0" applyFont="1" applyFill="1" applyBorder="1" applyAlignment="1">
      <alignment horizontal="center"/>
    </xf>
    <xf numFmtId="0" fontId="4" fillId="4" borderId="24" xfId="0" applyFont="1" applyFill="1" applyBorder="1" applyAlignment="1">
      <alignment horizontal="center"/>
    </xf>
    <xf numFmtId="0" fontId="4" fillId="4" borderId="71" xfId="0" applyFont="1" applyFill="1" applyBorder="1" applyAlignment="1">
      <alignment horizontal="center"/>
    </xf>
    <xf numFmtId="0" fontId="11" fillId="0" borderId="14" xfId="0" applyFont="1" applyFill="1" applyBorder="1" applyAlignment="1">
      <alignment horizontal="center" vertical="center" wrapText="1"/>
    </xf>
    <xf numFmtId="0" fontId="4" fillId="0" borderId="24" xfId="0" applyFont="1" applyBorder="1" applyAlignment="1">
      <alignment horizontal="center"/>
    </xf>
    <xf numFmtId="0" fontId="4" fillId="0" borderId="71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4" borderId="72" xfId="0" applyFont="1" applyFill="1" applyBorder="1" applyAlignment="1">
      <alignment horizontal="center" vertical="center"/>
    </xf>
    <xf numFmtId="0" fontId="4" fillId="4" borderId="71" xfId="0" applyFont="1" applyFill="1" applyBorder="1" applyAlignment="1">
      <alignment horizontal="center" vertical="center"/>
    </xf>
    <xf numFmtId="0" fontId="4" fillId="4" borderId="73" xfId="0" applyFont="1" applyFill="1" applyBorder="1" applyAlignment="1">
      <alignment horizontal="center" vertical="center"/>
    </xf>
    <xf numFmtId="0" fontId="29" fillId="7" borderId="10" xfId="0" applyFont="1" applyFill="1" applyBorder="1" applyAlignment="1">
      <alignment horizontal="center" vertical="center" wrapText="1"/>
    </xf>
    <xf numFmtId="0" fontId="29" fillId="7" borderId="42" xfId="0" applyFont="1" applyFill="1" applyBorder="1" applyAlignment="1">
      <alignment horizontal="center" vertical="center" wrapText="1"/>
    </xf>
    <xf numFmtId="0" fontId="34" fillId="7" borderId="35" xfId="0" applyFont="1" applyFill="1" applyBorder="1" applyAlignment="1">
      <alignment horizontal="center" vertical="center" wrapText="1"/>
    </xf>
    <xf numFmtId="0" fontId="34" fillId="7" borderId="41" xfId="0" applyFont="1" applyFill="1" applyBorder="1" applyAlignment="1">
      <alignment horizontal="center" vertical="center" wrapText="1"/>
    </xf>
    <xf numFmtId="0" fontId="34" fillId="7" borderId="67" xfId="0" applyFont="1" applyFill="1" applyBorder="1" applyAlignment="1">
      <alignment horizontal="center" vertical="center" wrapText="1"/>
    </xf>
    <xf numFmtId="0" fontId="29" fillId="7" borderId="39" xfId="0" applyFont="1" applyFill="1" applyBorder="1" applyAlignment="1">
      <alignment horizontal="center" vertical="center" wrapText="1"/>
    </xf>
    <xf numFmtId="0" fontId="29" fillId="0" borderId="23" xfId="0" applyFont="1" applyFill="1" applyBorder="1" applyAlignment="1">
      <alignment horizontal="center" vertical="center" wrapText="1"/>
    </xf>
    <xf numFmtId="1" fontId="30" fillId="0" borderId="13" xfId="0" applyNumberFormat="1" applyFont="1" applyFill="1" applyBorder="1" applyAlignment="1">
      <alignment horizontal="center" vertical="center"/>
    </xf>
    <xf numFmtId="1" fontId="30" fillId="0" borderId="7" xfId="0" applyNumberFormat="1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4" fillId="5" borderId="72" xfId="0" applyFont="1" applyFill="1" applyBorder="1" applyAlignment="1">
      <alignment horizontal="center" vertical="center"/>
    </xf>
    <xf numFmtId="0" fontId="4" fillId="5" borderId="71" xfId="0" applyFont="1" applyFill="1" applyBorder="1" applyAlignment="1">
      <alignment horizontal="center" vertical="center"/>
    </xf>
    <xf numFmtId="20" fontId="4" fillId="4" borderId="11" xfId="0" applyNumberFormat="1" applyFont="1" applyFill="1" applyBorder="1" applyAlignment="1">
      <alignment horizontal="center" vertical="center"/>
    </xf>
    <xf numFmtId="0" fontId="4" fillId="5" borderId="73" xfId="0" applyFont="1" applyFill="1" applyBorder="1" applyAlignment="1">
      <alignment horizontal="center" vertical="center"/>
    </xf>
    <xf numFmtId="0" fontId="34" fillId="0" borderId="63" xfId="0" applyFont="1" applyFill="1" applyBorder="1" applyAlignment="1">
      <alignment horizontal="center" vertical="center" wrapText="1"/>
    </xf>
    <xf numFmtId="0" fontId="34" fillId="0" borderId="56" xfId="0" applyFont="1" applyFill="1" applyBorder="1" applyAlignment="1">
      <alignment horizontal="center" vertical="center" wrapText="1"/>
    </xf>
    <xf numFmtId="0" fontId="34" fillId="0" borderId="72" xfId="0" applyFont="1" applyFill="1" applyBorder="1" applyAlignment="1">
      <alignment horizontal="center" vertical="center" wrapText="1"/>
    </xf>
    <xf numFmtId="0" fontId="29" fillId="0" borderId="2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/>
    </xf>
    <xf numFmtId="0" fontId="4" fillId="5" borderId="39" xfId="0" applyFont="1" applyFill="1" applyBorder="1" applyAlignment="1">
      <alignment horizontal="center" vertical="center"/>
    </xf>
    <xf numFmtId="1" fontId="4" fillId="5" borderId="4" xfId="0" applyNumberFormat="1" applyFont="1" applyFill="1" applyBorder="1" applyAlignment="1">
      <alignment horizontal="center" vertical="center"/>
    </xf>
    <xf numFmtId="0" fontId="29" fillId="7" borderId="14" xfId="0" applyFont="1" applyFill="1" applyBorder="1" applyAlignment="1">
      <alignment horizontal="center" vertical="center" wrapText="1"/>
    </xf>
    <xf numFmtId="0" fontId="4" fillId="6" borderId="71" xfId="0" applyFont="1" applyFill="1" applyBorder="1" applyAlignment="1">
      <alignment horizontal="center"/>
    </xf>
    <xf numFmtId="0" fontId="4" fillId="6" borderId="73" xfId="0" applyFont="1" applyFill="1" applyBorder="1" applyAlignment="1">
      <alignment horizontal="center"/>
    </xf>
    <xf numFmtId="0" fontId="34" fillId="7" borderId="63" xfId="0" applyFont="1" applyFill="1" applyBorder="1" applyAlignment="1">
      <alignment horizontal="center" vertical="center" wrapText="1"/>
    </xf>
    <xf numFmtId="0" fontId="34" fillId="7" borderId="56" xfId="0" applyFont="1" applyFill="1" applyBorder="1" applyAlignment="1">
      <alignment horizontal="center" vertical="center" wrapText="1"/>
    </xf>
    <xf numFmtId="0" fontId="34" fillId="7" borderId="72" xfId="0" applyFont="1" applyFill="1" applyBorder="1" applyAlignment="1">
      <alignment horizontal="center" vertical="center" wrapText="1"/>
    </xf>
    <xf numFmtId="0" fontId="29" fillId="7" borderId="2" xfId="0" applyFont="1" applyFill="1" applyBorder="1" applyAlignment="1">
      <alignment horizontal="center" vertical="center" wrapText="1"/>
    </xf>
    <xf numFmtId="0" fontId="11" fillId="7" borderId="14" xfId="0" applyFont="1" applyFill="1" applyBorder="1" applyAlignment="1">
      <alignment horizontal="center" vertical="center" wrapText="1"/>
    </xf>
    <xf numFmtId="0" fontId="4" fillId="6" borderId="72" xfId="0" applyFont="1" applyFill="1" applyBorder="1" applyAlignment="1">
      <alignment horizontal="center"/>
    </xf>
    <xf numFmtId="0" fontId="4" fillId="6" borderId="72" xfId="0" applyFont="1" applyFill="1" applyBorder="1" applyAlignment="1">
      <alignment horizontal="center" vertical="center"/>
    </xf>
    <xf numFmtId="0" fontId="4" fillId="0" borderId="73" xfId="0" applyFont="1" applyBorder="1" applyAlignment="1">
      <alignment horizontal="center"/>
    </xf>
    <xf numFmtId="0" fontId="4" fillId="6" borderId="71" xfId="0" applyFont="1" applyFill="1" applyBorder="1" applyAlignment="1">
      <alignment horizontal="center" vertical="center"/>
    </xf>
    <xf numFmtId="0" fontId="4" fillId="6" borderId="73" xfId="0" applyFont="1" applyFill="1" applyBorder="1" applyAlignment="1">
      <alignment horizontal="center" vertical="center"/>
    </xf>
    <xf numFmtId="166" fontId="5" fillId="2" borderId="1" xfId="6" applyNumberFormat="1" applyFont="1" applyFill="1" applyBorder="1" applyAlignment="1">
      <alignment horizontal="center" vertical="center" wrapText="1"/>
    </xf>
    <xf numFmtId="166" fontId="5" fillId="2" borderId="2" xfId="6" applyNumberFormat="1" applyFont="1" applyFill="1" applyBorder="1" applyAlignment="1">
      <alignment horizontal="center" vertical="center" wrapText="1"/>
    </xf>
    <xf numFmtId="166" fontId="5" fillId="2" borderId="3" xfId="6" applyNumberFormat="1" applyFont="1" applyFill="1" applyBorder="1" applyAlignment="1">
      <alignment horizontal="center" vertical="center" wrapText="1"/>
    </xf>
    <xf numFmtId="0" fontId="4" fillId="0" borderId="51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4" fillId="0" borderId="65" xfId="0" applyFont="1" applyBorder="1" applyAlignment="1">
      <alignment horizontal="center"/>
    </xf>
    <xf numFmtId="0" fontId="4" fillId="0" borderId="86" xfId="0" applyFont="1" applyBorder="1" applyAlignment="1">
      <alignment horizontal="center"/>
    </xf>
    <xf numFmtId="0" fontId="9" fillId="0" borderId="82" xfId="0" applyFont="1" applyBorder="1" applyAlignment="1">
      <alignment horizontal="center" vertical="center"/>
    </xf>
    <xf numFmtId="0" fontId="9" fillId="0" borderId="46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75" xfId="0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164" fontId="36" fillId="23" borderId="1" xfId="0" applyNumberFormat="1" applyFont="1" applyFill="1" applyBorder="1" applyAlignment="1">
      <alignment horizontal="center" vertical="center" wrapText="1"/>
    </xf>
    <xf numFmtId="0" fontId="25" fillId="0" borderId="20" xfId="0" applyFont="1" applyBorder="1" applyAlignment="1">
      <alignment horizontal="center"/>
    </xf>
    <xf numFmtId="164" fontId="10" fillId="23" borderId="2" xfId="0" applyNumberFormat="1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center"/>
    </xf>
    <xf numFmtId="164" fontId="36" fillId="23" borderId="2" xfId="0" applyNumberFormat="1" applyFont="1" applyFill="1" applyBorder="1" applyAlignment="1">
      <alignment horizontal="center" vertical="center" wrapText="1"/>
    </xf>
    <xf numFmtId="0" fontId="25" fillId="0" borderId="6" xfId="0" applyFont="1" applyBorder="1" applyAlignment="1">
      <alignment horizontal="center"/>
    </xf>
    <xf numFmtId="164" fontId="26" fillId="23" borderId="2" xfId="0" applyNumberFormat="1" applyFont="1" applyFill="1" applyBorder="1" applyAlignment="1">
      <alignment horizontal="center" vertical="center" wrapText="1"/>
    </xf>
    <xf numFmtId="0" fontId="15" fillId="0" borderId="6" xfId="0" applyFont="1" applyBorder="1" applyAlignment="1">
      <alignment horizontal="center"/>
    </xf>
    <xf numFmtId="164" fontId="26" fillId="23" borderId="58" xfId="0" applyNumberFormat="1" applyFont="1" applyFill="1" applyBorder="1" applyAlignment="1">
      <alignment horizontal="center" vertical="center" wrapText="1"/>
    </xf>
    <xf numFmtId="0" fontId="15" fillId="0" borderId="71" xfId="0" applyFont="1" applyBorder="1" applyAlignment="1">
      <alignment horizontal="center"/>
    </xf>
    <xf numFmtId="164" fontId="26" fillId="23" borderId="14" xfId="0" applyNumberFormat="1" applyFont="1" applyFill="1" applyBorder="1" applyAlignment="1">
      <alignment horizontal="center" vertical="center" wrapText="1"/>
    </xf>
    <xf numFmtId="0" fontId="15" fillId="0" borderId="14" xfId="0" applyFont="1" applyBorder="1" applyAlignment="1">
      <alignment horizontal="center"/>
    </xf>
    <xf numFmtId="164" fontId="33" fillId="8" borderId="30" xfId="0" applyNumberFormat="1" applyFont="1" applyFill="1" applyBorder="1" applyAlignment="1">
      <alignment horizontal="center" vertical="center" wrapText="1"/>
    </xf>
    <xf numFmtId="0" fontId="34" fillId="8" borderId="68" xfId="0" applyFont="1" applyFill="1" applyBorder="1" applyAlignment="1">
      <alignment horizontal="center"/>
    </xf>
    <xf numFmtId="164" fontId="26" fillId="23" borderId="50" xfId="0" applyNumberFormat="1" applyFont="1" applyFill="1" applyBorder="1" applyAlignment="1">
      <alignment horizontal="center" vertical="center" wrapText="1"/>
    </xf>
    <xf numFmtId="164" fontId="26" fillId="23" borderId="86" xfId="0" applyNumberFormat="1" applyFont="1" applyFill="1" applyBorder="1" applyAlignment="1">
      <alignment horizontal="center" vertical="center" wrapText="1"/>
    </xf>
    <xf numFmtId="164" fontId="26" fillId="23" borderId="46" xfId="0" applyNumberFormat="1" applyFont="1" applyFill="1" applyBorder="1" applyAlignment="1">
      <alignment horizontal="center" vertical="center" wrapText="1"/>
    </xf>
    <xf numFmtId="0" fontId="15" fillId="0" borderId="47" xfId="0" applyFont="1" applyBorder="1" applyAlignment="1">
      <alignment horizontal="center"/>
    </xf>
    <xf numFmtId="164" fontId="26" fillId="23" borderId="38" xfId="0" applyNumberFormat="1" applyFont="1" applyFill="1" applyBorder="1" applyAlignment="1">
      <alignment horizontal="center" vertical="center" wrapText="1"/>
    </xf>
    <xf numFmtId="0" fontId="15" fillId="0" borderId="48" xfId="0" applyFont="1" applyBorder="1" applyAlignment="1">
      <alignment horizontal="center"/>
    </xf>
    <xf numFmtId="164" fontId="26" fillId="23" borderId="61" xfId="0" applyNumberFormat="1" applyFont="1" applyFill="1" applyBorder="1" applyAlignment="1">
      <alignment horizontal="center" vertical="center" wrapText="1"/>
    </xf>
    <xf numFmtId="0" fontId="15" fillId="0" borderId="68" xfId="0" applyFont="1" applyBorder="1" applyAlignment="1">
      <alignment horizontal="center" vertical="center"/>
    </xf>
    <xf numFmtId="164" fontId="26" fillId="23" borderId="43" xfId="0" applyNumberFormat="1" applyFont="1" applyFill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/>
    </xf>
    <xf numFmtId="164" fontId="27" fillId="23" borderId="41" xfId="0" applyNumberFormat="1" applyFont="1" applyFill="1" applyBorder="1" applyAlignment="1">
      <alignment horizontal="center" vertical="center" wrapText="1"/>
    </xf>
    <xf numFmtId="0" fontId="13" fillId="0" borderId="67" xfId="0" applyFont="1" applyBorder="1" applyAlignment="1">
      <alignment horizontal="center" vertical="center" wrapText="1"/>
    </xf>
    <xf numFmtId="0" fontId="5" fillId="2" borderId="28" xfId="6" applyFont="1" applyFill="1" applyBorder="1" applyAlignment="1">
      <alignment horizontal="center" vertical="center" wrapText="1"/>
    </xf>
    <xf numFmtId="0" fontId="5" fillId="2" borderId="26" xfId="6" applyFont="1" applyFill="1" applyBorder="1" applyAlignment="1">
      <alignment horizontal="center" vertical="center" wrapText="1"/>
    </xf>
    <xf numFmtId="164" fontId="6" fillId="23" borderId="26" xfId="0" applyNumberFormat="1" applyFont="1" applyFill="1" applyBorder="1" applyAlignment="1">
      <alignment horizontal="center" vertical="center" wrapText="1"/>
    </xf>
    <xf numFmtId="0" fontId="4" fillId="0" borderId="8" xfId="0" applyFont="1" applyBorder="1" applyAlignment="1"/>
    <xf numFmtId="0" fontId="5" fillId="2" borderId="16" xfId="6" applyFont="1" applyFill="1" applyBorder="1" applyAlignment="1">
      <alignment horizontal="center" vertical="center" wrapText="1"/>
    </xf>
    <xf numFmtId="0" fontId="5" fillId="2" borderId="44" xfId="6" applyFont="1" applyFill="1" applyBorder="1" applyAlignment="1">
      <alignment horizontal="center" vertical="center" wrapText="1"/>
    </xf>
    <xf numFmtId="166" fontId="5" fillId="2" borderId="42" xfId="6" applyNumberFormat="1" applyFont="1" applyFill="1" applyBorder="1" applyAlignment="1">
      <alignment horizontal="center" vertical="center" wrapText="1"/>
    </xf>
    <xf numFmtId="166" fontId="5" fillId="2" borderId="26" xfId="6" applyNumberFormat="1" applyFont="1" applyFill="1" applyBorder="1" applyAlignment="1">
      <alignment horizontal="center" vertical="center" wrapText="1"/>
    </xf>
    <xf numFmtId="166" fontId="5" fillId="2" borderId="43" xfId="6" applyNumberFormat="1" applyFont="1" applyFill="1" applyBorder="1" applyAlignment="1">
      <alignment horizontal="center" vertical="center" wrapText="1"/>
    </xf>
    <xf numFmtId="0" fontId="59" fillId="0" borderId="0" xfId="0" applyFont="1" applyBorder="1" applyAlignment="1">
      <alignment horizontal="center" vertical="center" wrapText="1"/>
    </xf>
    <xf numFmtId="0" fontId="1" fillId="0" borderId="66" xfId="0" applyFont="1" applyBorder="1" applyAlignment="1">
      <alignment horizontal="center"/>
    </xf>
    <xf numFmtId="0" fontId="1" fillId="0" borderId="49" xfId="0" applyFont="1" applyBorder="1" applyAlignment="1">
      <alignment horizontal="center"/>
    </xf>
    <xf numFmtId="0" fontId="1" fillId="0" borderId="85" xfId="0" applyFont="1" applyBorder="1" applyAlignment="1">
      <alignment horizontal="center"/>
    </xf>
    <xf numFmtId="0" fontId="1" fillId="0" borderId="71" xfId="0" applyFont="1" applyBorder="1" applyAlignment="1">
      <alignment horizontal="center"/>
    </xf>
    <xf numFmtId="0" fontId="0" fillId="0" borderId="5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14" fontId="0" fillId="0" borderId="70" xfId="0" applyNumberFormat="1" applyBorder="1" applyAlignment="1">
      <alignment horizontal="center" vertical="center"/>
    </xf>
    <xf numFmtId="14" fontId="0" fillId="0" borderId="28" xfId="0" applyNumberFormat="1" applyBorder="1" applyAlignment="1">
      <alignment horizontal="center" vertical="center"/>
    </xf>
    <xf numFmtId="14" fontId="0" fillId="0" borderId="59" xfId="0" applyNumberFormat="1" applyBorder="1" applyAlignment="1">
      <alignment horizontal="center"/>
    </xf>
    <xf numFmtId="14" fontId="0" fillId="0" borderId="52" xfId="0" applyNumberFormat="1" applyBorder="1" applyAlignment="1">
      <alignment horizontal="center" vertical="center"/>
    </xf>
    <xf numFmtId="14" fontId="0" fillId="0" borderId="83" xfId="0" applyNumberFormat="1" applyBorder="1" applyAlignment="1">
      <alignment horizontal="center" vertical="center"/>
    </xf>
    <xf numFmtId="14" fontId="0" fillId="0" borderId="84" xfId="0" applyNumberForma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4" fontId="0" fillId="0" borderId="35" xfId="0" applyNumberFormat="1" applyBorder="1" applyAlignment="1">
      <alignment horizontal="center" vertical="center"/>
    </xf>
    <xf numFmtId="14" fontId="0" fillId="0" borderId="67" xfId="0" applyNumberFormat="1" applyBorder="1" applyAlignment="1">
      <alignment horizontal="center" vertical="center"/>
    </xf>
    <xf numFmtId="0" fontId="29" fillId="17" borderId="19" xfId="0" applyFont="1" applyFill="1" applyBorder="1" applyAlignment="1">
      <alignment horizontal="center" vertical="center" wrapText="1"/>
    </xf>
    <xf numFmtId="0" fontId="11" fillId="17" borderId="13" xfId="0" applyFont="1" applyFill="1" applyBorder="1" applyAlignment="1">
      <alignment horizontal="center" vertical="center" wrapText="1"/>
    </xf>
    <xf numFmtId="0" fontId="29" fillId="7" borderId="13" xfId="0" applyFont="1" applyFill="1" applyBorder="1" applyAlignment="1">
      <alignment horizontal="center" vertical="center" wrapText="1"/>
    </xf>
    <xf numFmtId="0" fontId="29" fillId="7" borderId="28" xfId="0" applyFont="1" applyFill="1" applyBorder="1" applyAlignment="1">
      <alignment horizontal="center" vertical="center" wrapText="1"/>
    </xf>
    <xf numFmtId="0" fontId="29" fillId="17" borderId="13" xfId="0" applyFont="1" applyFill="1" applyBorder="1" applyAlignment="1">
      <alignment horizontal="center" vertical="center" wrapText="1"/>
    </xf>
    <xf numFmtId="0" fontId="11" fillId="17" borderId="17" xfId="0" applyFont="1" applyFill="1" applyBorder="1" applyAlignment="1">
      <alignment horizontal="center" vertical="center" wrapText="1"/>
    </xf>
    <xf numFmtId="0" fontId="34" fillId="17" borderId="35" xfId="0" applyFont="1" applyFill="1" applyBorder="1" applyAlignment="1">
      <alignment horizontal="center" vertical="center" wrapText="1"/>
    </xf>
    <xf numFmtId="0" fontId="34" fillId="17" borderId="41" xfId="0" applyFont="1" applyFill="1" applyBorder="1" applyAlignment="1">
      <alignment horizontal="center" vertical="center" wrapText="1"/>
    </xf>
    <xf numFmtId="0" fontId="34" fillId="17" borderId="67" xfId="0" applyFont="1" applyFill="1" applyBorder="1" applyAlignment="1">
      <alignment horizontal="center" vertical="center" wrapText="1"/>
    </xf>
    <xf numFmtId="164" fontId="26" fillId="23" borderId="12" xfId="0" applyNumberFormat="1" applyFont="1" applyFill="1" applyBorder="1" applyAlignment="1">
      <alignment horizontal="center" vertical="center" wrapText="1"/>
    </xf>
    <xf numFmtId="0" fontId="15" fillId="0" borderId="18" xfId="0" applyFont="1" applyBorder="1" applyAlignment="1">
      <alignment horizontal="center"/>
    </xf>
    <xf numFmtId="164" fontId="33" fillId="8" borderId="38" xfId="0" applyNumberFormat="1" applyFont="1" applyFill="1" applyBorder="1" applyAlignment="1">
      <alignment horizontal="center" vertical="center" wrapText="1"/>
    </xf>
    <xf numFmtId="0" fontId="34" fillId="8" borderId="48" xfId="0" applyFont="1" applyFill="1" applyBorder="1" applyAlignment="1">
      <alignment horizontal="center"/>
    </xf>
    <xf numFmtId="0" fontId="4" fillId="5" borderId="20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6" borderId="39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39" xfId="0" applyFont="1" applyFill="1" applyBorder="1" applyAlignment="1">
      <alignment horizontal="center"/>
    </xf>
    <xf numFmtId="0" fontId="4" fillId="6" borderId="20" xfId="0" applyFont="1" applyFill="1" applyBorder="1" applyAlignment="1">
      <alignment horizontal="center"/>
    </xf>
    <xf numFmtId="0" fontId="4" fillId="6" borderId="14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4" fillId="4" borderId="20" xfId="0" applyFont="1" applyFill="1" applyBorder="1" applyAlignment="1">
      <alignment horizontal="center" vertical="center"/>
    </xf>
    <xf numFmtId="0" fontId="29" fillId="7" borderId="6" xfId="0" applyFont="1" applyFill="1" applyBorder="1" applyAlignment="1">
      <alignment horizontal="center" vertical="center" wrapText="1"/>
    </xf>
    <xf numFmtId="0" fontId="4" fillId="17" borderId="2" xfId="0" applyFont="1" applyFill="1" applyBorder="1" applyAlignment="1">
      <alignment horizontal="center"/>
    </xf>
    <xf numFmtId="0" fontId="4" fillId="17" borderId="14" xfId="0" applyFont="1" applyFill="1" applyBorder="1" applyAlignment="1">
      <alignment horizontal="center"/>
    </xf>
    <xf numFmtId="1" fontId="30" fillId="4" borderId="8" xfId="0" applyNumberFormat="1" applyFont="1" applyFill="1" applyBorder="1" applyAlignment="1">
      <alignment horizontal="center" vertical="center" wrapText="1"/>
    </xf>
    <xf numFmtId="1" fontId="30" fillId="4" borderId="26" xfId="0" applyNumberFormat="1" applyFont="1" applyFill="1" applyBorder="1" applyAlignment="1">
      <alignment horizontal="center" vertical="center" wrapText="1"/>
    </xf>
    <xf numFmtId="0" fontId="4" fillId="17" borderId="1" xfId="0" applyFont="1" applyFill="1" applyBorder="1" applyAlignment="1">
      <alignment horizontal="center" vertical="center"/>
    </xf>
    <xf numFmtId="0" fontId="4" fillId="17" borderId="39" xfId="0" applyFont="1" applyFill="1" applyBorder="1" applyAlignment="1">
      <alignment horizontal="center" vertical="center"/>
    </xf>
    <xf numFmtId="0" fontId="4" fillId="17" borderId="2" xfId="0" applyFont="1" applyFill="1" applyBorder="1" applyAlignment="1">
      <alignment horizontal="center" vertical="center"/>
    </xf>
    <xf numFmtId="0" fontId="4" fillId="17" borderId="14" xfId="0" applyFont="1" applyFill="1" applyBorder="1" applyAlignment="1">
      <alignment horizontal="center" vertical="center"/>
    </xf>
    <xf numFmtId="0" fontId="4" fillId="17" borderId="3" xfId="0" applyFont="1" applyFill="1" applyBorder="1" applyAlignment="1">
      <alignment horizontal="center" vertical="center"/>
    </xf>
    <xf numFmtId="0" fontId="4" fillId="17" borderId="4" xfId="0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horizontal="center"/>
    </xf>
    <xf numFmtId="0" fontId="4" fillId="17" borderId="39" xfId="0" applyFont="1" applyFill="1" applyBorder="1" applyAlignment="1">
      <alignment horizontal="center"/>
    </xf>
    <xf numFmtId="0" fontId="4" fillId="17" borderId="12" xfId="0" applyFont="1" applyFill="1" applyBorder="1" applyAlignment="1">
      <alignment horizontal="center"/>
    </xf>
    <xf numFmtId="0" fontId="4" fillId="17" borderId="15" xfId="0" applyFont="1" applyFill="1" applyBorder="1" applyAlignment="1">
      <alignment horizontal="center"/>
    </xf>
    <xf numFmtId="0" fontId="4" fillId="17" borderId="58" xfId="0" applyFont="1" applyFill="1" applyBorder="1" applyAlignment="1">
      <alignment horizontal="center"/>
    </xf>
    <xf numFmtId="0" fontId="4" fillId="17" borderId="26" xfId="0" applyFont="1" applyFill="1" applyBorder="1" applyAlignment="1">
      <alignment horizontal="center"/>
    </xf>
    <xf numFmtId="0" fontId="4" fillId="17" borderId="60" xfId="0" applyFont="1" applyFill="1" applyBorder="1" applyAlignment="1">
      <alignment horizontal="center"/>
    </xf>
    <xf numFmtId="0" fontId="4" fillId="17" borderId="43" xfId="0" applyFont="1" applyFill="1" applyBorder="1" applyAlignment="1">
      <alignment horizontal="center"/>
    </xf>
    <xf numFmtId="0" fontId="4" fillId="17" borderId="63" xfId="0" applyFont="1" applyFill="1" applyBorder="1" applyAlignment="1">
      <alignment horizontal="center"/>
    </xf>
    <xf numFmtId="0" fontId="4" fillId="17" borderId="42" xfId="0" applyFont="1" applyFill="1" applyBorder="1" applyAlignment="1">
      <alignment horizontal="center"/>
    </xf>
    <xf numFmtId="0" fontId="4" fillId="17" borderId="3" xfId="0" applyFont="1" applyFill="1" applyBorder="1" applyAlignment="1">
      <alignment horizontal="center"/>
    </xf>
    <xf numFmtId="0" fontId="4" fillId="17" borderId="4" xfId="0" applyFont="1" applyFill="1" applyBorder="1" applyAlignment="1">
      <alignment horizontal="center"/>
    </xf>
    <xf numFmtId="0" fontId="4" fillId="17" borderId="8" xfId="0" applyFont="1" applyFill="1" applyBorder="1" applyAlignment="1">
      <alignment horizontal="center"/>
    </xf>
    <xf numFmtId="0" fontId="4" fillId="17" borderId="24" xfId="0" applyFont="1" applyFill="1" applyBorder="1" applyAlignment="1">
      <alignment horizontal="center"/>
    </xf>
    <xf numFmtId="0" fontId="4" fillId="17" borderId="11" xfId="0" applyFont="1" applyFill="1" applyBorder="1" applyAlignment="1">
      <alignment horizontal="center"/>
    </xf>
    <xf numFmtId="0" fontId="4" fillId="17" borderId="55" xfId="0" applyFont="1" applyFill="1" applyBorder="1" applyAlignment="1">
      <alignment horizontal="center"/>
    </xf>
    <xf numFmtId="0" fontId="4" fillId="17" borderId="10" xfId="0" applyFont="1" applyFill="1" applyBorder="1" applyAlignment="1">
      <alignment horizontal="center"/>
    </xf>
    <xf numFmtId="0" fontId="4" fillId="17" borderId="56" xfId="0" applyFont="1" applyFill="1" applyBorder="1" applyAlignment="1">
      <alignment horizontal="center"/>
    </xf>
    <xf numFmtId="0" fontId="4" fillId="17" borderId="8" xfId="0" applyFont="1" applyFill="1" applyBorder="1" applyAlignment="1">
      <alignment horizontal="center" vertical="center"/>
    </xf>
    <xf numFmtId="0" fontId="4" fillId="17" borderId="24" xfId="0" applyFont="1" applyFill="1" applyBorder="1" applyAlignment="1">
      <alignment horizontal="center" vertical="center"/>
    </xf>
    <xf numFmtId="0" fontId="4" fillId="17" borderId="26" xfId="0" applyFont="1" applyFill="1" applyBorder="1" applyAlignment="1">
      <alignment horizontal="center" vertical="center"/>
    </xf>
    <xf numFmtId="0" fontId="4" fillId="17" borderId="11" xfId="0" applyFont="1" applyFill="1" applyBorder="1" applyAlignment="1">
      <alignment horizontal="center" vertical="center"/>
    </xf>
    <xf numFmtId="0" fontId="4" fillId="17" borderId="55" xfId="0" applyFont="1" applyFill="1" applyBorder="1" applyAlignment="1">
      <alignment horizontal="center" vertical="center"/>
    </xf>
    <xf numFmtId="0" fontId="4" fillId="17" borderId="43" xfId="0" applyFont="1" applyFill="1" applyBorder="1" applyAlignment="1">
      <alignment horizontal="center" vertical="center"/>
    </xf>
    <xf numFmtId="0" fontId="4" fillId="17" borderId="10" xfId="0" applyFont="1" applyFill="1" applyBorder="1" applyAlignment="1">
      <alignment horizontal="center" vertical="center"/>
    </xf>
    <xf numFmtId="0" fontId="4" fillId="17" borderId="56" xfId="0" applyFont="1" applyFill="1" applyBorder="1" applyAlignment="1">
      <alignment horizontal="center" vertical="center"/>
    </xf>
    <xf numFmtId="0" fontId="4" fillId="17" borderId="42" xfId="0" applyFont="1" applyFill="1" applyBorder="1" applyAlignment="1">
      <alignment horizontal="center" vertical="center"/>
    </xf>
    <xf numFmtId="164" fontId="26" fillId="23" borderId="26" xfId="0" applyNumberFormat="1" applyFont="1" applyFill="1" applyBorder="1" applyAlignment="1">
      <alignment horizontal="center" vertical="center" wrapText="1"/>
    </xf>
    <xf numFmtId="0" fontId="63" fillId="4" borderId="51" xfId="0" applyFont="1" applyFill="1" applyBorder="1" applyAlignment="1">
      <alignment horizontal="center" vertical="center" wrapText="1"/>
    </xf>
    <xf numFmtId="0" fontId="63" fillId="4" borderId="70" xfId="0" applyFont="1" applyFill="1" applyBorder="1" applyAlignment="1">
      <alignment horizontal="center" vertical="center" wrapText="1"/>
    </xf>
    <xf numFmtId="0" fontId="63" fillId="4" borderId="50" xfId="0" applyFont="1" applyFill="1" applyBorder="1" applyAlignment="1">
      <alignment horizontal="center" vertical="center" wrapText="1"/>
    </xf>
    <xf numFmtId="0" fontId="63" fillId="4" borderId="34" xfId="0" applyFont="1" applyFill="1" applyBorder="1" applyAlignment="1">
      <alignment horizontal="center" vertical="center" wrapText="1"/>
    </xf>
    <xf numFmtId="0" fontId="63" fillId="4" borderId="65" xfId="0" applyFont="1" applyFill="1" applyBorder="1" applyAlignment="1">
      <alignment horizontal="center" vertical="center" wrapText="1"/>
    </xf>
    <xf numFmtId="0" fontId="63" fillId="4" borderId="27" xfId="0" applyFont="1" applyFill="1" applyBorder="1" applyAlignment="1">
      <alignment horizontal="center" vertical="center" wrapText="1"/>
    </xf>
    <xf numFmtId="0" fontId="63" fillId="4" borderId="86" xfId="0" applyFont="1" applyFill="1" applyBorder="1" applyAlignment="1">
      <alignment horizontal="center" vertical="center" wrapText="1"/>
    </xf>
    <xf numFmtId="0" fontId="4" fillId="0" borderId="7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8" fillId="9" borderId="45" xfId="0" applyFont="1" applyFill="1" applyBorder="1" applyAlignment="1">
      <alignment horizontal="center" vertical="center" wrapText="1"/>
    </xf>
    <xf numFmtId="0" fontId="8" fillId="9" borderId="75" xfId="0" applyFont="1" applyFill="1" applyBorder="1" applyAlignment="1">
      <alignment horizontal="center" vertical="center" wrapText="1"/>
    </xf>
    <xf numFmtId="0" fontId="8" fillId="9" borderId="21" xfId="0" applyFont="1" applyFill="1" applyBorder="1" applyAlignment="1">
      <alignment horizontal="center" vertical="center" wrapText="1"/>
    </xf>
    <xf numFmtId="0" fontId="41" fillId="21" borderId="58" xfId="0" applyFont="1" applyFill="1" applyBorder="1" applyAlignment="1">
      <alignment horizontal="center" vertical="center" wrapText="1"/>
    </xf>
    <xf numFmtId="0" fontId="41" fillId="21" borderId="71" xfId="0" applyFont="1" applyFill="1" applyBorder="1" applyAlignment="1">
      <alignment horizontal="center" vertical="center" wrapText="1"/>
    </xf>
  </cellXfs>
  <cellStyles count="7">
    <cellStyle name="AutoFormat-Optionen" xfId="1"/>
    <cellStyle name="Normal" xfId="0" builtinId="0"/>
    <cellStyle name="Normal 2" xfId="2"/>
    <cellStyle name="Normal 2 2" xfId="3"/>
    <cellStyle name="Normal 3" xfId="4"/>
    <cellStyle name="Normal_BOM J92_FK67 du 041109 ind --- " xfId="5"/>
    <cellStyle name="Normal_Sheet1" xfId="6"/>
  </cellStyles>
  <dxfs count="3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indexed="51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51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51"/>
        </patternFill>
      </fill>
    </dxf>
    <dxf>
      <fill>
        <patternFill>
          <bgColor indexed="1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11</xdr:col>
      <xdr:colOff>819150</xdr:colOff>
      <xdr:row>3</xdr:row>
      <xdr:rowOff>161925</xdr:rowOff>
    </xdr:to>
    <xdr:pic>
      <xdr:nvPicPr>
        <xdr:cNvPr id="39375" name="Image 2" descr="C:\Users\AELHIMEU\AppData\Local\Microsoft\Windows\Temporary Internet Files\Content.Outlook\KLXJ1GG5\visteon_interiors (2)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49875" y="0"/>
          <a:ext cx="260032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1</xdr:col>
      <xdr:colOff>790575</xdr:colOff>
      <xdr:row>3</xdr:row>
      <xdr:rowOff>276225</xdr:rowOff>
    </xdr:to>
    <xdr:pic>
      <xdr:nvPicPr>
        <xdr:cNvPr id="38804" name="Picture 2" descr="vist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"/>
          <a:ext cx="2333625" cy="124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0</xdr:row>
      <xdr:rowOff>114300</xdr:rowOff>
    </xdr:from>
    <xdr:to>
      <xdr:col>2</xdr:col>
      <xdr:colOff>190500</xdr:colOff>
      <xdr:row>1</xdr:row>
      <xdr:rowOff>314325</xdr:rowOff>
    </xdr:to>
    <xdr:pic>
      <xdr:nvPicPr>
        <xdr:cNvPr id="41305" name="Image 2" descr="C:\Users\AELHIMEU\AppData\Local\Microsoft\Windows\Temporary Internet Files\Content.Outlook\KLXJ1GG5\visteon_interiors (2)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114300"/>
          <a:ext cx="134302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77"/>
  <sheetViews>
    <sheetView tabSelected="1" topLeftCell="A2" zoomScale="40" zoomScaleNormal="40" workbookViewId="0">
      <selection activeCell="H19" sqref="H19:H20"/>
    </sheetView>
  </sheetViews>
  <sheetFormatPr baseColWidth="10" defaultRowHeight="12.75"/>
  <cols>
    <col min="1" max="1" width="28.5703125" customWidth="1"/>
    <col min="2" max="2" width="22" bestFit="1" customWidth="1"/>
    <col min="3" max="3" width="39.7109375" customWidth="1"/>
    <col min="4" max="5" width="25.42578125" bestFit="1" customWidth="1"/>
    <col min="6" max="6" width="18.7109375" customWidth="1"/>
    <col min="7" max="7" width="74" bestFit="1" customWidth="1"/>
    <col min="8" max="9" width="18.42578125" customWidth="1"/>
    <col min="10" max="10" width="13" bestFit="1" customWidth="1"/>
    <col min="11" max="11" width="13.7109375" customWidth="1"/>
    <col min="12" max="12" width="19.42578125" bestFit="1" customWidth="1"/>
    <col min="13" max="13" width="13" bestFit="1" customWidth="1"/>
    <col min="14" max="14" width="13.7109375" bestFit="1" customWidth="1"/>
    <col min="15" max="15" width="19.42578125" bestFit="1" customWidth="1"/>
    <col min="16" max="16" width="13" bestFit="1" customWidth="1"/>
    <col min="17" max="17" width="13.7109375" bestFit="1" customWidth="1"/>
    <col min="18" max="18" width="19.42578125" bestFit="1" customWidth="1"/>
  </cols>
  <sheetData>
    <row r="1" spans="1:18" s="671" customFormat="1" ht="21.75" customHeight="1">
      <c r="A1" s="922" t="s">
        <v>383</v>
      </c>
      <c r="B1" s="841">
        <v>530</v>
      </c>
      <c r="C1" s="1027" t="s">
        <v>476</v>
      </c>
      <c r="D1" s="1028"/>
      <c r="E1" s="1028"/>
      <c r="F1" s="1028"/>
      <c r="G1" s="1028"/>
      <c r="H1" s="1028"/>
      <c r="I1" s="1028"/>
    </row>
    <row r="2" spans="1:18" s="671" customFormat="1" ht="21.75" customHeight="1">
      <c r="A2" s="922" t="s">
        <v>384</v>
      </c>
      <c r="B2" s="841">
        <v>360</v>
      </c>
      <c r="C2" s="1027"/>
      <c r="D2" s="1028"/>
      <c r="E2" s="1028"/>
      <c r="F2" s="1028"/>
      <c r="G2" s="1028"/>
      <c r="H2" s="1028"/>
      <c r="I2" s="1028"/>
    </row>
    <row r="3" spans="1:18" s="671" customFormat="1" ht="20.25" customHeight="1">
      <c r="A3" s="922" t="s">
        <v>385</v>
      </c>
      <c r="B3" s="902">
        <f>B2*0.64</f>
        <v>230.4</v>
      </c>
      <c r="C3" s="1027"/>
      <c r="D3" s="1028"/>
      <c r="E3" s="1028"/>
      <c r="F3" s="1028"/>
      <c r="G3" s="1028"/>
      <c r="H3" s="1028"/>
      <c r="I3" s="1028"/>
    </row>
    <row r="4" spans="1:18" s="671" customFormat="1" ht="22.5" customHeight="1" thickBot="1">
      <c r="A4" s="922" t="s">
        <v>386</v>
      </c>
      <c r="B4" s="902">
        <f>B2-B3</f>
        <v>129.6</v>
      </c>
      <c r="C4" s="1029"/>
      <c r="D4" s="1030"/>
      <c r="E4" s="1030"/>
      <c r="F4" s="1030"/>
      <c r="G4" s="1030"/>
      <c r="H4" s="1030"/>
      <c r="I4" s="1030"/>
    </row>
    <row r="5" spans="1:18" ht="25.5" customHeight="1">
      <c r="A5" s="975" t="s">
        <v>466</v>
      </c>
      <c r="B5" s="989" t="s">
        <v>433</v>
      </c>
      <c r="C5" s="974" t="s">
        <v>454</v>
      </c>
      <c r="D5" s="974" t="s">
        <v>472</v>
      </c>
      <c r="E5" s="974" t="s">
        <v>211</v>
      </c>
      <c r="F5" s="976" t="s">
        <v>460</v>
      </c>
      <c r="G5" s="976" t="s">
        <v>142</v>
      </c>
      <c r="H5" s="974" t="s">
        <v>455</v>
      </c>
      <c r="I5" s="1034" t="s">
        <v>0</v>
      </c>
      <c r="J5" s="968" t="s">
        <v>477</v>
      </c>
      <c r="K5" s="969"/>
      <c r="L5" s="970"/>
      <c r="M5" s="968" t="s">
        <v>477</v>
      </c>
      <c r="N5" s="969"/>
      <c r="O5" s="970"/>
      <c r="P5" s="965" t="s">
        <v>477</v>
      </c>
      <c r="Q5" s="966"/>
      <c r="R5" s="967"/>
    </row>
    <row r="6" spans="1:18" ht="43.5" customHeight="1" thickBot="1">
      <c r="A6" s="975"/>
      <c r="B6" s="989"/>
      <c r="C6" s="975"/>
      <c r="D6" s="975"/>
      <c r="E6" s="975"/>
      <c r="F6" s="977"/>
      <c r="G6" s="977"/>
      <c r="H6" s="1032"/>
      <c r="I6" s="1035"/>
      <c r="J6" s="937" t="s">
        <v>2</v>
      </c>
      <c r="K6" s="938" t="s">
        <v>235</v>
      </c>
      <c r="L6" s="938" t="s">
        <v>470</v>
      </c>
      <c r="M6" s="937" t="s">
        <v>2</v>
      </c>
      <c r="N6" s="938" t="s">
        <v>235</v>
      </c>
      <c r="O6" s="938" t="s">
        <v>470</v>
      </c>
      <c r="P6" s="956" t="s">
        <v>2</v>
      </c>
      <c r="Q6" s="957" t="s">
        <v>235</v>
      </c>
      <c r="R6" s="957" t="s">
        <v>470</v>
      </c>
    </row>
    <row r="7" spans="1:18" s="82" customFormat="1" ht="30.75" customHeight="1" thickBot="1">
      <c r="A7" s="980" t="s">
        <v>469</v>
      </c>
      <c r="B7" s="878"/>
      <c r="C7" s="603" t="s">
        <v>478</v>
      </c>
      <c r="D7" s="983" t="s">
        <v>473</v>
      </c>
      <c r="E7" s="868">
        <v>306</v>
      </c>
      <c r="F7" s="863" t="s">
        <v>210</v>
      </c>
      <c r="G7" s="898" t="s">
        <v>234</v>
      </c>
      <c r="H7" s="964" t="s">
        <v>532</v>
      </c>
      <c r="I7" s="920"/>
      <c r="J7" s="913"/>
      <c r="K7" s="917">
        <f>I7-J7</f>
        <v>0</v>
      </c>
      <c r="L7" s="914" t="s">
        <v>210</v>
      </c>
      <c r="M7" s="913"/>
      <c r="N7" s="917">
        <f t="shared" ref="N7:N33" si="0">K7-M7</f>
        <v>0</v>
      </c>
      <c r="O7" s="914" t="s">
        <v>210</v>
      </c>
      <c r="P7" s="913"/>
      <c r="Q7" s="917">
        <f t="shared" ref="Q7:Q33" si="1">N7-P7</f>
        <v>0</v>
      </c>
      <c r="R7" s="914" t="s">
        <v>210</v>
      </c>
    </row>
    <row r="8" spans="1:18" s="82" customFormat="1" ht="38.25" thickBot="1">
      <c r="A8" s="981"/>
      <c r="B8" s="876"/>
      <c r="C8" s="872" t="s">
        <v>479</v>
      </c>
      <c r="D8" s="984"/>
      <c r="E8" s="979">
        <v>15</v>
      </c>
      <c r="F8" s="83" t="s">
        <v>210</v>
      </c>
      <c r="G8" s="892" t="s">
        <v>233</v>
      </c>
      <c r="H8" s="1400" t="s">
        <v>534</v>
      </c>
      <c r="I8" s="920"/>
      <c r="J8" s="913"/>
      <c r="K8" s="917">
        <f t="shared" ref="K8:K73" si="2">I8-J8</f>
        <v>0</v>
      </c>
      <c r="L8" s="915" t="s">
        <v>210</v>
      </c>
      <c r="M8" s="913"/>
      <c r="N8" s="918">
        <f t="shared" si="0"/>
        <v>0</v>
      </c>
      <c r="O8" s="915" t="s">
        <v>210</v>
      </c>
      <c r="P8" s="913"/>
      <c r="Q8" s="918">
        <f t="shared" si="1"/>
        <v>0</v>
      </c>
      <c r="R8" s="915" t="s">
        <v>210</v>
      </c>
    </row>
    <row r="9" spans="1:18" s="82" customFormat="1" ht="38.25" thickBot="1">
      <c r="A9" s="981"/>
      <c r="B9" s="876"/>
      <c r="C9" s="872" t="s">
        <v>480</v>
      </c>
      <c r="D9" s="984"/>
      <c r="E9" s="979"/>
      <c r="F9" s="83" t="s">
        <v>210</v>
      </c>
      <c r="G9" s="934" t="s">
        <v>232</v>
      </c>
      <c r="H9" s="1401"/>
      <c r="I9" s="920"/>
      <c r="J9" s="913"/>
      <c r="K9" s="917">
        <f t="shared" si="2"/>
        <v>0</v>
      </c>
      <c r="L9" s="915" t="s">
        <v>210</v>
      </c>
      <c r="M9" s="913"/>
      <c r="N9" s="918">
        <f t="shared" si="0"/>
        <v>0</v>
      </c>
      <c r="O9" s="915" t="s">
        <v>210</v>
      </c>
      <c r="P9" s="913"/>
      <c r="Q9" s="918">
        <f t="shared" si="1"/>
        <v>0</v>
      </c>
      <c r="R9" s="915" t="s">
        <v>210</v>
      </c>
    </row>
    <row r="10" spans="1:18" s="82" customFormat="1" ht="38.25" thickBot="1">
      <c r="A10" s="981"/>
      <c r="B10" s="876"/>
      <c r="C10" s="872" t="s">
        <v>481</v>
      </c>
      <c r="D10" s="984"/>
      <c r="E10" s="979"/>
      <c r="F10" s="83" t="s">
        <v>210</v>
      </c>
      <c r="G10" s="892" t="s">
        <v>231</v>
      </c>
      <c r="H10" s="1400" t="s">
        <v>535</v>
      </c>
      <c r="I10" s="920"/>
      <c r="J10" s="913"/>
      <c r="K10" s="917">
        <f t="shared" si="2"/>
        <v>0</v>
      </c>
      <c r="L10" s="915" t="s">
        <v>210</v>
      </c>
      <c r="M10" s="913"/>
      <c r="N10" s="918">
        <f t="shared" si="0"/>
        <v>0</v>
      </c>
      <c r="O10" s="915" t="s">
        <v>210</v>
      </c>
      <c r="P10" s="913"/>
      <c r="Q10" s="918">
        <f t="shared" si="1"/>
        <v>0</v>
      </c>
      <c r="R10" s="915" t="s">
        <v>210</v>
      </c>
    </row>
    <row r="11" spans="1:18" s="82" customFormat="1" ht="38.25" thickBot="1">
      <c r="A11" s="981"/>
      <c r="B11" s="876"/>
      <c r="C11" s="872" t="s">
        <v>482</v>
      </c>
      <c r="D11" s="984"/>
      <c r="E11" s="979"/>
      <c r="F11" s="83" t="s">
        <v>210</v>
      </c>
      <c r="G11" s="892" t="s">
        <v>230</v>
      </c>
      <c r="H11" s="1401"/>
      <c r="I11" s="920"/>
      <c r="J11" s="913"/>
      <c r="K11" s="917">
        <f t="shared" si="2"/>
        <v>0</v>
      </c>
      <c r="L11" s="915" t="s">
        <v>210</v>
      </c>
      <c r="M11" s="913"/>
      <c r="N11" s="918">
        <f t="shared" si="0"/>
        <v>0</v>
      </c>
      <c r="O11" s="915" t="s">
        <v>210</v>
      </c>
      <c r="P11" s="913"/>
      <c r="Q11" s="918">
        <f t="shared" si="1"/>
        <v>0</v>
      </c>
      <c r="R11" s="915" t="s">
        <v>210</v>
      </c>
    </row>
    <row r="12" spans="1:18" s="82" customFormat="1" ht="38.25" thickBot="1">
      <c r="A12" s="981"/>
      <c r="B12" s="876"/>
      <c r="C12" s="872" t="s">
        <v>483</v>
      </c>
      <c r="D12" s="984"/>
      <c r="E12" s="871">
        <v>62</v>
      </c>
      <c r="F12" s="83" t="s">
        <v>210</v>
      </c>
      <c r="G12" s="892" t="s">
        <v>387</v>
      </c>
      <c r="H12" s="964" t="s">
        <v>536</v>
      </c>
      <c r="I12" s="920"/>
      <c r="J12" s="913"/>
      <c r="K12" s="917">
        <f t="shared" si="2"/>
        <v>0</v>
      </c>
      <c r="L12" s="915" t="s">
        <v>210</v>
      </c>
      <c r="M12" s="913"/>
      <c r="N12" s="918">
        <f t="shared" si="0"/>
        <v>0</v>
      </c>
      <c r="O12" s="915" t="s">
        <v>210</v>
      </c>
      <c r="P12" s="913"/>
      <c r="Q12" s="918">
        <f t="shared" si="1"/>
        <v>0</v>
      </c>
      <c r="R12" s="915" t="s">
        <v>210</v>
      </c>
    </row>
    <row r="13" spans="1:18" s="82" customFormat="1" ht="38.25" thickBot="1">
      <c r="A13" s="981"/>
      <c r="B13" s="876"/>
      <c r="C13" s="872" t="s">
        <v>484</v>
      </c>
      <c r="D13" s="984"/>
      <c r="E13" s="871">
        <v>112</v>
      </c>
      <c r="F13" s="83" t="s">
        <v>210</v>
      </c>
      <c r="G13" s="892" t="s">
        <v>228</v>
      </c>
      <c r="H13" s="964" t="s">
        <v>537</v>
      </c>
      <c r="I13" s="920"/>
      <c r="J13" s="913"/>
      <c r="K13" s="917">
        <f t="shared" si="2"/>
        <v>0</v>
      </c>
      <c r="L13" s="915" t="s">
        <v>210</v>
      </c>
      <c r="M13" s="913"/>
      <c r="N13" s="918">
        <f t="shared" si="0"/>
        <v>0</v>
      </c>
      <c r="O13" s="915" t="s">
        <v>210</v>
      </c>
      <c r="P13" s="913"/>
      <c r="Q13" s="918">
        <f t="shared" si="1"/>
        <v>0</v>
      </c>
      <c r="R13" s="915" t="s">
        <v>210</v>
      </c>
    </row>
    <row r="14" spans="1:18" s="82" customFormat="1" ht="38.25" thickBot="1">
      <c r="A14" s="982"/>
      <c r="B14" s="880"/>
      <c r="C14" s="867" t="s">
        <v>485</v>
      </c>
      <c r="D14" s="984"/>
      <c r="E14" s="869">
        <v>12</v>
      </c>
      <c r="F14" s="864" t="s">
        <v>210</v>
      </c>
      <c r="G14" s="935" t="s">
        <v>227</v>
      </c>
      <c r="H14" s="964" t="s">
        <v>533</v>
      </c>
      <c r="I14" s="920"/>
      <c r="J14" s="913"/>
      <c r="K14" s="917">
        <f t="shared" si="2"/>
        <v>0</v>
      </c>
      <c r="L14" s="916" t="s">
        <v>210</v>
      </c>
      <c r="M14" s="913"/>
      <c r="N14" s="919">
        <f t="shared" si="0"/>
        <v>0</v>
      </c>
      <c r="O14" s="916" t="s">
        <v>210</v>
      </c>
      <c r="P14" s="913"/>
      <c r="Q14" s="919">
        <f t="shared" si="1"/>
        <v>0</v>
      </c>
      <c r="R14" s="916" t="s">
        <v>210</v>
      </c>
    </row>
    <row r="15" spans="1:18" s="82" customFormat="1" ht="37.5" customHeight="1" thickBot="1">
      <c r="A15" s="986" t="s">
        <v>309</v>
      </c>
      <c r="B15" s="903"/>
      <c r="C15" s="895" t="s">
        <v>220</v>
      </c>
      <c r="D15" s="984"/>
      <c r="E15" s="896">
        <v>8</v>
      </c>
      <c r="F15" s="904">
        <v>66</v>
      </c>
      <c r="G15" s="898" t="s">
        <v>111</v>
      </c>
      <c r="H15" s="923" t="s">
        <v>263</v>
      </c>
      <c r="I15" s="920"/>
      <c r="J15" s="913"/>
      <c r="K15" s="917">
        <f t="shared" si="2"/>
        <v>0</v>
      </c>
      <c r="L15" s="914">
        <f t="shared" ref="L15:L76" si="3">K15/$F15</f>
        <v>0</v>
      </c>
      <c r="M15" s="913"/>
      <c r="N15" s="917">
        <f t="shared" si="0"/>
        <v>0</v>
      </c>
      <c r="O15" s="914">
        <f t="shared" ref="O15:O76" si="4">N15/$F15</f>
        <v>0</v>
      </c>
      <c r="P15" s="913"/>
      <c r="Q15" s="917">
        <f t="shared" si="1"/>
        <v>0</v>
      </c>
      <c r="R15" s="914">
        <f t="shared" ref="R15:R76" si="5">Q15/$F15</f>
        <v>0</v>
      </c>
    </row>
    <row r="16" spans="1:18" s="82" customFormat="1" ht="30.75" customHeight="1" thickBot="1">
      <c r="A16" s="987"/>
      <c r="B16" s="893"/>
      <c r="C16" s="890" t="s">
        <v>219</v>
      </c>
      <c r="D16" s="985"/>
      <c r="E16" s="890">
        <v>6</v>
      </c>
      <c r="F16" s="894">
        <v>86</v>
      </c>
      <c r="G16" s="892" t="s">
        <v>218</v>
      </c>
      <c r="H16" s="924" t="s">
        <v>269</v>
      </c>
      <c r="I16" s="920"/>
      <c r="J16" s="913"/>
      <c r="K16" s="917">
        <f t="shared" si="2"/>
        <v>0</v>
      </c>
      <c r="L16" s="914">
        <f t="shared" si="3"/>
        <v>0</v>
      </c>
      <c r="M16" s="913"/>
      <c r="N16" s="918">
        <f t="shared" si="0"/>
        <v>0</v>
      </c>
      <c r="O16" s="914">
        <f t="shared" si="4"/>
        <v>0</v>
      </c>
      <c r="P16" s="913"/>
      <c r="Q16" s="918">
        <f t="shared" si="1"/>
        <v>0</v>
      </c>
      <c r="R16" s="914">
        <f t="shared" si="5"/>
        <v>0</v>
      </c>
    </row>
    <row r="17" spans="1:18" ht="38.25" thickBot="1">
      <c r="A17" s="987"/>
      <c r="B17" s="990" t="s">
        <v>442</v>
      </c>
      <c r="C17" s="872" t="s">
        <v>505</v>
      </c>
      <c r="D17" s="992" t="s">
        <v>408</v>
      </c>
      <c r="E17" s="978">
        <v>576</v>
      </c>
      <c r="F17" s="865">
        <v>75</v>
      </c>
      <c r="G17" s="619" t="s">
        <v>347</v>
      </c>
      <c r="H17" s="1020" t="s">
        <v>268</v>
      </c>
      <c r="I17" s="920"/>
      <c r="J17" s="913"/>
      <c r="K17" s="917">
        <f t="shared" si="2"/>
        <v>0</v>
      </c>
      <c r="L17" s="914">
        <f t="shared" si="3"/>
        <v>0</v>
      </c>
      <c r="M17" s="913"/>
      <c r="N17" s="918">
        <f t="shared" si="0"/>
        <v>0</v>
      </c>
      <c r="O17" s="914">
        <f t="shared" si="4"/>
        <v>0</v>
      </c>
      <c r="P17" s="913"/>
      <c r="Q17" s="918">
        <f t="shared" si="1"/>
        <v>0</v>
      </c>
      <c r="R17" s="914">
        <f t="shared" si="5"/>
        <v>0</v>
      </c>
    </row>
    <row r="18" spans="1:18" ht="38.25" thickBot="1">
      <c r="A18" s="987"/>
      <c r="B18" s="990"/>
      <c r="C18" s="872" t="s">
        <v>506</v>
      </c>
      <c r="D18" s="994"/>
      <c r="E18" s="978"/>
      <c r="F18" s="865">
        <v>75</v>
      </c>
      <c r="G18" s="619" t="s">
        <v>348</v>
      </c>
      <c r="H18" s="1020"/>
      <c r="I18" s="920"/>
      <c r="J18" s="913"/>
      <c r="K18" s="917">
        <f t="shared" si="2"/>
        <v>0</v>
      </c>
      <c r="L18" s="914">
        <f t="shared" si="3"/>
        <v>0</v>
      </c>
      <c r="M18" s="913"/>
      <c r="N18" s="918">
        <f t="shared" si="0"/>
        <v>0</v>
      </c>
      <c r="O18" s="914">
        <f t="shared" si="4"/>
        <v>0</v>
      </c>
      <c r="P18" s="913"/>
      <c r="Q18" s="918">
        <f t="shared" si="1"/>
        <v>0</v>
      </c>
      <c r="R18" s="914">
        <f t="shared" si="5"/>
        <v>0</v>
      </c>
    </row>
    <row r="19" spans="1:18" ht="36" customHeight="1" thickBot="1">
      <c r="A19" s="987"/>
      <c r="B19" s="990" t="s">
        <v>442</v>
      </c>
      <c r="C19" s="872" t="s">
        <v>507</v>
      </c>
      <c r="D19" s="994"/>
      <c r="E19" s="978">
        <v>800</v>
      </c>
      <c r="F19" s="865">
        <v>73</v>
      </c>
      <c r="G19" s="619" t="s">
        <v>344</v>
      </c>
      <c r="H19" s="1020" t="s">
        <v>265</v>
      </c>
      <c r="I19" s="920"/>
      <c r="J19" s="913"/>
      <c r="K19" s="917">
        <f t="shared" si="2"/>
        <v>0</v>
      </c>
      <c r="L19" s="914">
        <f t="shared" si="3"/>
        <v>0</v>
      </c>
      <c r="M19" s="913"/>
      <c r="N19" s="918">
        <f t="shared" si="0"/>
        <v>0</v>
      </c>
      <c r="O19" s="914">
        <f t="shared" si="4"/>
        <v>0</v>
      </c>
      <c r="P19" s="913"/>
      <c r="Q19" s="918">
        <f t="shared" si="1"/>
        <v>0</v>
      </c>
      <c r="R19" s="914">
        <f t="shared" si="5"/>
        <v>0</v>
      </c>
    </row>
    <row r="20" spans="1:18" ht="38.25" thickBot="1">
      <c r="A20" s="987"/>
      <c r="B20" s="990"/>
      <c r="C20" s="872" t="s">
        <v>508</v>
      </c>
      <c r="D20" s="995"/>
      <c r="E20" s="978"/>
      <c r="F20" s="865">
        <v>73</v>
      </c>
      <c r="G20" s="619" t="s">
        <v>345</v>
      </c>
      <c r="H20" s="1020"/>
      <c r="I20" s="920"/>
      <c r="J20" s="913"/>
      <c r="K20" s="917">
        <f t="shared" si="2"/>
        <v>0</v>
      </c>
      <c r="L20" s="914">
        <f t="shared" si="3"/>
        <v>0</v>
      </c>
      <c r="M20" s="913"/>
      <c r="N20" s="918">
        <f t="shared" si="0"/>
        <v>0</v>
      </c>
      <c r="O20" s="914">
        <f t="shared" si="4"/>
        <v>0</v>
      </c>
      <c r="P20" s="913"/>
      <c r="Q20" s="918">
        <f t="shared" si="1"/>
        <v>0</v>
      </c>
      <c r="R20" s="914">
        <f t="shared" si="5"/>
        <v>0</v>
      </c>
    </row>
    <row r="21" spans="1:18" ht="28.5" customHeight="1" thickBot="1">
      <c r="A21" s="987"/>
      <c r="B21" s="990" t="s">
        <v>435</v>
      </c>
      <c r="C21" s="872" t="s">
        <v>509</v>
      </c>
      <c r="D21" s="992" t="s">
        <v>474</v>
      </c>
      <c r="E21" s="872">
        <v>935</v>
      </c>
      <c r="F21" s="881">
        <v>138</v>
      </c>
      <c r="G21" s="612" t="s">
        <v>342</v>
      </c>
      <c r="H21" s="1020" t="s">
        <v>274</v>
      </c>
      <c r="I21" s="920"/>
      <c r="J21" s="913"/>
      <c r="K21" s="917">
        <f t="shared" si="2"/>
        <v>0</v>
      </c>
      <c r="L21" s="914">
        <f t="shared" si="3"/>
        <v>0</v>
      </c>
      <c r="M21" s="913"/>
      <c r="N21" s="918">
        <f t="shared" si="0"/>
        <v>0</v>
      </c>
      <c r="O21" s="914">
        <f t="shared" si="4"/>
        <v>0</v>
      </c>
      <c r="P21" s="913"/>
      <c r="Q21" s="918">
        <f t="shared" si="1"/>
        <v>0</v>
      </c>
      <c r="R21" s="914">
        <f t="shared" si="5"/>
        <v>0</v>
      </c>
    </row>
    <row r="22" spans="1:18" ht="38.25" thickBot="1">
      <c r="A22" s="988"/>
      <c r="B22" s="991"/>
      <c r="C22" s="867" t="s">
        <v>510</v>
      </c>
      <c r="D22" s="993"/>
      <c r="E22" s="867">
        <v>935</v>
      </c>
      <c r="F22" s="888">
        <v>138</v>
      </c>
      <c r="G22" s="889" t="s">
        <v>343</v>
      </c>
      <c r="H22" s="1033"/>
      <c r="I22" s="920"/>
      <c r="J22" s="913"/>
      <c r="K22" s="917">
        <f t="shared" si="2"/>
        <v>0</v>
      </c>
      <c r="L22" s="914">
        <f t="shared" si="3"/>
        <v>0</v>
      </c>
      <c r="M22" s="913"/>
      <c r="N22" s="919">
        <f t="shared" si="0"/>
        <v>0</v>
      </c>
      <c r="O22" s="914">
        <f t="shared" si="4"/>
        <v>0</v>
      </c>
      <c r="P22" s="913"/>
      <c r="Q22" s="919">
        <f t="shared" si="1"/>
        <v>0</v>
      </c>
      <c r="R22" s="914">
        <f t="shared" si="5"/>
        <v>0</v>
      </c>
    </row>
    <row r="23" spans="1:18" s="82" customFormat="1" ht="37.5" customHeight="1" thickBot="1">
      <c r="A23" s="986" t="s">
        <v>310</v>
      </c>
      <c r="B23" s="903" t="s">
        <v>471</v>
      </c>
      <c r="C23" s="895" t="s">
        <v>229</v>
      </c>
      <c r="D23" s="896" t="s">
        <v>473</v>
      </c>
      <c r="E23" s="896">
        <v>375</v>
      </c>
      <c r="F23" s="904">
        <v>120</v>
      </c>
      <c r="G23" s="898" t="s">
        <v>475</v>
      </c>
      <c r="H23" s="923" t="s">
        <v>468</v>
      </c>
      <c r="I23" s="920"/>
      <c r="J23" s="913"/>
      <c r="K23" s="917">
        <f t="shared" si="2"/>
        <v>0</v>
      </c>
      <c r="L23" s="914">
        <f t="shared" si="3"/>
        <v>0</v>
      </c>
      <c r="M23" s="913"/>
      <c r="N23" s="917">
        <f t="shared" si="0"/>
        <v>0</v>
      </c>
      <c r="O23" s="914">
        <f t="shared" si="4"/>
        <v>0</v>
      </c>
      <c r="P23" s="913"/>
      <c r="Q23" s="917">
        <f t="shared" si="1"/>
        <v>0</v>
      </c>
      <c r="R23" s="914">
        <f t="shared" si="5"/>
        <v>0</v>
      </c>
    </row>
    <row r="24" spans="1:18" ht="38.25" thickBot="1">
      <c r="A24" s="987"/>
      <c r="B24" s="905" t="s">
        <v>453</v>
      </c>
      <c r="C24" s="908" t="s">
        <v>511</v>
      </c>
      <c r="D24" s="936" t="s">
        <v>408</v>
      </c>
      <c r="E24" s="908">
        <v>1536</v>
      </c>
      <c r="F24" s="865">
        <v>80</v>
      </c>
      <c r="G24" s="619" t="s">
        <v>353</v>
      </c>
      <c r="H24" s="925" t="s">
        <v>256</v>
      </c>
      <c r="I24" s="920"/>
      <c r="J24" s="913"/>
      <c r="K24" s="917">
        <f t="shared" si="2"/>
        <v>0</v>
      </c>
      <c r="L24" s="914">
        <f t="shared" si="3"/>
        <v>0</v>
      </c>
      <c r="M24" s="913"/>
      <c r="N24" s="918">
        <f t="shared" si="0"/>
        <v>0</v>
      </c>
      <c r="O24" s="914">
        <f t="shared" si="4"/>
        <v>0</v>
      </c>
      <c r="P24" s="913"/>
      <c r="Q24" s="918">
        <f t="shared" si="1"/>
        <v>0</v>
      </c>
      <c r="R24" s="914">
        <f t="shared" si="5"/>
        <v>0</v>
      </c>
    </row>
    <row r="25" spans="1:18" ht="38.25" thickBot="1">
      <c r="A25" s="987"/>
      <c r="B25" s="905" t="s">
        <v>435</v>
      </c>
      <c r="C25" s="910" t="s">
        <v>512</v>
      </c>
      <c r="D25" s="971" t="s">
        <v>474</v>
      </c>
      <c r="E25" s="910">
        <v>960</v>
      </c>
      <c r="F25" s="865">
        <v>136</v>
      </c>
      <c r="G25" s="619" t="s">
        <v>354</v>
      </c>
      <c r="H25" s="925" t="s">
        <v>258</v>
      </c>
      <c r="I25" s="920"/>
      <c r="J25" s="913"/>
      <c r="K25" s="917">
        <f t="shared" si="2"/>
        <v>0</v>
      </c>
      <c r="L25" s="914">
        <f t="shared" si="3"/>
        <v>0</v>
      </c>
      <c r="M25" s="913"/>
      <c r="N25" s="918">
        <f t="shared" si="0"/>
        <v>0</v>
      </c>
      <c r="O25" s="914">
        <f t="shared" si="4"/>
        <v>0</v>
      </c>
      <c r="P25" s="913"/>
      <c r="Q25" s="918">
        <f t="shared" si="1"/>
        <v>0</v>
      </c>
      <c r="R25" s="914">
        <f t="shared" si="5"/>
        <v>0</v>
      </c>
    </row>
    <row r="26" spans="1:18" ht="38.25" thickBot="1">
      <c r="A26" s="987"/>
      <c r="B26" s="990" t="s">
        <v>436</v>
      </c>
      <c r="C26" s="910" t="s">
        <v>496</v>
      </c>
      <c r="D26" s="972"/>
      <c r="E26" s="910">
        <v>750</v>
      </c>
      <c r="F26" s="865">
        <v>76</v>
      </c>
      <c r="G26" s="619" t="s">
        <v>349</v>
      </c>
      <c r="H26" s="1020" t="s">
        <v>254</v>
      </c>
      <c r="I26" s="920"/>
      <c r="J26" s="913"/>
      <c r="K26" s="917">
        <f t="shared" si="2"/>
        <v>0</v>
      </c>
      <c r="L26" s="914">
        <f t="shared" si="3"/>
        <v>0</v>
      </c>
      <c r="M26" s="913"/>
      <c r="N26" s="918">
        <f t="shared" si="0"/>
        <v>0</v>
      </c>
      <c r="O26" s="914">
        <f t="shared" si="4"/>
        <v>0</v>
      </c>
      <c r="P26" s="913"/>
      <c r="Q26" s="918">
        <f t="shared" si="1"/>
        <v>0</v>
      </c>
      <c r="R26" s="914">
        <f t="shared" si="5"/>
        <v>0</v>
      </c>
    </row>
    <row r="27" spans="1:18" ht="38.25" thickBot="1">
      <c r="A27" s="987"/>
      <c r="B27" s="1019"/>
      <c r="C27" s="910" t="s">
        <v>497</v>
      </c>
      <c r="D27" s="973"/>
      <c r="E27" s="910">
        <v>750</v>
      </c>
      <c r="F27" s="865">
        <v>76</v>
      </c>
      <c r="G27" s="619" t="s">
        <v>350</v>
      </c>
      <c r="H27" s="1021"/>
      <c r="I27" s="920"/>
      <c r="J27" s="913"/>
      <c r="K27" s="917">
        <f t="shared" si="2"/>
        <v>0</v>
      </c>
      <c r="L27" s="914">
        <f t="shared" si="3"/>
        <v>0</v>
      </c>
      <c r="M27" s="913"/>
      <c r="N27" s="918">
        <f t="shared" si="0"/>
        <v>0</v>
      </c>
      <c r="O27" s="914">
        <f t="shared" si="4"/>
        <v>0</v>
      </c>
      <c r="P27" s="913"/>
      <c r="Q27" s="918">
        <f t="shared" si="1"/>
        <v>0</v>
      </c>
      <c r="R27" s="914">
        <f t="shared" si="5"/>
        <v>0</v>
      </c>
    </row>
    <row r="28" spans="1:18" ht="38.25" thickBot="1">
      <c r="A28" s="987"/>
      <c r="B28" s="990" t="s">
        <v>453</v>
      </c>
      <c r="C28" s="908" t="s">
        <v>498</v>
      </c>
      <c r="D28" s="978" t="s">
        <v>408</v>
      </c>
      <c r="E28" s="978">
        <v>1504</v>
      </c>
      <c r="F28" s="865">
        <v>92</v>
      </c>
      <c r="G28" s="619" t="s">
        <v>10</v>
      </c>
      <c r="H28" s="1020" t="s">
        <v>255</v>
      </c>
      <c r="I28" s="920"/>
      <c r="J28" s="913"/>
      <c r="K28" s="917">
        <f t="shared" si="2"/>
        <v>0</v>
      </c>
      <c r="L28" s="914">
        <f t="shared" si="3"/>
        <v>0</v>
      </c>
      <c r="M28" s="913"/>
      <c r="N28" s="918">
        <f t="shared" si="0"/>
        <v>0</v>
      </c>
      <c r="O28" s="914">
        <f t="shared" si="4"/>
        <v>0</v>
      </c>
      <c r="P28" s="913"/>
      <c r="Q28" s="918">
        <f t="shared" si="1"/>
        <v>0</v>
      </c>
      <c r="R28" s="914">
        <f t="shared" si="5"/>
        <v>0</v>
      </c>
    </row>
    <row r="29" spans="1:18" ht="38.25" thickBot="1">
      <c r="A29" s="987"/>
      <c r="B29" s="990"/>
      <c r="C29" s="908" t="s">
        <v>499</v>
      </c>
      <c r="D29" s="978"/>
      <c r="E29" s="978"/>
      <c r="F29" s="865">
        <v>92</v>
      </c>
      <c r="G29" s="619" t="s">
        <v>11</v>
      </c>
      <c r="H29" s="1020"/>
      <c r="I29" s="920"/>
      <c r="J29" s="913"/>
      <c r="K29" s="917">
        <f t="shared" si="2"/>
        <v>0</v>
      </c>
      <c r="L29" s="914">
        <f t="shared" si="3"/>
        <v>0</v>
      </c>
      <c r="M29" s="913"/>
      <c r="N29" s="918">
        <f t="shared" si="0"/>
        <v>0</v>
      </c>
      <c r="O29" s="914">
        <f t="shared" si="4"/>
        <v>0</v>
      </c>
      <c r="P29" s="913"/>
      <c r="Q29" s="918">
        <f t="shared" si="1"/>
        <v>0</v>
      </c>
      <c r="R29" s="914">
        <f t="shared" si="5"/>
        <v>0</v>
      </c>
    </row>
    <row r="30" spans="1:18" ht="38.25" thickBot="1">
      <c r="A30" s="988"/>
      <c r="B30" s="1015"/>
      <c r="C30" s="909" t="s">
        <v>500</v>
      </c>
      <c r="D30" s="1026"/>
      <c r="E30" s="1026"/>
      <c r="F30" s="882">
        <v>92</v>
      </c>
      <c r="G30" s="623" t="s">
        <v>380</v>
      </c>
      <c r="H30" s="1025"/>
      <c r="I30" s="920"/>
      <c r="J30" s="913"/>
      <c r="K30" s="917">
        <f t="shared" si="2"/>
        <v>0</v>
      </c>
      <c r="L30" s="914">
        <f t="shared" si="3"/>
        <v>0</v>
      </c>
      <c r="M30" s="913"/>
      <c r="N30" s="919">
        <f t="shared" si="0"/>
        <v>0</v>
      </c>
      <c r="O30" s="914">
        <f t="shared" si="4"/>
        <v>0</v>
      </c>
      <c r="P30" s="913"/>
      <c r="Q30" s="919">
        <f t="shared" si="1"/>
        <v>0</v>
      </c>
      <c r="R30" s="914">
        <f t="shared" si="5"/>
        <v>0</v>
      </c>
    </row>
    <row r="31" spans="1:18" ht="38.25" thickBot="1">
      <c r="A31" s="1016" t="s">
        <v>106</v>
      </c>
      <c r="B31" s="912"/>
      <c r="C31" s="884" t="s">
        <v>513</v>
      </c>
      <c r="D31" s="1036" t="s">
        <v>474</v>
      </c>
      <c r="E31" s="884">
        <v>702</v>
      </c>
      <c r="F31" s="883">
        <v>59</v>
      </c>
      <c r="G31" s="879" t="s">
        <v>356</v>
      </c>
      <c r="H31" s="1022" t="s">
        <v>280</v>
      </c>
      <c r="I31" s="920"/>
      <c r="J31" s="913"/>
      <c r="K31" s="917">
        <f t="shared" si="2"/>
        <v>0</v>
      </c>
      <c r="L31" s="914">
        <f t="shared" si="3"/>
        <v>0</v>
      </c>
      <c r="M31" s="913"/>
      <c r="N31" s="917">
        <f t="shared" si="0"/>
        <v>0</v>
      </c>
      <c r="O31" s="914">
        <f t="shared" si="4"/>
        <v>0</v>
      </c>
      <c r="P31" s="913"/>
      <c r="Q31" s="917">
        <f t="shared" si="1"/>
        <v>0</v>
      </c>
      <c r="R31" s="914">
        <f t="shared" si="5"/>
        <v>0</v>
      </c>
    </row>
    <row r="32" spans="1:18" ht="30" customHeight="1" thickBot="1">
      <c r="A32" s="1017"/>
      <c r="B32" s="990" t="s">
        <v>434</v>
      </c>
      <c r="C32" s="910" t="s">
        <v>514</v>
      </c>
      <c r="D32" s="972"/>
      <c r="E32" s="910">
        <v>234</v>
      </c>
      <c r="F32" s="865">
        <v>59</v>
      </c>
      <c r="G32" s="619" t="s">
        <v>358</v>
      </c>
      <c r="H32" s="1023"/>
      <c r="I32" s="920"/>
      <c r="J32" s="913"/>
      <c r="K32" s="917">
        <f t="shared" si="2"/>
        <v>0</v>
      </c>
      <c r="L32" s="914">
        <f t="shared" si="3"/>
        <v>0</v>
      </c>
      <c r="M32" s="913"/>
      <c r="N32" s="918">
        <f t="shared" si="0"/>
        <v>0</v>
      </c>
      <c r="O32" s="914">
        <f t="shared" si="4"/>
        <v>0</v>
      </c>
      <c r="P32" s="913"/>
      <c r="Q32" s="918">
        <f t="shared" si="1"/>
        <v>0</v>
      </c>
      <c r="R32" s="914">
        <f t="shared" si="5"/>
        <v>0</v>
      </c>
    </row>
    <row r="33" spans="1:18" ht="38.25" thickBot="1">
      <c r="A33" s="1017"/>
      <c r="B33" s="990"/>
      <c r="C33" s="910" t="s">
        <v>515</v>
      </c>
      <c r="D33" s="972"/>
      <c r="E33" s="910">
        <f>234+702</f>
        <v>936</v>
      </c>
      <c r="F33" s="865">
        <v>59</v>
      </c>
      <c r="G33" s="619" t="s">
        <v>357</v>
      </c>
      <c r="H33" s="1024"/>
      <c r="I33" s="920"/>
      <c r="J33" s="913"/>
      <c r="K33" s="917">
        <f t="shared" si="2"/>
        <v>0</v>
      </c>
      <c r="L33" s="914">
        <f t="shared" si="3"/>
        <v>0</v>
      </c>
      <c r="M33" s="913"/>
      <c r="N33" s="918">
        <f t="shared" si="0"/>
        <v>0</v>
      </c>
      <c r="O33" s="914">
        <f t="shared" si="4"/>
        <v>0</v>
      </c>
      <c r="P33" s="913"/>
      <c r="Q33" s="918">
        <f t="shared" si="1"/>
        <v>0</v>
      </c>
      <c r="R33" s="914">
        <f t="shared" si="5"/>
        <v>0</v>
      </c>
    </row>
    <row r="34" spans="1:18" ht="38.25" thickBot="1">
      <c r="A34" s="1017"/>
      <c r="B34" s="905"/>
      <c r="C34" s="910" t="s">
        <v>516</v>
      </c>
      <c r="D34" s="972"/>
      <c r="E34" s="910">
        <v>702</v>
      </c>
      <c r="F34" s="865">
        <v>54</v>
      </c>
      <c r="G34" s="619" t="s">
        <v>359</v>
      </c>
      <c r="H34" s="1031" t="s">
        <v>281</v>
      </c>
      <c r="I34" s="920"/>
      <c r="J34" s="913"/>
      <c r="K34" s="917">
        <f t="shared" si="2"/>
        <v>0</v>
      </c>
      <c r="L34" s="914">
        <f t="shared" si="3"/>
        <v>0</v>
      </c>
      <c r="M34" s="913"/>
      <c r="N34" s="918">
        <f>K34-M34</f>
        <v>0</v>
      </c>
      <c r="O34" s="914">
        <f t="shared" si="4"/>
        <v>0</v>
      </c>
      <c r="P34" s="913"/>
      <c r="Q34" s="918">
        <f>N34-P34</f>
        <v>0</v>
      </c>
      <c r="R34" s="914">
        <f t="shared" si="5"/>
        <v>0</v>
      </c>
    </row>
    <row r="35" spans="1:18" ht="38.25" thickBot="1">
      <c r="A35" s="1017"/>
      <c r="B35" s="990" t="s">
        <v>434</v>
      </c>
      <c r="C35" s="910" t="s">
        <v>517</v>
      </c>
      <c r="D35" s="972"/>
      <c r="E35" s="910">
        <v>234</v>
      </c>
      <c r="F35" s="865">
        <v>54</v>
      </c>
      <c r="G35" s="619" t="s">
        <v>361</v>
      </c>
      <c r="H35" s="1023"/>
      <c r="I35" s="920"/>
      <c r="J35" s="913"/>
      <c r="K35" s="917">
        <f t="shared" si="2"/>
        <v>0</v>
      </c>
      <c r="L35" s="914">
        <f t="shared" si="3"/>
        <v>0</v>
      </c>
      <c r="M35" s="913"/>
      <c r="N35" s="918">
        <f t="shared" ref="N35:N76" si="6">K35-M35</f>
        <v>0</v>
      </c>
      <c r="O35" s="914">
        <f t="shared" si="4"/>
        <v>0</v>
      </c>
      <c r="P35" s="913"/>
      <c r="Q35" s="918">
        <f t="shared" ref="Q35:Q76" si="7">N35-P35</f>
        <v>0</v>
      </c>
      <c r="R35" s="914">
        <f t="shared" si="5"/>
        <v>0</v>
      </c>
    </row>
    <row r="36" spans="1:18" ht="38.25" thickBot="1">
      <c r="A36" s="1017"/>
      <c r="B36" s="990"/>
      <c r="C36" s="910" t="s">
        <v>518</v>
      </c>
      <c r="D36" s="972"/>
      <c r="E36" s="910">
        <v>936</v>
      </c>
      <c r="F36" s="865">
        <v>54</v>
      </c>
      <c r="G36" s="619" t="s">
        <v>360</v>
      </c>
      <c r="H36" s="1024"/>
      <c r="I36" s="920"/>
      <c r="J36" s="913"/>
      <c r="K36" s="917">
        <f t="shared" si="2"/>
        <v>0</v>
      </c>
      <c r="L36" s="914">
        <f t="shared" si="3"/>
        <v>0</v>
      </c>
      <c r="M36" s="913"/>
      <c r="N36" s="918">
        <f t="shared" si="6"/>
        <v>0</v>
      </c>
      <c r="O36" s="914">
        <f t="shared" si="4"/>
        <v>0</v>
      </c>
      <c r="P36" s="913"/>
      <c r="Q36" s="918">
        <f t="shared" si="7"/>
        <v>0</v>
      </c>
      <c r="R36" s="914">
        <f t="shared" si="5"/>
        <v>0</v>
      </c>
    </row>
    <row r="37" spans="1:18" ht="38.25" thickBot="1">
      <c r="A37" s="1017"/>
      <c r="B37" s="990" t="s">
        <v>434</v>
      </c>
      <c r="C37" s="910" t="s">
        <v>519</v>
      </c>
      <c r="D37" s="972"/>
      <c r="E37" s="910">
        <v>234</v>
      </c>
      <c r="F37" s="865">
        <v>59</v>
      </c>
      <c r="G37" s="619" t="s">
        <v>370</v>
      </c>
      <c r="H37" s="1020" t="s">
        <v>282</v>
      </c>
      <c r="I37" s="920"/>
      <c r="J37" s="913"/>
      <c r="K37" s="917">
        <f t="shared" si="2"/>
        <v>0</v>
      </c>
      <c r="L37" s="914">
        <f t="shared" si="3"/>
        <v>0</v>
      </c>
      <c r="M37" s="913"/>
      <c r="N37" s="918">
        <f t="shared" si="6"/>
        <v>0</v>
      </c>
      <c r="O37" s="914">
        <f t="shared" si="4"/>
        <v>0</v>
      </c>
      <c r="P37" s="913"/>
      <c r="Q37" s="918">
        <f t="shared" si="7"/>
        <v>0</v>
      </c>
      <c r="R37" s="914">
        <f t="shared" si="5"/>
        <v>0</v>
      </c>
    </row>
    <row r="38" spans="1:18" ht="38.25" thickBot="1">
      <c r="A38" s="1017"/>
      <c r="B38" s="990"/>
      <c r="C38" s="910" t="s">
        <v>520</v>
      </c>
      <c r="D38" s="972"/>
      <c r="E38" s="910">
        <v>18</v>
      </c>
      <c r="F38" s="865">
        <v>59</v>
      </c>
      <c r="G38" s="619" t="s">
        <v>371</v>
      </c>
      <c r="H38" s="1020"/>
      <c r="I38" s="920"/>
      <c r="J38" s="913"/>
      <c r="K38" s="917">
        <f t="shared" si="2"/>
        <v>0</v>
      </c>
      <c r="L38" s="914">
        <f t="shared" si="3"/>
        <v>0</v>
      </c>
      <c r="M38" s="913"/>
      <c r="N38" s="918">
        <f t="shared" si="6"/>
        <v>0</v>
      </c>
      <c r="O38" s="914">
        <f t="shared" si="4"/>
        <v>0</v>
      </c>
      <c r="P38" s="913"/>
      <c r="Q38" s="918">
        <f t="shared" si="7"/>
        <v>0</v>
      </c>
      <c r="R38" s="914">
        <f t="shared" si="5"/>
        <v>0</v>
      </c>
    </row>
    <row r="39" spans="1:18" ht="38.25" thickBot="1">
      <c r="A39" s="1017"/>
      <c r="B39" s="990" t="s">
        <v>434</v>
      </c>
      <c r="C39" s="910" t="s">
        <v>521</v>
      </c>
      <c r="D39" s="972"/>
      <c r="E39" s="910">
        <v>234</v>
      </c>
      <c r="F39" s="865">
        <v>59</v>
      </c>
      <c r="G39" s="619" t="s">
        <v>372</v>
      </c>
      <c r="H39" s="1020" t="s">
        <v>283</v>
      </c>
      <c r="I39" s="920"/>
      <c r="J39" s="913"/>
      <c r="K39" s="917">
        <f t="shared" si="2"/>
        <v>0</v>
      </c>
      <c r="L39" s="914">
        <f t="shared" si="3"/>
        <v>0</v>
      </c>
      <c r="M39" s="913"/>
      <c r="N39" s="918">
        <f t="shared" si="6"/>
        <v>0</v>
      </c>
      <c r="O39" s="914">
        <f t="shared" si="4"/>
        <v>0</v>
      </c>
      <c r="P39" s="913"/>
      <c r="Q39" s="918">
        <f t="shared" si="7"/>
        <v>0</v>
      </c>
      <c r="R39" s="914">
        <f t="shared" si="5"/>
        <v>0</v>
      </c>
    </row>
    <row r="40" spans="1:18" ht="38.25" thickBot="1">
      <c r="A40" s="1018"/>
      <c r="B40" s="1015"/>
      <c r="C40" s="911" t="s">
        <v>522</v>
      </c>
      <c r="D40" s="1002"/>
      <c r="E40" s="911">
        <v>18</v>
      </c>
      <c r="F40" s="882">
        <v>59</v>
      </c>
      <c r="G40" s="623" t="s">
        <v>373</v>
      </c>
      <c r="H40" s="1025"/>
      <c r="I40" s="920"/>
      <c r="J40" s="913"/>
      <c r="K40" s="917">
        <f t="shared" si="2"/>
        <v>0</v>
      </c>
      <c r="L40" s="914">
        <f t="shared" si="3"/>
        <v>0</v>
      </c>
      <c r="M40" s="913"/>
      <c r="N40" s="919">
        <f t="shared" si="6"/>
        <v>0</v>
      </c>
      <c r="O40" s="914">
        <f t="shared" si="4"/>
        <v>0</v>
      </c>
      <c r="P40" s="913"/>
      <c r="Q40" s="919">
        <f t="shared" si="7"/>
        <v>0</v>
      </c>
      <c r="R40" s="914">
        <f t="shared" si="5"/>
        <v>0</v>
      </c>
    </row>
    <row r="41" spans="1:18" ht="38.25" thickBot="1">
      <c r="A41" s="998" t="s">
        <v>326</v>
      </c>
      <c r="B41" s="928" t="s">
        <v>444</v>
      </c>
      <c r="C41" s="929" t="s">
        <v>69</v>
      </c>
      <c r="D41" s="1010" t="s">
        <v>408</v>
      </c>
      <c r="E41" s="929">
        <v>1344</v>
      </c>
      <c r="F41" s="930">
        <v>72</v>
      </c>
      <c r="G41" s="931" t="s">
        <v>362</v>
      </c>
      <c r="H41" s="932" t="s">
        <v>264</v>
      </c>
      <c r="I41" s="920"/>
      <c r="J41" s="913"/>
      <c r="K41" s="917">
        <f t="shared" si="2"/>
        <v>0</v>
      </c>
      <c r="L41" s="914">
        <f t="shared" si="3"/>
        <v>0</v>
      </c>
      <c r="M41" s="913"/>
      <c r="N41" s="933">
        <f t="shared" si="6"/>
        <v>0</v>
      </c>
      <c r="O41" s="914">
        <f t="shared" si="4"/>
        <v>0</v>
      </c>
      <c r="P41" s="913"/>
      <c r="Q41" s="933">
        <f t="shared" si="7"/>
        <v>0</v>
      </c>
      <c r="R41" s="914">
        <f t="shared" si="5"/>
        <v>0</v>
      </c>
    </row>
    <row r="42" spans="1:18" ht="38.25" thickBot="1">
      <c r="A42" s="999"/>
      <c r="B42" s="905" t="s">
        <v>442</v>
      </c>
      <c r="C42" s="875" t="s">
        <v>523</v>
      </c>
      <c r="D42" s="1011"/>
      <c r="E42" s="875">
        <v>520</v>
      </c>
      <c r="F42" s="865">
        <v>75</v>
      </c>
      <c r="G42" s="619" t="s">
        <v>450</v>
      </c>
      <c r="H42" s="1031" t="s">
        <v>266</v>
      </c>
      <c r="I42" s="920"/>
      <c r="J42" s="913"/>
      <c r="K42" s="917">
        <f t="shared" si="2"/>
        <v>0</v>
      </c>
      <c r="L42" s="914">
        <f t="shared" si="3"/>
        <v>0</v>
      </c>
      <c r="M42" s="913"/>
      <c r="N42" s="918">
        <f t="shared" si="6"/>
        <v>0</v>
      </c>
      <c r="O42" s="914">
        <f t="shared" si="4"/>
        <v>0</v>
      </c>
      <c r="P42" s="913"/>
      <c r="Q42" s="918">
        <f t="shared" si="7"/>
        <v>0</v>
      </c>
      <c r="R42" s="914">
        <f t="shared" si="5"/>
        <v>0</v>
      </c>
    </row>
    <row r="43" spans="1:18" ht="38.25" thickBot="1">
      <c r="A43" s="999"/>
      <c r="B43" s="905"/>
      <c r="C43" s="875" t="s">
        <v>524</v>
      </c>
      <c r="D43" s="1011"/>
      <c r="E43" s="875">
        <v>520</v>
      </c>
      <c r="F43" s="865">
        <v>75</v>
      </c>
      <c r="G43" s="619" t="s">
        <v>451</v>
      </c>
      <c r="H43" s="1024"/>
      <c r="I43" s="920"/>
      <c r="J43" s="913"/>
      <c r="K43" s="917">
        <f t="shared" si="2"/>
        <v>0</v>
      </c>
      <c r="L43" s="914">
        <f t="shared" si="3"/>
        <v>0</v>
      </c>
      <c r="M43" s="913"/>
      <c r="N43" s="918">
        <f t="shared" si="6"/>
        <v>0</v>
      </c>
      <c r="O43" s="914">
        <f t="shared" si="4"/>
        <v>0</v>
      </c>
      <c r="P43" s="913"/>
      <c r="Q43" s="918">
        <f t="shared" si="7"/>
        <v>0</v>
      </c>
      <c r="R43" s="914">
        <f t="shared" si="5"/>
        <v>0</v>
      </c>
    </row>
    <row r="44" spans="1:18" ht="38.25" thickBot="1">
      <c r="A44" s="999"/>
      <c r="B44" s="905" t="s">
        <v>442</v>
      </c>
      <c r="C44" s="872" t="s">
        <v>525</v>
      </c>
      <c r="D44" s="1012"/>
      <c r="E44" s="872">
        <v>438</v>
      </c>
      <c r="F44" s="865">
        <v>70</v>
      </c>
      <c r="G44" s="619" t="s">
        <v>365</v>
      </c>
      <c r="H44" s="925" t="s">
        <v>267</v>
      </c>
      <c r="I44" s="920"/>
      <c r="J44" s="913"/>
      <c r="K44" s="917">
        <f t="shared" si="2"/>
        <v>0</v>
      </c>
      <c r="L44" s="914">
        <f t="shared" si="3"/>
        <v>0</v>
      </c>
      <c r="M44" s="913"/>
      <c r="N44" s="918">
        <f t="shared" si="6"/>
        <v>0</v>
      </c>
      <c r="O44" s="914">
        <f t="shared" si="4"/>
        <v>0</v>
      </c>
      <c r="P44" s="913"/>
      <c r="Q44" s="918">
        <f t="shared" si="7"/>
        <v>0</v>
      </c>
      <c r="R44" s="914">
        <f t="shared" si="5"/>
        <v>0</v>
      </c>
    </row>
    <row r="45" spans="1:18" ht="34.5" customHeight="1" thickBot="1">
      <c r="A45" s="999"/>
      <c r="B45" s="905" t="s">
        <v>445</v>
      </c>
      <c r="C45" s="875" t="s">
        <v>331</v>
      </c>
      <c r="D45" s="971" t="s">
        <v>409</v>
      </c>
      <c r="E45" s="875">
        <v>1800</v>
      </c>
      <c r="F45" s="865">
        <v>100</v>
      </c>
      <c r="G45" s="619" t="s">
        <v>239</v>
      </c>
      <c r="H45" s="925" t="s">
        <v>340</v>
      </c>
      <c r="I45" s="920"/>
      <c r="J45" s="913"/>
      <c r="K45" s="917">
        <f t="shared" si="2"/>
        <v>0</v>
      </c>
      <c r="L45" s="914">
        <f t="shared" si="3"/>
        <v>0</v>
      </c>
      <c r="M45" s="913"/>
      <c r="N45" s="918">
        <f t="shared" si="6"/>
        <v>0</v>
      </c>
      <c r="O45" s="914">
        <f t="shared" si="4"/>
        <v>0</v>
      </c>
      <c r="P45" s="913"/>
      <c r="Q45" s="918">
        <f t="shared" si="7"/>
        <v>0</v>
      </c>
      <c r="R45" s="914">
        <f t="shared" si="5"/>
        <v>0</v>
      </c>
    </row>
    <row r="46" spans="1:18" ht="34.5" customHeight="1" thickBot="1">
      <c r="A46" s="999"/>
      <c r="B46" s="959"/>
      <c r="C46" s="960" t="s">
        <v>494</v>
      </c>
      <c r="D46" s="972"/>
      <c r="E46" s="971">
        <v>1170</v>
      </c>
      <c r="F46" s="963">
        <v>60</v>
      </c>
      <c r="G46" s="619" t="s">
        <v>489</v>
      </c>
      <c r="H46" s="1031" t="s">
        <v>339</v>
      </c>
      <c r="I46" s="920"/>
      <c r="J46" s="913"/>
      <c r="K46" s="917">
        <f t="shared" si="2"/>
        <v>0</v>
      </c>
      <c r="L46" s="914">
        <f t="shared" si="3"/>
        <v>0</v>
      </c>
      <c r="M46" s="913"/>
      <c r="N46" s="918"/>
      <c r="O46" s="914"/>
      <c r="P46" s="913"/>
      <c r="Q46" s="918"/>
      <c r="R46" s="914"/>
    </row>
    <row r="47" spans="1:18" ht="30" customHeight="1" thickBot="1">
      <c r="A47" s="999"/>
      <c r="B47" s="905" t="s">
        <v>445</v>
      </c>
      <c r="C47" s="958" t="s">
        <v>334</v>
      </c>
      <c r="D47" s="972"/>
      <c r="E47" s="1037"/>
      <c r="F47" s="963">
        <v>60</v>
      </c>
      <c r="G47" s="619" t="s">
        <v>488</v>
      </c>
      <c r="H47" s="1039"/>
      <c r="I47" s="920"/>
      <c r="J47" s="913"/>
      <c r="K47" s="917">
        <f t="shared" si="2"/>
        <v>0</v>
      </c>
      <c r="L47" s="914">
        <f t="shared" si="3"/>
        <v>0</v>
      </c>
      <c r="M47" s="913"/>
      <c r="N47" s="918">
        <f t="shared" si="6"/>
        <v>0</v>
      </c>
      <c r="O47" s="914">
        <f>N47/$F46</f>
        <v>0</v>
      </c>
      <c r="P47" s="913"/>
      <c r="Q47" s="918">
        <f t="shared" si="7"/>
        <v>0</v>
      </c>
      <c r="R47" s="914">
        <f>Q47/$F46</f>
        <v>0</v>
      </c>
    </row>
    <row r="48" spans="1:18" ht="30" customHeight="1" thickBot="1">
      <c r="A48" s="999"/>
      <c r="B48" s="959"/>
      <c r="C48" s="960" t="s">
        <v>493</v>
      </c>
      <c r="D48" s="972"/>
      <c r="E48" s="1037"/>
      <c r="F48" s="963">
        <v>60</v>
      </c>
      <c r="G48" s="619" t="s">
        <v>530</v>
      </c>
      <c r="H48" s="1039"/>
      <c r="I48" s="920"/>
      <c r="J48" s="913"/>
      <c r="K48" s="917">
        <f t="shared" si="2"/>
        <v>0</v>
      </c>
      <c r="L48" s="914">
        <f t="shared" si="3"/>
        <v>0</v>
      </c>
      <c r="M48" s="913"/>
      <c r="N48" s="918"/>
      <c r="O48" s="914"/>
      <c r="P48" s="913"/>
      <c r="Q48" s="918"/>
      <c r="R48" s="914"/>
    </row>
    <row r="49" spans="1:18" ht="38.25" thickBot="1">
      <c r="A49" s="999"/>
      <c r="B49" s="905" t="s">
        <v>446</v>
      </c>
      <c r="C49" s="872" t="s">
        <v>333</v>
      </c>
      <c r="D49" s="972"/>
      <c r="E49" s="1037"/>
      <c r="F49" s="963">
        <v>60</v>
      </c>
      <c r="G49" s="619" t="s">
        <v>490</v>
      </c>
      <c r="H49" s="1039"/>
      <c r="I49" s="920"/>
      <c r="J49" s="913"/>
      <c r="K49" s="917">
        <f t="shared" si="2"/>
        <v>0</v>
      </c>
      <c r="L49" s="914">
        <f t="shared" si="3"/>
        <v>0</v>
      </c>
      <c r="M49" s="913"/>
      <c r="N49" s="918">
        <f t="shared" si="6"/>
        <v>0</v>
      </c>
      <c r="O49" s="914">
        <f t="shared" si="4"/>
        <v>0</v>
      </c>
      <c r="P49" s="913"/>
      <c r="Q49" s="918">
        <f t="shared" si="7"/>
        <v>0</v>
      </c>
      <c r="R49" s="914">
        <f t="shared" si="5"/>
        <v>0</v>
      </c>
    </row>
    <row r="50" spans="1:18" ht="38.25" thickBot="1">
      <c r="A50" s="1000"/>
      <c r="B50" s="961"/>
      <c r="C50" s="960" t="s">
        <v>495</v>
      </c>
      <c r="D50" s="972"/>
      <c r="E50" s="1037"/>
      <c r="F50" s="963">
        <v>60</v>
      </c>
      <c r="G50" s="619" t="s">
        <v>491</v>
      </c>
      <c r="H50" s="1039"/>
      <c r="I50" s="920"/>
      <c r="J50" s="913"/>
      <c r="K50" s="917">
        <f t="shared" si="2"/>
        <v>0</v>
      </c>
      <c r="L50" s="914">
        <f t="shared" si="3"/>
        <v>0</v>
      </c>
      <c r="M50" s="913"/>
      <c r="N50" s="962"/>
      <c r="O50" s="914"/>
      <c r="P50" s="913"/>
      <c r="Q50" s="962"/>
      <c r="R50" s="914"/>
    </row>
    <row r="51" spans="1:18" ht="38.25" thickBot="1">
      <c r="A51" s="1001"/>
      <c r="B51" s="906" t="s">
        <v>447</v>
      </c>
      <c r="C51" s="867" t="s">
        <v>335</v>
      </c>
      <c r="D51" s="1002"/>
      <c r="E51" s="1038"/>
      <c r="F51" s="963">
        <v>60</v>
      </c>
      <c r="G51" s="889" t="s">
        <v>492</v>
      </c>
      <c r="H51" s="1040"/>
      <c r="I51" s="920"/>
      <c r="J51" s="913"/>
      <c r="K51" s="917">
        <f t="shared" si="2"/>
        <v>0</v>
      </c>
      <c r="L51" s="914">
        <f t="shared" si="3"/>
        <v>0</v>
      </c>
      <c r="M51" s="913"/>
      <c r="N51" s="919">
        <f t="shared" si="6"/>
        <v>0</v>
      </c>
      <c r="O51" s="914">
        <f t="shared" si="4"/>
        <v>0</v>
      </c>
      <c r="P51" s="913"/>
      <c r="Q51" s="919">
        <f t="shared" si="7"/>
        <v>0</v>
      </c>
      <c r="R51" s="914">
        <f t="shared" si="5"/>
        <v>0</v>
      </c>
    </row>
    <row r="52" spans="1:18" ht="30" customHeight="1" thickBot="1">
      <c r="A52" s="986" t="s">
        <v>236</v>
      </c>
      <c r="B52" s="912" t="s">
        <v>442</v>
      </c>
      <c r="C52" s="603" t="s">
        <v>526</v>
      </c>
      <c r="D52" s="1003" t="s">
        <v>408</v>
      </c>
      <c r="E52" s="603">
        <v>672</v>
      </c>
      <c r="F52" s="883">
        <v>54</v>
      </c>
      <c r="G52" s="879" t="s">
        <v>382</v>
      </c>
      <c r="H52" s="926" t="s">
        <v>277</v>
      </c>
      <c r="I52" s="920"/>
      <c r="J52" s="913"/>
      <c r="K52" s="917">
        <f t="shared" si="2"/>
        <v>0</v>
      </c>
      <c r="L52" s="914">
        <f t="shared" si="3"/>
        <v>0</v>
      </c>
      <c r="M52" s="913"/>
      <c r="N52" s="917">
        <f t="shared" si="6"/>
        <v>0</v>
      </c>
      <c r="O52" s="914">
        <f t="shared" si="4"/>
        <v>0</v>
      </c>
      <c r="P52" s="913"/>
      <c r="Q52" s="917">
        <f t="shared" si="7"/>
        <v>0</v>
      </c>
      <c r="R52" s="914">
        <f t="shared" si="5"/>
        <v>0</v>
      </c>
    </row>
    <row r="53" spans="1:18" ht="38.25" thickBot="1">
      <c r="A53" s="987"/>
      <c r="B53" s="905" t="s">
        <v>442</v>
      </c>
      <c r="C53" s="872" t="s">
        <v>527</v>
      </c>
      <c r="D53" s="994"/>
      <c r="E53" s="872">
        <v>1000</v>
      </c>
      <c r="F53" s="865">
        <v>60</v>
      </c>
      <c r="G53" s="619" t="s">
        <v>452</v>
      </c>
      <c r="H53" s="925" t="s">
        <v>279</v>
      </c>
      <c r="I53" s="920"/>
      <c r="J53" s="913"/>
      <c r="K53" s="917">
        <f t="shared" si="2"/>
        <v>0</v>
      </c>
      <c r="L53" s="914">
        <f t="shared" si="3"/>
        <v>0</v>
      </c>
      <c r="M53" s="913"/>
      <c r="N53" s="918">
        <f t="shared" si="6"/>
        <v>0</v>
      </c>
      <c r="O53" s="914">
        <f t="shared" si="4"/>
        <v>0</v>
      </c>
      <c r="P53" s="913"/>
      <c r="Q53" s="918">
        <f t="shared" si="7"/>
        <v>0</v>
      </c>
      <c r="R53" s="914">
        <f t="shared" si="5"/>
        <v>0</v>
      </c>
    </row>
    <row r="54" spans="1:18" ht="38.25" thickBot="1">
      <c r="A54" s="987"/>
      <c r="B54" s="905" t="s">
        <v>442</v>
      </c>
      <c r="C54" s="872" t="s">
        <v>528</v>
      </c>
      <c r="D54" s="995"/>
      <c r="E54" s="872"/>
      <c r="F54" s="866">
        <v>59</v>
      </c>
      <c r="G54" s="877" t="s">
        <v>355</v>
      </c>
      <c r="H54" s="925" t="s">
        <v>278</v>
      </c>
      <c r="I54" s="920"/>
      <c r="J54" s="913"/>
      <c r="K54" s="917">
        <f t="shared" si="2"/>
        <v>0</v>
      </c>
      <c r="L54" s="914">
        <f t="shared" si="3"/>
        <v>0</v>
      </c>
      <c r="M54" s="913"/>
      <c r="N54" s="918">
        <f t="shared" si="6"/>
        <v>0</v>
      </c>
      <c r="O54" s="914">
        <f t="shared" si="4"/>
        <v>0</v>
      </c>
      <c r="P54" s="913"/>
      <c r="Q54" s="918">
        <f t="shared" si="7"/>
        <v>0</v>
      </c>
      <c r="R54" s="914">
        <f t="shared" si="5"/>
        <v>0</v>
      </c>
    </row>
    <row r="55" spans="1:18" ht="30" customHeight="1" thickBot="1">
      <c r="A55" s="987"/>
      <c r="B55" s="905" t="s">
        <v>445</v>
      </c>
      <c r="C55" s="874" t="s">
        <v>328</v>
      </c>
      <c r="D55" s="1004" t="s">
        <v>409</v>
      </c>
      <c r="E55" s="1044">
        <v>672</v>
      </c>
      <c r="F55" s="866">
        <v>50</v>
      </c>
      <c r="G55" s="877" t="s">
        <v>461</v>
      </c>
      <c r="H55" s="1020" t="s">
        <v>341</v>
      </c>
      <c r="I55" s="920"/>
      <c r="J55" s="913"/>
      <c r="K55" s="917">
        <f t="shared" si="2"/>
        <v>0</v>
      </c>
      <c r="L55" s="914">
        <f t="shared" si="3"/>
        <v>0</v>
      </c>
      <c r="M55" s="913"/>
      <c r="N55" s="918">
        <f t="shared" si="6"/>
        <v>0</v>
      </c>
      <c r="O55" s="914">
        <f t="shared" si="4"/>
        <v>0</v>
      </c>
      <c r="P55" s="913"/>
      <c r="Q55" s="918">
        <f t="shared" si="7"/>
        <v>0</v>
      </c>
      <c r="R55" s="914">
        <f t="shared" si="5"/>
        <v>0</v>
      </c>
    </row>
    <row r="56" spans="1:18" ht="38.25" thickBot="1">
      <c r="A56" s="987"/>
      <c r="B56" s="905" t="s">
        <v>446</v>
      </c>
      <c r="C56" s="874" t="s">
        <v>327</v>
      </c>
      <c r="D56" s="1005"/>
      <c r="E56" s="1044"/>
      <c r="F56" s="866">
        <v>50</v>
      </c>
      <c r="G56" s="877" t="s">
        <v>463</v>
      </c>
      <c r="H56" s="1020"/>
      <c r="I56" s="920"/>
      <c r="J56" s="913"/>
      <c r="K56" s="917">
        <f t="shared" si="2"/>
        <v>0</v>
      </c>
      <c r="L56" s="914">
        <f t="shared" si="3"/>
        <v>0</v>
      </c>
      <c r="M56" s="913"/>
      <c r="N56" s="918">
        <f t="shared" si="6"/>
        <v>0</v>
      </c>
      <c r="O56" s="914">
        <f t="shared" si="4"/>
        <v>0</v>
      </c>
      <c r="P56" s="913"/>
      <c r="Q56" s="918">
        <f t="shared" si="7"/>
        <v>0</v>
      </c>
      <c r="R56" s="914">
        <f t="shared" si="5"/>
        <v>0</v>
      </c>
    </row>
    <row r="57" spans="1:18" ht="30" customHeight="1" thickBot="1">
      <c r="A57" s="996"/>
      <c r="B57" s="906" t="s">
        <v>447</v>
      </c>
      <c r="C57" s="870" t="s">
        <v>329</v>
      </c>
      <c r="D57" s="1005"/>
      <c r="E57" s="1045"/>
      <c r="F57" s="886">
        <v>50</v>
      </c>
      <c r="G57" s="887" t="s">
        <v>462</v>
      </c>
      <c r="H57" s="1025"/>
      <c r="I57" s="920"/>
      <c r="J57" s="913"/>
      <c r="K57" s="917">
        <f t="shared" si="2"/>
        <v>0</v>
      </c>
      <c r="L57" s="914">
        <f t="shared" si="3"/>
        <v>0</v>
      </c>
      <c r="M57" s="913"/>
      <c r="N57" s="919">
        <f t="shared" si="6"/>
        <v>0</v>
      </c>
      <c r="O57" s="914">
        <f t="shared" si="4"/>
        <v>0</v>
      </c>
      <c r="P57" s="913"/>
      <c r="Q57" s="919">
        <f t="shared" si="7"/>
        <v>0</v>
      </c>
      <c r="R57" s="914">
        <f t="shared" si="5"/>
        <v>0</v>
      </c>
    </row>
    <row r="58" spans="1:18" ht="38.25" thickBot="1">
      <c r="A58" s="949" t="s">
        <v>336</v>
      </c>
      <c r="B58" s="950" t="s">
        <v>446</v>
      </c>
      <c r="C58" s="940" t="s">
        <v>330</v>
      </c>
      <c r="D58" s="1005"/>
      <c r="E58" s="940">
        <v>858</v>
      </c>
      <c r="F58" s="941">
        <v>53</v>
      </c>
      <c r="G58" s="942" t="s">
        <v>237</v>
      </c>
      <c r="H58" s="939" t="s">
        <v>337</v>
      </c>
      <c r="I58" s="920"/>
      <c r="J58" s="913"/>
      <c r="K58" s="917">
        <f t="shared" si="2"/>
        <v>0</v>
      </c>
      <c r="L58" s="914">
        <f t="shared" si="3"/>
        <v>0</v>
      </c>
      <c r="M58" s="913"/>
      <c r="N58" s="943">
        <f t="shared" si="6"/>
        <v>0</v>
      </c>
      <c r="O58" s="914">
        <f t="shared" si="4"/>
        <v>0</v>
      </c>
      <c r="P58" s="913"/>
      <c r="Q58" s="943">
        <f t="shared" si="7"/>
        <v>0</v>
      </c>
      <c r="R58" s="914">
        <f t="shared" si="5"/>
        <v>0</v>
      </c>
    </row>
    <row r="59" spans="1:18" ht="38.25" thickBot="1">
      <c r="A59" s="953" t="s">
        <v>531</v>
      </c>
      <c r="B59" s="954" t="s">
        <v>445</v>
      </c>
      <c r="C59" s="955" t="s">
        <v>332</v>
      </c>
      <c r="D59" s="1006"/>
      <c r="E59" s="944">
        <v>880</v>
      </c>
      <c r="F59" s="945">
        <v>59</v>
      </c>
      <c r="G59" s="946" t="s">
        <v>238</v>
      </c>
      <c r="H59" s="947" t="s">
        <v>338</v>
      </c>
      <c r="I59" s="920"/>
      <c r="J59" s="913"/>
      <c r="K59" s="917">
        <f t="shared" si="2"/>
        <v>0</v>
      </c>
      <c r="L59" s="914">
        <f t="shared" si="3"/>
        <v>0</v>
      </c>
      <c r="M59" s="913"/>
      <c r="N59" s="948">
        <f t="shared" si="6"/>
        <v>0</v>
      </c>
      <c r="O59" s="914">
        <f t="shared" si="4"/>
        <v>0</v>
      </c>
      <c r="P59" s="913"/>
      <c r="Q59" s="948">
        <f t="shared" si="7"/>
        <v>0</v>
      </c>
      <c r="R59" s="914">
        <f t="shared" si="5"/>
        <v>0</v>
      </c>
    </row>
    <row r="60" spans="1:18" s="82" customFormat="1" ht="38.25" thickBot="1">
      <c r="A60" s="997" t="s">
        <v>105</v>
      </c>
      <c r="B60" s="951" t="s">
        <v>441</v>
      </c>
      <c r="C60" s="952" t="s">
        <v>217</v>
      </c>
      <c r="D60" s="1007" t="s">
        <v>473</v>
      </c>
      <c r="E60" s="896">
        <v>12</v>
      </c>
      <c r="F60" s="897">
        <v>62</v>
      </c>
      <c r="G60" s="898" t="s">
        <v>216</v>
      </c>
      <c r="H60" s="923" t="s">
        <v>270</v>
      </c>
      <c r="I60" s="920"/>
      <c r="J60" s="913"/>
      <c r="K60" s="917">
        <f t="shared" si="2"/>
        <v>0</v>
      </c>
      <c r="L60" s="914">
        <f t="shared" si="3"/>
        <v>0</v>
      </c>
      <c r="M60" s="913"/>
      <c r="N60" s="917">
        <f t="shared" si="6"/>
        <v>0</v>
      </c>
      <c r="O60" s="914">
        <f t="shared" si="4"/>
        <v>0</v>
      </c>
      <c r="P60" s="913"/>
      <c r="Q60" s="917">
        <f t="shared" si="7"/>
        <v>0</v>
      </c>
      <c r="R60" s="914">
        <f t="shared" si="5"/>
        <v>0</v>
      </c>
    </row>
    <row r="61" spans="1:18" s="82" customFormat="1" ht="38.25" thickBot="1">
      <c r="A61" s="987"/>
      <c r="B61" s="907" t="s">
        <v>434</v>
      </c>
      <c r="C61" s="890" t="s">
        <v>215</v>
      </c>
      <c r="D61" s="1008"/>
      <c r="E61" s="1041">
        <v>11</v>
      </c>
      <c r="F61" s="899">
        <v>63</v>
      </c>
      <c r="G61" s="892" t="s">
        <v>214</v>
      </c>
      <c r="H61" s="924" t="s">
        <v>276</v>
      </c>
      <c r="I61" s="920"/>
      <c r="J61" s="913"/>
      <c r="K61" s="917">
        <f t="shared" si="2"/>
        <v>0</v>
      </c>
      <c r="L61" s="914">
        <f t="shared" si="3"/>
        <v>0</v>
      </c>
      <c r="M61" s="913"/>
      <c r="N61" s="918">
        <f t="shared" si="6"/>
        <v>0</v>
      </c>
      <c r="O61" s="914">
        <f t="shared" si="4"/>
        <v>0</v>
      </c>
      <c r="P61" s="913"/>
      <c r="Q61" s="918">
        <f t="shared" si="7"/>
        <v>0</v>
      </c>
      <c r="R61" s="914">
        <f t="shared" si="5"/>
        <v>0</v>
      </c>
    </row>
    <row r="62" spans="1:18" s="82" customFormat="1" ht="38.25" thickBot="1">
      <c r="A62" s="987"/>
      <c r="B62" s="907" t="s">
        <v>434</v>
      </c>
      <c r="C62" s="890" t="s">
        <v>486</v>
      </c>
      <c r="D62" s="1009"/>
      <c r="E62" s="1041"/>
      <c r="F62" s="899">
        <v>63</v>
      </c>
      <c r="G62" s="892" t="s">
        <v>213</v>
      </c>
      <c r="H62" s="924" t="s">
        <v>275</v>
      </c>
      <c r="I62" s="920"/>
      <c r="J62" s="913"/>
      <c r="K62" s="917">
        <f t="shared" si="2"/>
        <v>0</v>
      </c>
      <c r="L62" s="914">
        <f t="shared" si="3"/>
        <v>0</v>
      </c>
      <c r="M62" s="913"/>
      <c r="N62" s="918">
        <f t="shared" si="6"/>
        <v>0</v>
      </c>
      <c r="O62" s="914">
        <f t="shared" si="4"/>
        <v>0</v>
      </c>
      <c r="P62" s="913"/>
      <c r="Q62" s="918">
        <f t="shared" si="7"/>
        <v>0</v>
      </c>
      <c r="R62" s="914">
        <f t="shared" si="5"/>
        <v>0</v>
      </c>
    </row>
    <row r="63" spans="1:18" ht="38.25" thickBot="1">
      <c r="A63" s="987"/>
      <c r="B63" s="990" t="s">
        <v>436</v>
      </c>
      <c r="C63" s="872" t="s">
        <v>501</v>
      </c>
      <c r="D63" s="992" t="s">
        <v>474</v>
      </c>
      <c r="E63" s="872">
        <v>816</v>
      </c>
      <c r="F63" s="865">
        <v>69</v>
      </c>
      <c r="G63" s="619" t="s">
        <v>367</v>
      </c>
      <c r="H63" s="1020" t="s">
        <v>272</v>
      </c>
      <c r="I63" s="920"/>
      <c r="J63" s="913"/>
      <c r="K63" s="917">
        <f t="shared" si="2"/>
        <v>0</v>
      </c>
      <c r="L63" s="914">
        <f t="shared" si="3"/>
        <v>0</v>
      </c>
      <c r="M63" s="913"/>
      <c r="N63" s="918">
        <f t="shared" si="6"/>
        <v>0</v>
      </c>
      <c r="O63" s="914">
        <f t="shared" si="4"/>
        <v>0</v>
      </c>
      <c r="P63" s="913"/>
      <c r="Q63" s="918">
        <f t="shared" si="7"/>
        <v>0</v>
      </c>
      <c r="R63" s="914">
        <f t="shared" si="5"/>
        <v>0</v>
      </c>
    </row>
    <row r="64" spans="1:18" ht="38.25" thickBot="1">
      <c r="A64" s="987"/>
      <c r="B64" s="990"/>
      <c r="C64" s="872" t="s">
        <v>502</v>
      </c>
      <c r="D64" s="994"/>
      <c r="E64" s="872">
        <v>816</v>
      </c>
      <c r="F64" s="865">
        <v>69</v>
      </c>
      <c r="G64" s="619" t="s">
        <v>437</v>
      </c>
      <c r="H64" s="1020"/>
      <c r="I64" s="920"/>
      <c r="J64" s="913"/>
      <c r="K64" s="917">
        <f t="shared" si="2"/>
        <v>0</v>
      </c>
      <c r="L64" s="914">
        <f t="shared" si="3"/>
        <v>0</v>
      </c>
      <c r="M64" s="913"/>
      <c r="N64" s="918">
        <f t="shared" si="6"/>
        <v>0</v>
      </c>
      <c r="O64" s="914">
        <f t="shared" si="4"/>
        <v>0</v>
      </c>
      <c r="P64" s="913"/>
      <c r="Q64" s="918">
        <f t="shared" si="7"/>
        <v>0</v>
      </c>
      <c r="R64" s="914">
        <f t="shared" si="5"/>
        <v>0</v>
      </c>
    </row>
    <row r="65" spans="1:18" ht="38.25" thickBot="1">
      <c r="A65" s="987"/>
      <c r="B65" s="990" t="s">
        <v>436</v>
      </c>
      <c r="C65" s="875" t="s">
        <v>503</v>
      </c>
      <c r="D65" s="994"/>
      <c r="E65" s="875">
        <v>496</v>
      </c>
      <c r="F65" s="865">
        <v>70</v>
      </c>
      <c r="G65" s="619" t="s">
        <v>438</v>
      </c>
      <c r="H65" s="1020" t="s">
        <v>273</v>
      </c>
      <c r="I65" s="920"/>
      <c r="J65" s="913"/>
      <c r="K65" s="917">
        <f t="shared" si="2"/>
        <v>0</v>
      </c>
      <c r="L65" s="914">
        <f t="shared" si="3"/>
        <v>0</v>
      </c>
      <c r="M65" s="913"/>
      <c r="N65" s="918">
        <f t="shared" si="6"/>
        <v>0</v>
      </c>
      <c r="O65" s="914">
        <f t="shared" si="4"/>
        <v>0</v>
      </c>
      <c r="P65" s="913"/>
      <c r="Q65" s="918">
        <f t="shared" si="7"/>
        <v>0</v>
      </c>
      <c r="R65" s="914">
        <f t="shared" si="5"/>
        <v>0</v>
      </c>
    </row>
    <row r="66" spans="1:18" ht="38.25" thickBot="1">
      <c r="A66" s="987"/>
      <c r="B66" s="990"/>
      <c r="C66" s="872" t="s">
        <v>504</v>
      </c>
      <c r="D66" s="994"/>
      <c r="E66" s="872">
        <v>496</v>
      </c>
      <c r="F66" s="881">
        <v>70</v>
      </c>
      <c r="G66" s="612" t="s">
        <v>439</v>
      </c>
      <c r="H66" s="1020"/>
      <c r="I66" s="920"/>
      <c r="J66" s="913"/>
      <c r="K66" s="917">
        <f t="shared" si="2"/>
        <v>0</v>
      </c>
      <c r="L66" s="914">
        <f t="shared" si="3"/>
        <v>0</v>
      </c>
      <c r="M66" s="913"/>
      <c r="N66" s="918">
        <f t="shared" si="6"/>
        <v>0</v>
      </c>
      <c r="O66" s="914">
        <f t="shared" si="4"/>
        <v>0</v>
      </c>
      <c r="P66" s="913"/>
      <c r="Q66" s="918">
        <f t="shared" si="7"/>
        <v>0</v>
      </c>
      <c r="R66" s="914">
        <f t="shared" si="5"/>
        <v>0</v>
      </c>
    </row>
    <row r="67" spans="1:18" ht="38.25" thickBot="1">
      <c r="A67" s="988"/>
      <c r="B67" s="906" t="s">
        <v>434</v>
      </c>
      <c r="C67" s="867" t="s">
        <v>529</v>
      </c>
      <c r="D67" s="993"/>
      <c r="E67" s="867">
        <v>880</v>
      </c>
      <c r="F67" s="888">
        <v>72</v>
      </c>
      <c r="G67" s="889" t="s">
        <v>27</v>
      </c>
      <c r="H67" s="927" t="s">
        <v>271</v>
      </c>
      <c r="I67" s="920"/>
      <c r="J67" s="913"/>
      <c r="K67" s="917">
        <f t="shared" si="2"/>
        <v>0</v>
      </c>
      <c r="L67" s="914">
        <f t="shared" si="3"/>
        <v>0</v>
      </c>
      <c r="M67" s="913"/>
      <c r="N67" s="919">
        <f t="shared" si="6"/>
        <v>0</v>
      </c>
      <c r="O67" s="914">
        <f t="shared" si="4"/>
        <v>0</v>
      </c>
      <c r="P67" s="913"/>
      <c r="Q67" s="919">
        <f t="shared" si="7"/>
        <v>0</v>
      </c>
      <c r="R67" s="914">
        <f t="shared" si="5"/>
        <v>0</v>
      </c>
    </row>
    <row r="68" spans="1:18" s="82" customFormat="1" ht="36.75" customHeight="1" thickBot="1">
      <c r="A68" s="986" t="s">
        <v>104</v>
      </c>
      <c r="B68" s="1013" t="s">
        <v>442</v>
      </c>
      <c r="C68" s="895" t="s">
        <v>226</v>
      </c>
      <c r="D68" s="1007" t="s">
        <v>473</v>
      </c>
      <c r="E68" s="896">
        <v>267</v>
      </c>
      <c r="F68" s="897">
        <v>75</v>
      </c>
      <c r="G68" s="898" t="s">
        <v>225</v>
      </c>
      <c r="H68" s="1042" t="s">
        <v>467</v>
      </c>
      <c r="I68" s="920"/>
      <c r="J68" s="913"/>
      <c r="K68" s="917">
        <f t="shared" si="2"/>
        <v>0</v>
      </c>
      <c r="L68" s="914">
        <f t="shared" si="3"/>
        <v>0</v>
      </c>
      <c r="M68" s="913"/>
      <c r="N68" s="917">
        <f t="shared" si="6"/>
        <v>0</v>
      </c>
      <c r="O68" s="914">
        <f t="shared" si="4"/>
        <v>0</v>
      </c>
      <c r="P68" s="913"/>
      <c r="Q68" s="917">
        <f t="shared" si="7"/>
        <v>0</v>
      </c>
      <c r="R68" s="914">
        <f t="shared" si="5"/>
        <v>0</v>
      </c>
    </row>
    <row r="69" spans="1:18" s="82" customFormat="1" ht="38.25" thickBot="1">
      <c r="A69" s="987"/>
      <c r="B69" s="1014"/>
      <c r="C69" s="890" t="s">
        <v>224</v>
      </c>
      <c r="D69" s="1008"/>
      <c r="E69" s="891">
        <v>360</v>
      </c>
      <c r="F69" s="900">
        <v>225</v>
      </c>
      <c r="G69" s="892" t="s">
        <v>223</v>
      </c>
      <c r="H69" s="1043"/>
      <c r="I69" s="920"/>
      <c r="J69" s="913"/>
      <c r="K69" s="917">
        <f t="shared" si="2"/>
        <v>0</v>
      </c>
      <c r="L69" s="914">
        <f t="shared" si="3"/>
        <v>0</v>
      </c>
      <c r="M69" s="913"/>
      <c r="N69" s="918">
        <f t="shared" si="6"/>
        <v>0</v>
      </c>
      <c r="O69" s="914">
        <f t="shared" si="4"/>
        <v>0</v>
      </c>
      <c r="P69" s="913"/>
      <c r="Q69" s="918">
        <f t="shared" si="7"/>
        <v>0</v>
      </c>
      <c r="R69" s="914">
        <f t="shared" si="5"/>
        <v>0</v>
      </c>
    </row>
    <row r="70" spans="1:18" s="82" customFormat="1" ht="38.25" thickBot="1">
      <c r="A70" s="987"/>
      <c r="B70" s="907" t="s">
        <v>434</v>
      </c>
      <c r="C70" s="890" t="s">
        <v>222</v>
      </c>
      <c r="D70" s="1009"/>
      <c r="E70" s="891">
        <v>123</v>
      </c>
      <c r="F70" s="901">
        <v>78</v>
      </c>
      <c r="G70" s="892" t="s">
        <v>221</v>
      </c>
      <c r="H70" s="924" t="s">
        <v>260</v>
      </c>
      <c r="I70" s="920"/>
      <c r="J70" s="913"/>
      <c r="K70" s="917">
        <f t="shared" si="2"/>
        <v>0</v>
      </c>
      <c r="L70" s="914">
        <f t="shared" si="3"/>
        <v>0</v>
      </c>
      <c r="M70" s="913"/>
      <c r="N70" s="918">
        <f t="shared" si="6"/>
        <v>0</v>
      </c>
      <c r="O70" s="914">
        <f t="shared" si="4"/>
        <v>0</v>
      </c>
      <c r="P70" s="913"/>
      <c r="Q70" s="918">
        <f t="shared" si="7"/>
        <v>0</v>
      </c>
      <c r="R70" s="914">
        <f t="shared" si="5"/>
        <v>0</v>
      </c>
    </row>
    <row r="71" spans="1:18" ht="34.5" customHeight="1" thickBot="1">
      <c r="A71" s="987"/>
      <c r="B71" s="990" t="s">
        <v>444</v>
      </c>
      <c r="C71" s="872" t="s">
        <v>66</v>
      </c>
      <c r="D71" s="992" t="s">
        <v>408</v>
      </c>
      <c r="E71" s="872">
        <v>1680</v>
      </c>
      <c r="F71" s="865">
        <v>60</v>
      </c>
      <c r="G71" s="619" t="s">
        <v>377</v>
      </c>
      <c r="H71" s="925" t="s">
        <v>261</v>
      </c>
      <c r="I71" s="920"/>
      <c r="J71" s="913"/>
      <c r="K71" s="917">
        <f t="shared" si="2"/>
        <v>0</v>
      </c>
      <c r="L71" s="914">
        <f t="shared" si="3"/>
        <v>0</v>
      </c>
      <c r="M71" s="913"/>
      <c r="N71" s="918">
        <f t="shared" si="6"/>
        <v>0</v>
      </c>
      <c r="O71" s="914">
        <f t="shared" si="4"/>
        <v>0</v>
      </c>
      <c r="P71" s="913"/>
      <c r="Q71" s="918">
        <f t="shared" si="7"/>
        <v>0</v>
      </c>
      <c r="R71" s="914">
        <f t="shared" si="5"/>
        <v>0</v>
      </c>
    </row>
    <row r="72" spans="1:18" ht="38.25" thickBot="1">
      <c r="A72" s="987"/>
      <c r="B72" s="990"/>
      <c r="C72" s="873" t="s">
        <v>58</v>
      </c>
      <c r="D72" s="994"/>
      <c r="E72" s="873" t="s">
        <v>464</v>
      </c>
      <c r="F72" s="865">
        <v>144</v>
      </c>
      <c r="G72" s="619" t="s">
        <v>378</v>
      </c>
      <c r="H72" s="1020" t="s">
        <v>257</v>
      </c>
      <c r="I72" s="920"/>
      <c r="J72" s="913"/>
      <c r="K72" s="917">
        <f t="shared" si="2"/>
        <v>0</v>
      </c>
      <c r="L72" s="914">
        <f t="shared" si="3"/>
        <v>0</v>
      </c>
      <c r="M72" s="913"/>
      <c r="N72" s="918">
        <f t="shared" si="6"/>
        <v>0</v>
      </c>
      <c r="O72" s="914">
        <f t="shared" si="4"/>
        <v>0</v>
      </c>
      <c r="P72" s="913"/>
      <c r="Q72" s="918">
        <f t="shared" si="7"/>
        <v>0</v>
      </c>
      <c r="R72" s="914">
        <f t="shared" si="5"/>
        <v>0</v>
      </c>
    </row>
    <row r="73" spans="1:18" ht="38.25" thickBot="1">
      <c r="A73" s="987"/>
      <c r="B73" s="990"/>
      <c r="C73" s="873" t="s">
        <v>59</v>
      </c>
      <c r="D73" s="994"/>
      <c r="E73" s="873" t="s">
        <v>464</v>
      </c>
      <c r="F73" s="865">
        <v>144</v>
      </c>
      <c r="G73" s="619" t="s">
        <v>379</v>
      </c>
      <c r="H73" s="1020"/>
      <c r="I73" s="920"/>
      <c r="J73" s="913"/>
      <c r="K73" s="917">
        <f t="shared" si="2"/>
        <v>0</v>
      </c>
      <c r="L73" s="914">
        <f t="shared" si="3"/>
        <v>0</v>
      </c>
      <c r="M73" s="913"/>
      <c r="N73" s="918">
        <f t="shared" si="6"/>
        <v>0</v>
      </c>
      <c r="O73" s="914">
        <f t="shared" si="4"/>
        <v>0</v>
      </c>
      <c r="P73" s="913"/>
      <c r="Q73" s="918">
        <f t="shared" si="7"/>
        <v>0</v>
      </c>
      <c r="R73" s="914">
        <f t="shared" si="5"/>
        <v>0</v>
      </c>
    </row>
    <row r="74" spans="1:18" ht="32.25" customHeight="1" thickBot="1">
      <c r="A74" s="987"/>
      <c r="B74" s="990"/>
      <c r="C74" s="873" t="s">
        <v>487</v>
      </c>
      <c r="D74" s="995"/>
      <c r="E74" s="873" t="s">
        <v>465</v>
      </c>
      <c r="F74" s="865">
        <v>144</v>
      </c>
      <c r="G74" s="619" t="s">
        <v>114</v>
      </c>
      <c r="H74" s="1020"/>
      <c r="I74" s="920"/>
      <c r="J74" s="913"/>
      <c r="K74" s="917">
        <f t="shared" ref="K74:K76" si="8">I74-J74</f>
        <v>0</v>
      </c>
      <c r="L74" s="914">
        <f t="shared" si="3"/>
        <v>0</v>
      </c>
      <c r="M74" s="913"/>
      <c r="N74" s="918">
        <f t="shared" si="6"/>
        <v>0</v>
      </c>
      <c r="O74" s="914">
        <f t="shared" si="4"/>
        <v>0</v>
      </c>
      <c r="P74" s="913"/>
      <c r="Q74" s="918">
        <f t="shared" si="7"/>
        <v>0</v>
      </c>
      <c r="R74" s="914">
        <f t="shared" si="5"/>
        <v>0</v>
      </c>
    </row>
    <row r="75" spans="1:18" ht="38.25" thickBot="1">
      <c r="A75" s="987"/>
      <c r="B75" s="990" t="s">
        <v>434</v>
      </c>
      <c r="C75" s="872" t="s">
        <v>67</v>
      </c>
      <c r="D75" s="992" t="s">
        <v>474</v>
      </c>
      <c r="E75" s="872">
        <v>1600</v>
      </c>
      <c r="F75" s="865">
        <v>147</v>
      </c>
      <c r="G75" s="619" t="s">
        <v>351</v>
      </c>
      <c r="H75" s="1020" t="s">
        <v>262</v>
      </c>
      <c r="I75" s="920"/>
      <c r="J75" s="913"/>
      <c r="K75" s="917">
        <f t="shared" si="8"/>
        <v>0</v>
      </c>
      <c r="L75" s="914">
        <f t="shared" si="3"/>
        <v>0</v>
      </c>
      <c r="M75" s="913"/>
      <c r="N75" s="918">
        <f t="shared" si="6"/>
        <v>0</v>
      </c>
      <c r="O75" s="914">
        <f t="shared" si="4"/>
        <v>0</v>
      </c>
      <c r="P75" s="913"/>
      <c r="Q75" s="918">
        <f t="shared" si="7"/>
        <v>0</v>
      </c>
      <c r="R75" s="914">
        <f t="shared" si="5"/>
        <v>0</v>
      </c>
    </row>
    <row r="76" spans="1:18" ht="38.25" thickBot="1">
      <c r="A76" s="988"/>
      <c r="B76" s="1015"/>
      <c r="C76" s="885" t="s">
        <v>68</v>
      </c>
      <c r="D76" s="993"/>
      <c r="E76" s="885">
        <v>1600</v>
      </c>
      <c r="F76" s="882">
        <v>147</v>
      </c>
      <c r="G76" s="623" t="s">
        <v>352</v>
      </c>
      <c r="H76" s="1025"/>
      <c r="I76" s="920"/>
      <c r="J76" s="913"/>
      <c r="K76" s="917">
        <f t="shared" si="8"/>
        <v>0</v>
      </c>
      <c r="L76" s="914">
        <f t="shared" si="3"/>
        <v>0</v>
      </c>
      <c r="M76" s="913"/>
      <c r="N76" s="919">
        <f t="shared" si="6"/>
        <v>0</v>
      </c>
      <c r="O76" s="914">
        <f t="shared" si="4"/>
        <v>0</v>
      </c>
      <c r="P76" s="913"/>
      <c r="Q76" s="919">
        <f t="shared" si="7"/>
        <v>0</v>
      </c>
      <c r="R76" s="914">
        <f t="shared" si="5"/>
        <v>0</v>
      </c>
    </row>
    <row r="77" spans="1:18" ht="13.5" customHeight="1">
      <c r="H77" t="s">
        <v>247</v>
      </c>
      <c r="I77" s="921" t="s">
        <v>247</v>
      </c>
    </row>
  </sheetData>
  <autoFilter ref="G1:G77"/>
  <mergeCells count="76">
    <mergeCell ref="E46:E51"/>
    <mergeCell ref="H46:H51"/>
    <mergeCell ref="E61:E62"/>
    <mergeCell ref="H75:H76"/>
    <mergeCell ref="B71:B74"/>
    <mergeCell ref="D71:D74"/>
    <mergeCell ref="H55:H57"/>
    <mergeCell ref="H68:H69"/>
    <mergeCell ref="D75:D76"/>
    <mergeCell ref="E55:E57"/>
    <mergeCell ref="H63:H64"/>
    <mergeCell ref="H65:H66"/>
    <mergeCell ref="H72:H74"/>
    <mergeCell ref="D68:D70"/>
    <mergeCell ref="C1:I4"/>
    <mergeCell ref="H42:H43"/>
    <mergeCell ref="H5:H6"/>
    <mergeCell ref="H21:H22"/>
    <mergeCell ref="H17:H18"/>
    <mergeCell ref="I5:I6"/>
    <mergeCell ref="H34:H36"/>
    <mergeCell ref="H37:H38"/>
    <mergeCell ref="D31:D40"/>
    <mergeCell ref="H39:H40"/>
    <mergeCell ref="G5:G6"/>
    <mergeCell ref="H8:H9"/>
    <mergeCell ref="H10:H11"/>
    <mergeCell ref="A31:A40"/>
    <mergeCell ref="B26:B27"/>
    <mergeCell ref="B32:B33"/>
    <mergeCell ref="H26:H27"/>
    <mergeCell ref="H19:H20"/>
    <mergeCell ref="H31:H33"/>
    <mergeCell ref="A23:A30"/>
    <mergeCell ref="B28:B30"/>
    <mergeCell ref="B37:B38"/>
    <mergeCell ref="H28:H30"/>
    <mergeCell ref="E28:E30"/>
    <mergeCell ref="D28:D30"/>
    <mergeCell ref="B35:B36"/>
    <mergeCell ref="B39:B40"/>
    <mergeCell ref="A68:A76"/>
    <mergeCell ref="A52:A57"/>
    <mergeCell ref="A60:A67"/>
    <mergeCell ref="A41:A51"/>
    <mergeCell ref="D45:D51"/>
    <mergeCell ref="D52:D54"/>
    <mergeCell ref="D63:D67"/>
    <mergeCell ref="D55:D59"/>
    <mergeCell ref="D60:D62"/>
    <mergeCell ref="D41:D44"/>
    <mergeCell ref="B68:B69"/>
    <mergeCell ref="B65:B66"/>
    <mergeCell ref="B63:B64"/>
    <mergeCell ref="B75:B76"/>
    <mergeCell ref="A5:A6"/>
    <mergeCell ref="A7:A14"/>
    <mergeCell ref="D7:D16"/>
    <mergeCell ref="A15:A22"/>
    <mergeCell ref="B5:B6"/>
    <mergeCell ref="B17:B18"/>
    <mergeCell ref="B21:B22"/>
    <mergeCell ref="B19:B20"/>
    <mergeCell ref="D21:D22"/>
    <mergeCell ref="D17:D20"/>
    <mergeCell ref="C5:C6"/>
    <mergeCell ref="D5:D6"/>
    <mergeCell ref="P5:R5"/>
    <mergeCell ref="J5:L5"/>
    <mergeCell ref="M5:O5"/>
    <mergeCell ref="D25:D27"/>
    <mergeCell ref="E5:E6"/>
    <mergeCell ref="F5:F6"/>
    <mergeCell ref="E19:E20"/>
    <mergeCell ref="E8:E11"/>
    <mergeCell ref="E17:E18"/>
  </mergeCells>
  <conditionalFormatting sqref="I5">
    <cfRule type="cellIs" dxfId="31" priority="377" stopIfTrue="1" operator="lessThan">
      <formula>0</formula>
    </cfRule>
  </conditionalFormatting>
  <conditionalFormatting sqref="N7:O15 N32:N33 N35:N76 Q7:R15 Q32:Q33 Q35:Q76 N16:N30 O16:O76 Q16:Q30 R16:R76 K7:L76">
    <cfRule type="cellIs" dxfId="30" priority="10" stopIfTrue="1" operator="lessThan">
      <formula>0</formula>
    </cfRule>
    <cfRule type="cellIs" dxfId="29" priority="11" stopIfTrue="1" operator="between">
      <formula>0</formula>
      <formula>200</formula>
    </cfRule>
    <cfRule type="cellIs" dxfId="28" priority="12" stopIfTrue="1" operator="greaterThan">
      <formula>200</formula>
    </cfRule>
  </conditionalFormatting>
  <conditionalFormatting sqref="N31 Q31">
    <cfRule type="cellIs" dxfId="27" priority="7" stopIfTrue="1" operator="lessThan">
      <formula>0</formula>
    </cfRule>
    <cfRule type="cellIs" dxfId="26" priority="8" stopIfTrue="1" operator="between">
      <formula>0</formula>
      <formula>200</formula>
    </cfRule>
    <cfRule type="cellIs" dxfId="25" priority="9" stopIfTrue="1" operator="greaterThan">
      <formula>200</formula>
    </cfRule>
  </conditionalFormatting>
  <conditionalFormatting sqref="N34 Q34">
    <cfRule type="cellIs" dxfId="24" priority="4" stopIfTrue="1" operator="lessThan">
      <formula>0</formula>
    </cfRule>
    <cfRule type="cellIs" dxfId="23" priority="5" stopIfTrue="1" operator="between">
      <formula>0</formula>
      <formula>200</formula>
    </cfRule>
    <cfRule type="cellIs" dxfId="22" priority="6" stopIfTrue="1" operator="greaterThan">
      <formula>200</formula>
    </cfRule>
  </conditionalFormatting>
  <conditionalFormatting sqref="I7:I76">
    <cfRule type="cellIs" dxfId="21" priority="3" stopIfTrue="1" operator="lessThan">
      <formula>0</formula>
    </cfRule>
  </conditionalFormatting>
  <printOptions horizontalCentered="1" verticalCentered="1"/>
  <pageMargins left="0" right="0" top="0" bottom="0" header="0" footer="0"/>
  <pageSetup paperSize="9" scale="22" orientation="landscape" r:id="rId1"/>
  <headerFooter>
    <oddHeader>&amp;C&amp;T&amp;R&amp;D</oddHead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83" sqref="E83"/>
    </sheetView>
  </sheetViews>
  <sheetFormatPr baseColWidth="10" defaultRowHeight="12.7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D255"/>
  <sheetViews>
    <sheetView showGridLines="0" zoomScale="40" zoomScaleNormal="40" zoomScaleSheetLayoutView="75" workbookViewId="0">
      <selection activeCell="E83" sqref="E83"/>
    </sheetView>
  </sheetViews>
  <sheetFormatPr baseColWidth="10" defaultColWidth="12.28515625" defaultRowHeight="27"/>
  <cols>
    <col min="1" max="1" width="23.140625" style="16" customWidth="1"/>
    <col min="2" max="2" width="15.140625" style="16" hidden="1" customWidth="1"/>
    <col min="3" max="4" width="15.140625" style="16" customWidth="1"/>
    <col min="5" max="5" width="30.7109375" style="16" customWidth="1"/>
    <col min="6" max="6" width="57.5703125" style="16" customWidth="1"/>
    <col min="7" max="7" width="13.5703125" style="17" customWidth="1"/>
    <col min="8" max="8" width="15" style="17" customWidth="1"/>
    <col min="9" max="9" width="12.28515625" style="16" hidden="1" customWidth="1"/>
    <col min="10" max="10" width="12" style="16" customWidth="1"/>
    <col min="11" max="11" width="13.140625" style="201" customWidth="1"/>
    <col min="12" max="12" width="13.28515625" style="16" customWidth="1"/>
    <col min="13" max="13" width="14.42578125" style="16" customWidth="1"/>
    <col min="14" max="14" width="13.140625" style="16" customWidth="1"/>
    <col min="15" max="16" width="17.28515625" style="16" customWidth="1"/>
    <col min="17" max="17" width="22" style="196" bestFit="1" customWidth="1"/>
    <col min="18" max="19" width="12.28515625" style="14" hidden="1" customWidth="1"/>
    <col min="20" max="32" width="12.28515625" style="15" hidden="1" customWidth="1"/>
    <col min="33" max="33" width="14.42578125" style="15" hidden="1" customWidth="1"/>
    <col min="34" max="35" width="12.28515625" style="15" hidden="1" customWidth="1"/>
    <col min="36" max="36" width="14.140625" style="15" hidden="1" customWidth="1"/>
    <col min="37" max="38" width="12.28515625" style="15" hidden="1" customWidth="1"/>
    <col min="39" max="39" width="15.5703125" style="15" hidden="1" customWidth="1"/>
    <col min="40" max="44" width="12.28515625" style="15" hidden="1" customWidth="1"/>
    <col min="45" max="45" width="13.7109375" style="15" hidden="1" customWidth="1"/>
    <col min="46" max="48" width="12.28515625" style="15" hidden="1" customWidth="1"/>
    <col min="49" max="57" width="11.7109375" style="15" hidden="1" customWidth="1"/>
    <col min="58" max="62" width="11.7109375" style="14" hidden="1" customWidth="1"/>
    <col min="63" max="68" width="0" style="14" hidden="1" customWidth="1"/>
    <col min="69" max="69" width="23.42578125" style="14" hidden="1" customWidth="1"/>
    <col min="70" max="70" width="38.7109375" style="14" hidden="1" customWidth="1"/>
    <col min="71" max="73" width="0" style="14" hidden="1" customWidth="1"/>
    <col min="74" max="16384" width="12.28515625" style="14"/>
  </cols>
  <sheetData>
    <row r="1" spans="1:134" ht="31.5" customHeight="1">
      <c r="A1" s="1248"/>
      <c r="B1" s="1394"/>
      <c r="C1" s="1394"/>
      <c r="D1" s="1249"/>
      <c r="E1" s="1387" t="s">
        <v>449</v>
      </c>
      <c r="F1" s="1388"/>
      <c r="G1" s="1388"/>
      <c r="H1" s="1388"/>
      <c r="I1" s="1388"/>
      <c r="J1" s="1388"/>
      <c r="K1" s="1388"/>
      <c r="L1" s="1388"/>
      <c r="M1" s="1389"/>
      <c r="N1" s="1254" t="s">
        <v>383</v>
      </c>
      <c r="O1" s="1255"/>
      <c r="P1" s="1256"/>
      <c r="Q1" s="456">
        <v>530</v>
      </c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</row>
    <row r="2" spans="1:134" ht="31.5" customHeight="1">
      <c r="A2" s="1250"/>
      <c r="B2" s="1395"/>
      <c r="C2" s="1395"/>
      <c r="D2" s="1251"/>
      <c r="E2" s="1091"/>
      <c r="F2" s="1092"/>
      <c r="G2" s="1092"/>
      <c r="H2" s="1092"/>
      <c r="I2" s="1092"/>
      <c r="J2" s="1092"/>
      <c r="K2" s="1092"/>
      <c r="L2" s="1092"/>
      <c r="M2" s="1390"/>
      <c r="N2" s="1257" t="s">
        <v>384</v>
      </c>
      <c r="O2" s="1258"/>
      <c r="P2" s="1259"/>
      <c r="Q2" s="457">
        <v>320</v>
      </c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</row>
    <row r="3" spans="1:134" ht="24" customHeight="1">
      <c r="A3" s="1250"/>
      <c r="B3" s="1395"/>
      <c r="C3" s="1395"/>
      <c r="D3" s="1251"/>
      <c r="E3" s="1091"/>
      <c r="F3" s="1092"/>
      <c r="G3" s="1092"/>
      <c r="H3" s="1092"/>
      <c r="I3" s="1092"/>
      <c r="J3" s="1092"/>
      <c r="K3" s="1092"/>
      <c r="L3" s="1092"/>
      <c r="M3" s="1390"/>
      <c r="N3" s="1257" t="s">
        <v>385</v>
      </c>
      <c r="O3" s="1258"/>
      <c r="P3" s="1259"/>
      <c r="Q3" s="457">
        <v>214</v>
      </c>
      <c r="R3" s="455"/>
      <c r="S3" s="455"/>
      <c r="T3" s="455"/>
      <c r="U3" s="455"/>
      <c r="V3" s="455"/>
      <c r="W3" s="455"/>
      <c r="X3" s="455"/>
      <c r="Y3" s="455"/>
      <c r="Z3" s="455"/>
      <c r="AA3" s="455"/>
      <c r="AB3" s="455"/>
      <c r="AC3" s="455"/>
      <c r="AD3" s="455"/>
      <c r="AE3" s="455"/>
      <c r="AF3" s="455"/>
      <c r="AG3" s="455"/>
      <c r="AH3" s="455"/>
      <c r="AI3" s="455"/>
      <c r="AJ3" s="455"/>
      <c r="AK3" s="455"/>
      <c r="AL3" s="455"/>
      <c r="AM3" s="455"/>
      <c r="AN3" s="455"/>
      <c r="AO3" s="455"/>
      <c r="AP3" s="455"/>
    </row>
    <row r="4" spans="1:134" ht="28.5" customHeight="1" thickBot="1">
      <c r="A4" s="1252"/>
      <c r="B4" s="1396"/>
      <c r="C4" s="1396"/>
      <c r="D4" s="1253"/>
      <c r="E4" s="1391"/>
      <c r="F4" s="1392"/>
      <c r="G4" s="1392"/>
      <c r="H4" s="1392"/>
      <c r="I4" s="1392"/>
      <c r="J4" s="1392"/>
      <c r="K4" s="1392"/>
      <c r="L4" s="1392"/>
      <c r="M4" s="1393"/>
      <c r="N4" s="1260" t="s">
        <v>386</v>
      </c>
      <c r="O4" s="1261"/>
      <c r="P4" s="1262"/>
      <c r="Q4" s="458">
        <v>108</v>
      </c>
      <c r="R4" s="455"/>
      <c r="S4" s="455"/>
      <c r="T4" s="455"/>
      <c r="U4" s="455"/>
      <c r="V4" s="455"/>
      <c r="W4" s="455"/>
      <c r="X4" s="455"/>
      <c r="Y4" s="455"/>
      <c r="Z4" s="455"/>
      <c r="AA4" s="455"/>
      <c r="AB4" s="455"/>
      <c r="AC4" s="455"/>
      <c r="AD4" s="455"/>
      <c r="AE4" s="455"/>
      <c r="AF4" s="455"/>
      <c r="AG4" s="455"/>
      <c r="AH4" s="455"/>
      <c r="AI4" s="455"/>
      <c r="AJ4" s="455"/>
      <c r="AK4" s="455"/>
      <c r="AL4" s="455"/>
      <c r="AM4" s="455"/>
      <c r="AN4" s="455"/>
      <c r="AO4" s="455"/>
      <c r="AP4" s="455"/>
    </row>
    <row r="5" spans="1:134" s="19" customFormat="1" ht="23.25" customHeight="1">
      <c r="A5" s="1263" t="s">
        <v>108</v>
      </c>
      <c r="B5" s="1265" t="s">
        <v>431</v>
      </c>
      <c r="C5" s="1265" t="s">
        <v>433</v>
      </c>
      <c r="D5" s="1265" t="s">
        <v>253</v>
      </c>
      <c r="E5" s="1267" t="s">
        <v>381</v>
      </c>
      <c r="F5" s="1267" t="s">
        <v>107</v>
      </c>
      <c r="G5" s="1269" t="s">
        <v>138</v>
      </c>
      <c r="H5" s="1271" t="s">
        <v>139</v>
      </c>
      <c r="I5" s="1269" t="s">
        <v>1</v>
      </c>
      <c r="J5" s="1325" t="s">
        <v>2</v>
      </c>
      <c r="K5" s="1327" t="s">
        <v>0</v>
      </c>
      <c r="L5" s="1277" t="s">
        <v>211</v>
      </c>
      <c r="M5" s="1096" t="s">
        <v>137</v>
      </c>
      <c r="N5" s="1386" t="s">
        <v>136</v>
      </c>
      <c r="O5" s="1285" t="s">
        <v>212</v>
      </c>
      <c r="P5" s="1285" t="s">
        <v>388</v>
      </c>
      <c r="Q5" s="1287">
        <f ca="1">TODAY()</f>
        <v>41752</v>
      </c>
      <c r="R5" s="1289" t="s">
        <v>128</v>
      </c>
      <c r="S5" s="1290"/>
      <c r="T5" s="1290"/>
      <c r="U5" s="1291"/>
      <c r="V5" s="1293" t="s">
        <v>129</v>
      </c>
      <c r="W5" s="1294"/>
      <c r="X5" s="1289"/>
      <c r="Y5" s="1290" t="s">
        <v>130</v>
      </c>
      <c r="Z5" s="1290"/>
      <c r="AA5" s="1293"/>
      <c r="AB5" s="1295" t="s">
        <v>143</v>
      </c>
      <c r="AC5" s="1296"/>
      <c r="AD5" s="1297"/>
      <c r="AE5" s="1295" t="s">
        <v>115</v>
      </c>
      <c r="AF5" s="1296"/>
      <c r="AG5" s="1297"/>
      <c r="AH5" s="1295" t="s">
        <v>144</v>
      </c>
      <c r="AI5" s="1296"/>
      <c r="AJ5" s="1297"/>
      <c r="AK5" s="1295" t="s">
        <v>145</v>
      </c>
      <c r="AL5" s="1296"/>
      <c r="AM5" s="1297"/>
      <c r="AN5" s="1295" t="s">
        <v>147</v>
      </c>
      <c r="AO5" s="1296"/>
      <c r="AP5" s="1297"/>
      <c r="AQ5" s="1245" t="s">
        <v>149</v>
      </c>
      <c r="AR5" s="1246"/>
      <c r="AS5" s="1247"/>
      <c r="AT5" s="1245" t="s">
        <v>150</v>
      </c>
      <c r="AU5" s="1246"/>
      <c r="AV5" s="1247"/>
      <c r="AW5" s="1245" t="s">
        <v>151</v>
      </c>
      <c r="AX5" s="1246"/>
      <c r="AY5" s="1247"/>
      <c r="AZ5" s="1245" t="s">
        <v>152</v>
      </c>
      <c r="BA5" s="1246"/>
      <c r="BB5" s="1247"/>
      <c r="BC5" s="1245" t="s">
        <v>153</v>
      </c>
      <c r="BD5" s="1246"/>
      <c r="BE5" s="1247"/>
      <c r="BF5" s="1245" t="s">
        <v>154</v>
      </c>
      <c r="BG5" s="1246"/>
      <c r="BH5" s="1247"/>
      <c r="BI5" s="1245" t="s">
        <v>148</v>
      </c>
      <c r="BJ5" s="1246"/>
      <c r="BK5" s="1247"/>
    </row>
    <row r="6" spans="1:134" s="26" customFormat="1" ht="19.5" customHeight="1" thickBot="1">
      <c r="A6" s="1264"/>
      <c r="B6" s="1266"/>
      <c r="C6" s="1266"/>
      <c r="D6" s="1266"/>
      <c r="E6" s="1268"/>
      <c r="F6" s="1268"/>
      <c r="G6" s="1270"/>
      <c r="H6" s="1272"/>
      <c r="I6" s="1270"/>
      <c r="J6" s="1326"/>
      <c r="K6" s="1328"/>
      <c r="L6" s="1278"/>
      <c r="M6" s="1097"/>
      <c r="N6" s="1270"/>
      <c r="O6" s="1286"/>
      <c r="P6" s="1286"/>
      <c r="Q6" s="1288"/>
      <c r="R6" s="20" t="s">
        <v>131</v>
      </c>
      <c r="S6" s="21" t="s">
        <v>133</v>
      </c>
      <c r="T6" s="22" t="s">
        <v>131</v>
      </c>
      <c r="U6" s="1292"/>
      <c r="V6" s="22" t="s">
        <v>135</v>
      </c>
      <c r="W6" s="22" t="s">
        <v>132</v>
      </c>
      <c r="X6" s="22" t="s">
        <v>131</v>
      </c>
      <c r="Y6" s="22" t="s">
        <v>135</v>
      </c>
      <c r="Z6" s="22" t="s">
        <v>132</v>
      </c>
      <c r="AA6" s="23" t="s">
        <v>131</v>
      </c>
      <c r="AB6" s="24" t="s">
        <v>135</v>
      </c>
      <c r="AC6" s="22" t="s">
        <v>132</v>
      </c>
      <c r="AD6" s="25" t="s">
        <v>131</v>
      </c>
      <c r="AE6" s="24" t="s">
        <v>135</v>
      </c>
      <c r="AF6" s="22" t="s">
        <v>132</v>
      </c>
      <c r="AG6" s="25" t="s">
        <v>131</v>
      </c>
      <c r="AH6" s="24" t="s">
        <v>135</v>
      </c>
      <c r="AI6" s="22" t="s">
        <v>132</v>
      </c>
      <c r="AJ6" s="25" t="s">
        <v>131</v>
      </c>
      <c r="AK6" s="24" t="s">
        <v>135</v>
      </c>
      <c r="AL6" s="22" t="s">
        <v>132</v>
      </c>
      <c r="AM6" s="25" t="s">
        <v>131</v>
      </c>
      <c r="AN6" s="24" t="s">
        <v>131</v>
      </c>
      <c r="AO6" s="22" t="s">
        <v>135</v>
      </c>
      <c r="AP6" s="25" t="s">
        <v>132</v>
      </c>
      <c r="AQ6" s="24" t="s">
        <v>131</v>
      </c>
      <c r="AR6" s="22" t="s">
        <v>135</v>
      </c>
      <c r="AS6" s="25" t="s">
        <v>132</v>
      </c>
      <c r="AT6" s="24" t="s">
        <v>131</v>
      </c>
      <c r="AU6" s="22" t="s">
        <v>135</v>
      </c>
      <c r="AV6" s="25" t="s">
        <v>132</v>
      </c>
      <c r="AW6" s="24" t="s">
        <v>131</v>
      </c>
      <c r="AX6" s="22" t="s">
        <v>135</v>
      </c>
      <c r="AY6" s="25" t="s">
        <v>132</v>
      </c>
      <c r="AZ6" s="24" t="s">
        <v>131</v>
      </c>
      <c r="BA6" s="22" t="s">
        <v>135</v>
      </c>
      <c r="BB6" s="25" t="s">
        <v>132</v>
      </c>
      <c r="BC6" s="24" t="s">
        <v>131</v>
      </c>
      <c r="BD6" s="22" t="s">
        <v>135</v>
      </c>
      <c r="BE6" s="25" t="s">
        <v>132</v>
      </c>
      <c r="BF6" s="24" t="s">
        <v>131</v>
      </c>
      <c r="BG6" s="22" t="s">
        <v>135</v>
      </c>
      <c r="BH6" s="25" t="s">
        <v>132</v>
      </c>
      <c r="BI6" s="22" t="s">
        <v>135</v>
      </c>
      <c r="BJ6" s="22" t="s">
        <v>132</v>
      </c>
      <c r="BK6" s="22" t="s">
        <v>131</v>
      </c>
    </row>
    <row r="7" spans="1:134" s="34" customFormat="1" ht="24" hidden="1" customHeight="1" thickBot="1">
      <c r="A7" s="1397" t="s">
        <v>102</v>
      </c>
      <c r="B7" s="184"/>
      <c r="C7" s="184"/>
      <c r="D7" s="184"/>
      <c r="E7" s="446"/>
      <c r="F7" s="447" t="s">
        <v>110</v>
      </c>
      <c r="G7" s="448">
        <v>50</v>
      </c>
      <c r="H7" s="448">
        <f>3600/G7*4</f>
        <v>288</v>
      </c>
      <c r="I7" s="449"/>
      <c r="J7" s="450">
        <v>400</v>
      </c>
      <c r="K7" s="451">
        <v>4200</v>
      </c>
      <c r="L7" s="452">
        <v>5000</v>
      </c>
      <c r="M7" s="448">
        <f>K7-J7</f>
        <v>3800</v>
      </c>
      <c r="N7" s="453">
        <f t="shared" ref="N7:N24" si="0">((M7*G7)/3600)*-1</f>
        <v>-52.777777777777779</v>
      </c>
      <c r="O7" s="453">
        <f t="shared" ref="O7:O24" si="1">K7/J7</f>
        <v>10.5</v>
      </c>
      <c r="P7" s="463"/>
      <c r="Q7" s="454">
        <f ca="1">+$Q$5+O7</f>
        <v>41762.5</v>
      </c>
      <c r="R7" s="95">
        <f ca="1">+$Q$5+Q7</f>
        <v>83514.5</v>
      </c>
      <c r="S7" s="28" t="e">
        <f ca="1">+$Q$5+#REF!</f>
        <v>#REF!</v>
      </c>
      <c r="T7" s="28">
        <f ca="1">+$Q$5+R7</f>
        <v>125266.5</v>
      </c>
      <c r="U7" s="27"/>
      <c r="V7" s="240">
        <v>3</v>
      </c>
      <c r="W7" s="240">
        <v>4</v>
      </c>
      <c r="X7" s="240"/>
      <c r="Y7" s="240"/>
      <c r="Z7" s="240"/>
      <c r="AA7" s="29"/>
      <c r="AB7" s="1"/>
      <c r="AC7" s="2"/>
      <c r="AD7" s="3"/>
      <c r="AE7" s="244"/>
      <c r="AF7" s="246"/>
      <c r="AG7" s="248"/>
      <c r="AH7" s="244"/>
      <c r="AI7" s="246"/>
      <c r="AJ7" s="248">
        <v>23</v>
      </c>
      <c r="AK7" s="5"/>
      <c r="AL7" s="11"/>
      <c r="AM7" s="12"/>
      <c r="AN7" s="13"/>
      <c r="AO7" s="11"/>
      <c r="AP7" s="12"/>
      <c r="AQ7" s="30"/>
      <c r="AR7" s="31"/>
      <c r="AS7" s="32"/>
      <c r="AT7" s="30"/>
      <c r="AU7" s="31"/>
      <c r="AV7" s="32"/>
      <c r="AW7" s="30"/>
      <c r="AX7" s="31"/>
      <c r="AY7" s="32"/>
      <c r="AZ7" s="30"/>
      <c r="BA7" s="31"/>
      <c r="BB7" s="32"/>
      <c r="BC7" s="30"/>
      <c r="BD7" s="31"/>
      <c r="BE7" s="32"/>
      <c r="BF7" s="30"/>
      <c r="BG7" s="31"/>
      <c r="BH7" s="32"/>
      <c r="BI7" s="30"/>
      <c r="BJ7" s="31"/>
      <c r="BK7" s="32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</row>
    <row r="8" spans="1:134" ht="24" hidden="1" customHeight="1" thickBot="1">
      <c r="A8" s="1398"/>
      <c r="B8" s="771"/>
      <c r="C8" s="771"/>
      <c r="D8" s="185"/>
      <c r="E8" s="186" t="s">
        <v>45</v>
      </c>
      <c r="F8" s="187" t="s">
        <v>3</v>
      </c>
      <c r="G8" s="94">
        <v>60</v>
      </c>
      <c r="H8" s="100">
        <f>3600/G8*2</f>
        <v>120</v>
      </c>
      <c r="I8" s="100">
        <v>1</v>
      </c>
      <c r="J8" s="101">
        <v>440</v>
      </c>
      <c r="K8" s="203">
        <v>3883</v>
      </c>
      <c r="L8" s="102" t="s">
        <v>210</v>
      </c>
      <c r="M8" s="100">
        <f>K8-J8</f>
        <v>3443</v>
      </c>
      <c r="N8" s="103">
        <f t="shared" si="0"/>
        <v>-57.383333333333333</v>
      </c>
      <c r="O8" s="103">
        <f t="shared" si="1"/>
        <v>8.8249999999999993</v>
      </c>
      <c r="P8" s="464"/>
      <c r="Q8" s="198">
        <f ca="1">+$Q$5+O8</f>
        <v>41760.824999999997</v>
      </c>
      <c r="R8" s="35"/>
      <c r="S8" s="36"/>
      <c r="T8" s="37">
        <v>1</v>
      </c>
      <c r="U8" s="38"/>
      <c r="V8" s="241"/>
      <c r="W8" s="39"/>
      <c r="X8" s="39"/>
      <c r="Y8" s="39"/>
      <c r="Z8" s="39"/>
      <c r="AA8" s="37">
        <v>1</v>
      </c>
      <c r="AB8" s="260"/>
      <c r="AC8" s="263"/>
      <c r="AD8" s="249"/>
      <c r="AE8" s="245"/>
      <c r="AF8" s="247"/>
      <c r="AG8" s="249"/>
      <c r="AH8" s="245"/>
      <c r="AI8" s="247"/>
      <c r="AJ8" s="249"/>
      <c r="AK8" s="253"/>
      <c r="AL8" s="254"/>
      <c r="AM8" s="255"/>
      <c r="AN8" s="253"/>
      <c r="AO8" s="254"/>
      <c r="AP8" s="255"/>
      <c r="AQ8" s="250"/>
      <c r="AR8" s="251"/>
      <c r="AS8" s="252"/>
      <c r="AT8" s="250"/>
      <c r="AU8" s="251"/>
      <c r="AV8" s="252"/>
      <c r="AW8" s="250"/>
      <c r="AX8" s="251"/>
      <c r="AY8" s="252"/>
      <c r="AZ8" s="250"/>
      <c r="BA8" s="251"/>
      <c r="BB8" s="252"/>
      <c r="BC8" s="250"/>
      <c r="BD8" s="251"/>
      <c r="BE8" s="252"/>
      <c r="BF8" s="250"/>
      <c r="BG8" s="251"/>
      <c r="BH8" s="252"/>
      <c r="BI8" s="250"/>
      <c r="BJ8" s="251"/>
      <c r="BK8" s="252"/>
      <c r="BR8" s="273">
        <v>11375</v>
      </c>
    </row>
    <row r="9" spans="1:134" ht="23.25" hidden="1" customHeight="1">
      <c r="A9" s="1398"/>
      <c r="B9" s="759"/>
      <c r="C9" s="842"/>
      <c r="D9" s="188"/>
      <c r="E9" s="189" t="s">
        <v>46</v>
      </c>
      <c r="F9" s="190" t="s">
        <v>4</v>
      </c>
      <c r="G9" s="98">
        <v>60</v>
      </c>
      <c r="H9" s="88">
        <f>3600/G9</f>
        <v>60</v>
      </c>
      <c r="I9" s="88">
        <v>1</v>
      </c>
      <c r="J9" s="89">
        <v>360</v>
      </c>
      <c r="K9" s="204">
        <v>3983</v>
      </c>
      <c r="L9" s="99" t="s">
        <v>210</v>
      </c>
      <c r="M9" s="88">
        <f>K9-J9</f>
        <v>3623</v>
      </c>
      <c r="N9" s="90">
        <f t="shared" si="0"/>
        <v>-60.383333333333333</v>
      </c>
      <c r="O9" s="90">
        <f t="shared" si="1"/>
        <v>11.063888888888888</v>
      </c>
      <c r="P9" s="465"/>
      <c r="Q9" s="199">
        <v>41485</v>
      </c>
      <c r="R9" s="35"/>
      <c r="S9" s="36"/>
      <c r="T9" s="40"/>
      <c r="U9" s="41"/>
      <c r="V9" s="1088"/>
      <c r="W9" s="1088">
        <v>1</v>
      </c>
      <c r="X9" s="1088">
        <v>1</v>
      </c>
      <c r="Y9" s="1088">
        <v>1</v>
      </c>
      <c r="Z9" s="1088">
        <v>1</v>
      </c>
      <c r="AA9" s="1090"/>
      <c r="AB9" s="1148"/>
      <c r="AC9" s="1144"/>
      <c r="AD9" s="1125"/>
      <c r="AE9" s="1148"/>
      <c r="AF9" s="1144"/>
      <c r="AG9" s="1125"/>
      <c r="AH9" s="1119"/>
      <c r="AI9" s="1117"/>
      <c r="AJ9" s="1125"/>
      <c r="AK9" s="1114"/>
      <c r="AL9" s="1111"/>
      <c r="AM9" s="1122">
        <v>2</v>
      </c>
      <c r="AN9" s="1114"/>
      <c r="AO9" s="1111"/>
      <c r="AP9" s="1127"/>
      <c r="AQ9" s="1130"/>
      <c r="AR9" s="1133"/>
      <c r="AS9" s="1136"/>
      <c r="AT9" s="1130"/>
      <c r="AU9" s="1133"/>
      <c r="AV9" s="1136"/>
      <c r="AW9" s="1130"/>
      <c r="AX9" s="1133"/>
      <c r="AY9" s="1136"/>
      <c r="AZ9" s="1130"/>
      <c r="BA9" s="1133"/>
      <c r="BB9" s="1136"/>
      <c r="BC9" s="1130"/>
      <c r="BD9" s="1133"/>
      <c r="BE9" s="1136"/>
      <c r="BF9" s="1130"/>
      <c r="BG9" s="1133"/>
      <c r="BH9" s="1136"/>
      <c r="BI9" s="1130"/>
      <c r="BJ9" s="1133"/>
      <c r="BK9" s="1136"/>
    </row>
    <row r="10" spans="1:134" ht="23.25" hidden="1" customHeight="1">
      <c r="A10" s="1398"/>
      <c r="B10" s="759"/>
      <c r="C10" s="842"/>
      <c r="D10" s="188"/>
      <c r="E10" s="189" t="s">
        <v>47</v>
      </c>
      <c r="F10" s="191" t="s">
        <v>5</v>
      </c>
      <c r="G10" s="97">
        <v>60</v>
      </c>
      <c r="H10" s="73">
        <f>3600/G10</f>
        <v>60</v>
      </c>
      <c r="I10" s="73">
        <v>1</v>
      </c>
      <c r="J10" s="74">
        <v>360</v>
      </c>
      <c r="K10" s="205">
        <v>4463</v>
      </c>
      <c r="L10" s="96" t="s">
        <v>210</v>
      </c>
      <c r="M10" s="73">
        <f>K10-J10</f>
        <v>4103</v>
      </c>
      <c r="N10" s="75">
        <f t="shared" si="0"/>
        <v>-68.38333333333334</v>
      </c>
      <c r="O10" s="75">
        <f t="shared" si="1"/>
        <v>12.397222222222222</v>
      </c>
      <c r="P10" s="466"/>
      <c r="Q10" s="200">
        <v>41485</v>
      </c>
      <c r="R10" s="35"/>
      <c r="S10" s="36"/>
      <c r="T10" s="40"/>
      <c r="U10" s="42"/>
      <c r="V10" s="1088"/>
      <c r="W10" s="1088">
        <v>1</v>
      </c>
      <c r="X10" s="1088">
        <v>1</v>
      </c>
      <c r="Y10" s="1088">
        <v>1</v>
      </c>
      <c r="Z10" s="1088">
        <v>1</v>
      </c>
      <c r="AA10" s="1090"/>
      <c r="AB10" s="1148"/>
      <c r="AC10" s="1144"/>
      <c r="AD10" s="1126"/>
      <c r="AE10" s="1148"/>
      <c r="AF10" s="1144"/>
      <c r="AG10" s="1126"/>
      <c r="AH10" s="1120"/>
      <c r="AI10" s="1118"/>
      <c r="AJ10" s="1126"/>
      <c r="AK10" s="1116"/>
      <c r="AL10" s="1113"/>
      <c r="AM10" s="1124"/>
      <c r="AN10" s="1116"/>
      <c r="AO10" s="1113"/>
      <c r="AP10" s="1129"/>
      <c r="AQ10" s="1132"/>
      <c r="AR10" s="1135"/>
      <c r="AS10" s="1138"/>
      <c r="AT10" s="1132"/>
      <c r="AU10" s="1135"/>
      <c r="AV10" s="1138"/>
      <c r="AW10" s="1132"/>
      <c r="AX10" s="1135"/>
      <c r="AY10" s="1138"/>
      <c r="AZ10" s="1132"/>
      <c r="BA10" s="1135"/>
      <c r="BB10" s="1138"/>
      <c r="BC10" s="1132"/>
      <c r="BD10" s="1135"/>
      <c r="BE10" s="1138"/>
      <c r="BF10" s="1132"/>
      <c r="BG10" s="1135"/>
      <c r="BH10" s="1138"/>
      <c r="BI10" s="1132"/>
      <c r="BJ10" s="1135"/>
      <c r="BK10" s="1138"/>
    </row>
    <row r="11" spans="1:134" ht="23.25" hidden="1" customHeight="1">
      <c r="A11" s="1398"/>
      <c r="B11" s="759"/>
      <c r="C11" s="842"/>
      <c r="D11" s="188"/>
      <c r="E11" s="189" t="s">
        <v>48</v>
      </c>
      <c r="F11" s="191" t="s">
        <v>6</v>
      </c>
      <c r="G11" s="97">
        <v>60</v>
      </c>
      <c r="H11" s="73">
        <f>3600/G11</f>
        <v>60</v>
      </c>
      <c r="I11" s="73">
        <v>1</v>
      </c>
      <c r="J11" s="74">
        <v>0</v>
      </c>
      <c r="K11" s="205">
        <v>3980</v>
      </c>
      <c r="L11" s="96" t="s">
        <v>210</v>
      </c>
      <c r="M11" s="73">
        <f t="shared" ref="M11:M119" si="2">K11-J11</f>
        <v>3980</v>
      </c>
      <c r="N11" s="75">
        <f t="shared" si="0"/>
        <v>-66.333333333333329</v>
      </c>
      <c r="O11" s="75" t="e">
        <f t="shared" si="1"/>
        <v>#DIV/0!</v>
      </c>
      <c r="P11" s="466"/>
      <c r="Q11" s="200">
        <v>41488</v>
      </c>
      <c r="R11" s="35"/>
      <c r="S11" s="36"/>
      <c r="T11" s="40"/>
      <c r="U11" s="39"/>
      <c r="V11" s="1088"/>
      <c r="W11" s="1088"/>
      <c r="X11" s="1088"/>
      <c r="Y11" s="1088"/>
      <c r="Z11" s="1088"/>
      <c r="AA11" s="1090"/>
      <c r="AB11" s="1148"/>
      <c r="AC11" s="1117">
        <v>19</v>
      </c>
      <c r="AD11" s="1229"/>
      <c r="AE11" s="1230"/>
      <c r="AF11" s="1330"/>
      <c r="AG11" s="1229"/>
      <c r="AH11" s="1230"/>
      <c r="AI11" s="1330"/>
      <c r="AJ11" s="1229"/>
      <c r="AK11" s="1335"/>
      <c r="AL11" s="1337"/>
      <c r="AM11" s="1339"/>
      <c r="AN11" s="1335"/>
      <c r="AO11" s="1337"/>
      <c r="AP11" s="1339"/>
      <c r="AQ11" s="1341"/>
      <c r="AR11" s="1343"/>
      <c r="AS11" s="1345"/>
      <c r="AT11" s="1130"/>
      <c r="AU11" s="1133"/>
      <c r="AV11" s="1136"/>
      <c r="AW11" s="1130"/>
      <c r="AX11" s="1133"/>
      <c r="AY11" s="1136"/>
      <c r="AZ11" s="1114"/>
      <c r="BA11" s="1133"/>
      <c r="BB11" s="1136"/>
      <c r="BC11" s="1130"/>
      <c r="BD11" s="1133"/>
      <c r="BE11" s="1136"/>
      <c r="BF11" s="1130"/>
      <c r="BG11" s="1133"/>
      <c r="BH11" s="1136"/>
      <c r="BI11" s="1130"/>
      <c r="BJ11" s="1133"/>
      <c r="BK11" s="1136"/>
    </row>
    <row r="12" spans="1:134" ht="24" hidden="1" customHeight="1" thickBot="1">
      <c r="A12" s="1399"/>
      <c r="B12" s="772"/>
      <c r="C12" s="772"/>
      <c r="D12" s="188"/>
      <c r="E12" s="189" t="s">
        <v>49</v>
      </c>
      <c r="F12" s="191" t="s">
        <v>7</v>
      </c>
      <c r="G12" s="97">
        <v>60</v>
      </c>
      <c r="H12" s="73">
        <f>3600/G12</f>
        <v>60</v>
      </c>
      <c r="I12" s="73">
        <v>1</v>
      </c>
      <c r="J12" s="74">
        <v>360</v>
      </c>
      <c r="K12" s="205">
        <v>3920</v>
      </c>
      <c r="L12" s="96" t="s">
        <v>210</v>
      </c>
      <c r="M12" s="73">
        <f t="shared" si="2"/>
        <v>3560</v>
      </c>
      <c r="N12" s="75">
        <f t="shared" si="0"/>
        <v>-59.333333333333336</v>
      </c>
      <c r="O12" s="75">
        <f t="shared" si="1"/>
        <v>10.888888888888889</v>
      </c>
      <c r="P12" s="466"/>
      <c r="Q12" s="200">
        <v>41488</v>
      </c>
      <c r="R12" s="43"/>
      <c r="S12" s="44"/>
      <c r="T12" s="45"/>
      <c r="U12" s="46"/>
      <c r="V12" s="1333"/>
      <c r="W12" s="1333"/>
      <c r="X12" s="1333"/>
      <c r="Y12" s="1333"/>
      <c r="Z12" s="1333"/>
      <c r="AA12" s="1334"/>
      <c r="AB12" s="1347"/>
      <c r="AC12" s="1209"/>
      <c r="AD12" s="1332"/>
      <c r="AE12" s="1329"/>
      <c r="AF12" s="1331"/>
      <c r="AG12" s="1332"/>
      <c r="AH12" s="1329"/>
      <c r="AI12" s="1331"/>
      <c r="AJ12" s="1332"/>
      <c r="AK12" s="1336"/>
      <c r="AL12" s="1338"/>
      <c r="AM12" s="1340"/>
      <c r="AN12" s="1336"/>
      <c r="AO12" s="1338"/>
      <c r="AP12" s="1340"/>
      <c r="AQ12" s="1342"/>
      <c r="AR12" s="1344"/>
      <c r="AS12" s="1346"/>
      <c r="AT12" s="1240"/>
      <c r="AU12" s="1233"/>
      <c r="AV12" s="1234"/>
      <c r="AW12" s="1240"/>
      <c r="AX12" s="1233"/>
      <c r="AY12" s="1234"/>
      <c r="AZ12" s="1241"/>
      <c r="BA12" s="1233"/>
      <c r="BB12" s="1234"/>
      <c r="BC12" s="1240"/>
      <c r="BD12" s="1233"/>
      <c r="BE12" s="1234"/>
      <c r="BF12" s="1240"/>
      <c r="BG12" s="1233"/>
      <c r="BH12" s="1234"/>
      <c r="BI12" s="1240"/>
      <c r="BJ12" s="1233"/>
      <c r="BK12" s="1234"/>
    </row>
    <row r="13" spans="1:134" ht="24" hidden="1" customHeight="1" thickBot="1">
      <c r="A13" s="192" t="s">
        <v>103</v>
      </c>
      <c r="B13" s="773"/>
      <c r="C13" s="773"/>
      <c r="D13" s="193"/>
      <c r="E13" s="194" t="s">
        <v>50</v>
      </c>
      <c r="F13" s="195" t="s">
        <v>112</v>
      </c>
      <c r="G13" s="77">
        <v>63</v>
      </c>
      <c r="H13" s="183">
        <f>3600/G13*2</f>
        <v>114.28571428571429</v>
      </c>
      <c r="I13" s="183">
        <v>1</v>
      </c>
      <c r="J13" s="76">
        <f>165+110+110</f>
        <v>385</v>
      </c>
      <c r="K13" s="202"/>
      <c r="L13" s="104" t="s">
        <v>210</v>
      </c>
      <c r="M13" s="183">
        <f t="shared" si="2"/>
        <v>-385</v>
      </c>
      <c r="N13" s="78">
        <f t="shared" si="0"/>
        <v>6.7374999999999998</v>
      </c>
      <c r="O13" s="78">
        <f t="shared" si="1"/>
        <v>0</v>
      </c>
      <c r="P13" s="467"/>
      <c r="Q13" s="197">
        <f t="shared" ref="Q13:Q29" ca="1" si="3">+$Q$5+O13</f>
        <v>41752</v>
      </c>
      <c r="R13" s="47"/>
      <c r="S13" s="48"/>
      <c r="T13" s="49"/>
      <c r="U13" s="50"/>
      <c r="V13" s="50"/>
      <c r="W13" s="50"/>
      <c r="X13" s="50"/>
      <c r="Y13" s="50"/>
      <c r="Z13" s="50"/>
      <c r="AA13" s="49"/>
      <c r="AB13" s="244"/>
      <c r="AC13" s="246"/>
      <c r="AD13" s="248"/>
      <c r="AE13" s="244"/>
      <c r="AF13" s="6">
        <v>14</v>
      </c>
      <c r="AG13" s="7"/>
      <c r="AH13" s="5"/>
      <c r="AI13" s="6"/>
      <c r="AJ13" s="248"/>
      <c r="AK13" s="244"/>
      <c r="AL13" s="246"/>
      <c r="AM13" s="248"/>
      <c r="AN13" s="244"/>
      <c r="AO13" s="246"/>
      <c r="AP13" s="248"/>
      <c r="AQ13" s="238"/>
      <c r="AR13" s="240"/>
      <c r="AS13" s="242"/>
      <c r="AT13" s="238"/>
      <c r="AU13" s="240"/>
      <c r="AV13" s="242"/>
      <c r="AW13" s="238"/>
      <c r="AX13" s="240"/>
      <c r="AY13" s="242"/>
      <c r="AZ13" s="238"/>
      <c r="BA13" s="240"/>
      <c r="BB13" s="242"/>
      <c r="BC13" s="238"/>
      <c r="BD13" s="240"/>
      <c r="BE13" s="242"/>
      <c r="BF13" s="238"/>
      <c r="BG13" s="240"/>
      <c r="BH13" s="242"/>
      <c r="BI13" s="238"/>
      <c r="BJ13" s="240"/>
      <c r="BK13" s="242"/>
    </row>
    <row r="14" spans="1:134" ht="34.5" customHeight="1" thickBot="1">
      <c r="A14" s="1235" t="s">
        <v>309</v>
      </c>
      <c r="B14" s="1108"/>
      <c r="C14" s="1238"/>
      <c r="D14" s="1238" t="s">
        <v>274</v>
      </c>
      <c r="E14" s="360" t="s">
        <v>84</v>
      </c>
      <c r="F14" s="404" t="s">
        <v>342</v>
      </c>
      <c r="G14" s="361">
        <v>52</v>
      </c>
      <c r="H14" s="361">
        <f t="shared" ref="H14:H34" si="4">3600/G14</f>
        <v>69.230769230769226</v>
      </c>
      <c r="I14" s="362">
        <v>1</v>
      </c>
      <c r="J14" s="363">
        <f>Q4</f>
        <v>108</v>
      </c>
      <c r="K14" s="436">
        <v>460</v>
      </c>
      <c r="L14" s="364">
        <v>935</v>
      </c>
      <c r="M14" s="362">
        <f t="shared" si="2"/>
        <v>352</v>
      </c>
      <c r="N14" s="365">
        <f t="shared" si="0"/>
        <v>-5.0844444444444443</v>
      </c>
      <c r="O14" s="365">
        <f t="shared" si="1"/>
        <v>4.2592592592592595</v>
      </c>
      <c r="P14" s="468">
        <f>O14*2</f>
        <v>8.518518518518519</v>
      </c>
      <c r="Q14" s="366">
        <f t="shared" ca="1" si="3"/>
        <v>41756.259259259263</v>
      </c>
      <c r="R14" s="35"/>
      <c r="S14" s="36"/>
      <c r="T14" s="40"/>
      <c r="U14" s="41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6"/>
      <c r="BG14" s="16"/>
      <c r="BH14" s="16"/>
      <c r="BI14" s="16"/>
      <c r="BJ14" s="16"/>
      <c r="BK14" s="16"/>
    </row>
    <row r="15" spans="1:134" ht="40.5" customHeight="1">
      <c r="A15" s="1236"/>
      <c r="B15" s="1110"/>
      <c r="C15" s="1239"/>
      <c r="D15" s="1239"/>
      <c r="E15" s="367" t="s">
        <v>85</v>
      </c>
      <c r="F15" s="405" t="s">
        <v>343</v>
      </c>
      <c r="G15" s="368">
        <v>52</v>
      </c>
      <c r="H15" s="368">
        <f t="shared" si="4"/>
        <v>69.230769230769226</v>
      </c>
      <c r="I15" s="369">
        <v>1</v>
      </c>
      <c r="J15" s="370">
        <f>Q4</f>
        <v>108</v>
      </c>
      <c r="K15" s="437">
        <v>400</v>
      </c>
      <c r="L15" s="371">
        <v>935</v>
      </c>
      <c r="M15" s="369">
        <f t="shared" si="2"/>
        <v>292</v>
      </c>
      <c r="N15" s="372">
        <f t="shared" si="0"/>
        <v>-4.2177777777777781</v>
      </c>
      <c r="O15" s="372">
        <f t="shared" si="1"/>
        <v>3.7037037037037037</v>
      </c>
      <c r="P15" s="468">
        <f>O15*2</f>
        <v>7.4074074074074074</v>
      </c>
      <c r="Q15" s="373">
        <f t="shared" ca="1" si="3"/>
        <v>41755.703703703701</v>
      </c>
      <c r="R15" s="35"/>
      <c r="S15" s="36"/>
      <c r="T15" s="40"/>
      <c r="U15" s="42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6"/>
      <c r="BG15" s="16"/>
      <c r="BH15" s="16"/>
      <c r="BI15" s="16"/>
      <c r="BJ15" s="16"/>
      <c r="BK15" s="16"/>
    </row>
    <row r="16" spans="1:134" ht="39.75" customHeight="1">
      <c r="A16" s="1236"/>
      <c r="B16" s="1108"/>
      <c r="C16" s="1108" t="s">
        <v>442</v>
      </c>
      <c r="D16" s="1108" t="s">
        <v>265</v>
      </c>
      <c r="E16" s="367" t="s">
        <v>70</v>
      </c>
      <c r="F16" s="406" t="s">
        <v>344</v>
      </c>
      <c r="G16" s="369">
        <v>49.6</v>
      </c>
      <c r="H16" s="369">
        <f t="shared" si="4"/>
        <v>72.58064516129032</v>
      </c>
      <c r="I16" s="369">
        <v>1</v>
      </c>
      <c r="J16" s="370">
        <f>0.8*Q2</f>
        <v>256</v>
      </c>
      <c r="K16" s="437">
        <f>47+484+232</f>
        <v>763</v>
      </c>
      <c r="L16" s="371">
        <v>1080</v>
      </c>
      <c r="M16" s="369">
        <f>K16-J16</f>
        <v>507</v>
      </c>
      <c r="N16" s="372">
        <f t="shared" si="0"/>
        <v>-6.9853333333333332</v>
      </c>
      <c r="O16" s="372">
        <f t="shared" si="1"/>
        <v>2.98046875</v>
      </c>
      <c r="P16" s="469">
        <f>O16*1.5</f>
        <v>4.470703125</v>
      </c>
      <c r="Q16" s="373">
        <f t="shared" ca="1" si="3"/>
        <v>41754.98046875</v>
      </c>
      <c r="R16" s="35"/>
      <c r="S16" s="36"/>
      <c r="T16" s="40"/>
      <c r="U16" s="41"/>
      <c r="V16" s="1085"/>
      <c r="W16" s="1085"/>
      <c r="X16" s="1085"/>
      <c r="Y16" s="60">
        <v>1</v>
      </c>
      <c r="Z16" s="60">
        <v>1</v>
      </c>
      <c r="AA16" s="1083">
        <v>1</v>
      </c>
      <c r="AB16" s="1162"/>
      <c r="AC16" s="1117"/>
      <c r="AD16" s="1125"/>
      <c r="AE16" s="1119"/>
      <c r="AF16" s="1117"/>
      <c r="AG16" s="1125"/>
      <c r="AH16" s="1119"/>
      <c r="AI16" s="1117"/>
      <c r="AJ16" s="1125"/>
      <c r="AK16" s="1114"/>
      <c r="AL16" s="1111"/>
      <c r="AM16" s="1127"/>
      <c r="AN16" s="1114"/>
      <c r="AO16" s="1111"/>
      <c r="AP16" s="1127"/>
      <c r="AQ16" s="1130"/>
      <c r="AR16" s="1133"/>
      <c r="AS16" s="1136"/>
      <c r="AT16" s="1130"/>
      <c r="AU16" s="1133"/>
      <c r="AV16" s="1136"/>
      <c r="AW16" s="1130"/>
      <c r="AX16" s="1133"/>
      <c r="AY16" s="1136"/>
      <c r="AZ16" s="1130"/>
      <c r="BA16" s="1133"/>
      <c r="BB16" s="1136"/>
      <c r="BC16" s="1130"/>
      <c r="BD16" s="1133"/>
      <c r="BE16" s="1136"/>
      <c r="BF16" s="1130"/>
      <c r="BG16" s="1133"/>
      <c r="BH16" s="1136"/>
      <c r="BI16" s="1130"/>
      <c r="BJ16" s="1133"/>
      <c r="BK16" s="1136"/>
      <c r="BR16" s="270">
        <v>285</v>
      </c>
    </row>
    <row r="17" spans="1:70" ht="43.5" customHeight="1">
      <c r="A17" s="1236"/>
      <c r="B17" s="1110"/>
      <c r="C17" s="1110"/>
      <c r="D17" s="1110"/>
      <c r="E17" s="367" t="s">
        <v>71</v>
      </c>
      <c r="F17" s="406" t="s">
        <v>345</v>
      </c>
      <c r="G17" s="369">
        <v>49.6</v>
      </c>
      <c r="H17" s="369">
        <f t="shared" si="4"/>
        <v>72.58064516129032</v>
      </c>
      <c r="I17" s="369">
        <v>1</v>
      </c>
      <c r="J17" s="370">
        <f>J16</f>
        <v>256</v>
      </c>
      <c r="K17" s="437">
        <f>531+215</f>
        <v>746</v>
      </c>
      <c r="L17" s="371">
        <v>1080</v>
      </c>
      <c r="M17" s="369">
        <f>K17-J17</f>
        <v>490</v>
      </c>
      <c r="N17" s="372">
        <f t="shared" si="0"/>
        <v>-6.7511111111111113</v>
      </c>
      <c r="O17" s="372">
        <f t="shared" si="1"/>
        <v>2.9140625</v>
      </c>
      <c r="P17" s="469">
        <f>O17*1.5</f>
        <v>4.37109375</v>
      </c>
      <c r="Q17" s="373">
        <f t="shared" ca="1" si="3"/>
        <v>41754.9140625</v>
      </c>
      <c r="R17" s="35"/>
      <c r="S17" s="36"/>
      <c r="T17" s="40"/>
      <c r="U17" s="42"/>
      <c r="V17" s="1086"/>
      <c r="W17" s="1086"/>
      <c r="X17" s="1086"/>
      <c r="Y17" s="65">
        <v>1</v>
      </c>
      <c r="Z17" s="65">
        <v>1</v>
      </c>
      <c r="AA17" s="1084">
        <v>1</v>
      </c>
      <c r="AB17" s="1164"/>
      <c r="AC17" s="1118"/>
      <c r="AD17" s="1126"/>
      <c r="AE17" s="1120"/>
      <c r="AF17" s="1118"/>
      <c r="AG17" s="1126"/>
      <c r="AH17" s="1120"/>
      <c r="AI17" s="1118"/>
      <c r="AJ17" s="1126"/>
      <c r="AK17" s="1116"/>
      <c r="AL17" s="1113"/>
      <c r="AM17" s="1129"/>
      <c r="AN17" s="1116"/>
      <c r="AO17" s="1113"/>
      <c r="AP17" s="1129"/>
      <c r="AQ17" s="1132"/>
      <c r="AR17" s="1135"/>
      <c r="AS17" s="1138"/>
      <c r="AT17" s="1132"/>
      <c r="AU17" s="1135"/>
      <c r="AV17" s="1138"/>
      <c r="AW17" s="1132"/>
      <c r="AX17" s="1135"/>
      <c r="AY17" s="1138"/>
      <c r="AZ17" s="1132"/>
      <c r="BA17" s="1135"/>
      <c r="BB17" s="1138"/>
      <c r="BC17" s="1132"/>
      <c r="BD17" s="1135"/>
      <c r="BE17" s="1138"/>
      <c r="BF17" s="1132"/>
      <c r="BG17" s="1135"/>
      <c r="BH17" s="1138"/>
      <c r="BI17" s="1132"/>
      <c r="BJ17" s="1135"/>
      <c r="BK17" s="1138"/>
      <c r="BR17" s="270">
        <v>285</v>
      </c>
    </row>
    <row r="18" spans="1:70" ht="37.5" customHeight="1">
      <c r="A18" s="1236"/>
      <c r="B18" s="750"/>
      <c r="C18" s="843" t="s">
        <v>435</v>
      </c>
      <c r="D18" s="375" t="s">
        <v>269</v>
      </c>
      <c r="E18" s="367" t="s">
        <v>77</v>
      </c>
      <c r="F18" s="405" t="s">
        <v>346</v>
      </c>
      <c r="G18" s="369">
        <v>41.64</v>
      </c>
      <c r="H18" s="369">
        <f t="shared" si="4"/>
        <v>86.455331412103746</v>
      </c>
      <c r="I18" s="369">
        <v>1</v>
      </c>
      <c r="J18" s="370">
        <v>144</v>
      </c>
      <c r="K18" s="437">
        <v>288</v>
      </c>
      <c r="L18" s="371" t="s">
        <v>210</v>
      </c>
      <c r="M18" s="369">
        <f t="shared" si="2"/>
        <v>144</v>
      </c>
      <c r="N18" s="372">
        <f t="shared" si="0"/>
        <v>-1.6656</v>
      </c>
      <c r="O18" s="372">
        <f t="shared" si="1"/>
        <v>2</v>
      </c>
      <c r="P18" s="469">
        <f>O18</f>
        <v>2</v>
      </c>
      <c r="Q18" s="373">
        <f t="shared" ca="1" si="3"/>
        <v>41754</v>
      </c>
      <c r="R18" s="35"/>
      <c r="S18" s="36"/>
      <c r="T18" s="37">
        <v>1</v>
      </c>
      <c r="U18" s="37"/>
      <c r="V18" s="64">
        <v>1</v>
      </c>
      <c r="W18" s="39"/>
      <c r="X18" s="39"/>
      <c r="Y18" s="39"/>
      <c r="Z18" s="39"/>
      <c r="AA18" s="40"/>
      <c r="AB18" s="245"/>
      <c r="AC18" s="247"/>
      <c r="AD18" s="249"/>
      <c r="AE18" s="245"/>
      <c r="AF18" s="247"/>
      <c r="AG18" s="249"/>
      <c r="AH18" s="245"/>
      <c r="AI18" s="247"/>
      <c r="AJ18" s="249"/>
      <c r="AK18" s="245"/>
      <c r="AL18" s="247"/>
      <c r="AM18" s="249"/>
      <c r="AN18" s="245"/>
      <c r="AO18" s="247"/>
      <c r="AP18" s="249"/>
      <c r="AQ18" s="239"/>
      <c r="AR18" s="241"/>
      <c r="AS18" s="243"/>
      <c r="AT18" s="239"/>
      <c r="AU18" s="241"/>
      <c r="AV18" s="243"/>
      <c r="AW18" s="239"/>
      <c r="AX18" s="241"/>
      <c r="AY18" s="243"/>
      <c r="AZ18" s="239"/>
      <c r="BA18" s="241"/>
      <c r="BB18" s="243"/>
      <c r="BC18" s="239"/>
      <c r="BD18" s="241"/>
      <c r="BE18" s="243"/>
      <c r="BF18" s="239"/>
      <c r="BG18" s="241"/>
      <c r="BH18" s="243"/>
      <c r="BI18" s="239"/>
      <c r="BJ18" s="241"/>
      <c r="BK18" s="243"/>
    </row>
    <row r="19" spans="1:70" ht="37.5" customHeight="1">
      <c r="A19" s="1236"/>
      <c r="B19" s="1232"/>
      <c r="C19" s="1232" t="s">
        <v>442</v>
      </c>
      <c r="D19" s="1232" t="s">
        <v>268</v>
      </c>
      <c r="E19" s="367" t="s">
        <v>75</v>
      </c>
      <c r="F19" s="406" t="s">
        <v>347</v>
      </c>
      <c r="G19" s="369">
        <v>48.12</v>
      </c>
      <c r="H19" s="369">
        <f t="shared" si="4"/>
        <v>74.812967581047388</v>
      </c>
      <c r="I19" s="369">
        <v>1</v>
      </c>
      <c r="J19" s="370">
        <f>0.8*Q4</f>
        <v>86.4</v>
      </c>
      <c r="K19" s="437">
        <f>331+131+144</f>
        <v>606</v>
      </c>
      <c r="L19" s="371">
        <v>576</v>
      </c>
      <c r="M19" s="369">
        <f>K19-J19</f>
        <v>519.6</v>
      </c>
      <c r="N19" s="372">
        <f t="shared" si="0"/>
        <v>-6.9453199999999997</v>
      </c>
      <c r="O19" s="372">
        <f t="shared" si="1"/>
        <v>7.0138888888888884</v>
      </c>
      <c r="P19" s="469">
        <f>O19*1.5</f>
        <v>10.520833333333332</v>
      </c>
      <c r="Q19" s="373">
        <f t="shared" ca="1" si="3"/>
        <v>41759.013888888891</v>
      </c>
      <c r="R19" s="35"/>
      <c r="S19" s="36"/>
      <c r="T19" s="40"/>
      <c r="U19" s="41"/>
      <c r="V19" s="1085"/>
      <c r="W19" s="1085"/>
      <c r="X19" s="1085"/>
      <c r="Y19" s="1085"/>
      <c r="Z19" s="1085"/>
      <c r="AA19" s="1083"/>
      <c r="AB19" s="1119"/>
      <c r="AC19" s="1117"/>
      <c r="AD19" s="1125"/>
      <c r="AE19" s="1119"/>
      <c r="AF19" s="1117"/>
      <c r="AG19" s="1125"/>
      <c r="AH19" s="1119"/>
      <c r="AI19" s="1117"/>
      <c r="AJ19" s="1125"/>
      <c r="AK19" s="1114"/>
      <c r="AL19" s="1111">
        <v>20</v>
      </c>
      <c r="AM19" s="1122"/>
      <c r="AN19" s="1114"/>
      <c r="AO19" s="1111"/>
      <c r="AP19" s="1127"/>
      <c r="AQ19" s="1130"/>
      <c r="AR19" s="1133"/>
      <c r="AS19" s="1136"/>
      <c r="AT19" s="1130"/>
      <c r="AU19" s="1133"/>
      <c r="AV19" s="1136"/>
      <c r="AW19" s="1130"/>
      <c r="AX19" s="1133"/>
      <c r="AY19" s="1136"/>
      <c r="AZ19" s="1130"/>
      <c r="BA19" s="1133"/>
      <c r="BB19" s="1136"/>
      <c r="BC19" s="1130"/>
      <c r="BD19" s="1133"/>
      <c r="BE19" s="1136"/>
      <c r="BF19" s="1130"/>
      <c r="BG19" s="1133"/>
      <c r="BH19" s="1136"/>
      <c r="BI19" s="1130"/>
      <c r="BJ19" s="1133"/>
      <c r="BK19" s="1136"/>
      <c r="BR19" s="271">
        <v>179</v>
      </c>
    </row>
    <row r="20" spans="1:70" ht="36.75" customHeight="1" thickBot="1">
      <c r="A20" s="1236"/>
      <c r="B20" s="1232"/>
      <c r="C20" s="1232"/>
      <c r="D20" s="1232"/>
      <c r="E20" s="367" t="s">
        <v>76</v>
      </c>
      <c r="F20" s="406" t="s">
        <v>348</v>
      </c>
      <c r="G20" s="369">
        <v>48</v>
      </c>
      <c r="H20" s="369">
        <f t="shared" si="4"/>
        <v>75</v>
      </c>
      <c r="I20" s="369">
        <v>1</v>
      </c>
      <c r="J20" s="370">
        <f>J19</f>
        <v>86.4</v>
      </c>
      <c r="K20" s="437">
        <f>389+131+144</f>
        <v>664</v>
      </c>
      <c r="L20" s="371">
        <v>576</v>
      </c>
      <c r="M20" s="369">
        <f>K20-J20</f>
        <v>577.6</v>
      </c>
      <c r="N20" s="372">
        <f t="shared" si="0"/>
        <v>-7.7013333333333343</v>
      </c>
      <c r="O20" s="372">
        <f t="shared" si="1"/>
        <v>7.6851851851851851</v>
      </c>
      <c r="P20" s="469">
        <f>O20*1.5</f>
        <v>11.527777777777779</v>
      </c>
      <c r="Q20" s="373">
        <f t="shared" ca="1" si="3"/>
        <v>41759.685185185182</v>
      </c>
      <c r="R20" s="35"/>
      <c r="S20" s="36"/>
      <c r="T20" s="40"/>
      <c r="U20" s="42"/>
      <c r="V20" s="1086"/>
      <c r="W20" s="1086"/>
      <c r="X20" s="1086"/>
      <c r="Y20" s="1086"/>
      <c r="Z20" s="1086"/>
      <c r="AA20" s="1084"/>
      <c r="AB20" s="1120"/>
      <c r="AC20" s="1118"/>
      <c r="AD20" s="1126"/>
      <c r="AE20" s="1120"/>
      <c r="AF20" s="1118"/>
      <c r="AG20" s="1126"/>
      <c r="AH20" s="1120"/>
      <c r="AI20" s="1118"/>
      <c r="AJ20" s="1126"/>
      <c r="AK20" s="1116"/>
      <c r="AL20" s="1113"/>
      <c r="AM20" s="1124"/>
      <c r="AN20" s="1116"/>
      <c r="AO20" s="1113"/>
      <c r="AP20" s="1129"/>
      <c r="AQ20" s="1132"/>
      <c r="AR20" s="1135"/>
      <c r="AS20" s="1138"/>
      <c r="AT20" s="1132"/>
      <c r="AU20" s="1135"/>
      <c r="AV20" s="1138"/>
      <c r="AW20" s="1132"/>
      <c r="AX20" s="1135"/>
      <c r="AY20" s="1138"/>
      <c r="AZ20" s="1132"/>
      <c r="BA20" s="1135"/>
      <c r="BB20" s="1138"/>
      <c r="BC20" s="1132"/>
      <c r="BD20" s="1135"/>
      <c r="BE20" s="1138"/>
      <c r="BF20" s="1132"/>
      <c r="BG20" s="1135"/>
      <c r="BH20" s="1138"/>
      <c r="BI20" s="1132"/>
      <c r="BJ20" s="1135"/>
      <c r="BK20" s="1138"/>
    </row>
    <row r="21" spans="1:70" ht="50.25" customHeight="1" thickBot="1">
      <c r="A21" s="1237"/>
      <c r="B21" s="751"/>
      <c r="C21" s="845" t="s">
        <v>440</v>
      </c>
      <c r="D21" s="376" t="s">
        <v>263</v>
      </c>
      <c r="E21" s="377" t="s">
        <v>86</v>
      </c>
      <c r="F21" s="407" t="s">
        <v>111</v>
      </c>
      <c r="G21" s="369">
        <v>54.7</v>
      </c>
      <c r="H21" s="378">
        <f t="shared" si="4"/>
        <v>65.813528336380259</v>
      </c>
      <c r="I21" s="378">
        <v>1</v>
      </c>
      <c r="J21" s="379">
        <f>96+80</f>
        <v>176</v>
      </c>
      <c r="K21" s="438">
        <v>1181</v>
      </c>
      <c r="L21" s="380" t="s">
        <v>210</v>
      </c>
      <c r="M21" s="378">
        <f>K21-J21</f>
        <v>1005</v>
      </c>
      <c r="N21" s="381">
        <f t="shared" si="0"/>
        <v>-15.270416666666666</v>
      </c>
      <c r="O21" s="381">
        <f t="shared" si="1"/>
        <v>6.7102272727272725</v>
      </c>
      <c r="P21" s="470">
        <f>O21</f>
        <v>6.7102272727272725</v>
      </c>
      <c r="Q21" s="382">
        <f t="shared" ca="1" si="3"/>
        <v>41758.710227272728</v>
      </c>
      <c r="R21" s="47"/>
      <c r="S21" s="48"/>
      <c r="T21" s="49"/>
      <c r="U21" s="49"/>
      <c r="V21" s="50"/>
      <c r="W21" s="50"/>
      <c r="X21" s="50"/>
      <c r="Y21" s="50"/>
      <c r="Z21" s="50"/>
      <c r="AA21" s="49"/>
      <c r="AB21" s="244"/>
      <c r="AC21" s="246"/>
      <c r="AD21" s="248"/>
      <c r="AE21" s="244"/>
      <c r="AF21" s="246"/>
      <c r="AG21" s="248"/>
      <c r="AH21" s="244"/>
      <c r="AI21" s="246"/>
      <c r="AJ21" s="248"/>
      <c r="AK21" s="13"/>
      <c r="AL21" s="11"/>
      <c r="AM21" s="12"/>
      <c r="AN21" s="13"/>
      <c r="AO21" s="11"/>
      <c r="AP21" s="12"/>
      <c r="AQ21" s="30"/>
      <c r="AR21" s="31"/>
      <c r="AS21" s="32"/>
      <c r="AT21" s="30"/>
      <c r="AU21" s="31"/>
      <c r="AV21" s="32"/>
      <c r="AW21" s="30"/>
      <c r="AX21" s="31"/>
      <c r="AY21" s="32"/>
      <c r="AZ21" s="30"/>
      <c r="BA21" s="31"/>
      <c r="BB21" s="32"/>
      <c r="BC21" s="30"/>
      <c r="BD21" s="31"/>
      <c r="BE21" s="32"/>
      <c r="BF21" s="30"/>
      <c r="BG21" s="31"/>
      <c r="BH21" s="32"/>
      <c r="BI21" s="30"/>
      <c r="BJ21" s="31"/>
      <c r="BK21" s="32"/>
    </row>
    <row r="22" spans="1:70" ht="30.75" customHeight="1">
      <c r="A22" s="1225" t="s">
        <v>310</v>
      </c>
      <c r="B22" s="1228"/>
      <c r="C22" s="1228" t="s">
        <v>436</v>
      </c>
      <c r="D22" s="1228" t="s">
        <v>254</v>
      </c>
      <c r="E22" s="297" t="s">
        <v>51</v>
      </c>
      <c r="F22" s="408" t="s">
        <v>349</v>
      </c>
      <c r="G22" s="614">
        <v>47.3</v>
      </c>
      <c r="H22" s="275">
        <f t="shared" si="4"/>
        <v>76.109936575052856</v>
      </c>
      <c r="I22" s="275">
        <v>1</v>
      </c>
      <c r="J22" s="276">
        <f>Q2*0.8</f>
        <v>256</v>
      </c>
      <c r="K22" s="436">
        <v>1778</v>
      </c>
      <c r="L22" s="277">
        <v>750</v>
      </c>
      <c r="M22" s="275">
        <f t="shared" si="2"/>
        <v>1522</v>
      </c>
      <c r="N22" s="278">
        <f t="shared" si="0"/>
        <v>-19.997388888888885</v>
      </c>
      <c r="O22" s="278">
        <f t="shared" si="1"/>
        <v>6.9453125</v>
      </c>
      <c r="P22" s="471">
        <f>O22*2</f>
        <v>13.890625</v>
      </c>
      <c r="Q22" s="279">
        <f t="shared" ca="1" si="3"/>
        <v>41758.9453125</v>
      </c>
      <c r="R22" s="35"/>
      <c r="S22" s="36"/>
      <c r="T22" s="40"/>
      <c r="U22" s="39"/>
      <c r="V22" s="1088"/>
      <c r="W22" s="1088"/>
      <c r="X22" s="1088"/>
      <c r="Y22" s="1088"/>
      <c r="Z22" s="1088"/>
      <c r="AA22" s="1090"/>
      <c r="AB22" s="1148"/>
      <c r="AC22" s="1144">
        <v>18</v>
      </c>
      <c r="AD22" s="1229"/>
      <c r="AE22" s="1230"/>
      <c r="AF22" s="1144"/>
      <c r="AG22" s="1146"/>
      <c r="AH22" s="1148"/>
      <c r="AI22" s="1144"/>
      <c r="AJ22" s="1146"/>
      <c r="AK22" s="1148"/>
      <c r="AL22" s="1144"/>
      <c r="AM22" s="1231">
        <v>22</v>
      </c>
      <c r="AN22" s="1148"/>
      <c r="AO22" s="1144"/>
      <c r="AP22" s="1146"/>
      <c r="AQ22" s="1156"/>
      <c r="AR22" s="1158"/>
      <c r="AS22" s="1154"/>
      <c r="AT22" s="1188"/>
      <c r="AU22" s="1189"/>
      <c r="AV22" s="1185"/>
      <c r="AW22" s="1188"/>
      <c r="AX22" s="1189"/>
      <c r="AY22" s="1185"/>
      <c r="AZ22" s="1188"/>
      <c r="BA22" s="1189"/>
      <c r="BB22" s="1185"/>
      <c r="BC22" s="1188"/>
      <c r="BD22" s="1189"/>
      <c r="BE22" s="1185"/>
      <c r="BF22" s="1188"/>
      <c r="BG22" s="1189"/>
      <c r="BH22" s="1185"/>
      <c r="BI22" s="1188"/>
      <c r="BJ22" s="1189"/>
      <c r="BK22" s="1185"/>
      <c r="BR22" s="272">
        <v>1372</v>
      </c>
    </row>
    <row r="23" spans="1:70" ht="34.5" customHeight="1">
      <c r="A23" s="1226"/>
      <c r="B23" s="1203"/>
      <c r="C23" s="1203"/>
      <c r="D23" s="1203"/>
      <c r="E23" s="298" t="s">
        <v>52</v>
      </c>
      <c r="F23" s="409" t="s">
        <v>350</v>
      </c>
      <c r="G23" s="614">
        <v>47.3</v>
      </c>
      <c r="H23" s="282">
        <f t="shared" si="4"/>
        <v>76.109936575052856</v>
      </c>
      <c r="I23" s="282">
        <v>1</v>
      </c>
      <c r="J23" s="283">
        <f>Q2*0.8</f>
        <v>256</v>
      </c>
      <c r="K23" s="437">
        <v>693</v>
      </c>
      <c r="L23" s="284">
        <v>750</v>
      </c>
      <c r="M23" s="282">
        <f t="shared" si="2"/>
        <v>437</v>
      </c>
      <c r="N23" s="285">
        <f t="shared" si="0"/>
        <v>-5.7416944444444438</v>
      </c>
      <c r="O23" s="285">
        <f t="shared" si="1"/>
        <v>2.70703125</v>
      </c>
      <c r="P23" s="472">
        <f>O23*2</f>
        <v>5.4140625</v>
      </c>
      <c r="Q23" s="286">
        <f t="shared" ca="1" si="3"/>
        <v>41754.70703125</v>
      </c>
      <c r="R23" s="35"/>
      <c r="S23" s="36"/>
      <c r="T23" s="40"/>
      <c r="U23" s="39"/>
      <c r="V23" s="1088"/>
      <c r="W23" s="1088"/>
      <c r="X23" s="1088"/>
      <c r="Y23" s="1088"/>
      <c r="Z23" s="1088"/>
      <c r="AA23" s="1090"/>
      <c r="AB23" s="1148"/>
      <c r="AC23" s="1144"/>
      <c r="AD23" s="1229"/>
      <c r="AE23" s="1230"/>
      <c r="AF23" s="1144"/>
      <c r="AG23" s="1146"/>
      <c r="AH23" s="1148"/>
      <c r="AI23" s="1144"/>
      <c r="AJ23" s="1146"/>
      <c r="AK23" s="1148"/>
      <c r="AL23" s="1144"/>
      <c r="AM23" s="1231"/>
      <c r="AN23" s="1148"/>
      <c r="AO23" s="1144"/>
      <c r="AP23" s="1146"/>
      <c r="AQ23" s="1156"/>
      <c r="AR23" s="1158"/>
      <c r="AS23" s="1154"/>
      <c r="AT23" s="1140"/>
      <c r="AU23" s="1142"/>
      <c r="AV23" s="1150"/>
      <c r="AW23" s="1140"/>
      <c r="AX23" s="1142"/>
      <c r="AY23" s="1150"/>
      <c r="AZ23" s="1140"/>
      <c r="BA23" s="1142"/>
      <c r="BB23" s="1150"/>
      <c r="BC23" s="1140"/>
      <c r="BD23" s="1142"/>
      <c r="BE23" s="1150"/>
      <c r="BF23" s="1140"/>
      <c r="BG23" s="1142"/>
      <c r="BH23" s="1150"/>
      <c r="BI23" s="1140"/>
      <c r="BJ23" s="1142"/>
      <c r="BK23" s="1150"/>
      <c r="BR23" s="270">
        <v>981</v>
      </c>
    </row>
    <row r="24" spans="1:70" ht="34.5" customHeight="1">
      <c r="A24" s="1226"/>
      <c r="B24" s="1186"/>
      <c r="C24" s="1186" t="s">
        <v>443</v>
      </c>
      <c r="D24" s="1186" t="s">
        <v>255</v>
      </c>
      <c r="E24" s="280" t="s">
        <v>53</v>
      </c>
      <c r="F24" s="409" t="s">
        <v>10</v>
      </c>
      <c r="G24" s="614">
        <v>39.200000000000003</v>
      </c>
      <c r="H24" s="282">
        <f t="shared" si="4"/>
        <v>91.836734693877546</v>
      </c>
      <c r="I24" s="282">
        <v>1</v>
      </c>
      <c r="J24" s="283">
        <f>Q2</f>
        <v>320</v>
      </c>
      <c r="K24" s="437">
        <f>360+511+330</f>
        <v>1201</v>
      </c>
      <c r="L24" s="284">
        <v>1504</v>
      </c>
      <c r="M24" s="282">
        <f t="shared" si="2"/>
        <v>881</v>
      </c>
      <c r="N24" s="285">
        <f t="shared" si="0"/>
        <v>-9.5931111111111118</v>
      </c>
      <c r="O24" s="285">
        <f t="shared" si="1"/>
        <v>3.7531249999999998</v>
      </c>
      <c r="P24" s="472">
        <f>O24*1.5</f>
        <v>5.6296874999999993</v>
      </c>
      <c r="Q24" s="286">
        <f t="shared" ca="1" si="3"/>
        <v>41755.753125000003</v>
      </c>
      <c r="R24" s="35"/>
      <c r="S24" s="36"/>
      <c r="T24" s="40"/>
      <c r="U24" s="39"/>
      <c r="V24" s="39"/>
      <c r="W24" s="39"/>
      <c r="X24" s="39"/>
      <c r="Y24" s="39"/>
      <c r="Z24" s="39"/>
      <c r="AA24" s="40"/>
      <c r="AB24" s="1119"/>
      <c r="AC24" s="1117"/>
      <c r="AD24" s="1125"/>
      <c r="AE24" s="1119"/>
      <c r="AF24" s="1117"/>
      <c r="AG24" s="1125"/>
      <c r="AH24" s="1119"/>
      <c r="AI24" s="1117"/>
      <c r="AJ24" s="1125"/>
      <c r="AK24" s="1119"/>
      <c r="AL24" s="1117"/>
      <c r="AM24" s="1125"/>
      <c r="AN24" s="1119"/>
      <c r="AO24" s="1117"/>
      <c r="AP24" s="1125"/>
      <c r="AQ24" s="1188"/>
      <c r="AR24" s="1117"/>
      <c r="AS24" s="1185"/>
      <c r="AT24" s="1188"/>
      <c r="AU24" s="1189"/>
      <c r="AV24" s="1185"/>
      <c r="AW24" s="1188"/>
      <c r="AX24" s="1189"/>
      <c r="AY24" s="1185"/>
      <c r="AZ24" s="1188"/>
      <c r="BA24" s="1189"/>
      <c r="BB24" s="1185"/>
      <c r="BC24" s="1188"/>
      <c r="BD24" s="1189"/>
      <c r="BE24" s="1185"/>
      <c r="BF24" s="1188"/>
      <c r="BG24" s="1189"/>
      <c r="BH24" s="1185"/>
      <c r="BI24" s="1188"/>
      <c r="BJ24" s="1189"/>
      <c r="BK24" s="1185"/>
      <c r="BR24" s="270">
        <v>1075</v>
      </c>
    </row>
    <row r="25" spans="1:70" ht="39.75" customHeight="1">
      <c r="A25" s="1226"/>
      <c r="B25" s="1203"/>
      <c r="C25" s="1203"/>
      <c r="D25" s="1203"/>
      <c r="E25" s="280" t="s">
        <v>54</v>
      </c>
      <c r="F25" s="409" t="s">
        <v>11</v>
      </c>
      <c r="G25" s="614">
        <v>39.200000000000003</v>
      </c>
      <c r="H25" s="282">
        <f t="shared" si="4"/>
        <v>91.836734693877546</v>
      </c>
      <c r="I25" s="282">
        <v>1</v>
      </c>
      <c r="J25" s="283">
        <f>Q2</f>
        <v>320</v>
      </c>
      <c r="K25" s="437">
        <f>553+511+143</f>
        <v>1207</v>
      </c>
      <c r="L25" s="284">
        <v>1504</v>
      </c>
      <c r="M25" s="282">
        <f t="shared" si="2"/>
        <v>887</v>
      </c>
      <c r="N25" s="285">
        <f>((M25*G24/3600)*-1)</f>
        <v>-9.6584444444444451</v>
      </c>
      <c r="O25" s="285">
        <f>K25/J24</f>
        <v>3.7718750000000001</v>
      </c>
      <c r="P25" s="472">
        <f>O25*1.5</f>
        <v>5.6578125000000004</v>
      </c>
      <c r="Q25" s="286">
        <f t="shared" ca="1" si="3"/>
        <v>41755.771874999999</v>
      </c>
      <c r="R25" s="35"/>
      <c r="S25" s="36"/>
      <c r="T25" s="40"/>
      <c r="U25" s="39"/>
      <c r="V25" s="39"/>
      <c r="W25" s="39"/>
      <c r="X25" s="39"/>
      <c r="Y25" s="39"/>
      <c r="Z25" s="39"/>
      <c r="AA25" s="40"/>
      <c r="AB25" s="1121"/>
      <c r="AC25" s="1152"/>
      <c r="AD25" s="1151"/>
      <c r="AE25" s="1121"/>
      <c r="AF25" s="1152"/>
      <c r="AG25" s="1151"/>
      <c r="AH25" s="1121"/>
      <c r="AI25" s="1152"/>
      <c r="AJ25" s="1151"/>
      <c r="AK25" s="1121"/>
      <c r="AL25" s="1152"/>
      <c r="AM25" s="1151"/>
      <c r="AN25" s="1121"/>
      <c r="AO25" s="1152"/>
      <c r="AP25" s="1151"/>
      <c r="AQ25" s="1199"/>
      <c r="AR25" s="1152"/>
      <c r="AS25" s="1197"/>
      <c r="AT25" s="1199"/>
      <c r="AU25" s="1201"/>
      <c r="AV25" s="1197"/>
      <c r="AW25" s="1199"/>
      <c r="AX25" s="1201"/>
      <c r="AY25" s="1197"/>
      <c r="AZ25" s="1199"/>
      <c r="BA25" s="1201"/>
      <c r="BB25" s="1197"/>
      <c r="BC25" s="1199"/>
      <c r="BD25" s="1201"/>
      <c r="BE25" s="1197"/>
      <c r="BF25" s="1199"/>
      <c r="BG25" s="1201"/>
      <c r="BH25" s="1197"/>
      <c r="BI25" s="1199"/>
      <c r="BJ25" s="1201"/>
      <c r="BK25" s="1197"/>
      <c r="BR25" s="271">
        <v>859</v>
      </c>
    </row>
    <row r="26" spans="1:70" ht="35.25" customHeight="1">
      <c r="A26" s="1226"/>
      <c r="B26" s="1203"/>
      <c r="C26" s="1203"/>
      <c r="D26" s="1203"/>
      <c r="E26" s="280" t="s">
        <v>55</v>
      </c>
      <c r="F26" s="409" t="s">
        <v>380</v>
      </c>
      <c r="G26" s="614">
        <v>39.200000000000003</v>
      </c>
      <c r="H26" s="282">
        <f t="shared" si="4"/>
        <v>91.836734693877546</v>
      </c>
      <c r="I26" s="282">
        <v>1</v>
      </c>
      <c r="J26" s="283">
        <f>Q2</f>
        <v>320</v>
      </c>
      <c r="K26" s="437">
        <f>851+351+143</f>
        <v>1345</v>
      </c>
      <c r="L26" s="284">
        <v>1504</v>
      </c>
      <c r="M26" s="282">
        <f t="shared" si="2"/>
        <v>1025</v>
      </c>
      <c r="N26" s="285">
        <f>((M26*G24/3600)*-1)</f>
        <v>-11.161111111111111</v>
      </c>
      <c r="O26" s="285">
        <f>K26/J24</f>
        <v>4.203125</v>
      </c>
      <c r="P26" s="472">
        <f>O26*1.5</f>
        <v>6.3046875</v>
      </c>
      <c r="Q26" s="286">
        <f t="shared" ca="1" si="3"/>
        <v>41756.203125</v>
      </c>
      <c r="R26" s="35"/>
      <c r="S26" s="36"/>
      <c r="T26" s="40"/>
      <c r="U26" s="39"/>
      <c r="V26" s="39"/>
      <c r="W26" s="39"/>
      <c r="X26" s="39"/>
      <c r="Y26" s="39"/>
      <c r="Z26" s="39"/>
      <c r="AA26" s="40"/>
      <c r="AB26" s="1120"/>
      <c r="AC26" s="1118"/>
      <c r="AD26" s="1126"/>
      <c r="AE26" s="1120"/>
      <c r="AF26" s="1118"/>
      <c r="AG26" s="1126"/>
      <c r="AH26" s="1120"/>
      <c r="AI26" s="1118"/>
      <c r="AJ26" s="1126"/>
      <c r="AK26" s="1120"/>
      <c r="AL26" s="1118"/>
      <c r="AM26" s="1126"/>
      <c r="AN26" s="1120"/>
      <c r="AO26" s="1118"/>
      <c r="AP26" s="1126"/>
      <c r="AQ26" s="1140"/>
      <c r="AR26" s="1118"/>
      <c r="AS26" s="1150"/>
      <c r="AT26" s="1140"/>
      <c r="AU26" s="1142"/>
      <c r="AV26" s="1150"/>
      <c r="AW26" s="1140"/>
      <c r="AX26" s="1142"/>
      <c r="AY26" s="1150"/>
      <c r="AZ26" s="1140"/>
      <c r="BA26" s="1142"/>
      <c r="BB26" s="1150"/>
      <c r="BC26" s="1140"/>
      <c r="BD26" s="1142"/>
      <c r="BE26" s="1150"/>
      <c r="BF26" s="1140"/>
      <c r="BG26" s="1142"/>
      <c r="BH26" s="1150"/>
      <c r="BI26" s="1140"/>
      <c r="BJ26" s="1142"/>
      <c r="BK26" s="1150"/>
      <c r="BR26" s="270">
        <v>1371</v>
      </c>
    </row>
    <row r="27" spans="1:70" ht="39.75" customHeight="1">
      <c r="A27" s="1226"/>
      <c r="B27" s="1186"/>
      <c r="C27" s="1186"/>
      <c r="D27" s="1186" t="s">
        <v>262</v>
      </c>
      <c r="E27" s="280" t="s">
        <v>67</v>
      </c>
      <c r="F27" s="409" t="s">
        <v>351</v>
      </c>
      <c r="G27" s="614">
        <v>49</v>
      </c>
      <c r="H27" s="282">
        <f>3600/G27*2</f>
        <v>146.9387755102041</v>
      </c>
      <c r="I27" s="282">
        <v>1</v>
      </c>
      <c r="J27" s="283">
        <f>Q2</f>
        <v>320</v>
      </c>
      <c r="K27" s="437">
        <f>275+90+855</f>
        <v>1220</v>
      </c>
      <c r="L27" s="284">
        <v>1600</v>
      </c>
      <c r="M27" s="282">
        <f t="shared" si="2"/>
        <v>900</v>
      </c>
      <c r="N27" s="285">
        <f>((M27*G27)/3600)*-1</f>
        <v>-12.25</v>
      </c>
      <c r="O27" s="285">
        <f>K27/J27</f>
        <v>3.8125</v>
      </c>
      <c r="P27" s="472">
        <f>O27*2</f>
        <v>7.625</v>
      </c>
      <c r="Q27" s="286">
        <f t="shared" ca="1" si="3"/>
        <v>41755.8125</v>
      </c>
      <c r="R27" s="35"/>
      <c r="S27" s="36"/>
      <c r="T27" s="37">
        <v>1</v>
      </c>
      <c r="U27" s="61"/>
      <c r="V27" s="1085">
        <v>1</v>
      </c>
      <c r="W27" s="1085"/>
      <c r="X27" s="1085"/>
      <c r="Y27" s="1085"/>
      <c r="Z27" s="1085"/>
      <c r="AA27" s="1195">
        <v>1</v>
      </c>
      <c r="AB27" s="1162"/>
      <c r="AC27" s="1170"/>
      <c r="AD27" s="1125"/>
      <c r="AE27" s="1119"/>
      <c r="AF27" s="1117"/>
      <c r="AG27" s="1125"/>
      <c r="AH27" s="1119"/>
      <c r="AI27" s="1117"/>
      <c r="AJ27" s="1223">
        <v>0</v>
      </c>
      <c r="AK27" s="1119"/>
      <c r="AL27" s="1170">
        <v>16</v>
      </c>
      <c r="AM27" s="1122"/>
      <c r="AN27" s="1119"/>
      <c r="AO27" s="1117"/>
      <c r="AP27" s="1125"/>
      <c r="AQ27" s="1188"/>
      <c r="AR27" s="1189"/>
      <c r="AS27" s="1185"/>
      <c r="AT27" s="1188"/>
      <c r="AU27" s="1189"/>
      <c r="AV27" s="1185"/>
      <c r="AW27" s="1188"/>
      <c r="AX27" s="1189"/>
      <c r="AY27" s="1185"/>
      <c r="AZ27" s="1188"/>
      <c r="BA27" s="1189"/>
      <c r="BB27" s="1185"/>
      <c r="BC27" s="1188"/>
      <c r="BD27" s="1189"/>
      <c r="BE27" s="1185"/>
      <c r="BF27" s="1188"/>
      <c r="BG27" s="1189"/>
      <c r="BH27" s="1185"/>
      <c r="BI27" s="1188"/>
      <c r="BJ27" s="1189"/>
      <c r="BK27" s="1185"/>
      <c r="BR27" s="270">
        <v>7889</v>
      </c>
    </row>
    <row r="28" spans="1:70" ht="37.5" customHeight="1" thickBot="1">
      <c r="A28" s="1226"/>
      <c r="B28" s="1186"/>
      <c r="C28" s="1186"/>
      <c r="D28" s="1186"/>
      <c r="E28" s="298" t="s">
        <v>68</v>
      </c>
      <c r="F28" s="409" t="s">
        <v>352</v>
      </c>
      <c r="G28" s="614">
        <v>49</v>
      </c>
      <c r="H28" s="282">
        <f>3600/G28*2</f>
        <v>146.9387755102041</v>
      </c>
      <c r="I28" s="282">
        <v>1</v>
      </c>
      <c r="J28" s="283">
        <f>Q2</f>
        <v>320</v>
      </c>
      <c r="K28" s="437">
        <f>1150+120</f>
        <v>1270</v>
      </c>
      <c r="L28" s="284">
        <v>1600</v>
      </c>
      <c r="M28" s="282">
        <f t="shared" si="2"/>
        <v>950</v>
      </c>
      <c r="N28" s="285">
        <f>((M28*G28)/3600)*-1</f>
        <v>-12.930555555555555</v>
      </c>
      <c r="O28" s="285">
        <f>K28/J28</f>
        <v>3.96875</v>
      </c>
      <c r="P28" s="472">
        <f>O28*2</f>
        <v>7.9375</v>
      </c>
      <c r="Q28" s="286">
        <f t="shared" ca="1" si="3"/>
        <v>41755.96875</v>
      </c>
      <c r="R28" s="43"/>
      <c r="S28" s="44"/>
      <c r="T28" s="62">
        <v>1</v>
      </c>
      <c r="U28" s="63"/>
      <c r="V28" s="1205">
        <v>1</v>
      </c>
      <c r="W28" s="1205"/>
      <c r="X28" s="1205"/>
      <c r="Y28" s="1205"/>
      <c r="Z28" s="1205"/>
      <c r="AA28" s="1207">
        <v>1</v>
      </c>
      <c r="AB28" s="1221"/>
      <c r="AC28" s="1222"/>
      <c r="AD28" s="1210"/>
      <c r="AE28" s="1208"/>
      <c r="AF28" s="1209"/>
      <c r="AG28" s="1210"/>
      <c r="AH28" s="1208"/>
      <c r="AI28" s="1209"/>
      <c r="AJ28" s="1210"/>
      <c r="AK28" s="1208"/>
      <c r="AL28" s="1222"/>
      <c r="AM28" s="1224"/>
      <c r="AN28" s="1208"/>
      <c r="AO28" s="1209"/>
      <c r="AP28" s="1210"/>
      <c r="AQ28" s="1200"/>
      <c r="AR28" s="1202"/>
      <c r="AS28" s="1198"/>
      <c r="AT28" s="1200"/>
      <c r="AU28" s="1202"/>
      <c r="AV28" s="1198"/>
      <c r="AW28" s="1200"/>
      <c r="AX28" s="1202"/>
      <c r="AY28" s="1198"/>
      <c r="AZ28" s="1200"/>
      <c r="BA28" s="1202"/>
      <c r="BB28" s="1198"/>
      <c r="BC28" s="1200"/>
      <c r="BD28" s="1202"/>
      <c r="BE28" s="1198"/>
      <c r="BF28" s="1200"/>
      <c r="BG28" s="1202"/>
      <c r="BH28" s="1198"/>
      <c r="BI28" s="1200"/>
      <c r="BJ28" s="1202"/>
      <c r="BK28" s="1198"/>
      <c r="BR28" s="271">
        <v>6480</v>
      </c>
    </row>
    <row r="29" spans="1:70" ht="36.75" customHeight="1">
      <c r="A29" s="1226"/>
      <c r="B29" s="288"/>
      <c r="C29" s="288"/>
      <c r="D29" s="288" t="s">
        <v>256</v>
      </c>
      <c r="E29" s="280" t="s">
        <v>56</v>
      </c>
      <c r="F29" s="409" t="s">
        <v>353</v>
      </c>
      <c r="G29" s="614">
        <v>45</v>
      </c>
      <c r="H29" s="282">
        <f t="shared" si="4"/>
        <v>80</v>
      </c>
      <c r="I29" s="282">
        <v>1</v>
      </c>
      <c r="J29" s="283">
        <f>0.4*Q3</f>
        <v>85.600000000000009</v>
      </c>
      <c r="K29" s="437">
        <f>408+267</f>
        <v>675</v>
      </c>
      <c r="L29" s="284">
        <v>1536</v>
      </c>
      <c r="M29" s="282">
        <f t="shared" si="2"/>
        <v>589.4</v>
      </c>
      <c r="N29" s="285">
        <f>((M29*G29)/3600)*-1</f>
        <v>-7.3674999999999997</v>
      </c>
      <c r="O29" s="285">
        <f>K29/J29</f>
        <v>7.8855140186915884</v>
      </c>
      <c r="P29" s="472">
        <f>O29*1.5</f>
        <v>11.828271028037383</v>
      </c>
      <c r="Q29" s="286">
        <f t="shared" ca="1" si="3"/>
        <v>41759.885514018693</v>
      </c>
      <c r="R29" s="35"/>
      <c r="S29" s="36"/>
      <c r="T29" s="40"/>
      <c r="U29" s="39"/>
      <c r="V29" s="39"/>
      <c r="W29" s="39"/>
      <c r="X29" s="39"/>
      <c r="Y29" s="39"/>
      <c r="Z29" s="39"/>
      <c r="AA29" s="40"/>
      <c r="AB29" s="245"/>
      <c r="AC29" s="247"/>
      <c r="AD29" s="249"/>
      <c r="AE29" s="245"/>
      <c r="AF29" s="247"/>
      <c r="AG29" s="249"/>
      <c r="AH29" s="245"/>
      <c r="AI29" s="247"/>
      <c r="AJ29" s="249"/>
      <c r="AK29" s="245"/>
      <c r="AL29" s="247"/>
      <c r="AM29" s="249"/>
      <c r="AN29" s="245"/>
      <c r="AO29" s="247" t="s">
        <v>155</v>
      </c>
      <c r="AP29" s="249"/>
      <c r="AQ29" s="239"/>
      <c r="AR29" s="241"/>
      <c r="AS29" s="243"/>
      <c r="AT29" s="239"/>
      <c r="AU29" s="241"/>
      <c r="AV29" s="243"/>
      <c r="AW29" s="239"/>
      <c r="AX29" s="241"/>
      <c r="AY29" s="243"/>
      <c r="AZ29" s="239"/>
      <c r="BA29" s="241"/>
      <c r="BB29" s="243"/>
      <c r="BC29" s="239"/>
      <c r="BD29" s="241"/>
      <c r="BE29" s="243"/>
      <c r="BF29" s="239"/>
      <c r="BG29" s="241"/>
      <c r="BH29" s="243"/>
      <c r="BI29" s="239"/>
      <c r="BJ29" s="241"/>
      <c r="BK29" s="243"/>
    </row>
    <row r="30" spans="1:70" ht="24" hidden="1" customHeight="1" thickBot="1">
      <c r="A30" s="1226"/>
      <c r="B30" s="288"/>
      <c r="C30" s="288"/>
      <c r="D30" s="288"/>
      <c r="E30" s="280" t="s">
        <v>57</v>
      </c>
      <c r="F30" s="409" t="s">
        <v>14</v>
      </c>
      <c r="G30" s="850"/>
      <c r="H30" s="287"/>
      <c r="I30" s="287"/>
      <c r="J30" s="300"/>
      <c r="K30" s="439"/>
      <c r="L30" s="301"/>
      <c r="M30" s="287"/>
      <c r="N30" s="287"/>
      <c r="O30" s="287"/>
      <c r="P30" s="473"/>
      <c r="Q30" s="302"/>
      <c r="R30" s="35"/>
      <c r="S30" s="36"/>
      <c r="T30" s="40"/>
      <c r="U30" s="39"/>
      <c r="V30" s="39"/>
      <c r="W30" s="39"/>
      <c r="X30" s="39"/>
      <c r="Y30" s="39"/>
      <c r="Z30" s="39"/>
      <c r="AA30" s="40"/>
      <c r="AB30" s="245"/>
      <c r="AC30" s="247"/>
      <c r="AD30" s="249"/>
      <c r="AE30" s="245"/>
      <c r="AF30" s="247"/>
      <c r="AG30" s="249"/>
      <c r="AH30" s="245"/>
      <c r="AI30" s="247"/>
      <c r="AJ30" s="259">
        <v>22</v>
      </c>
      <c r="AK30" s="260"/>
      <c r="AL30" s="263"/>
      <c r="AM30" s="8"/>
      <c r="AN30" s="245"/>
      <c r="AO30" s="247"/>
      <c r="AP30" s="249"/>
      <c r="AQ30" s="239"/>
      <c r="AR30" s="241"/>
      <c r="AS30" s="243"/>
      <c r="AT30" s="239"/>
      <c r="AU30" s="241"/>
      <c r="AV30" s="243"/>
      <c r="AW30" s="239"/>
      <c r="AX30" s="241"/>
      <c r="AY30" s="243"/>
      <c r="AZ30" s="239"/>
      <c r="BA30" s="241"/>
      <c r="BB30" s="243"/>
      <c r="BC30" s="239"/>
      <c r="BD30" s="241"/>
      <c r="BE30" s="243"/>
      <c r="BF30" s="239"/>
      <c r="BG30" s="241"/>
      <c r="BH30" s="243"/>
      <c r="BI30" s="239"/>
      <c r="BJ30" s="241"/>
      <c r="BK30" s="243"/>
    </row>
    <row r="31" spans="1:70" ht="24" hidden="1" customHeight="1" thickBot="1">
      <c r="A31" s="1226"/>
      <c r="B31" s="288"/>
      <c r="C31" s="288"/>
      <c r="D31" s="288"/>
      <c r="E31" s="298" t="s">
        <v>61</v>
      </c>
      <c r="F31" s="409" t="s">
        <v>18</v>
      </c>
      <c r="G31" s="850"/>
      <c r="H31" s="287"/>
      <c r="I31" s="287"/>
      <c r="J31" s="300"/>
      <c r="K31" s="439"/>
      <c r="L31" s="301"/>
      <c r="M31" s="287"/>
      <c r="N31" s="287"/>
      <c r="O31" s="287"/>
      <c r="P31" s="473"/>
      <c r="Q31" s="302"/>
      <c r="R31" s="35"/>
      <c r="S31" s="36"/>
      <c r="T31" s="40"/>
      <c r="U31" s="39"/>
      <c r="V31" s="39"/>
      <c r="W31" s="39"/>
      <c r="X31" s="39"/>
      <c r="Y31" s="39"/>
      <c r="Z31" s="39"/>
      <c r="AA31" s="40"/>
      <c r="AB31" s="245"/>
      <c r="AC31" s="247"/>
      <c r="AD31" s="249"/>
      <c r="AE31" s="245"/>
      <c r="AF31" s="247"/>
      <c r="AG31" s="249"/>
      <c r="AH31" s="245"/>
      <c r="AI31" s="247"/>
      <c r="AJ31" s="249"/>
      <c r="AK31" s="245"/>
      <c r="AL31" s="247"/>
      <c r="AM31" s="249"/>
      <c r="AN31" s="245"/>
      <c r="AO31" s="247"/>
      <c r="AP31" s="249"/>
      <c r="AQ31" s="239"/>
      <c r="AR31" s="241"/>
      <c r="AS31" s="243"/>
      <c r="AT31" s="239"/>
      <c r="AU31" s="241"/>
      <c r="AV31" s="243"/>
      <c r="AW31" s="239"/>
      <c r="AX31" s="241"/>
      <c r="AY31" s="243"/>
      <c r="AZ31" s="239"/>
      <c r="BA31" s="241"/>
      <c r="BB31" s="243"/>
      <c r="BC31" s="239"/>
      <c r="BD31" s="241"/>
      <c r="BE31" s="243"/>
      <c r="BF31" s="239"/>
      <c r="BG31" s="241"/>
      <c r="BH31" s="243"/>
      <c r="BI31" s="239"/>
      <c r="BJ31" s="241"/>
      <c r="BK31" s="243"/>
    </row>
    <row r="32" spans="1:70" ht="24" hidden="1" customHeight="1" thickBot="1">
      <c r="A32" s="1226"/>
      <c r="B32" s="288"/>
      <c r="C32" s="288"/>
      <c r="D32" s="288"/>
      <c r="E32" s="298" t="s">
        <v>62</v>
      </c>
      <c r="F32" s="409" t="s">
        <v>19</v>
      </c>
      <c r="G32" s="850"/>
      <c r="H32" s="287"/>
      <c r="I32" s="287"/>
      <c r="J32" s="300"/>
      <c r="K32" s="439"/>
      <c r="L32" s="301"/>
      <c r="M32" s="287"/>
      <c r="N32" s="287"/>
      <c r="O32" s="287"/>
      <c r="P32" s="473"/>
      <c r="Q32" s="302"/>
      <c r="R32" s="35"/>
      <c r="S32" s="36"/>
      <c r="T32" s="40"/>
      <c r="U32" s="39"/>
      <c r="V32" s="39"/>
      <c r="W32" s="39"/>
      <c r="X32" s="39"/>
      <c r="Y32" s="39"/>
      <c r="Z32" s="39"/>
      <c r="AA32" s="40"/>
      <c r="AB32" s="260"/>
      <c r="AC32" s="263"/>
      <c r="AD32" s="249"/>
      <c r="AE32" s="245"/>
      <c r="AF32" s="247"/>
      <c r="AG32" s="249"/>
      <c r="AH32" s="245"/>
      <c r="AI32" s="247"/>
      <c r="AJ32" s="249"/>
      <c r="AK32" s="245"/>
      <c r="AL32" s="247"/>
      <c r="AM32" s="249"/>
      <c r="AN32" s="245"/>
      <c r="AO32" s="247"/>
      <c r="AP32" s="249"/>
      <c r="AQ32" s="239"/>
      <c r="AR32" s="241"/>
      <c r="AS32" s="243"/>
      <c r="AT32" s="239"/>
      <c r="AU32" s="241"/>
      <c r="AV32" s="243"/>
      <c r="AW32" s="239"/>
      <c r="AX32" s="241"/>
      <c r="AY32" s="243"/>
      <c r="AZ32" s="239"/>
      <c r="BA32" s="241"/>
      <c r="BB32" s="243"/>
      <c r="BC32" s="239"/>
      <c r="BD32" s="241"/>
      <c r="BE32" s="243"/>
      <c r="BF32" s="239"/>
      <c r="BG32" s="241"/>
      <c r="BH32" s="243"/>
      <c r="BI32" s="239"/>
      <c r="BJ32" s="241"/>
      <c r="BK32" s="243"/>
    </row>
    <row r="33" spans="1:72" ht="24" hidden="1" customHeight="1" thickBot="1">
      <c r="A33" s="1226"/>
      <c r="B33" s="288"/>
      <c r="C33" s="288"/>
      <c r="D33" s="288"/>
      <c r="E33" s="280" t="s">
        <v>60</v>
      </c>
      <c r="F33" s="409" t="s">
        <v>17</v>
      </c>
      <c r="G33" s="850"/>
      <c r="H33" s="287"/>
      <c r="I33" s="287"/>
      <c r="J33" s="300"/>
      <c r="K33" s="439"/>
      <c r="L33" s="301"/>
      <c r="M33" s="287"/>
      <c r="N33" s="287"/>
      <c r="O33" s="287"/>
      <c r="P33" s="473"/>
      <c r="Q33" s="302"/>
      <c r="R33" s="43"/>
      <c r="S33" s="44"/>
      <c r="T33" s="45"/>
      <c r="U33" s="46"/>
      <c r="V33" s="46"/>
      <c r="W33" s="46"/>
      <c r="X33" s="46"/>
      <c r="Y33" s="46"/>
      <c r="Z33" s="46"/>
      <c r="AA33" s="45"/>
      <c r="AB33" s="268"/>
      <c r="AC33" s="10"/>
      <c r="AD33" s="9"/>
      <c r="AE33" s="268"/>
      <c r="AF33" s="10"/>
      <c r="AG33" s="9"/>
      <c r="AH33" s="268"/>
      <c r="AI33" s="10"/>
      <c r="AJ33" s="9"/>
      <c r="AK33" s="268"/>
      <c r="AL33" s="10"/>
      <c r="AM33" s="9"/>
      <c r="AN33" s="268"/>
      <c r="AO33" s="10"/>
      <c r="AP33" s="9"/>
      <c r="AQ33" s="51"/>
      <c r="AR33" s="52"/>
      <c r="AS33" s="53"/>
      <c r="AT33" s="51"/>
      <c r="AU33" s="52"/>
      <c r="AV33" s="53"/>
      <c r="AW33" s="51"/>
      <c r="AX33" s="52"/>
      <c r="AY33" s="53"/>
      <c r="AZ33" s="51"/>
      <c r="BA33" s="52"/>
      <c r="BB33" s="53"/>
      <c r="BC33" s="51"/>
      <c r="BD33" s="52"/>
      <c r="BE33" s="53"/>
      <c r="BF33" s="51"/>
      <c r="BG33" s="52"/>
      <c r="BH33" s="53"/>
      <c r="BI33" s="51"/>
      <c r="BJ33" s="52"/>
      <c r="BK33" s="53"/>
    </row>
    <row r="34" spans="1:72" ht="3" hidden="1" customHeight="1">
      <c r="A34" s="1226"/>
      <c r="B34" s="288"/>
      <c r="C34" s="288"/>
      <c r="D34" s="288"/>
      <c r="E34" s="280" t="s">
        <v>57</v>
      </c>
      <c r="F34" s="409" t="s">
        <v>14</v>
      </c>
      <c r="G34" s="614">
        <v>53</v>
      </c>
      <c r="H34" s="282">
        <f t="shared" si="4"/>
        <v>67.924528301886795</v>
      </c>
      <c r="I34" s="282">
        <v>1</v>
      </c>
      <c r="J34" s="283">
        <f>162*2</f>
        <v>324</v>
      </c>
      <c r="K34" s="437">
        <f>324+3622</f>
        <v>3946</v>
      </c>
      <c r="L34" s="284" t="s">
        <v>210</v>
      </c>
      <c r="M34" s="282">
        <f t="shared" si="2"/>
        <v>3622</v>
      </c>
      <c r="N34" s="285">
        <f t="shared" ref="N34:N119" si="5">((M34*G34)/3600)*-1</f>
        <v>-53.323888888888888</v>
      </c>
      <c r="O34" s="285">
        <f>K34/J34</f>
        <v>12.179012345679013</v>
      </c>
      <c r="P34" s="472"/>
      <c r="Q34" s="286">
        <f ca="1">+$Q$5+O34</f>
        <v>41764.179012345681</v>
      </c>
      <c r="R34" s="47"/>
      <c r="S34" s="48"/>
      <c r="T34" s="49"/>
      <c r="U34" s="50"/>
      <c r="V34" s="50"/>
      <c r="W34" s="50"/>
      <c r="X34" s="50"/>
      <c r="Y34" s="50"/>
      <c r="Z34" s="50"/>
      <c r="AA34" s="49"/>
      <c r="AB34" s="244"/>
      <c r="AC34" s="246"/>
      <c r="AD34" s="248"/>
      <c r="AE34" s="244"/>
      <c r="AF34" s="246"/>
      <c r="AG34" s="248"/>
      <c r="AH34" s="244"/>
      <c r="AI34" s="246"/>
      <c r="AJ34" s="248"/>
      <c r="AK34" s="13"/>
      <c r="AL34" s="11"/>
      <c r="AM34" s="12"/>
      <c r="AN34" s="13"/>
      <c r="AO34" s="11"/>
      <c r="AP34" s="12"/>
      <c r="AQ34" s="30"/>
      <c r="AR34" s="31"/>
      <c r="AS34" s="32"/>
      <c r="AT34" s="30"/>
      <c r="AU34" s="31"/>
      <c r="AV34" s="32"/>
      <c r="AW34" s="30"/>
      <c r="AX34" s="31"/>
      <c r="AY34" s="32"/>
      <c r="AZ34" s="30"/>
      <c r="BA34" s="31"/>
      <c r="BB34" s="32"/>
      <c r="BC34" s="30"/>
      <c r="BD34" s="31"/>
      <c r="BE34" s="32"/>
      <c r="BF34" s="30"/>
      <c r="BG34" s="31"/>
      <c r="BH34" s="32"/>
      <c r="BI34" s="30"/>
      <c r="BJ34" s="31"/>
      <c r="BK34" s="32"/>
      <c r="BR34" s="14">
        <v>973</v>
      </c>
    </row>
    <row r="35" spans="1:72" ht="23.25" hidden="1" customHeight="1">
      <c r="A35" s="1226"/>
      <c r="B35" s="288"/>
      <c r="C35" s="288"/>
      <c r="D35" s="288"/>
      <c r="E35" s="280" t="s">
        <v>60</v>
      </c>
      <c r="F35" s="409" t="s">
        <v>17</v>
      </c>
      <c r="G35" s="614">
        <v>48</v>
      </c>
      <c r="H35" s="282">
        <f>3600/G35</f>
        <v>75</v>
      </c>
      <c r="I35" s="282">
        <v>1</v>
      </c>
      <c r="J35" s="283">
        <f>192+216</f>
        <v>408</v>
      </c>
      <c r="K35" s="437">
        <f>1367+70+21+50+75+400+430+415+580+586+720+691+784+696</f>
        <v>6885</v>
      </c>
      <c r="L35" s="284" t="s">
        <v>210</v>
      </c>
      <c r="M35" s="282">
        <f t="shared" si="2"/>
        <v>6477</v>
      </c>
      <c r="N35" s="285">
        <f t="shared" si="5"/>
        <v>-86.36</v>
      </c>
      <c r="O35" s="285">
        <f>K35/J35</f>
        <v>16.875</v>
      </c>
      <c r="P35" s="472"/>
      <c r="Q35" s="286">
        <f ca="1">+$Q$5+O35</f>
        <v>41768.875</v>
      </c>
      <c r="R35" s="35"/>
      <c r="S35" s="36"/>
      <c r="T35" s="40"/>
      <c r="U35" s="39"/>
      <c r="V35" s="39"/>
      <c r="W35" s="39"/>
      <c r="X35" s="39"/>
      <c r="Y35" s="39"/>
      <c r="Z35" s="39"/>
      <c r="AA35" s="40"/>
      <c r="AB35" s="245"/>
      <c r="AC35" s="247"/>
      <c r="AD35" s="249"/>
      <c r="AE35" s="245"/>
      <c r="AF35" s="247"/>
      <c r="AG35" s="249"/>
      <c r="AH35" s="245"/>
      <c r="AI35" s="247"/>
      <c r="AJ35" s="249"/>
      <c r="AK35" s="253"/>
      <c r="AL35" s="254"/>
      <c r="AM35" s="255"/>
      <c r="AN35" s="253"/>
      <c r="AO35" s="254"/>
      <c r="AP35" s="255"/>
      <c r="AQ35" s="250"/>
      <c r="AR35" s="251"/>
      <c r="AS35" s="252"/>
      <c r="AT35" s="250"/>
      <c r="AU35" s="251"/>
      <c r="AV35" s="252"/>
      <c r="AW35" s="250"/>
      <c r="AX35" s="251"/>
      <c r="AY35" s="252"/>
      <c r="AZ35" s="250"/>
      <c r="BA35" s="251"/>
      <c r="BB35" s="252"/>
      <c r="BC35" s="250"/>
      <c r="BD35" s="251"/>
      <c r="BE35" s="252"/>
      <c r="BF35" s="250"/>
      <c r="BG35" s="251"/>
      <c r="BH35" s="252"/>
      <c r="BI35" s="250"/>
      <c r="BJ35" s="251"/>
      <c r="BK35" s="252"/>
      <c r="BL35" s="33"/>
      <c r="BR35" s="270">
        <v>4787</v>
      </c>
    </row>
    <row r="36" spans="1:72" ht="33.75" customHeight="1" thickBot="1">
      <c r="A36" s="1227"/>
      <c r="B36" s="289"/>
      <c r="C36" s="289" t="s">
        <v>435</v>
      </c>
      <c r="D36" s="289" t="s">
        <v>258</v>
      </c>
      <c r="E36" s="290" t="s">
        <v>61</v>
      </c>
      <c r="F36" s="410" t="s">
        <v>354</v>
      </c>
      <c r="G36" s="625">
        <v>53</v>
      </c>
      <c r="H36" s="292">
        <f>3600/G36*2</f>
        <v>135.84905660377359</v>
      </c>
      <c r="I36" s="292">
        <v>1</v>
      </c>
      <c r="J36" s="293">
        <v>70</v>
      </c>
      <c r="K36" s="438">
        <v>90</v>
      </c>
      <c r="L36" s="294">
        <v>960</v>
      </c>
      <c r="M36" s="292">
        <f t="shared" si="2"/>
        <v>20</v>
      </c>
      <c r="N36" s="295">
        <f t="shared" si="5"/>
        <v>-0.29444444444444445</v>
      </c>
      <c r="O36" s="295">
        <f>K36/J36</f>
        <v>1.2857142857142858</v>
      </c>
      <c r="P36" s="474">
        <f>O36*2</f>
        <v>2.5714285714285716</v>
      </c>
      <c r="Q36" s="296">
        <f ca="1">+$Q$5+O36</f>
        <v>41753.285714285717</v>
      </c>
      <c r="R36" s="35"/>
      <c r="S36" s="54"/>
      <c r="T36" s="55"/>
      <c r="U36" s="39"/>
      <c r="V36" s="39"/>
      <c r="W36" s="39"/>
      <c r="X36" s="39"/>
      <c r="Y36" s="39"/>
      <c r="Z36" s="39"/>
      <c r="AA36" s="40"/>
      <c r="AB36" s="245"/>
      <c r="AC36" s="247"/>
      <c r="AD36" s="249"/>
      <c r="AE36" s="245"/>
      <c r="AF36" s="247"/>
      <c r="AG36" s="249">
        <v>2</v>
      </c>
      <c r="AH36" s="260">
        <v>10</v>
      </c>
      <c r="AI36" s="263"/>
      <c r="AJ36" s="259"/>
      <c r="AK36" s="253"/>
      <c r="AL36" s="254"/>
      <c r="AM36" s="255"/>
      <c r="AN36" s="253"/>
      <c r="AO36" s="254"/>
      <c r="AP36" s="255"/>
      <c r="AQ36" s="250"/>
      <c r="AR36" s="251"/>
      <c r="AS36" s="252"/>
      <c r="AT36" s="250"/>
      <c r="AU36" s="251"/>
      <c r="AV36" s="252"/>
      <c r="AW36" s="250"/>
      <c r="AX36" s="251"/>
      <c r="AY36" s="252"/>
      <c r="AZ36" s="250"/>
      <c r="BA36" s="251"/>
      <c r="BB36" s="252"/>
      <c r="BC36" s="250"/>
      <c r="BD36" s="251"/>
      <c r="BE36" s="252"/>
      <c r="BF36" s="250"/>
      <c r="BG36" s="251"/>
      <c r="BH36" s="252"/>
      <c r="BI36" s="250"/>
      <c r="BJ36" s="251"/>
      <c r="BK36" s="252"/>
      <c r="BL36" s="33"/>
      <c r="BR36" s="270">
        <v>2426</v>
      </c>
    </row>
    <row r="37" spans="1:72" ht="24" hidden="1" customHeight="1" thickBot="1">
      <c r="A37" s="426"/>
      <c r="B37" s="303"/>
      <c r="C37" s="303"/>
      <c r="D37" s="303"/>
      <c r="E37" s="304" t="s">
        <v>62</v>
      </c>
      <c r="F37" s="411" t="s">
        <v>19</v>
      </c>
      <c r="G37" s="851">
        <v>60</v>
      </c>
      <c r="H37" s="306">
        <f>3600/G37</f>
        <v>60</v>
      </c>
      <c r="I37" s="306">
        <v>1</v>
      </c>
      <c r="J37" s="307">
        <v>200</v>
      </c>
      <c r="K37" s="440">
        <v>7540</v>
      </c>
      <c r="L37" s="308" t="s">
        <v>210</v>
      </c>
      <c r="M37" s="306">
        <f>K37-J37</f>
        <v>7340</v>
      </c>
      <c r="N37" s="309">
        <f t="shared" si="5"/>
        <v>-122.33333333333333</v>
      </c>
      <c r="O37" s="309">
        <f>K37/J37</f>
        <v>37.700000000000003</v>
      </c>
      <c r="P37" s="475"/>
      <c r="Q37" s="310">
        <f ca="1">+$Q$5+O37</f>
        <v>41789.699999999997</v>
      </c>
      <c r="R37" s="43"/>
      <c r="S37" s="44"/>
      <c r="T37" s="56"/>
      <c r="U37" s="39"/>
      <c r="V37" s="39"/>
      <c r="W37" s="39"/>
      <c r="X37" s="39"/>
      <c r="Y37" s="39"/>
      <c r="Z37" s="39"/>
      <c r="AA37" s="40"/>
      <c r="AB37" s="245"/>
      <c r="AC37" s="247"/>
      <c r="AD37" s="249"/>
      <c r="AE37" s="245"/>
      <c r="AF37" s="247"/>
      <c r="AG37" s="249"/>
      <c r="AH37" s="245"/>
      <c r="AI37" s="247"/>
      <c r="AJ37" s="249"/>
      <c r="AK37" s="253"/>
      <c r="AL37" s="254"/>
      <c r="AM37" s="255"/>
      <c r="AN37" s="253"/>
      <c r="AO37" s="254"/>
      <c r="AP37" s="255"/>
      <c r="AQ37" s="250"/>
      <c r="AR37" s="251"/>
      <c r="AS37" s="252"/>
      <c r="AT37" s="250"/>
      <c r="AU37" s="251"/>
      <c r="AV37" s="252"/>
      <c r="AW37" s="250"/>
      <c r="AX37" s="251"/>
      <c r="AY37" s="252"/>
      <c r="AZ37" s="250"/>
      <c r="BA37" s="251"/>
      <c r="BB37" s="252"/>
      <c r="BC37" s="250"/>
      <c r="BD37" s="251"/>
      <c r="BE37" s="252"/>
      <c r="BF37" s="250"/>
      <c r="BG37" s="251"/>
      <c r="BH37" s="252"/>
      <c r="BI37" s="250"/>
      <c r="BJ37" s="251"/>
      <c r="BK37" s="252"/>
      <c r="BL37" s="33"/>
    </row>
    <row r="38" spans="1:72" ht="24" hidden="1" customHeight="1" thickBot="1">
      <c r="A38" s="427"/>
      <c r="B38" s="288"/>
      <c r="C38" s="288"/>
      <c r="D38" s="288"/>
      <c r="E38" s="298" t="s">
        <v>51</v>
      </c>
      <c r="F38" s="409" t="s">
        <v>8</v>
      </c>
      <c r="G38" s="850"/>
      <c r="H38" s="287"/>
      <c r="I38" s="287"/>
      <c r="J38" s="300"/>
      <c r="K38" s="439"/>
      <c r="L38" s="301"/>
      <c r="M38" s="287"/>
      <c r="N38" s="285">
        <f t="shared" si="5"/>
        <v>0</v>
      </c>
      <c r="O38" s="287"/>
      <c r="P38" s="473"/>
      <c r="Q38" s="302"/>
      <c r="R38" s="57"/>
      <c r="S38" s="58"/>
      <c r="T38" s="59"/>
      <c r="U38" s="39"/>
      <c r="V38" s="1088"/>
      <c r="W38" s="1088"/>
      <c r="X38" s="1088"/>
      <c r="Y38" s="1088"/>
      <c r="Z38" s="1088"/>
      <c r="AA38" s="1090"/>
      <c r="AB38" s="1148"/>
      <c r="AC38" s="1144"/>
      <c r="AD38" s="1146"/>
      <c r="AE38" s="1148"/>
      <c r="AF38" s="1144"/>
      <c r="AG38" s="1146"/>
      <c r="AH38" s="1148"/>
      <c r="AI38" s="1144"/>
      <c r="AJ38" s="1146"/>
      <c r="AK38" s="1335"/>
      <c r="AL38" s="1337"/>
      <c r="AM38" s="1339">
        <v>4</v>
      </c>
      <c r="AN38" s="1335"/>
      <c r="AO38" s="1337"/>
      <c r="AP38" s="1339"/>
      <c r="AQ38" s="1341"/>
      <c r="AR38" s="1343"/>
      <c r="AS38" s="1345"/>
      <c r="AT38" s="1130"/>
      <c r="AU38" s="1133"/>
      <c r="AV38" s="1136"/>
      <c r="AW38" s="1130"/>
      <c r="AX38" s="1133"/>
      <c r="AY38" s="1136"/>
      <c r="AZ38" s="1130"/>
      <c r="BA38" s="1133"/>
      <c r="BB38" s="1136"/>
      <c r="BC38" s="1130"/>
      <c r="BD38" s="1133"/>
      <c r="BE38" s="1136"/>
      <c r="BF38" s="1130"/>
      <c r="BG38" s="1133"/>
      <c r="BH38" s="1136"/>
      <c r="BI38" s="1130"/>
      <c r="BJ38" s="1133"/>
      <c r="BK38" s="1136"/>
      <c r="BL38" s="33"/>
    </row>
    <row r="39" spans="1:72" ht="24" hidden="1" customHeight="1" thickBot="1">
      <c r="A39" s="427"/>
      <c r="B39" s="288"/>
      <c r="C39" s="288"/>
      <c r="D39" s="288"/>
      <c r="E39" s="298" t="s">
        <v>52</v>
      </c>
      <c r="F39" s="409" t="s">
        <v>9</v>
      </c>
      <c r="G39" s="850"/>
      <c r="H39" s="287"/>
      <c r="I39" s="287"/>
      <c r="J39" s="300"/>
      <c r="K39" s="439"/>
      <c r="L39" s="301"/>
      <c r="M39" s="287"/>
      <c r="N39" s="285">
        <f t="shared" si="5"/>
        <v>0</v>
      </c>
      <c r="O39" s="287"/>
      <c r="P39" s="473"/>
      <c r="Q39" s="302"/>
      <c r="R39" s="57"/>
      <c r="S39" s="58"/>
      <c r="T39" s="59"/>
      <c r="U39" s="39"/>
      <c r="V39" s="1088"/>
      <c r="W39" s="1088"/>
      <c r="X39" s="1088"/>
      <c r="Y39" s="1088"/>
      <c r="Z39" s="1088"/>
      <c r="AA39" s="1090"/>
      <c r="AB39" s="1148"/>
      <c r="AC39" s="1144"/>
      <c r="AD39" s="1146"/>
      <c r="AE39" s="1148"/>
      <c r="AF39" s="1144"/>
      <c r="AG39" s="1146"/>
      <c r="AH39" s="1148"/>
      <c r="AI39" s="1144"/>
      <c r="AJ39" s="1146"/>
      <c r="AK39" s="1335"/>
      <c r="AL39" s="1337"/>
      <c r="AM39" s="1339"/>
      <c r="AN39" s="1335"/>
      <c r="AO39" s="1337"/>
      <c r="AP39" s="1339"/>
      <c r="AQ39" s="1341"/>
      <c r="AR39" s="1343"/>
      <c r="AS39" s="1345"/>
      <c r="AT39" s="1132"/>
      <c r="AU39" s="1135"/>
      <c r="AV39" s="1138"/>
      <c r="AW39" s="1132"/>
      <c r="AX39" s="1135"/>
      <c r="AY39" s="1138"/>
      <c r="AZ39" s="1132"/>
      <c r="BA39" s="1135"/>
      <c r="BB39" s="1138"/>
      <c r="BC39" s="1132"/>
      <c r="BD39" s="1135"/>
      <c r="BE39" s="1138"/>
      <c r="BF39" s="1132"/>
      <c r="BG39" s="1135"/>
      <c r="BH39" s="1138"/>
      <c r="BI39" s="1132"/>
      <c r="BJ39" s="1135"/>
      <c r="BK39" s="1138"/>
      <c r="BL39" s="33"/>
    </row>
    <row r="40" spans="1:72" ht="24" hidden="1" customHeight="1" thickBot="1">
      <c r="A40" s="427"/>
      <c r="B40" s="288"/>
      <c r="C40" s="288"/>
      <c r="D40" s="288"/>
      <c r="E40" s="280" t="s">
        <v>53</v>
      </c>
      <c r="F40" s="409" t="s">
        <v>10</v>
      </c>
      <c r="G40" s="850"/>
      <c r="H40" s="287"/>
      <c r="I40" s="287"/>
      <c r="J40" s="300"/>
      <c r="K40" s="439"/>
      <c r="L40" s="301"/>
      <c r="M40" s="287"/>
      <c r="N40" s="285">
        <f t="shared" si="5"/>
        <v>0</v>
      </c>
      <c r="O40" s="287"/>
      <c r="P40" s="473"/>
      <c r="Q40" s="302"/>
      <c r="R40" s="57"/>
      <c r="S40" s="58"/>
      <c r="T40" s="59"/>
      <c r="U40" s="39"/>
      <c r="V40" s="39"/>
      <c r="W40" s="39"/>
      <c r="X40" s="39"/>
      <c r="Y40" s="39"/>
      <c r="Z40" s="39"/>
      <c r="AA40" s="40"/>
      <c r="AB40" s="1119"/>
      <c r="AC40" s="1170">
        <v>15</v>
      </c>
      <c r="AD40" s="1122"/>
      <c r="AE40" s="1162"/>
      <c r="AF40" s="1117"/>
      <c r="AG40" s="1125"/>
      <c r="AH40" s="1119"/>
      <c r="AI40" s="1117"/>
      <c r="AJ40" s="1125">
        <v>3</v>
      </c>
      <c r="AK40" s="1162"/>
      <c r="AL40" s="1170"/>
      <c r="AM40" s="1122"/>
      <c r="AN40" s="1114"/>
      <c r="AO40" s="1111"/>
      <c r="AP40" s="1127"/>
      <c r="AQ40" s="1130"/>
      <c r="AR40" s="1133"/>
      <c r="AS40" s="1136"/>
      <c r="AT40" s="210"/>
      <c r="AU40" s="206"/>
      <c r="AV40" s="208"/>
      <c r="AW40" s="210"/>
      <c r="AX40" s="206"/>
      <c r="AY40" s="208"/>
      <c r="AZ40" s="210"/>
      <c r="BA40" s="206"/>
      <c r="BB40" s="208"/>
      <c r="BC40" s="210"/>
      <c r="BD40" s="206"/>
      <c r="BE40" s="208"/>
      <c r="BF40" s="210"/>
      <c r="BG40" s="206"/>
      <c r="BH40" s="208"/>
      <c r="BI40" s="210"/>
      <c r="BJ40" s="206"/>
      <c r="BK40" s="208"/>
      <c r="BL40" s="33"/>
    </row>
    <row r="41" spans="1:72" ht="24" hidden="1" customHeight="1" thickBot="1">
      <c r="A41" s="427"/>
      <c r="B41" s="288"/>
      <c r="C41" s="288"/>
      <c r="D41" s="288"/>
      <c r="E41" s="280" t="s">
        <v>54</v>
      </c>
      <c r="F41" s="409" t="s">
        <v>11</v>
      </c>
      <c r="G41" s="850"/>
      <c r="H41" s="287"/>
      <c r="I41" s="287"/>
      <c r="J41" s="300"/>
      <c r="K41" s="439"/>
      <c r="L41" s="301"/>
      <c r="M41" s="287"/>
      <c r="N41" s="285">
        <f t="shared" si="5"/>
        <v>0</v>
      </c>
      <c r="O41" s="287"/>
      <c r="P41" s="473"/>
      <c r="Q41" s="302"/>
      <c r="R41" s="57"/>
      <c r="S41" s="58"/>
      <c r="T41" s="59"/>
      <c r="U41" s="39"/>
      <c r="V41" s="39"/>
      <c r="W41" s="39"/>
      <c r="X41" s="39"/>
      <c r="Y41" s="39"/>
      <c r="Z41" s="39"/>
      <c r="AA41" s="40"/>
      <c r="AB41" s="1121"/>
      <c r="AC41" s="1220"/>
      <c r="AD41" s="1123"/>
      <c r="AE41" s="1163"/>
      <c r="AF41" s="1152"/>
      <c r="AG41" s="1151"/>
      <c r="AH41" s="1121"/>
      <c r="AI41" s="1152"/>
      <c r="AJ41" s="1151"/>
      <c r="AK41" s="1163"/>
      <c r="AL41" s="1220"/>
      <c r="AM41" s="1123"/>
      <c r="AN41" s="1115"/>
      <c r="AO41" s="1112"/>
      <c r="AP41" s="1128"/>
      <c r="AQ41" s="1131"/>
      <c r="AR41" s="1134"/>
      <c r="AS41" s="1137"/>
      <c r="AT41" s="225"/>
      <c r="AU41" s="228"/>
      <c r="AV41" s="224"/>
      <c r="AW41" s="225"/>
      <c r="AX41" s="228"/>
      <c r="AY41" s="224"/>
      <c r="AZ41" s="225"/>
      <c r="BA41" s="228"/>
      <c r="BB41" s="224"/>
      <c r="BC41" s="225"/>
      <c r="BD41" s="228"/>
      <c r="BE41" s="224"/>
      <c r="BF41" s="225"/>
      <c r="BG41" s="228"/>
      <c r="BH41" s="224"/>
      <c r="BI41" s="225"/>
      <c r="BJ41" s="228"/>
      <c r="BK41" s="224"/>
    </row>
    <row r="42" spans="1:72" ht="24" hidden="1" customHeight="1" thickBot="1">
      <c r="A42" s="427"/>
      <c r="B42" s="288"/>
      <c r="C42" s="288"/>
      <c r="D42" s="288"/>
      <c r="E42" s="280" t="s">
        <v>55</v>
      </c>
      <c r="F42" s="409" t="s">
        <v>12</v>
      </c>
      <c r="G42" s="850"/>
      <c r="H42" s="287"/>
      <c r="I42" s="287"/>
      <c r="J42" s="300"/>
      <c r="K42" s="439"/>
      <c r="L42" s="301"/>
      <c r="M42" s="287"/>
      <c r="N42" s="285">
        <f t="shared" si="5"/>
        <v>0</v>
      </c>
      <c r="O42" s="287"/>
      <c r="P42" s="473"/>
      <c r="Q42" s="302"/>
      <c r="R42" s="57"/>
      <c r="S42" s="58"/>
      <c r="T42" s="59"/>
      <c r="U42" s="60"/>
      <c r="V42" s="60"/>
      <c r="W42" s="60"/>
      <c r="X42" s="60"/>
      <c r="Y42" s="60"/>
      <c r="Z42" s="60"/>
      <c r="AA42" s="41"/>
      <c r="AB42" s="1121"/>
      <c r="AC42" s="1171"/>
      <c r="AD42" s="1123"/>
      <c r="AE42" s="1163"/>
      <c r="AF42" s="1152"/>
      <c r="AG42" s="1151"/>
      <c r="AH42" s="1121"/>
      <c r="AI42" s="1152"/>
      <c r="AJ42" s="1151"/>
      <c r="AK42" s="1163"/>
      <c r="AL42" s="1220"/>
      <c r="AM42" s="1123"/>
      <c r="AN42" s="1115"/>
      <c r="AO42" s="1112"/>
      <c r="AP42" s="1128"/>
      <c r="AQ42" s="1131"/>
      <c r="AR42" s="1134"/>
      <c r="AS42" s="1137"/>
      <c r="AT42" s="225"/>
      <c r="AU42" s="228"/>
      <c r="AV42" s="224"/>
      <c r="AW42" s="225"/>
      <c r="AX42" s="228"/>
      <c r="AY42" s="224"/>
      <c r="AZ42" s="225"/>
      <c r="BA42" s="228"/>
      <c r="BB42" s="224"/>
      <c r="BC42" s="225"/>
      <c r="BD42" s="228"/>
      <c r="BE42" s="224"/>
      <c r="BF42" s="225"/>
      <c r="BG42" s="228"/>
      <c r="BH42" s="224"/>
      <c r="BI42" s="225"/>
      <c r="BJ42" s="228"/>
      <c r="BK42" s="224"/>
    </row>
    <row r="43" spans="1:72" ht="24" hidden="1" customHeight="1" thickBot="1">
      <c r="A43" s="427"/>
      <c r="B43" s="288"/>
      <c r="C43" s="288"/>
      <c r="D43" s="288"/>
      <c r="E43" s="280" t="s">
        <v>65</v>
      </c>
      <c r="F43" s="409" t="s">
        <v>109</v>
      </c>
      <c r="G43" s="850"/>
      <c r="H43" s="287"/>
      <c r="I43" s="287"/>
      <c r="J43" s="300"/>
      <c r="K43" s="439"/>
      <c r="L43" s="301"/>
      <c r="M43" s="287"/>
      <c r="N43" s="285">
        <f t="shared" si="5"/>
        <v>0</v>
      </c>
      <c r="O43" s="287"/>
      <c r="P43" s="473"/>
      <c r="Q43" s="302"/>
      <c r="R43" s="35"/>
      <c r="S43" s="36"/>
      <c r="T43" s="39"/>
      <c r="U43" s="39"/>
      <c r="V43" s="39"/>
      <c r="W43" s="39"/>
      <c r="X43" s="39"/>
      <c r="Y43" s="39"/>
      <c r="Z43" s="39"/>
      <c r="AA43" s="40"/>
      <c r="AB43" s="245"/>
      <c r="AC43" s="247"/>
      <c r="AD43" s="249"/>
      <c r="AE43" s="245"/>
      <c r="AF43" s="247"/>
      <c r="AG43" s="249"/>
      <c r="AH43" s="245"/>
      <c r="AI43" s="247"/>
      <c r="AJ43" s="249"/>
      <c r="AK43" s="253"/>
      <c r="AL43" s="254"/>
      <c r="AM43" s="255"/>
      <c r="AN43" s="253"/>
      <c r="AO43" s="254"/>
      <c r="AP43" s="255"/>
      <c r="AQ43" s="250"/>
      <c r="AR43" s="251"/>
      <c r="AS43" s="252"/>
      <c r="AT43" s="250"/>
      <c r="AU43" s="251"/>
      <c r="AV43" s="252"/>
      <c r="AW43" s="250"/>
      <c r="AX43" s="251"/>
      <c r="AY43" s="252"/>
      <c r="AZ43" s="250"/>
      <c r="BA43" s="251"/>
      <c r="BB43" s="252"/>
      <c r="BC43" s="250"/>
      <c r="BD43" s="251"/>
      <c r="BE43" s="252"/>
      <c r="BF43" s="250"/>
      <c r="BG43" s="251"/>
      <c r="BH43" s="252"/>
      <c r="BI43" s="250"/>
      <c r="BJ43" s="251"/>
      <c r="BK43" s="252"/>
    </row>
    <row r="44" spans="1:72" ht="24" hidden="1" customHeight="1" thickBot="1">
      <c r="A44" s="428"/>
      <c r="B44" s="311"/>
      <c r="C44" s="311"/>
      <c r="D44" s="311"/>
      <c r="E44" s="312" t="s">
        <v>56</v>
      </c>
      <c r="F44" s="412" t="s">
        <v>13</v>
      </c>
      <c r="G44" s="852"/>
      <c r="H44" s="313"/>
      <c r="I44" s="313"/>
      <c r="J44" s="315"/>
      <c r="K44" s="441"/>
      <c r="L44" s="316"/>
      <c r="M44" s="313"/>
      <c r="N44" s="317">
        <f t="shared" si="5"/>
        <v>0</v>
      </c>
      <c r="O44" s="313"/>
      <c r="P44" s="476"/>
      <c r="Q44" s="318"/>
      <c r="R44" s="43"/>
      <c r="S44" s="44"/>
      <c r="T44" s="46"/>
      <c r="U44" s="46"/>
      <c r="V44" s="46"/>
      <c r="W44" s="46"/>
      <c r="X44" s="46"/>
      <c r="Y44" s="46"/>
      <c r="Z44" s="46"/>
      <c r="AA44" s="45"/>
      <c r="AB44" s="268"/>
      <c r="AC44" s="10"/>
      <c r="AD44" s="9"/>
      <c r="AE44" s="268">
        <v>10</v>
      </c>
      <c r="AF44" s="264"/>
      <c r="AG44" s="265"/>
      <c r="AH44" s="268"/>
      <c r="AI44" s="10"/>
      <c r="AJ44" s="9"/>
      <c r="AK44" s="266"/>
      <c r="AL44" s="261"/>
      <c r="AM44" s="262"/>
      <c r="AN44" s="266"/>
      <c r="AO44" s="261"/>
      <c r="AP44" s="262"/>
      <c r="AQ44" s="256"/>
      <c r="AR44" s="257"/>
      <c r="AS44" s="258"/>
      <c r="AT44" s="256"/>
      <c r="AU44" s="257"/>
      <c r="AV44" s="258"/>
      <c r="AW44" s="256"/>
      <c r="AX44" s="257"/>
      <c r="AY44" s="258"/>
      <c r="AZ44" s="256"/>
      <c r="BA44" s="257"/>
      <c r="BB44" s="258"/>
      <c r="BC44" s="256"/>
      <c r="BD44" s="257"/>
      <c r="BE44" s="258"/>
      <c r="BF44" s="256"/>
      <c r="BG44" s="257"/>
      <c r="BH44" s="258"/>
      <c r="BI44" s="256"/>
      <c r="BJ44" s="257"/>
      <c r="BK44" s="258"/>
    </row>
    <row r="45" spans="1:72" ht="34.5" customHeight="1">
      <c r="A45" s="1159" t="s">
        <v>106</v>
      </c>
      <c r="B45" s="748"/>
      <c r="C45" s="846" t="s">
        <v>442</v>
      </c>
      <c r="D45" s="383" t="s">
        <v>278</v>
      </c>
      <c r="E45" s="360" t="s">
        <v>88</v>
      </c>
      <c r="F45" s="413" t="s">
        <v>355</v>
      </c>
      <c r="G45" s="361">
        <v>61</v>
      </c>
      <c r="H45" s="362">
        <f>3600/G45</f>
        <v>59.016393442622949</v>
      </c>
      <c r="I45" s="362"/>
      <c r="J45" s="363">
        <f>Q4</f>
        <v>108</v>
      </c>
      <c r="K45" s="436">
        <v>501</v>
      </c>
      <c r="L45" s="395">
        <v>480</v>
      </c>
      <c r="M45" s="362">
        <f>K45-J45</f>
        <v>393</v>
      </c>
      <c r="N45" s="365">
        <f>((M45*G45)/3600)*-1</f>
        <v>-6.6591666666666667</v>
      </c>
      <c r="O45" s="365">
        <f t="shared" ref="O45:O80" si="6">K45/J45</f>
        <v>4.6388888888888893</v>
      </c>
      <c r="P45" s="468">
        <f>O45*1.5</f>
        <v>6.9583333333333339</v>
      </c>
      <c r="Q45" s="366">
        <f ca="1">+$Q$5+O45</f>
        <v>41756.638888888891</v>
      </c>
      <c r="R45" s="35"/>
      <c r="S45" s="36"/>
      <c r="T45" s="40"/>
      <c r="U45" s="40"/>
      <c r="V45" s="39"/>
      <c r="W45" s="39"/>
      <c r="X45" s="39"/>
      <c r="Y45" s="39"/>
      <c r="Z45" s="39"/>
      <c r="AA45" s="40"/>
      <c r="AB45" s="245"/>
      <c r="AC45" s="247"/>
      <c r="AD45" s="249"/>
      <c r="AE45" s="245">
        <v>11</v>
      </c>
      <c r="AF45" s="263"/>
      <c r="AG45" s="259"/>
      <c r="AH45" s="245">
        <v>12</v>
      </c>
      <c r="AI45" s="263"/>
      <c r="AJ45" s="249"/>
      <c r="AK45" s="253"/>
      <c r="AL45" s="254"/>
      <c r="AM45" s="255"/>
      <c r="AN45" s="251"/>
      <c r="AO45" s="251"/>
      <c r="AP45" s="251"/>
      <c r="AQ45" s="251"/>
      <c r="AR45" s="251"/>
      <c r="AS45" s="251"/>
      <c r="AT45" s="250"/>
      <c r="AU45" s="251"/>
      <c r="AV45" s="252"/>
      <c r="AW45" s="250"/>
      <c r="AX45" s="251"/>
      <c r="AY45" s="252"/>
      <c r="AZ45" s="250"/>
      <c r="BA45" s="251"/>
      <c r="BB45" s="252"/>
      <c r="BC45" s="250"/>
      <c r="BD45" s="251"/>
      <c r="BE45" s="252"/>
      <c r="BF45" s="250"/>
      <c r="BG45" s="251"/>
      <c r="BH45" s="252"/>
      <c r="BI45" s="250"/>
      <c r="BJ45" s="251"/>
      <c r="BK45" s="252"/>
    </row>
    <row r="46" spans="1:72" ht="33" customHeight="1">
      <c r="A46" s="1160"/>
      <c r="B46" s="1232"/>
      <c r="C46" s="1232" t="s">
        <v>434</v>
      </c>
      <c r="D46" s="1232" t="s">
        <v>280</v>
      </c>
      <c r="E46" s="384" t="s">
        <v>92</v>
      </c>
      <c r="F46" s="406" t="s">
        <v>356</v>
      </c>
      <c r="G46" s="368">
        <v>60.8</v>
      </c>
      <c r="H46" s="369">
        <f t="shared" ref="H46:H51" si="7">3600/G46</f>
        <v>59.21052631578948</v>
      </c>
      <c r="I46" s="369">
        <v>1</v>
      </c>
      <c r="J46" s="370">
        <f>Q2</f>
        <v>320</v>
      </c>
      <c r="K46" s="437">
        <v>672</v>
      </c>
      <c r="L46" s="371">
        <f>468+234</f>
        <v>702</v>
      </c>
      <c r="M46" s="369">
        <f t="shared" ref="M46:M51" si="8">K46-J46</f>
        <v>352</v>
      </c>
      <c r="N46" s="372">
        <f t="shared" si="5"/>
        <v>-5.9448888888888884</v>
      </c>
      <c r="O46" s="372">
        <f t="shared" si="6"/>
        <v>2.1</v>
      </c>
      <c r="P46" s="469">
        <f t="shared" ref="P46:P51" si="9">O46*2</f>
        <v>4.2</v>
      </c>
      <c r="Q46" s="373">
        <f t="shared" ref="Q46:Q115" ca="1" si="10">+$Q$5+O46</f>
        <v>41754.1</v>
      </c>
      <c r="R46" s="35"/>
      <c r="S46" s="36"/>
      <c r="T46" s="40"/>
      <c r="U46" s="40"/>
      <c r="V46" s="39"/>
      <c r="W46" s="64">
        <v>1</v>
      </c>
      <c r="X46" s="64">
        <v>1</v>
      </c>
      <c r="Y46" s="64">
        <v>1</v>
      </c>
      <c r="Z46" s="39"/>
      <c r="AA46" s="40"/>
      <c r="AB46" s="1119"/>
      <c r="AC46" s="1117"/>
      <c r="AD46" s="1125"/>
      <c r="AE46" s="1119"/>
      <c r="AF46" s="1117">
        <v>16</v>
      </c>
      <c r="AG46" s="70"/>
      <c r="AH46" s="1122"/>
      <c r="AI46" s="1117">
        <v>20</v>
      </c>
      <c r="AJ46" s="1122"/>
      <c r="AK46" s="1119"/>
      <c r="AL46" s="1117"/>
      <c r="AM46" s="1125"/>
      <c r="AN46" s="1119"/>
      <c r="AO46" s="1117"/>
      <c r="AP46" s="1125"/>
      <c r="AQ46" s="1188"/>
      <c r="AR46" s="1189"/>
      <c r="AS46" s="1185"/>
      <c r="AT46" s="1188"/>
      <c r="AU46" s="1189"/>
      <c r="AV46" s="1185"/>
      <c r="AW46" s="1188"/>
      <c r="AX46" s="1189"/>
      <c r="AY46" s="1185"/>
      <c r="AZ46" s="1188"/>
      <c r="BA46" s="1189"/>
      <c r="BB46" s="1185"/>
      <c r="BC46" s="1188"/>
      <c r="BD46" s="1189"/>
      <c r="BE46" s="1185"/>
      <c r="BF46" s="1188"/>
      <c r="BG46" s="1189"/>
      <c r="BH46" s="1185"/>
      <c r="BI46" s="1188"/>
      <c r="BJ46" s="1189"/>
      <c r="BK46" s="1185"/>
    </row>
    <row r="47" spans="1:72" ht="33.75" customHeight="1" thickBot="1">
      <c r="A47" s="1160"/>
      <c r="B47" s="1232"/>
      <c r="C47" s="1232"/>
      <c r="D47" s="1232"/>
      <c r="E47" s="384" t="s">
        <v>94</v>
      </c>
      <c r="F47" s="406" t="s">
        <v>357</v>
      </c>
      <c r="G47" s="368">
        <v>60.8</v>
      </c>
      <c r="H47" s="369">
        <f t="shared" si="7"/>
        <v>59.21052631578948</v>
      </c>
      <c r="I47" s="369">
        <v>1</v>
      </c>
      <c r="J47" s="370">
        <f>J46+J48</f>
        <v>340</v>
      </c>
      <c r="K47" s="437">
        <f>K46+K48</f>
        <v>794</v>
      </c>
      <c r="L47" s="371">
        <v>702</v>
      </c>
      <c r="M47" s="369">
        <f t="shared" si="8"/>
        <v>454</v>
      </c>
      <c r="N47" s="372">
        <f>((M47*G47)/3600)*-1</f>
        <v>-7.6675555555555546</v>
      </c>
      <c r="O47" s="372">
        <f t="shared" si="6"/>
        <v>2.335294117647059</v>
      </c>
      <c r="P47" s="469">
        <f t="shared" si="9"/>
        <v>4.6705882352941179</v>
      </c>
      <c r="Q47" s="373">
        <f t="shared" ca="1" si="10"/>
        <v>41754.335294117649</v>
      </c>
      <c r="R47" s="35"/>
      <c r="S47" s="36"/>
      <c r="T47" s="40"/>
      <c r="U47" s="40"/>
      <c r="V47" s="39"/>
      <c r="W47" s="39"/>
      <c r="X47" s="39"/>
      <c r="Y47" s="39"/>
      <c r="Z47" s="39"/>
      <c r="AA47" s="40"/>
      <c r="AB47" s="1120"/>
      <c r="AC47" s="1118"/>
      <c r="AD47" s="1126"/>
      <c r="AE47" s="1120"/>
      <c r="AF47" s="1118"/>
      <c r="AG47" s="70"/>
      <c r="AH47" s="1124"/>
      <c r="AI47" s="1118"/>
      <c r="AJ47" s="1124"/>
      <c r="AK47" s="1120"/>
      <c r="AL47" s="1118"/>
      <c r="AM47" s="1126"/>
      <c r="AN47" s="1120"/>
      <c r="AO47" s="1118"/>
      <c r="AP47" s="1126"/>
      <c r="AQ47" s="1140"/>
      <c r="AR47" s="1142"/>
      <c r="AS47" s="1150"/>
      <c r="AT47" s="1140"/>
      <c r="AU47" s="1142"/>
      <c r="AV47" s="1150"/>
      <c r="AW47" s="1140"/>
      <c r="AX47" s="1142"/>
      <c r="AY47" s="1150"/>
      <c r="AZ47" s="1140"/>
      <c r="BA47" s="1142"/>
      <c r="BB47" s="1150"/>
      <c r="BC47" s="1140"/>
      <c r="BD47" s="1142"/>
      <c r="BE47" s="1150"/>
      <c r="BF47" s="1140"/>
      <c r="BG47" s="1142"/>
      <c r="BH47" s="1150"/>
      <c r="BI47" s="1140"/>
      <c r="BJ47" s="1142"/>
      <c r="BK47" s="1150"/>
    </row>
    <row r="48" spans="1:72" ht="37.5" customHeight="1" thickBot="1">
      <c r="A48" s="1160"/>
      <c r="B48" s="1232"/>
      <c r="C48" s="1232"/>
      <c r="D48" s="1232"/>
      <c r="E48" s="384" t="s">
        <v>93</v>
      </c>
      <c r="F48" s="406" t="s">
        <v>358</v>
      </c>
      <c r="G48" s="368">
        <v>60.8</v>
      </c>
      <c r="H48" s="369">
        <f t="shared" si="7"/>
        <v>59.21052631578948</v>
      </c>
      <c r="I48" s="369">
        <v>1</v>
      </c>
      <c r="J48" s="370">
        <v>20</v>
      </c>
      <c r="K48" s="437">
        <f>32+90</f>
        <v>122</v>
      </c>
      <c r="L48" s="371">
        <v>234</v>
      </c>
      <c r="M48" s="369">
        <f t="shared" si="8"/>
        <v>102</v>
      </c>
      <c r="N48" s="372">
        <f>((M48*G48)/3600)*-1</f>
        <v>-1.7226666666666666</v>
      </c>
      <c r="O48" s="372">
        <f t="shared" si="6"/>
        <v>6.1</v>
      </c>
      <c r="P48" s="469">
        <f t="shared" si="9"/>
        <v>12.2</v>
      </c>
      <c r="Q48" s="373">
        <f t="shared" ca="1" si="10"/>
        <v>41758.1</v>
      </c>
      <c r="R48" s="35"/>
      <c r="S48" s="36"/>
      <c r="T48" s="40"/>
      <c r="U48" s="40"/>
      <c r="V48" s="39"/>
      <c r="W48" s="39"/>
      <c r="X48" s="39"/>
      <c r="Y48" s="39"/>
      <c r="Z48" s="39"/>
      <c r="AA48" s="40"/>
      <c r="AB48" s="245"/>
      <c r="AC48" s="247"/>
      <c r="AD48" s="249"/>
      <c r="AE48" s="245"/>
      <c r="AF48" s="247"/>
      <c r="AG48" s="249"/>
      <c r="AH48" s="245"/>
      <c r="AI48" s="247"/>
      <c r="AJ48" s="249"/>
      <c r="AK48" s="245"/>
      <c r="AL48" s="247"/>
      <c r="AM48" s="249"/>
      <c r="AN48" s="245"/>
      <c r="AO48" s="247"/>
      <c r="AP48" s="249"/>
      <c r="AQ48" s="239"/>
      <c r="AR48" s="241"/>
      <c r="AS48" s="243"/>
      <c r="AT48" s="239"/>
      <c r="AU48" s="241"/>
      <c r="AV48" s="243"/>
      <c r="AW48" s="239"/>
      <c r="AX48" s="241"/>
      <c r="AY48" s="243"/>
      <c r="AZ48" s="239"/>
      <c r="BA48" s="241"/>
      <c r="BB48" s="243"/>
      <c r="BC48" s="239"/>
      <c r="BD48" s="241"/>
      <c r="BE48" s="243"/>
      <c r="BF48" s="239"/>
      <c r="BG48" s="241"/>
      <c r="BH48" s="243"/>
      <c r="BI48" s="239"/>
      <c r="BJ48" s="241"/>
      <c r="BK48" s="243"/>
      <c r="BT48" s="163"/>
    </row>
    <row r="49" spans="1:70" ht="35.25" customHeight="1">
      <c r="A49" s="1160"/>
      <c r="B49" s="1232"/>
      <c r="C49" s="1232" t="s">
        <v>434</v>
      </c>
      <c r="D49" s="1232" t="s">
        <v>281</v>
      </c>
      <c r="E49" s="384" t="s">
        <v>95</v>
      </c>
      <c r="F49" s="406" t="s">
        <v>359</v>
      </c>
      <c r="G49" s="369">
        <v>67</v>
      </c>
      <c r="H49" s="369">
        <f t="shared" si="7"/>
        <v>53.731343283582092</v>
      </c>
      <c r="I49" s="369">
        <v>1</v>
      </c>
      <c r="J49" s="370">
        <f>Q2</f>
        <v>320</v>
      </c>
      <c r="K49" s="437">
        <f>252+289+105</f>
        <v>646</v>
      </c>
      <c r="L49" s="371">
        <f>468+234</f>
        <v>702</v>
      </c>
      <c r="M49" s="369">
        <f t="shared" si="8"/>
        <v>326</v>
      </c>
      <c r="N49" s="372">
        <f>((M49*G49)/3600)*-1</f>
        <v>-6.0672222222222221</v>
      </c>
      <c r="O49" s="372">
        <f t="shared" si="6"/>
        <v>2.0187499999999998</v>
      </c>
      <c r="P49" s="469">
        <f t="shared" si="9"/>
        <v>4.0374999999999996</v>
      </c>
      <c r="Q49" s="373">
        <f t="shared" ca="1" si="10"/>
        <v>41754.018750000003</v>
      </c>
      <c r="R49" s="35"/>
      <c r="S49" s="36"/>
      <c r="T49" s="37">
        <v>1</v>
      </c>
      <c r="U49" s="37"/>
      <c r="V49" s="64">
        <v>1</v>
      </c>
      <c r="W49" s="39"/>
      <c r="X49" s="39"/>
      <c r="Y49" s="39"/>
      <c r="Z49" s="64">
        <v>1</v>
      </c>
      <c r="AA49" s="37">
        <v>1</v>
      </c>
      <c r="AB49" s="1119"/>
      <c r="AC49" s="1117"/>
      <c r="AD49" s="1125"/>
      <c r="AE49" s="1119"/>
      <c r="AF49" s="1117"/>
      <c r="AG49" s="1125"/>
      <c r="AH49" s="1119">
        <v>4</v>
      </c>
      <c r="AI49" s="1170"/>
      <c r="AJ49" s="1125"/>
      <c r="AK49" s="1119"/>
      <c r="AL49" s="1117"/>
      <c r="AM49" s="1125"/>
      <c r="AN49" s="1119"/>
      <c r="AO49" s="1117"/>
      <c r="AP49" s="1125"/>
      <c r="AQ49" s="1188"/>
      <c r="AR49" s="1189"/>
      <c r="AS49" s="1185"/>
      <c r="AT49" s="1188"/>
      <c r="AU49" s="1189"/>
      <c r="AV49" s="1185"/>
      <c r="AW49" s="1188"/>
      <c r="AX49" s="1189"/>
      <c r="AY49" s="1185"/>
      <c r="AZ49" s="1188"/>
      <c r="BA49" s="1189"/>
      <c r="BB49" s="1185"/>
      <c r="BC49" s="1188"/>
      <c r="BD49" s="1189"/>
      <c r="BE49" s="1185"/>
      <c r="BF49" s="1188"/>
      <c r="BG49" s="1189"/>
      <c r="BH49" s="1185"/>
      <c r="BI49" s="1188"/>
      <c r="BJ49" s="1189"/>
      <c r="BK49" s="1185"/>
    </row>
    <row r="50" spans="1:70" ht="31.5" customHeight="1">
      <c r="A50" s="1160"/>
      <c r="B50" s="1232"/>
      <c r="C50" s="1232"/>
      <c r="D50" s="1232"/>
      <c r="E50" s="384" t="s">
        <v>97</v>
      </c>
      <c r="F50" s="406" t="s">
        <v>360</v>
      </c>
      <c r="G50" s="369">
        <v>67</v>
      </c>
      <c r="H50" s="369">
        <f t="shared" si="7"/>
        <v>53.731343283582092</v>
      </c>
      <c r="I50" s="369">
        <v>1</v>
      </c>
      <c r="J50" s="370">
        <f>J49+J51</f>
        <v>340</v>
      </c>
      <c r="K50" s="437">
        <f>K51+K49</f>
        <v>772</v>
      </c>
      <c r="L50" s="371">
        <v>468</v>
      </c>
      <c r="M50" s="369">
        <f t="shared" si="8"/>
        <v>432</v>
      </c>
      <c r="N50" s="372">
        <f>((M50*G50)/3600)*-1</f>
        <v>-8.0399999999999991</v>
      </c>
      <c r="O50" s="372">
        <f t="shared" si="6"/>
        <v>2.2705882352941176</v>
      </c>
      <c r="P50" s="469">
        <f t="shared" si="9"/>
        <v>4.5411764705882351</v>
      </c>
      <c r="Q50" s="373">
        <f t="shared" ca="1" si="10"/>
        <v>41754.270588235297</v>
      </c>
      <c r="R50" s="35"/>
      <c r="S50" s="36"/>
      <c r="T50" s="40"/>
      <c r="U50" s="40"/>
      <c r="V50" s="39"/>
      <c r="W50" s="39"/>
      <c r="X50" s="39"/>
      <c r="Y50" s="39"/>
      <c r="Z50" s="39"/>
      <c r="AA50" s="40"/>
      <c r="AB50" s="1120"/>
      <c r="AC50" s="1118"/>
      <c r="AD50" s="1126"/>
      <c r="AE50" s="1120"/>
      <c r="AF50" s="1118"/>
      <c r="AG50" s="1126"/>
      <c r="AH50" s="1120"/>
      <c r="AI50" s="1171"/>
      <c r="AJ50" s="1126"/>
      <c r="AK50" s="1120"/>
      <c r="AL50" s="1118"/>
      <c r="AM50" s="1126"/>
      <c r="AN50" s="1120"/>
      <c r="AO50" s="1118"/>
      <c r="AP50" s="1126"/>
      <c r="AQ50" s="1140"/>
      <c r="AR50" s="1142"/>
      <c r="AS50" s="1150"/>
      <c r="AT50" s="1140"/>
      <c r="AU50" s="1142"/>
      <c r="AV50" s="1150"/>
      <c r="AW50" s="1140"/>
      <c r="AX50" s="1142"/>
      <c r="AY50" s="1150"/>
      <c r="AZ50" s="1140"/>
      <c r="BA50" s="1142"/>
      <c r="BB50" s="1150"/>
      <c r="BC50" s="1140"/>
      <c r="BD50" s="1142"/>
      <c r="BE50" s="1150"/>
      <c r="BF50" s="1140"/>
      <c r="BG50" s="1142"/>
      <c r="BH50" s="1150"/>
      <c r="BI50" s="1140"/>
      <c r="BJ50" s="1142"/>
      <c r="BK50" s="1150"/>
    </row>
    <row r="51" spans="1:70" ht="32.25" customHeight="1" thickBot="1">
      <c r="A51" s="1160"/>
      <c r="B51" s="1232"/>
      <c r="C51" s="1232"/>
      <c r="D51" s="1232"/>
      <c r="E51" s="384" t="s">
        <v>96</v>
      </c>
      <c r="F51" s="406" t="s">
        <v>361</v>
      </c>
      <c r="G51" s="369">
        <v>67</v>
      </c>
      <c r="H51" s="369">
        <f t="shared" si="7"/>
        <v>53.731343283582092</v>
      </c>
      <c r="I51" s="369">
        <v>1</v>
      </c>
      <c r="J51" s="370">
        <v>20</v>
      </c>
      <c r="K51" s="437">
        <v>126</v>
      </c>
      <c r="L51" s="371">
        <v>234</v>
      </c>
      <c r="M51" s="369">
        <f t="shared" si="8"/>
        <v>106</v>
      </c>
      <c r="N51" s="372">
        <f>((M51*G51)/3600)*-1</f>
        <v>-1.9727777777777777</v>
      </c>
      <c r="O51" s="372">
        <f t="shared" si="6"/>
        <v>6.3</v>
      </c>
      <c r="P51" s="469">
        <f t="shared" si="9"/>
        <v>12.6</v>
      </c>
      <c r="Q51" s="373">
        <f t="shared" ca="1" si="10"/>
        <v>41758.300000000003</v>
      </c>
      <c r="R51" s="35"/>
      <c r="S51" s="36"/>
      <c r="T51" s="40"/>
      <c r="U51" s="40"/>
      <c r="V51" s="39"/>
      <c r="W51" s="39"/>
      <c r="X51" s="39"/>
      <c r="Y51" s="39"/>
      <c r="Z51" s="39"/>
      <c r="AA51" s="40"/>
      <c r="AB51" s="260">
        <v>6</v>
      </c>
      <c r="AC51" s="247"/>
      <c r="AD51" s="249"/>
      <c r="AE51" s="245"/>
      <c r="AF51" s="247"/>
      <c r="AG51" s="249"/>
      <c r="AH51" s="245"/>
      <c r="AI51" s="247"/>
      <c r="AJ51" s="249"/>
      <c r="AK51" s="245"/>
      <c r="AL51" s="247"/>
      <c r="AM51" s="249"/>
      <c r="AN51" s="245"/>
      <c r="AO51" s="247"/>
      <c r="AP51" s="249"/>
      <c r="AQ51" s="239"/>
      <c r="AR51" s="241"/>
      <c r="AS51" s="243"/>
      <c r="AT51" s="239"/>
      <c r="AU51" s="241"/>
      <c r="AV51" s="243"/>
      <c r="AW51" s="239"/>
      <c r="AX51" s="241"/>
      <c r="AY51" s="243"/>
      <c r="AZ51" s="239"/>
      <c r="BA51" s="241"/>
      <c r="BB51" s="243"/>
      <c r="BC51" s="239"/>
      <c r="BD51" s="241"/>
      <c r="BE51" s="243"/>
      <c r="BF51" s="239"/>
      <c r="BG51" s="241"/>
      <c r="BH51" s="243"/>
      <c r="BI51" s="239"/>
      <c r="BJ51" s="241"/>
      <c r="BK51" s="243"/>
    </row>
    <row r="52" spans="1:70" ht="24" hidden="1" customHeight="1">
      <c r="A52" s="1160"/>
      <c r="B52" s="750"/>
      <c r="C52" s="843"/>
      <c r="D52" s="375"/>
      <c r="E52" s="385" t="s">
        <v>98</v>
      </c>
      <c r="F52" s="406" t="s">
        <v>41</v>
      </c>
      <c r="G52" s="369"/>
      <c r="H52" s="374"/>
      <c r="I52" s="374"/>
      <c r="J52" s="387"/>
      <c r="K52" s="439"/>
      <c r="L52" s="388"/>
      <c r="M52" s="374"/>
      <c r="N52" s="374"/>
      <c r="O52" s="372" t="e">
        <f t="shared" si="6"/>
        <v>#DIV/0!</v>
      </c>
      <c r="P52" s="469"/>
      <c r="Q52" s="373" t="e">
        <f t="shared" ca="1" si="10"/>
        <v>#DIV/0!</v>
      </c>
      <c r="R52" s="35"/>
      <c r="S52" s="36"/>
      <c r="T52" s="40"/>
      <c r="U52" s="40"/>
      <c r="V52" s="39"/>
      <c r="W52" s="39"/>
      <c r="X52" s="39"/>
      <c r="Y52" s="39"/>
      <c r="Z52" s="39"/>
      <c r="AA52" s="40"/>
      <c r="AB52" s="245">
        <v>12</v>
      </c>
      <c r="AC52" s="263"/>
      <c r="AD52" s="259"/>
      <c r="AE52" s="245"/>
      <c r="AF52" s="247"/>
      <c r="AG52" s="249"/>
      <c r="AH52" s="245"/>
      <c r="AI52" s="247"/>
      <c r="AJ52" s="249"/>
      <c r="AK52" s="245"/>
      <c r="AL52" s="247"/>
      <c r="AM52" s="249"/>
      <c r="AN52" s="245"/>
      <c r="AO52" s="247"/>
      <c r="AP52" s="249"/>
      <c r="AQ52" s="239"/>
      <c r="AR52" s="241"/>
      <c r="AS52" s="243"/>
      <c r="AT52" s="239"/>
      <c r="AU52" s="241"/>
      <c r="AV52" s="243"/>
      <c r="AW52" s="239"/>
      <c r="AX52" s="241"/>
      <c r="AY52" s="243"/>
      <c r="AZ52" s="239"/>
      <c r="BA52" s="241"/>
      <c r="BB52" s="243"/>
      <c r="BC52" s="239"/>
      <c r="BD52" s="241"/>
      <c r="BE52" s="243"/>
      <c r="BF52" s="239"/>
      <c r="BG52" s="241"/>
      <c r="BH52" s="243"/>
      <c r="BI52" s="239"/>
      <c r="BJ52" s="241"/>
      <c r="BK52" s="243"/>
    </row>
    <row r="53" spans="1:70" ht="24" hidden="1" customHeight="1">
      <c r="A53" s="1160"/>
      <c r="B53" s="750"/>
      <c r="C53" s="843"/>
      <c r="D53" s="375"/>
      <c r="E53" s="385" t="s">
        <v>99</v>
      </c>
      <c r="F53" s="406" t="s">
        <v>42</v>
      </c>
      <c r="G53" s="369"/>
      <c r="H53" s="374"/>
      <c r="I53" s="374"/>
      <c r="J53" s="387"/>
      <c r="K53" s="439"/>
      <c r="L53" s="388"/>
      <c r="M53" s="374"/>
      <c r="N53" s="374"/>
      <c r="O53" s="372" t="e">
        <f t="shared" si="6"/>
        <v>#DIV/0!</v>
      </c>
      <c r="P53" s="469"/>
      <c r="Q53" s="373" t="e">
        <f t="shared" ca="1" si="10"/>
        <v>#DIV/0!</v>
      </c>
      <c r="R53" s="35"/>
      <c r="S53" s="36"/>
      <c r="T53" s="40"/>
      <c r="U53" s="40"/>
      <c r="V53" s="39"/>
      <c r="W53" s="39"/>
      <c r="X53" s="39"/>
      <c r="Y53" s="39"/>
      <c r="Z53" s="39"/>
      <c r="AA53" s="40"/>
      <c r="AB53" s="245"/>
      <c r="AC53" s="247"/>
      <c r="AD53" s="249"/>
      <c r="AE53" s="245"/>
      <c r="AF53" s="247"/>
      <c r="AG53" s="249"/>
      <c r="AH53" s="245"/>
      <c r="AI53" s="247"/>
      <c r="AJ53" s="249"/>
      <c r="AK53" s="245"/>
      <c r="AL53" s="247"/>
      <c r="AM53" s="249"/>
      <c r="AN53" s="245"/>
      <c r="AO53" s="247"/>
      <c r="AP53" s="249"/>
      <c r="AQ53" s="239"/>
      <c r="AR53" s="241"/>
      <c r="AS53" s="243"/>
      <c r="AT53" s="239"/>
      <c r="AU53" s="241"/>
      <c r="AV53" s="243"/>
      <c r="AW53" s="239"/>
      <c r="AX53" s="241"/>
      <c r="AY53" s="243"/>
      <c r="AZ53" s="239"/>
      <c r="BA53" s="241"/>
      <c r="BB53" s="243"/>
      <c r="BC53" s="239"/>
      <c r="BD53" s="241"/>
      <c r="BE53" s="243"/>
      <c r="BF53" s="239"/>
      <c r="BG53" s="241"/>
      <c r="BH53" s="243"/>
      <c r="BI53" s="239"/>
      <c r="BJ53" s="241"/>
      <c r="BK53" s="243"/>
    </row>
    <row r="54" spans="1:70" ht="24" hidden="1" customHeight="1">
      <c r="A54" s="1160"/>
      <c r="B54" s="750"/>
      <c r="C54" s="843"/>
      <c r="D54" s="375"/>
      <c r="E54" s="385" t="s">
        <v>100</v>
      </c>
      <c r="F54" s="406" t="s">
        <v>43</v>
      </c>
      <c r="G54" s="369"/>
      <c r="H54" s="374"/>
      <c r="I54" s="374"/>
      <c r="J54" s="387"/>
      <c r="K54" s="439"/>
      <c r="L54" s="388"/>
      <c r="M54" s="374"/>
      <c r="N54" s="374"/>
      <c r="O54" s="372" t="e">
        <f t="shared" si="6"/>
        <v>#DIV/0!</v>
      </c>
      <c r="P54" s="469"/>
      <c r="Q54" s="373" t="e">
        <f t="shared" ca="1" si="10"/>
        <v>#DIV/0!</v>
      </c>
      <c r="R54" s="35"/>
      <c r="S54" s="36"/>
      <c r="T54" s="40"/>
      <c r="U54" s="40"/>
      <c r="V54" s="39"/>
      <c r="W54" s="39"/>
      <c r="X54" s="39"/>
      <c r="Y54" s="39"/>
      <c r="Z54" s="39"/>
      <c r="AA54" s="40"/>
      <c r="AB54" s="245"/>
      <c r="AC54" s="247"/>
      <c r="AD54" s="4">
        <v>0</v>
      </c>
      <c r="AE54" s="260"/>
      <c r="AF54" s="263"/>
      <c r="AG54" s="249"/>
      <c r="AH54" s="245"/>
      <c r="AI54" s="247"/>
      <c r="AJ54" s="249"/>
      <c r="AK54" s="245"/>
      <c r="AL54" s="247"/>
      <c r="AM54" s="249"/>
      <c r="AN54" s="245"/>
      <c r="AO54" s="247"/>
      <c r="AP54" s="249"/>
      <c r="AQ54" s="239"/>
      <c r="AR54" s="241"/>
      <c r="AS54" s="243"/>
      <c r="AT54" s="239"/>
      <c r="AU54" s="241"/>
      <c r="AV54" s="243"/>
      <c r="AW54" s="239"/>
      <c r="AX54" s="241"/>
      <c r="AY54" s="243"/>
      <c r="AZ54" s="239"/>
      <c r="BA54" s="241"/>
      <c r="BB54" s="243"/>
      <c r="BC54" s="239"/>
      <c r="BD54" s="241"/>
      <c r="BE54" s="243"/>
      <c r="BF54" s="239"/>
      <c r="BG54" s="241"/>
      <c r="BH54" s="243"/>
      <c r="BI54" s="239"/>
      <c r="BJ54" s="241"/>
      <c r="BK54" s="243"/>
    </row>
    <row r="55" spans="1:70" ht="24" hidden="1" customHeight="1">
      <c r="A55" s="1160"/>
      <c r="B55" s="750"/>
      <c r="C55" s="843"/>
      <c r="D55" s="375"/>
      <c r="E55" s="385" t="s">
        <v>101</v>
      </c>
      <c r="F55" s="406" t="s">
        <v>44</v>
      </c>
      <c r="G55" s="369"/>
      <c r="H55" s="374"/>
      <c r="I55" s="374"/>
      <c r="J55" s="387"/>
      <c r="K55" s="439"/>
      <c r="L55" s="388"/>
      <c r="M55" s="374"/>
      <c r="N55" s="374"/>
      <c r="O55" s="372" t="e">
        <f t="shared" si="6"/>
        <v>#DIV/0!</v>
      </c>
      <c r="P55" s="469"/>
      <c r="Q55" s="373" t="e">
        <f t="shared" ca="1" si="10"/>
        <v>#DIV/0!</v>
      </c>
      <c r="R55" s="43"/>
      <c r="S55" s="44"/>
      <c r="T55" s="45"/>
      <c r="U55" s="45"/>
      <c r="V55" s="46"/>
      <c r="W55" s="46"/>
      <c r="X55" s="46"/>
      <c r="Y55" s="46"/>
      <c r="Z55" s="46"/>
      <c r="AA55" s="45"/>
      <c r="AB55" s="268"/>
      <c r="AC55" s="10"/>
      <c r="AD55" s="9"/>
      <c r="AE55" s="268"/>
      <c r="AF55" s="10"/>
      <c r="AG55" s="9"/>
      <c r="AH55" s="268"/>
      <c r="AI55" s="10"/>
      <c r="AJ55" s="9"/>
      <c r="AK55" s="268"/>
      <c r="AL55" s="10"/>
      <c r="AM55" s="9"/>
      <c r="AN55" s="268"/>
      <c r="AO55" s="10"/>
      <c r="AP55" s="9"/>
      <c r="AQ55" s="51"/>
      <c r="AR55" s="52"/>
      <c r="AS55" s="53"/>
      <c r="AT55" s="51"/>
      <c r="AU55" s="52"/>
      <c r="AV55" s="53"/>
      <c r="AW55" s="51"/>
      <c r="AX55" s="52"/>
      <c r="AY55" s="53"/>
      <c r="AZ55" s="51"/>
      <c r="BA55" s="52"/>
      <c r="BB55" s="53"/>
      <c r="BC55" s="51"/>
      <c r="BD55" s="52"/>
      <c r="BE55" s="53"/>
      <c r="BF55" s="51"/>
      <c r="BG55" s="52"/>
      <c r="BH55" s="53"/>
      <c r="BI55" s="51"/>
      <c r="BJ55" s="52"/>
      <c r="BK55" s="53"/>
    </row>
    <row r="56" spans="1:70" ht="27.75" hidden="1" customHeight="1" thickBot="1">
      <c r="A56" s="1160"/>
      <c r="B56" s="1232"/>
      <c r="C56" s="1232"/>
      <c r="D56" s="1232" t="s">
        <v>282</v>
      </c>
      <c r="E56" s="384" t="s">
        <v>98</v>
      </c>
      <c r="F56" s="406" t="s">
        <v>41</v>
      </c>
      <c r="G56" s="369">
        <v>69</v>
      </c>
      <c r="H56" s="369">
        <f t="shared" ref="H56:H63" si="11">3600/G56</f>
        <v>52.173913043478258</v>
      </c>
      <c r="I56" s="369">
        <v>1</v>
      </c>
      <c r="J56" s="370">
        <v>180</v>
      </c>
      <c r="K56" s="437">
        <v>10</v>
      </c>
      <c r="L56" s="371">
        <v>468</v>
      </c>
      <c r="M56" s="369">
        <f t="shared" ref="M56:M63" si="12">K56-J56</f>
        <v>-170</v>
      </c>
      <c r="N56" s="372">
        <f t="shared" ref="N56:N63" si="13">((M56*G56)/3600)*-1</f>
        <v>3.2583333333333333</v>
      </c>
      <c r="O56" s="372">
        <f t="shared" si="6"/>
        <v>5.5555555555555552E-2</v>
      </c>
      <c r="P56" s="469"/>
      <c r="Q56" s="373">
        <f t="shared" ca="1" si="10"/>
        <v>41752.055555555555</v>
      </c>
      <c r="R56" s="47"/>
      <c r="S56" s="48"/>
      <c r="T56" s="49"/>
      <c r="U56" s="49"/>
      <c r="V56" s="50"/>
      <c r="W56" s="50"/>
      <c r="X56" s="50"/>
      <c r="Y56" s="68"/>
      <c r="Z56" s="68">
        <v>1</v>
      </c>
      <c r="AA56" s="67">
        <v>1</v>
      </c>
      <c r="AB56" s="244"/>
      <c r="AC56" s="246"/>
      <c r="AD56" s="248"/>
      <c r="AE56" s="244"/>
      <c r="AF56" s="246"/>
      <c r="AG56" s="248"/>
      <c r="AH56" s="244"/>
      <c r="AI56" s="246"/>
      <c r="AJ56" s="248"/>
      <c r="AK56" s="13"/>
      <c r="AL56" s="11"/>
      <c r="AM56" s="12"/>
      <c r="AN56" s="13"/>
      <c r="AO56" s="11"/>
      <c r="AP56" s="12"/>
      <c r="AQ56" s="30"/>
      <c r="AR56" s="31"/>
      <c r="AS56" s="32"/>
      <c r="AT56" s="30"/>
      <c r="AU56" s="31"/>
      <c r="AV56" s="32"/>
      <c r="AW56" s="30"/>
      <c r="AX56" s="31"/>
      <c r="AY56" s="32"/>
      <c r="AZ56" s="30"/>
      <c r="BA56" s="31"/>
      <c r="BB56" s="32"/>
      <c r="BC56" s="30"/>
      <c r="BD56" s="31"/>
      <c r="BE56" s="32"/>
      <c r="BF56" s="30"/>
      <c r="BG56" s="31"/>
      <c r="BH56" s="32"/>
      <c r="BI56" s="30"/>
      <c r="BJ56" s="31"/>
      <c r="BK56" s="32"/>
    </row>
    <row r="57" spans="1:70" ht="27.75" hidden="1" customHeight="1" thickBot="1">
      <c r="A57" s="1160"/>
      <c r="B57" s="1232"/>
      <c r="C57" s="1232"/>
      <c r="D57" s="1232"/>
      <c r="E57" s="384" t="s">
        <v>99</v>
      </c>
      <c r="F57" s="406" t="s">
        <v>42</v>
      </c>
      <c r="G57" s="369">
        <v>69</v>
      </c>
      <c r="H57" s="369">
        <f t="shared" si="11"/>
        <v>52.173913043478258</v>
      </c>
      <c r="I57" s="369">
        <v>1</v>
      </c>
      <c r="J57" s="370">
        <v>6</v>
      </c>
      <c r="K57" s="437">
        <v>426</v>
      </c>
      <c r="L57" s="371">
        <v>234</v>
      </c>
      <c r="M57" s="369">
        <f t="shared" si="12"/>
        <v>420</v>
      </c>
      <c r="N57" s="372">
        <f t="shared" si="13"/>
        <v>-8.0500000000000007</v>
      </c>
      <c r="O57" s="372">
        <f t="shared" si="6"/>
        <v>71</v>
      </c>
      <c r="P57" s="469"/>
      <c r="Q57" s="373">
        <f t="shared" ca="1" si="10"/>
        <v>41823</v>
      </c>
      <c r="R57" s="35"/>
      <c r="S57" s="36"/>
      <c r="T57" s="40"/>
      <c r="U57" s="40"/>
      <c r="V57" s="39"/>
      <c r="W57" s="39"/>
      <c r="X57" s="39"/>
      <c r="Y57" s="64">
        <v>1</v>
      </c>
      <c r="Z57" s="39"/>
      <c r="AA57" s="40"/>
      <c r="AB57" s="245"/>
      <c r="AC57" s="247"/>
      <c r="AD57" s="249"/>
      <c r="AE57" s="245"/>
      <c r="AF57" s="247"/>
      <c r="AG57" s="249"/>
      <c r="AH57" s="245"/>
      <c r="AI57" s="247"/>
      <c r="AJ57" s="249"/>
      <c r="AK57" s="253"/>
      <c r="AL57" s="254"/>
      <c r="AM57" s="255"/>
      <c r="AN57" s="253"/>
      <c r="AO57" s="254"/>
      <c r="AP57" s="255"/>
      <c r="AQ57" s="250"/>
      <c r="AR57" s="251"/>
      <c r="AS57" s="252"/>
      <c r="AT57" s="250"/>
      <c r="AU57" s="251"/>
      <c r="AV57" s="252"/>
      <c r="AW57" s="250"/>
      <c r="AX57" s="251"/>
      <c r="AY57" s="252"/>
      <c r="AZ57" s="250"/>
      <c r="BA57" s="251"/>
      <c r="BB57" s="252"/>
      <c r="BC57" s="250"/>
      <c r="BD57" s="251"/>
      <c r="BE57" s="252"/>
      <c r="BF57" s="250"/>
      <c r="BG57" s="251"/>
      <c r="BH57" s="252"/>
      <c r="BI57" s="250"/>
      <c r="BJ57" s="251"/>
      <c r="BK57" s="252"/>
    </row>
    <row r="58" spans="1:70" ht="27.75" hidden="1" customHeight="1" thickBot="1">
      <c r="A58" s="1160"/>
      <c r="B58" s="1232"/>
      <c r="C58" s="1232"/>
      <c r="D58" s="1232" t="s">
        <v>283</v>
      </c>
      <c r="E58" s="384" t="s">
        <v>100</v>
      </c>
      <c r="F58" s="406" t="s">
        <v>43</v>
      </c>
      <c r="G58" s="369">
        <v>65</v>
      </c>
      <c r="H58" s="369">
        <f t="shared" si="11"/>
        <v>55.384615384615387</v>
      </c>
      <c r="I58" s="369">
        <v>1</v>
      </c>
      <c r="J58" s="370">
        <v>180</v>
      </c>
      <c r="K58" s="437">
        <v>180</v>
      </c>
      <c r="L58" s="371">
        <v>468</v>
      </c>
      <c r="M58" s="369">
        <f t="shared" si="12"/>
        <v>0</v>
      </c>
      <c r="N58" s="372">
        <f t="shared" si="13"/>
        <v>0</v>
      </c>
      <c r="O58" s="372">
        <f t="shared" si="6"/>
        <v>1</v>
      </c>
      <c r="P58" s="469"/>
      <c r="Q58" s="373">
        <f t="shared" ca="1" si="10"/>
        <v>41753</v>
      </c>
      <c r="R58" s="35"/>
      <c r="S58" s="36"/>
      <c r="T58" s="40"/>
      <c r="U58" s="40"/>
      <c r="V58" s="64"/>
      <c r="W58" s="64">
        <v>1</v>
      </c>
      <c r="X58" s="64">
        <v>1</v>
      </c>
      <c r="Y58" s="39"/>
      <c r="Z58" s="39"/>
      <c r="AA58" s="40"/>
      <c r="AB58" s="245"/>
      <c r="AC58" s="247"/>
      <c r="AD58" s="249"/>
      <c r="AE58" s="245"/>
      <c r="AF58" s="247"/>
      <c r="AG58" s="249"/>
      <c r="AH58" s="245"/>
      <c r="AI58" s="247"/>
      <c r="AJ58" s="249"/>
      <c r="AK58" s="253"/>
      <c r="AL58" s="254"/>
      <c r="AM58" s="255"/>
      <c r="AN58" s="253"/>
      <c r="AO58" s="254"/>
      <c r="AP58" s="255"/>
      <c r="AQ58" s="250"/>
      <c r="AR58" s="251"/>
      <c r="AS58" s="252"/>
      <c r="AT58" s="250"/>
      <c r="AU58" s="251"/>
      <c r="AV58" s="252"/>
      <c r="AW58" s="250"/>
      <c r="AX58" s="251"/>
      <c r="AY58" s="252"/>
      <c r="AZ58" s="250"/>
      <c r="BA58" s="251"/>
      <c r="BB58" s="252"/>
      <c r="BC58" s="250"/>
      <c r="BD58" s="251"/>
      <c r="BE58" s="252"/>
      <c r="BF58" s="250"/>
      <c r="BG58" s="251"/>
      <c r="BH58" s="252"/>
      <c r="BI58" s="250"/>
      <c r="BJ58" s="251"/>
      <c r="BK58" s="252"/>
    </row>
    <row r="59" spans="1:70" ht="27.75" hidden="1" customHeight="1" thickBot="1">
      <c r="A59" s="1160"/>
      <c r="B59" s="1108"/>
      <c r="C59" s="1108"/>
      <c r="D59" s="1348"/>
      <c r="E59" s="377" t="s">
        <v>101</v>
      </c>
      <c r="F59" s="407" t="s">
        <v>44</v>
      </c>
      <c r="G59" s="369">
        <v>65</v>
      </c>
      <c r="H59" s="378">
        <f t="shared" si="11"/>
        <v>55.384615384615387</v>
      </c>
      <c r="I59" s="378">
        <v>1</v>
      </c>
      <c r="J59" s="379">
        <v>4</v>
      </c>
      <c r="K59" s="438">
        <v>10</v>
      </c>
      <c r="L59" s="380">
        <v>234</v>
      </c>
      <c r="M59" s="378">
        <f t="shared" si="12"/>
        <v>6</v>
      </c>
      <c r="N59" s="381">
        <f t="shared" si="13"/>
        <v>-0.10833333333333334</v>
      </c>
      <c r="O59" s="381">
        <f t="shared" si="6"/>
        <v>2.5</v>
      </c>
      <c r="P59" s="470"/>
      <c r="Q59" s="382">
        <f t="shared" ca="1" si="10"/>
        <v>41754.5</v>
      </c>
      <c r="R59" s="35"/>
      <c r="S59" s="36"/>
      <c r="T59" s="40"/>
      <c r="U59" s="40"/>
      <c r="V59" s="64">
        <v>1</v>
      </c>
      <c r="W59" s="39"/>
      <c r="X59" s="39"/>
      <c r="Y59" s="39"/>
      <c r="Z59" s="39"/>
      <c r="AA59" s="40"/>
      <c r="AB59" s="245"/>
      <c r="AC59" s="247"/>
      <c r="AD59" s="249"/>
      <c r="AE59" s="245"/>
      <c r="AF59" s="247"/>
      <c r="AG59" s="249"/>
      <c r="AH59" s="245"/>
      <c r="AI59" s="247"/>
      <c r="AJ59" s="249"/>
      <c r="AK59" s="253"/>
      <c r="AL59" s="254"/>
      <c r="AM59" s="255"/>
      <c r="AN59" s="253"/>
      <c r="AO59" s="254"/>
      <c r="AP59" s="255"/>
      <c r="AQ59" s="250"/>
      <c r="AR59" s="251"/>
      <c r="AS59" s="252"/>
      <c r="AT59" s="250"/>
      <c r="AU59" s="251"/>
      <c r="AV59" s="252"/>
      <c r="AW59" s="250"/>
      <c r="AX59" s="251"/>
      <c r="AY59" s="252"/>
      <c r="AZ59" s="250"/>
      <c r="BA59" s="251"/>
      <c r="BB59" s="252"/>
      <c r="BC59" s="250"/>
      <c r="BD59" s="251"/>
      <c r="BE59" s="252"/>
      <c r="BF59" s="250"/>
      <c r="BG59" s="251"/>
      <c r="BH59" s="252"/>
      <c r="BI59" s="250"/>
      <c r="BJ59" s="251"/>
      <c r="BK59" s="252"/>
    </row>
    <row r="60" spans="1:70" ht="39.75" customHeight="1">
      <c r="A60" s="1160"/>
      <c r="B60" s="1232"/>
      <c r="C60" s="1232" t="s">
        <v>434</v>
      </c>
      <c r="D60" s="1318" t="s">
        <v>282</v>
      </c>
      <c r="E60" s="384" t="s">
        <v>98</v>
      </c>
      <c r="F60" s="406" t="s">
        <v>370</v>
      </c>
      <c r="G60" s="369">
        <v>61</v>
      </c>
      <c r="H60" s="369">
        <f t="shared" si="11"/>
        <v>59.016393442622949</v>
      </c>
      <c r="I60" s="369">
        <v>1</v>
      </c>
      <c r="J60" s="370">
        <v>108</v>
      </c>
      <c r="K60" s="437">
        <f>56+403+212</f>
        <v>671</v>
      </c>
      <c r="L60" s="752">
        <v>468</v>
      </c>
      <c r="M60" s="369">
        <f t="shared" si="12"/>
        <v>563</v>
      </c>
      <c r="N60" s="372">
        <f t="shared" si="13"/>
        <v>-9.5397222222222222</v>
      </c>
      <c r="O60" s="372">
        <f t="shared" si="6"/>
        <v>6.2129629629629628</v>
      </c>
      <c r="P60" s="469">
        <f>O60*2</f>
        <v>12.425925925925926</v>
      </c>
      <c r="Q60" s="373">
        <f t="shared" ca="1" si="10"/>
        <v>41758.212962962964</v>
      </c>
      <c r="R60" s="47"/>
      <c r="S60" s="48"/>
      <c r="T60" s="49"/>
      <c r="U60" s="49"/>
      <c r="V60" s="50"/>
      <c r="W60" s="50"/>
      <c r="X60" s="50"/>
      <c r="Y60" s="68"/>
      <c r="Z60" s="68">
        <v>1</v>
      </c>
      <c r="AA60" s="67">
        <v>1</v>
      </c>
      <c r="AB60" s="756"/>
      <c r="AC60" s="757"/>
      <c r="AD60" s="758"/>
      <c r="AE60" s="756"/>
      <c r="AF60" s="757"/>
      <c r="AG60" s="758"/>
      <c r="AH60" s="756"/>
      <c r="AI60" s="757"/>
      <c r="AJ60" s="758"/>
      <c r="AK60" s="13"/>
      <c r="AL60" s="11"/>
      <c r="AM60" s="12"/>
      <c r="AN60" s="13"/>
      <c r="AO60" s="11"/>
      <c r="AP60" s="12"/>
      <c r="AQ60" s="30"/>
      <c r="AR60" s="31"/>
      <c r="AS60" s="32"/>
      <c r="AT60" s="30"/>
      <c r="AU60" s="31"/>
      <c r="AV60" s="32"/>
      <c r="AW60" s="30"/>
      <c r="AX60" s="31"/>
      <c r="AY60" s="32"/>
      <c r="AZ60" s="30"/>
      <c r="BA60" s="31"/>
      <c r="BB60" s="32"/>
      <c r="BC60" s="30"/>
      <c r="BD60" s="31"/>
      <c r="BE60" s="32"/>
      <c r="BF60" s="30"/>
      <c r="BG60" s="31"/>
      <c r="BH60" s="32"/>
      <c r="BI60" s="30"/>
      <c r="BJ60" s="31"/>
      <c r="BK60" s="32"/>
    </row>
    <row r="61" spans="1:70" ht="36.75" customHeight="1">
      <c r="A61" s="1160"/>
      <c r="B61" s="1232"/>
      <c r="C61" s="1232"/>
      <c r="D61" s="1318"/>
      <c r="E61" s="384" t="s">
        <v>99</v>
      </c>
      <c r="F61" s="406" t="s">
        <v>371</v>
      </c>
      <c r="G61" s="369">
        <v>61</v>
      </c>
      <c r="H61" s="369">
        <f t="shared" si="11"/>
        <v>59.016393442622949</v>
      </c>
      <c r="I61" s="369">
        <v>1</v>
      </c>
      <c r="J61" s="370">
        <v>4</v>
      </c>
      <c r="K61" s="437">
        <v>8</v>
      </c>
      <c r="L61" s="752">
        <v>0</v>
      </c>
      <c r="M61" s="369">
        <f t="shared" si="12"/>
        <v>4</v>
      </c>
      <c r="N61" s="372">
        <f t="shared" si="13"/>
        <v>-6.7777777777777784E-2</v>
      </c>
      <c r="O61" s="372">
        <f t="shared" si="6"/>
        <v>2</v>
      </c>
      <c r="P61" s="469">
        <f>O61*2</f>
        <v>4</v>
      </c>
      <c r="Q61" s="373">
        <f t="shared" ca="1" si="10"/>
        <v>41754</v>
      </c>
      <c r="R61" s="35"/>
      <c r="S61" s="36"/>
      <c r="T61" s="40"/>
      <c r="U61" s="40"/>
      <c r="V61" s="39"/>
      <c r="W61" s="39"/>
      <c r="X61" s="39"/>
      <c r="Y61" s="64">
        <v>1</v>
      </c>
      <c r="Z61" s="39"/>
      <c r="AA61" s="40"/>
      <c r="AB61" s="740"/>
      <c r="AC61" s="741"/>
      <c r="AD61" s="749"/>
      <c r="AE61" s="740"/>
      <c r="AF61" s="741"/>
      <c r="AG61" s="749"/>
      <c r="AH61" s="740"/>
      <c r="AI61" s="741"/>
      <c r="AJ61" s="749"/>
      <c r="AK61" s="742"/>
      <c r="AL61" s="743"/>
      <c r="AM61" s="744"/>
      <c r="AN61" s="742"/>
      <c r="AO61" s="743"/>
      <c r="AP61" s="744"/>
      <c r="AQ61" s="745"/>
      <c r="AR61" s="746"/>
      <c r="AS61" s="747"/>
      <c r="AT61" s="745"/>
      <c r="AU61" s="746"/>
      <c r="AV61" s="747"/>
      <c r="AW61" s="745"/>
      <c r="AX61" s="746"/>
      <c r="AY61" s="747"/>
      <c r="AZ61" s="745"/>
      <c r="BA61" s="746"/>
      <c r="BB61" s="747"/>
      <c r="BC61" s="745"/>
      <c r="BD61" s="746"/>
      <c r="BE61" s="747"/>
      <c r="BF61" s="745"/>
      <c r="BG61" s="746"/>
      <c r="BH61" s="747"/>
      <c r="BI61" s="745"/>
      <c r="BJ61" s="746"/>
      <c r="BK61" s="747"/>
    </row>
    <row r="62" spans="1:70" ht="35.25" customHeight="1">
      <c r="A62" s="1160"/>
      <c r="B62" s="1232"/>
      <c r="C62" s="1232" t="s">
        <v>434</v>
      </c>
      <c r="D62" s="1318" t="s">
        <v>283</v>
      </c>
      <c r="E62" s="384" t="s">
        <v>100</v>
      </c>
      <c r="F62" s="406" t="s">
        <v>372</v>
      </c>
      <c r="G62" s="369">
        <v>61</v>
      </c>
      <c r="H62" s="369">
        <f t="shared" si="11"/>
        <v>59.016393442622949</v>
      </c>
      <c r="I62" s="369">
        <v>1</v>
      </c>
      <c r="J62" s="370">
        <v>108</v>
      </c>
      <c r="K62" s="437">
        <f>18+128+185</f>
        <v>331</v>
      </c>
      <c r="L62" s="752">
        <v>468</v>
      </c>
      <c r="M62" s="369">
        <f t="shared" si="12"/>
        <v>223</v>
      </c>
      <c r="N62" s="372">
        <f t="shared" si="13"/>
        <v>-3.7786111111111111</v>
      </c>
      <c r="O62" s="372">
        <f t="shared" si="6"/>
        <v>3.0648148148148149</v>
      </c>
      <c r="P62" s="469">
        <f>O62*2</f>
        <v>6.1296296296296298</v>
      </c>
      <c r="Q62" s="373">
        <f t="shared" ca="1" si="10"/>
        <v>41755.064814814818</v>
      </c>
      <c r="R62" s="35"/>
      <c r="S62" s="36"/>
      <c r="T62" s="40"/>
      <c r="U62" s="40"/>
      <c r="V62" s="64"/>
      <c r="W62" s="64">
        <v>1</v>
      </c>
      <c r="X62" s="64">
        <v>1</v>
      </c>
      <c r="Y62" s="39"/>
      <c r="Z62" s="39"/>
      <c r="AA62" s="40"/>
      <c r="AB62" s="740"/>
      <c r="AC62" s="741"/>
      <c r="AD62" s="749"/>
      <c r="AE62" s="740"/>
      <c r="AF62" s="741"/>
      <c r="AG62" s="749"/>
      <c r="AH62" s="740"/>
      <c r="AI62" s="741"/>
      <c r="AJ62" s="749"/>
      <c r="AK62" s="742"/>
      <c r="AL62" s="743"/>
      <c r="AM62" s="744"/>
      <c r="AN62" s="742"/>
      <c r="AO62" s="743"/>
      <c r="AP62" s="744"/>
      <c r="AQ62" s="745"/>
      <c r="AR62" s="746"/>
      <c r="AS62" s="747"/>
      <c r="AT62" s="745"/>
      <c r="AU62" s="746"/>
      <c r="AV62" s="747"/>
      <c r="AW62" s="745"/>
      <c r="AX62" s="746"/>
      <c r="AY62" s="747"/>
      <c r="AZ62" s="745"/>
      <c r="BA62" s="746"/>
      <c r="BB62" s="747"/>
      <c r="BC62" s="745"/>
      <c r="BD62" s="746"/>
      <c r="BE62" s="747"/>
      <c r="BF62" s="745"/>
      <c r="BG62" s="746"/>
      <c r="BH62" s="747"/>
      <c r="BI62" s="745"/>
      <c r="BJ62" s="746"/>
      <c r="BK62" s="747"/>
    </row>
    <row r="63" spans="1:70" ht="37.5" customHeight="1" thickBot="1">
      <c r="A63" s="1161"/>
      <c r="B63" s="1232"/>
      <c r="C63" s="1232"/>
      <c r="D63" s="1165"/>
      <c r="E63" s="774" t="s">
        <v>101</v>
      </c>
      <c r="F63" s="775" t="s">
        <v>373</v>
      </c>
      <c r="G63" s="369">
        <v>61</v>
      </c>
      <c r="H63" s="633">
        <f t="shared" si="11"/>
        <v>59.016393442622949</v>
      </c>
      <c r="I63" s="633">
        <v>1</v>
      </c>
      <c r="J63" s="776">
        <v>4</v>
      </c>
      <c r="K63" s="442">
        <v>18</v>
      </c>
      <c r="L63" s="634">
        <v>0</v>
      </c>
      <c r="M63" s="633">
        <f t="shared" si="12"/>
        <v>14</v>
      </c>
      <c r="N63" s="635">
        <f t="shared" si="13"/>
        <v>-0.23722222222222222</v>
      </c>
      <c r="O63" s="635">
        <f t="shared" si="6"/>
        <v>4.5</v>
      </c>
      <c r="P63" s="469">
        <f>O63*2</f>
        <v>9</v>
      </c>
      <c r="Q63" s="636">
        <f t="shared" ca="1" si="10"/>
        <v>41756.5</v>
      </c>
      <c r="R63" s="35"/>
      <c r="S63" s="36"/>
      <c r="T63" s="40"/>
      <c r="U63" s="40"/>
      <c r="V63" s="64">
        <v>1</v>
      </c>
      <c r="W63" s="39"/>
      <c r="X63" s="39"/>
      <c r="Y63" s="39"/>
      <c r="Z63" s="39"/>
      <c r="AA63" s="40"/>
      <c r="AB63" s="740"/>
      <c r="AC63" s="741"/>
      <c r="AD63" s="749"/>
      <c r="AE63" s="740"/>
      <c r="AF63" s="741"/>
      <c r="AG63" s="749"/>
      <c r="AH63" s="740"/>
      <c r="AI63" s="741"/>
      <c r="AJ63" s="749"/>
      <c r="AK63" s="742"/>
      <c r="AL63" s="743"/>
      <c r="AM63" s="744"/>
      <c r="AN63" s="742"/>
      <c r="AO63" s="743"/>
      <c r="AP63" s="744"/>
      <c r="AQ63" s="745"/>
      <c r="AR63" s="746"/>
      <c r="AS63" s="747"/>
      <c r="AT63" s="745"/>
      <c r="AU63" s="746"/>
      <c r="AV63" s="747"/>
      <c r="AW63" s="745"/>
      <c r="AX63" s="746"/>
      <c r="AY63" s="747"/>
      <c r="AZ63" s="745"/>
      <c r="BA63" s="746"/>
      <c r="BB63" s="747"/>
      <c r="BC63" s="745"/>
      <c r="BD63" s="746"/>
      <c r="BE63" s="747"/>
      <c r="BF63" s="745"/>
      <c r="BG63" s="746"/>
      <c r="BH63" s="747"/>
      <c r="BI63" s="745"/>
      <c r="BJ63" s="746"/>
      <c r="BK63" s="747"/>
    </row>
    <row r="64" spans="1:70" ht="33" customHeight="1" thickBot="1">
      <c r="A64" s="1190" t="s">
        <v>326</v>
      </c>
      <c r="B64" s="777"/>
      <c r="C64" s="777" t="s">
        <v>444</v>
      </c>
      <c r="D64" s="321" t="s">
        <v>264</v>
      </c>
      <c r="E64" s="322" t="s">
        <v>69</v>
      </c>
      <c r="F64" s="408" t="s">
        <v>362</v>
      </c>
      <c r="G64" s="614">
        <v>49.8</v>
      </c>
      <c r="H64" s="275">
        <f t="shared" ref="H64:H69" si="14">3600/G64</f>
        <v>72.289156626506028</v>
      </c>
      <c r="I64" s="275">
        <v>1</v>
      </c>
      <c r="J64" s="276">
        <f>Q2</f>
        <v>320</v>
      </c>
      <c r="K64" s="436">
        <f>993+323</f>
        <v>1316</v>
      </c>
      <c r="L64" s="277">
        <v>1344</v>
      </c>
      <c r="M64" s="275">
        <f t="shared" si="2"/>
        <v>996</v>
      </c>
      <c r="N64" s="278">
        <f t="shared" si="5"/>
        <v>-13.777999999999999</v>
      </c>
      <c r="O64" s="278">
        <f t="shared" si="6"/>
        <v>4.1124999999999998</v>
      </c>
      <c r="P64" s="471">
        <f>O64*1.5</f>
        <v>6.1687499999999993</v>
      </c>
      <c r="Q64" s="279">
        <f t="shared" ca="1" si="10"/>
        <v>41756.112500000003</v>
      </c>
      <c r="R64" s="35"/>
      <c r="S64" s="36"/>
      <c r="T64" s="37">
        <v>1</v>
      </c>
      <c r="U64" s="37"/>
      <c r="V64" s="64">
        <v>1</v>
      </c>
      <c r="W64" s="64">
        <v>1</v>
      </c>
      <c r="X64" s="39"/>
      <c r="Y64" s="39"/>
      <c r="Z64" s="39"/>
      <c r="AA64" s="40"/>
      <c r="AB64" s="245"/>
      <c r="AC64" s="247"/>
      <c r="AD64" s="249">
        <v>5</v>
      </c>
      <c r="AE64" s="260"/>
      <c r="AF64" s="263"/>
      <c r="AG64" s="259"/>
      <c r="AH64" s="260"/>
      <c r="AI64" s="263"/>
      <c r="AJ64" s="259"/>
      <c r="AK64" s="260"/>
      <c r="AL64" s="263"/>
      <c r="AM64" s="255"/>
      <c r="AN64" s="253"/>
      <c r="AO64" s="254"/>
      <c r="AP64" s="255"/>
      <c r="AQ64" s="250"/>
      <c r="AR64" s="251"/>
      <c r="AS64" s="252"/>
      <c r="AT64" s="250"/>
      <c r="AU64" s="251"/>
      <c r="AV64" s="252"/>
      <c r="AW64" s="250"/>
      <c r="AX64" s="251"/>
      <c r="AY64" s="252"/>
      <c r="AZ64" s="250"/>
      <c r="BA64" s="251"/>
      <c r="BB64" s="252"/>
      <c r="BC64" s="250"/>
      <c r="BD64" s="251"/>
      <c r="BE64" s="252"/>
      <c r="BF64" s="250"/>
      <c r="BG64" s="251"/>
      <c r="BH64" s="252"/>
      <c r="BI64" s="250"/>
      <c r="BJ64" s="251"/>
      <c r="BK64" s="252"/>
      <c r="BR64" s="270">
        <v>4188</v>
      </c>
    </row>
    <row r="65" spans="1:70" ht="43.5" customHeight="1" thickBot="1">
      <c r="A65" s="1191"/>
      <c r="B65" s="1193"/>
      <c r="C65" s="1193" t="s">
        <v>442</v>
      </c>
      <c r="D65" s="1193" t="s">
        <v>266</v>
      </c>
      <c r="E65" s="298" t="s">
        <v>72</v>
      </c>
      <c r="F65" s="409" t="s">
        <v>363</v>
      </c>
      <c r="G65" s="613">
        <v>48</v>
      </c>
      <c r="H65" s="282">
        <f t="shared" si="14"/>
        <v>75</v>
      </c>
      <c r="I65" s="282">
        <v>1</v>
      </c>
      <c r="J65" s="283">
        <f>Q3</f>
        <v>214</v>
      </c>
      <c r="K65" s="437">
        <v>261</v>
      </c>
      <c r="L65" s="284">
        <v>520</v>
      </c>
      <c r="M65" s="282">
        <f t="shared" si="2"/>
        <v>47</v>
      </c>
      <c r="N65" s="285">
        <f t="shared" si="5"/>
        <v>-0.62666666666666671</v>
      </c>
      <c r="O65" s="285">
        <f t="shared" si="6"/>
        <v>1.219626168224299</v>
      </c>
      <c r="P65" s="471">
        <f>O65*1.5</f>
        <v>1.8294392523364484</v>
      </c>
      <c r="Q65" s="286">
        <f t="shared" ca="1" si="10"/>
        <v>41753.219626168226</v>
      </c>
      <c r="R65" s="35"/>
      <c r="S65" s="36"/>
      <c r="T65" s="40"/>
      <c r="U65" s="41"/>
      <c r="V65" s="1085"/>
      <c r="W65" s="1085"/>
      <c r="X65" s="1085"/>
      <c r="Y65" s="1085"/>
      <c r="Z65" s="1085"/>
      <c r="AA65" s="1083"/>
      <c r="AB65" s="1119">
        <v>10</v>
      </c>
      <c r="AC65" s="1170"/>
      <c r="AD65" s="1122"/>
      <c r="AE65" s="1119"/>
      <c r="AF65" s="1117"/>
      <c r="AG65" s="1125"/>
      <c r="AH65" s="1119"/>
      <c r="AI65" s="1117"/>
      <c r="AJ65" s="1125"/>
      <c r="AK65" s="1114"/>
      <c r="AL65" s="1111"/>
      <c r="AM65" s="1127"/>
      <c r="AN65" s="1114"/>
      <c r="AO65" s="1111"/>
      <c r="AP65" s="1127"/>
      <c r="AQ65" s="1130"/>
      <c r="AR65" s="1133"/>
      <c r="AS65" s="1136"/>
      <c r="AT65" s="1130"/>
      <c r="AU65" s="1133"/>
      <c r="AV65" s="1136"/>
      <c r="AW65" s="1130"/>
      <c r="AX65" s="1133"/>
      <c r="AY65" s="1136"/>
      <c r="AZ65" s="1130"/>
      <c r="BA65" s="1133"/>
      <c r="BB65" s="1136"/>
      <c r="BC65" s="1130"/>
      <c r="BD65" s="1133"/>
      <c r="BE65" s="1136"/>
      <c r="BF65" s="1130"/>
      <c r="BG65" s="1133"/>
      <c r="BH65" s="1136"/>
      <c r="BI65" s="1130"/>
      <c r="BJ65" s="1133"/>
      <c r="BK65" s="1136"/>
    </row>
    <row r="66" spans="1:70" ht="42" customHeight="1" thickBot="1">
      <c r="A66" s="1191"/>
      <c r="B66" s="1193"/>
      <c r="C66" s="1193"/>
      <c r="D66" s="1193"/>
      <c r="E66" s="298" t="s">
        <v>73</v>
      </c>
      <c r="F66" s="409" t="s">
        <v>364</v>
      </c>
      <c r="G66" s="613">
        <v>48</v>
      </c>
      <c r="H66" s="282">
        <f t="shared" si="14"/>
        <v>75</v>
      </c>
      <c r="I66" s="282">
        <v>1</v>
      </c>
      <c r="J66" s="283">
        <f>Q3</f>
        <v>214</v>
      </c>
      <c r="K66" s="437">
        <v>412</v>
      </c>
      <c r="L66" s="284">
        <v>520</v>
      </c>
      <c r="M66" s="282">
        <f t="shared" si="2"/>
        <v>198</v>
      </c>
      <c r="N66" s="285">
        <f t="shared" si="5"/>
        <v>-2.64</v>
      </c>
      <c r="O66" s="285">
        <f t="shared" si="6"/>
        <v>1.9252336448598131</v>
      </c>
      <c r="P66" s="471">
        <f>O66*1.5</f>
        <v>2.8878504672897196</v>
      </c>
      <c r="Q66" s="286">
        <f t="shared" ca="1" si="10"/>
        <v>41753.925233644863</v>
      </c>
      <c r="R66" s="35"/>
      <c r="S66" s="36"/>
      <c r="T66" s="40"/>
      <c r="U66" s="42"/>
      <c r="V66" s="1086"/>
      <c r="W66" s="1086"/>
      <c r="X66" s="1086"/>
      <c r="Y66" s="1086"/>
      <c r="Z66" s="1086"/>
      <c r="AA66" s="1084"/>
      <c r="AB66" s="1120"/>
      <c r="AC66" s="1171"/>
      <c r="AD66" s="1124"/>
      <c r="AE66" s="1120"/>
      <c r="AF66" s="1118"/>
      <c r="AG66" s="1126"/>
      <c r="AH66" s="1120"/>
      <c r="AI66" s="1118"/>
      <c r="AJ66" s="1126"/>
      <c r="AK66" s="1116"/>
      <c r="AL66" s="1113"/>
      <c r="AM66" s="1129"/>
      <c r="AN66" s="1116"/>
      <c r="AO66" s="1113"/>
      <c r="AP66" s="1129"/>
      <c r="AQ66" s="1132"/>
      <c r="AR66" s="1135"/>
      <c r="AS66" s="1138"/>
      <c r="AT66" s="1132"/>
      <c r="AU66" s="1135"/>
      <c r="AV66" s="1138"/>
      <c r="AW66" s="1132"/>
      <c r="AX66" s="1135"/>
      <c r="AY66" s="1138"/>
      <c r="AZ66" s="1132"/>
      <c r="BA66" s="1135"/>
      <c r="BB66" s="1138"/>
      <c r="BC66" s="1132"/>
      <c r="BD66" s="1135"/>
      <c r="BE66" s="1138"/>
      <c r="BF66" s="1132"/>
      <c r="BG66" s="1135"/>
      <c r="BH66" s="1138"/>
      <c r="BI66" s="1132"/>
      <c r="BJ66" s="1135"/>
      <c r="BK66" s="1138"/>
    </row>
    <row r="67" spans="1:70" ht="33" customHeight="1">
      <c r="A67" s="1191"/>
      <c r="B67" s="323"/>
      <c r="C67" s="323" t="s">
        <v>442</v>
      </c>
      <c r="D67" s="323" t="s">
        <v>267</v>
      </c>
      <c r="E67" s="280" t="s">
        <v>74</v>
      </c>
      <c r="F67" s="409" t="s">
        <v>365</v>
      </c>
      <c r="G67" s="614">
        <v>51.1</v>
      </c>
      <c r="H67" s="282">
        <f t="shared" si="14"/>
        <v>70.450097847358123</v>
      </c>
      <c r="I67" s="282">
        <v>1</v>
      </c>
      <c r="J67" s="283">
        <f>0.3*Q2</f>
        <v>96</v>
      </c>
      <c r="K67" s="437">
        <v>258</v>
      </c>
      <c r="L67" s="284">
        <v>438</v>
      </c>
      <c r="M67" s="282">
        <f t="shared" si="2"/>
        <v>162</v>
      </c>
      <c r="N67" s="285">
        <f t="shared" si="5"/>
        <v>-2.2995000000000001</v>
      </c>
      <c r="O67" s="285">
        <f t="shared" si="6"/>
        <v>2.6875</v>
      </c>
      <c r="P67" s="471">
        <f>O67*1.5</f>
        <v>4.03125</v>
      </c>
      <c r="Q67" s="286">
        <f t="shared" ca="1" si="10"/>
        <v>41754.6875</v>
      </c>
      <c r="R67" s="35"/>
      <c r="S67" s="36"/>
      <c r="T67" s="40"/>
      <c r="U67" s="40"/>
      <c r="V67" s="39"/>
      <c r="W67" s="39"/>
      <c r="X67" s="64">
        <v>1</v>
      </c>
      <c r="Y67" s="39"/>
      <c r="Z67" s="39"/>
      <c r="AA67" s="40"/>
      <c r="AB67" s="245"/>
      <c r="AC67" s="247"/>
      <c r="AD67" s="249"/>
      <c r="AE67" s="245"/>
      <c r="AF67" s="247"/>
      <c r="AG67" s="249"/>
      <c r="AH67" s="245"/>
      <c r="AI67" s="247"/>
      <c r="AJ67" s="249"/>
      <c r="AK67" s="253"/>
      <c r="AL67" s="254"/>
      <c r="AM67" s="255"/>
      <c r="AN67" s="253"/>
      <c r="AO67" s="254"/>
      <c r="AP67" s="255"/>
      <c r="AQ67" s="250"/>
      <c r="AR67" s="251"/>
      <c r="AS67" s="252"/>
      <c r="AT67" s="250"/>
      <c r="AU67" s="251"/>
      <c r="AV67" s="252"/>
      <c r="AW67" s="250"/>
      <c r="AX67" s="251"/>
      <c r="AY67" s="252"/>
      <c r="AZ67" s="250"/>
      <c r="BA67" s="251"/>
      <c r="BB67" s="252"/>
      <c r="BC67" s="250"/>
      <c r="BD67" s="251"/>
      <c r="BE67" s="252"/>
      <c r="BF67" s="250"/>
      <c r="BG67" s="251"/>
      <c r="BH67" s="252"/>
      <c r="BI67" s="250"/>
      <c r="BJ67" s="251"/>
      <c r="BK67" s="252"/>
      <c r="BR67" s="270">
        <v>236</v>
      </c>
    </row>
    <row r="68" spans="1:70" ht="23.25" hidden="1" customHeight="1">
      <c r="A68" s="1191"/>
      <c r="B68" s="1193"/>
      <c r="C68" s="1193"/>
      <c r="D68" s="1193" t="s">
        <v>268</v>
      </c>
      <c r="E68" s="280" t="s">
        <v>75</v>
      </c>
      <c r="F68" s="409" t="s">
        <v>24</v>
      </c>
      <c r="G68" s="614">
        <v>49.3</v>
      </c>
      <c r="H68" s="282">
        <f t="shared" si="14"/>
        <v>73.022312373225162</v>
      </c>
      <c r="I68" s="282">
        <v>1</v>
      </c>
      <c r="J68" s="283">
        <v>200</v>
      </c>
      <c r="K68" s="437">
        <v>565</v>
      </c>
      <c r="L68" s="284">
        <v>544</v>
      </c>
      <c r="M68" s="282">
        <f t="shared" si="2"/>
        <v>365</v>
      </c>
      <c r="N68" s="285">
        <f t="shared" si="5"/>
        <v>-4.9984722222222224</v>
      </c>
      <c r="O68" s="285">
        <f t="shared" si="6"/>
        <v>2.8250000000000002</v>
      </c>
      <c r="P68" s="472"/>
      <c r="Q68" s="286">
        <f t="shared" ca="1" si="10"/>
        <v>41754.824999999997</v>
      </c>
      <c r="R68" s="35"/>
      <c r="S68" s="36"/>
      <c r="T68" s="40"/>
      <c r="U68" s="41"/>
      <c r="V68" s="1085"/>
      <c r="W68" s="1085"/>
      <c r="X68" s="1085"/>
      <c r="Y68" s="1085"/>
      <c r="Z68" s="1085"/>
      <c r="AA68" s="1083"/>
      <c r="AB68" s="1119"/>
      <c r="AC68" s="1117"/>
      <c r="AD68" s="1125"/>
      <c r="AE68" s="1119"/>
      <c r="AF68" s="1117"/>
      <c r="AG68" s="1125"/>
      <c r="AH68" s="1119"/>
      <c r="AI68" s="1117"/>
      <c r="AJ68" s="1125"/>
      <c r="AK68" s="1114"/>
      <c r="AL68" s="1111">
        <v>20</v>
      </c>
      <c r="AM68" s="1122"/>
      <c r="AN68" s="1114"/>
      <c r="AO68" s="1111"/>
      <c r="AP68" s="1127"/>
      <c r="AQ68" s="1130"/>
      <c r="AR68" s="1133"/>
      <c r="AS68" s="1136"/>
      <c r="AT68" s="1130"/>
      <c r="AU68" s="1133"/>
      <c r="AV68" s="1136"/>
      <c r="AW68" s="1130"/>
      <c r="AX68" s="1133"/>
      <c r="AY68" s="1136"/>
      <c r="AZ68" s="1130"/>
      <c r="BA68" s="1133"/>
      <c r="BB68" s="1136"/>
      <c r="BC68" s="1130"/>
      <c r="BD68" s="1133"/>
      <c r="BE68" s="1136"/>
      <c r="BF68" s="1130"/>
      <c r="BG68" s="1133"/>
      <c r="BH68" s="1136"/>
      <c r="BI68" s="1130"/>
      <c r="BJ68" s="1133"/>
      <c r="BK68" s="1136"/>
      <c r="BR68" s="271">
        <v>179</v>
      </c>
    </row>
    <row r="69" spans="1:70" ht="23.25" hidden="1" customHeight="1">
      <c r="A69" s="1191"/>
      <c r="B69" s="1193"/>
      <c r="C69" s="1193"/>
      <c r="D69" s="1193"/>
      <c r="E69" s="280" t="s">
        <v>76</v>
      </c>
      <c r="F69" s="409" t="s">
        <v>25</v>
      </c>
      <c r="G69" s="614">
        <v>49.3</v>
      </c>
      <c r="H69" s="282">
        <f t="shared" si="14"/>
        <v>73.022312373225162</v>
      </c>
      <c r="I69" s="282">
        <v>1</v>
      </c>
      <c r="J69" s="283">
        <v>200</v>
      </c>
      <c r="K69" s="437">
        <v>565</v>
      </c>
      <c r="L69" s="284">
        <v>544</v>
      </c>
      <c r="M69" s="282">
        <f t="shared" si="2"/>
        <v>365</v>
      </c>
      <c r="N69" s="285">
        <f t="shared" si="5"/>
        <v>-4.9984722222222224</v>
      </c>
      <c r="O69" s="285">
        <f t="shared" si="6"/>
        <v>2.8250000000000002</v>
      </c>
      <c r="P69" s="472"/>
      <c r="Q69" s="286">
        <f t="shared" ca="1" si="10"/>
        <v>41754.824999999997</v>
      </c>
      <c r="R69" s="35"/>
      <c r="S69" s="36"/>
      <c r="T69" s="40"/>
      <c r="U69" s="42"/>
      <c r="V69" s="1086"/>
      <c r="W69" s="1086"/>
      <c r="X69" s="1086"/>
      <c r="Y69" s="1086"/>
      <c r="Z69" s="1086"/>
      <c r="AA69" s="1084"/>
      <c r="AB69" s="1120"/>
      <c r="AC69" s="1118"/>
      <c r="AD69" s="1126"/>
      <c r="AE69" s="1120"/>
      <c r="AF69" s="1118"/>
      <c r="AG69" s="1126"/>
      <c r="AH69" s="1120"/>
      <c r="AI69" s="1118"/>
      <c r="AJ69" s="1126"/>
      <c r="AK69" s="1116"/>
      <c r="AL69" s="1113"/>
      <c r="AM69" s="1124"/>
      <c r="AN69" s="1116"/>
      <c r="AO69" s="1113"/>
      <c r="AP69" s="1129"/>
      <c r="AQ69" s="1132"/>
      <c r="AR69" s="1135"/>
      <c r="AS69" s="1138"/>
      <c r="AT69" s="1132"/>
      <c r="AU69" s="1135"/>
      <c r="AV69" s="1138"/>
      <c r="AW69" s="1132"/>
      <c r="AX69" s="1135"/>
      <c r="AY69" s="1138"/>
      <c r="AZ69" s="1132"/>
      <c r="BA69" s="1135"/>
      <c r="BB69" s="1138"/>
      <c r="BC69" s="1132"/>
      <c r="BD69" s="1135"/>
      <c r="BE69" s="1138"/>
      <c r="BF69" s="1132"/>
      <c r="BG69" s="1135"/>
      <c r="BH69" s="1138"/>
      <c r="BI69" s="1132"/>
      <c r="BJ69" s="1135"/>
      <c r="BK69" s="1138"/>
    </row>
    <row r="70" spans="1:70" ht="24" hidden="1" customHeight="1" thickBot="1">
      <c r="A70" s="1191"/>
      <c r="B70" s="323"/>
      <c r="C70" s="323"/>
      <c r="D70" s="323"/>
      <c r="E70" s="324" t="s">
        <v>58</v>
      </c>
      <c r="F70" s="409" t="s">
        <v>15</v>
      </c>
      <c r="G70" s="614"/>
      <c r="H70" s="287"/>
      <c r="I70" s="287"/>
      <c r="J70" s="300"/>
      <c r="K70" s="439"/>
      <c r="L70" s="301"/>
      <c r="M70" s="282">
        <f t="shared" si="2"/>
        <v>0</v>
      </c>
      <c r="N70" s="285">
        <f t="shared" si="5"/>
        <v>0</v>
      </c>
      <c r="O70" s="285" t="e">
        <f t="shared" si="6"/>
        <v>#DIV/0!</v>
      </c>
      <c r="P70" s="472"/>
      <c r="Q70" s="286" t="e">
        <f t="shared" ca="1" si="10"/>
        <v>#DIV/0!</v>
      </c>
      <c r="R70" s="35"/>
      <c r="S70" s="36"/>
      <c r="T70" s="40"/>
      <c r="U70" s="41"/>
      <c r="V70" s="60"/>
      <c r="W70" s="60"/>
      <c r="X70" s="60"/>
      <c r="Y70" s="60"/>
      <c r="Z70" s="60"/>
      <c r="AA70" s="41"/>
      <c r="AB70" s="222"/>
      <c r="AC70" s="216"/>
      <c r="AD70" s="218"/>
      <c r="AE70" s="222"/>
      <c r="AF70" s="216"/>
      <c r="AG70" s="218"/>
      <c r="AH70" s="222"/>
      <c r="AI70" s="216"/>
      <c r="AJ70" s="218"/>
      <c r="AK70" s="220"/>
      <c r="AL70" s="212"/>
      <c r="AM70" s="214"/>
      <c r="AN70" s="220"/>
      <c r="AO70" s="212"/>
      <c r="AP70" s="214"/>
      <c r="AQ70" s="210"/>
      <c r="AR70" s="206"/>
      <c r="AS70" s="208"/>
      <c r="AT70" s="210"/>
      <c r="AU70" s="206"/>
      <c r="AV70" s="208"/>
      <c r="AW70" s="210"/>
      <c r="AX70" s="206"/>
      <c r="AY70" s="208"/>
      <c r="AZ70" s="210"/>
      <c r="BA70" s="206"/>
      <c r="BB70" s="208"/>
      <c r="BC70" s="210"/>
      <c r="BD70" s="206"/>
      <c r="BE70" s="208"/>
      <c r="BF70" s="210"/>
      <c r="BG70" s="206"/>
      <c r="BH70" s="208"/>
      <c r="BI70" s="210"/>
      <c r="BJ70" s="206"/>
      <c r="BK70" s="208"/>
    </row>
    <row r="71" spans="1:70" ht="24" hidden="1" customHeight="1" thickBot="1">
      <c r="A71" s="1191"/>
      <c r="B71" s="323"/>
      <c r="C71" s="323"/>
      <c r="D71" s="323"/>
      <c r="E71" s="324" t="s">
        <v>59</v>
      </c>
      <c r="F71" s="409" t="s">
        <v>16</v>
      </c>
      <c r="G71" s="614"/>
      <c r="H71" s="287"/>
      <c r="I71" s="287"/>
      <c r="J71" s="300"/>
      <c r="K71" s="439"/>
      <c r="L71" s="301"/>
      <c r="M71" s="282">
        <f t="shared" si="2"/>
        <v>0</v>
      </c>
      <c r="N71" s="285">
        <f t="shared" si="5"/>
        <v>0</v>
      </c>
      <c r="O71" s="285" t="e">
        <f t="shared" si="6"/>
        <v>#DIV/0!</v>
      </c>
      <c r="P71" s="472"/>
      <c r="Q71" s="286" t="e">
        <f t="shared" ca="1" si="10"/>
        <v>#DIV/0!</v>
      </c>
      <c r="R71" s="35"/>
      <c r="S71" s="36"/>
      <c r="T71" s="40"/>
      <c r="U71" s="59"/>
      <c r="V71" s="66"/>
      <c r="W71" s="66"/>
      <c r="X71" s="66"/>
      <c r="Y71" s="66"/>
      <c r="Z71" s="66"/>
      <c r="AA71" s="59"/>
      <c r="AB71" s="230"/>
      <c r="AC71" s="231"/>
      <c r="AD71" s="229"/>
      <c r="AE71" s="230"/>
      <c r="AF71" s="231"/>
      <c r="AG71" s="229"/>
      <c r="AH71" s="230"/>
      <c r="AI71" s="231"/>
      <c r="AJ71" s="229"/>
      <c r="AK71" s="227"/>
      <c r="AL71" s="232"/>
      <c r="AM71" s="226"/>
      <c r="AN71" s="227"/>
      <c r="AO71" s="232"/>
      <c r="AP71" s="226"/>
      <c r="AQ71" s="225"/>
      <c r="AR71" s="228"/>
      <c r="AS71" s="224"/>
      <c r="AT71" s="225"/>
      <c r="AU71" s="228"/>
      <c r="AV71" s="224"/>
      <c r="AW71" s="225"/>
      <c r="AX71" s="228"/>
      <c r="AY71" s="224"/>
      <c r="AZ71" s="225"/>
      <c r="BA71" s="228"/>
      <c r="BB71" s="224"/>
      <c r="BC71" s="225"/>
      <c r="BD71" s="228"/>
      <c r="BE71" s="224"/>
      <c r="BF71" s="225"/>
      <c r="BG71" s="228"/>
      <c r="BH71" s="224"/>
      <c r="BI71" s="225"/>
      <c r="BJ71" s="228"/>
      <c r="BK71" s="224"/>
    </row>
    <row r="72" spans="1:70" ht="24" hidden="1" customHeight="1" thickBot="1">
      <c r="A72" s="1191"/>
      <c r="B72" s="323"/>
      <c r="C72" s="323"/>
      <c r="D72" s="323"/>
      <c r="E72" s="324" t="s">
        <v>64</v>
      </c>
      <c r="F72" s="409" t="s">
        <v>114</v>
      </c>
      <c r="G72" s="614"/>
      <c r="H72" s="287"/>
      <c r="I72" s="287"/>
      <c r="J72" s="300"/>
      <c r="K72" s="439"/>
      <c r="L72" s="301"/>
      <c r="M72" s="282">
        <f t="shared" si="2"/>
        <v>0</v>
      </c>
      <c r="N72" s="285">
        <f t="shared" si="5"/>
        <v>0</v>
      </c>
      <c r="O72" s="285" t="e">
        <f t="shared" si="6"/>
        <v>#DIV/0!</v>
      </c>
      <c r="P72" s="472"/>
      <c r="Q72" s="286" t="e">
        <f t="shared" ca="1" si="10"/>
        <v>#DIV/0!</v>
      </c>
      <c r="R72" s="35"/>
      <c r="S72" s="36"/>
      <c r="T72" s="40"/>
      <c r="U72" s="42"/>
      <c r="V72" s="65"/>
      <c r="W72" s="65"/>
      <c r="X72" s="65"/>
      <c r="Y72" s="65"/>
      <c r="Z72" s="65"/>
      <c r="AA72" s="42"/>
      <c r="AB72" s="223"/>
      <c r="AC72" s="217"/>
      <c r="AD72" s="219"/>
      <c r="AE72" s="223"/>
      <c r="AF72" s="217"/>
      <c r="AG72" s="219"/>
      <c r="AH72" s="223"/>
      <c r="AI72" s="217"/>
      <c r="AJ72" s="219"/>
      <c r="AK72" s="221"/>
      <c r="AL72" s="213"/>
      <c r="AM72" s="215"/>
      <c r="AN72" s="221"/>
      <c r="AO72" s="213"/>
      <c r="AP72" s="215"/>
      <c r="AQ72" s="211"/>
      <c r="AR72" s="207"/>
      <c r="AS72" s="209"/>
      <c r="AT72" s="211"/>
      <c r="AU72" s="207"/>
      <c r="AV72" s="209"/>
      <c r="AW72" s="211"/>
      <c r="AX72" s="207"/>
      <c r="AY72" s="209"/>
      <c r="AZ72" s="211"/>
      <c r="BA72" s="207"/>
      <c r="BB72" s="209"/>
      <c r="BC72" s="211"/>
      <c r="BD72" s="207"/>
      <c r="BE72" s="209"/>
      <c r="BF72" s="211"/>
      <c r="BG72" s="207"/>
      <c r="BH72" s="209"/>
      <c r="BI72" s="211"/>
      <c r="BJ72" s="207"/>
      <c r="BK72" s="209"/>
    </row>
    <row r="73" spans="1:70" ht="24" hidden="1" customHeight="1" thickBot="1">
      <c r="A73" s="1191"/>
      <c r="B73" s="323"/>
      <c r="C73" s="323"/>
      <c r="D73" s="323"/>
      <c r="E73" s="298" t="s">
        <v>77</v>
      </c>
      <c r="F73" s="409" t="s">
        <v>26</v>
      </c>
      <c r="G73" s="614"/>
      <c r="H73" s="287"/>
      <c r="I73" s="287"/>
      <c r="J73" s="300"/>
      <c r="K73" s="439"/>
      <c r="L73" s="301"/>
      <c r="M73" s="282">
        <f t="shared" si="2"/>
        <v>0</v>
      </c>
      <c r="N73" s="285">
        <f t="shared" si="5"/>
        <v>0</v>
      </c>
      <c r="O73" s="285" t="e">
        <f t="shared" si="6"/>
        <v>#DIV/0!</v>
      </c>
      <c r="P73" s="472"/>
      <c r="Q73" s="286" t="e">
        <f t="shared" ca="1" si="10"/>
        <v>#DIV/0!</v>
      </c>
      <c r="R73" s="35"/>
      <c r="S73" s="36"/>
      <c r="T73" s="40"/>
      <c r="U73" s="40"/>
      <c r="V73" s="39"/>
      <c r="W73" s="39"/>
      <c r="X73" s="39"/>
      <c r="Y73" s="39"/>
      <c r="Z73" s="39"/>
      <c r="AA73" s="40"/>
      <c r="AB73" s="245"/>
      <c r="AC73" s="247"/>
      <c r="AD73" s="249"/>
      <c r="AE73" s="245"/>
      <c r="AF73" s="247"/>
      <c r="AG73" s="249"/>
      <c r="AH73" s="245"/>
      <c r="AI73" s="247"/>
      <c r="AJ73" s="249"/>
      <c r="AK73" s="253"/>
      <c r="AL73" s="254"/>
      <c r="AM73" s="255"/>
      <c r="AN73" s="253"/>
      <c r="AO73" s="254"/>
      <c r="AP73" s="255"/>
      <c r="AQ73" s="250"/>
      <c r="AR73" s="251"/>
      <c r="AS73" s="252"/>
      <c r="AT73" s="250"/>
      <c r="AU73" s="251"/>
      <c r="AV73" s="252"/>
      <c r="AW73" s="250"/>
      <c r="AX73" s="251"/>
      <c r="AY73" s="252"/>
      <c r="AZ73" s="250"/>
      <c r="BA73" s="251"/>
      <c r="BB73" s="252"/>
      <c r="BC73" s="250"/>
      <c r="BD73" s="251"/>
      <c r="BE73" s="252"/>
      <c r="BF73" s="250"/>
      <c r="BG73" s="251"/>
      <c r="BH73" s="252"/>
      <c r="BI73" s="250"/>
      <c r="BJ73" s="251"/>
      <c r="BK73" s="252"/>
    </row>
    <row r="74" spans="1:70" ht="24" hidden="1" customHeight="1" thickBot="1">
      <c r="A74" s="1191"/>
      <c r="B74" s="323"/>
      <c r="C74" s="323"/>
      <c r="D74" s="323"/>
      <c r="E74" s="298" t="s">
        <v>79</v>
      </c>
      <c r="F74" s="409" t="s">
        <v>27</v>
      </c>
      <c r="G74" s="614"/>
      <c r="H74" s="287"/>
      <c r="I74" s="287"/>
      <c r="J74" s="300"/>
      <c r="K74" s="439"/>
      <c r="L74" s="301"/>
      <c r="M74" s="282">
        <f t="shared" si="2"/>
        <v>0</v>
      </c>
      <c r="N74" s="285">
        <f t="shared" si="5"/>
        <v>0</v>
      </c>
      <c r="O74" s="285" t="e">
        <f t="shared" si="6"/>
        <v>#DIV/0!</v>
      </c>
      <c r="P74" s="472"/>
      <c r="Q74" s="286" t="e">
        <f t="shared" ca="1" si="10"/>
        <v>#DIV/0!</v>
      </c>
      <c r="R74" s="35"/>
      <c r="S74" s="36"/>
      <c r="T74" s="40"/>
      <c r="U74" s="40"/>
      <c r="V74" s="39"/>
      <c r="W74" s="39"/>
      <c r="X74" s="39"/>
      <c r="Y74" s="39"/>
      <c r="Z74" s="39"/>
      <c r="AA74" s="40"/>
      <c r="AB74" s="245"/>
      <c r="AC74" s="247"/>
      <c r="AD74" s="249"/>
      <c r="AE74" s="245"/>
      <c r="AF74" s="247"/>
      <c r="AG74" s="249"/>
      <c r="AH74" s="245"/>
      <c r="AI74" s="247"/>
      <c r="AJ74" s="249"/>
      <c r="AK74" s="253"/>
      <c r="AL74" s="254"/>
      <c r="AM74" s="255"/>
      <c r="AN74" s="253"/>
      <c r="AO74" s="254"/>
      <c r="AP74" s="255"/>
      <c r="AQ74" s="250"/>
      <c r="AR74" s="251"/>
      <c r="AS74" s="252"/>
      <c r="AT74" s="250"/>
      <c r="AU74" s="251"/>
      <c r="AV74" s="252"/>
      <c r="AW74" s="250"/>
      <c r="AX74" s="251"/>
      <c r="AY74" s="252"/>
      <c r="AZ74" s="250"/>
      <c r="BA74" s="251"/>
      <c r="BB74" s="252"/>
      <c r="BC74" s="250"/>
      <c r="BD74" s="251"/>
      <c r="BE74" s="252"/>
      <c r="BF74" s="250"/>
      <c r="BG74" s="251"/>
      <c r="BH74" s="252"/>
      <c r="BI74" s="250"/>
      <c r="BJ74" s="251"/>
      <c r="BK74" s="252"/>
    </row>
    <row r="75" spans="1:70" ht="24" hidden="1" customHeight="1" thickBot="1">
      <c r="A75" s="1191"/>
      <c r="B75" s="323"/>
      <c r="C75" s="323"/>
      <c r="D75" s="323"/>
      <c r="E75" s="298" t="s">
        <v>82</v>
      </c>
      <c r="F75" s="409" t="s">
        <v>29</v>
      </c>
      <c r="G75" s="614"/>
      <c r="H75" s="287"/>
      <c r="I75" s="287"/>
      <c r="J75" s="300"/>
      <c r="K75" s="439"/>
      <c r="L75" s="301"/>
      <c r="M75" s="282">
        <f t="shared" si="2"/>
        <v>0</v>
      </c>
      <c r="N75" s="285">
        <f t="shared" si="5"/>
        <v>0</v>
      </c>
      <c r="O75" s="285" t="e">
        <f t="shared" si="6"/>
        <v>#DIV/0!</v>
      </c>
      <c r="P75" s="472"/>
      <c r="Q75" s="286" t="e">
        <f t="shared" ca="1" si="10"/>
        <v>#DIV/0!</v>
      </c>
      <c r="R75" s="35"/>
      <c r="S75" s="36"/>
      <c r="T75" s="40"/>
      <c r="U75" s="41"/>
      <c r="V75" s="1085"/>
      <c r="W75" s="1085"/>
      <c r="X75" s="1085"/>
      <c r="Y75" s="1085"/>
      <c r="Z75" s="1085"/>
      <c r="AA75" s="1083"/>
      <c r="AB75" s="1119"/>
      <c r="AC75" s="1117"/>
      <c r="AD75" s="1125"/>
      <c r="AE75" s="1119"/>
      <c r="AF75" s="1117"/>
      <c r="AG75" s="1125"/>
      <c r="AH75" s="1119"/>
      <c r="AI75" s="1117"/>
      <c r="AJ75" s="1125"/>
      <c r="AK75" s="1114"/>
      <c r="AL75" s="1111"/>
      <c r="AM75" s="1127"/>
      <c r="AN75" s="1114"/>
      <c r="AO75" s="1111"/>
      <c r="AP75" s="1127"/>
      <c r="AQ75" s="1130"/>
      <c r="AR75" s="1133"/>
      <c r="AS75" s="1136"/>
      <c r="AT75" s="1130"/>
      <c r="AU75" s="1133"/>
      <c r="AV75" s="1136"/>
      <c r="AW75" s="1130"/>
      <c r="AX75" s="1133"/>
      <c r="AY75" s="1136"/>
      <c r="AZ75" s="1130"/>
      <c r="BA75" s="1133"/>
      <c r="BB75" s="1136"/>
      <c r="BC75" s="1130"/>
      <c r="BD75" s="1133"/>
      <c r="BE75" s="1136"/>
      <c r="BF75" s="1130"/>
      <c r="BG75" s="1133"/>
      <c r="BH75" s="1136"/>
      <c r="BI75" s="1130"/>
      <c r="BJ75" s="1133"/>
      <c r="BK75" s="1136"/>
    </row>
    <row r="76" spans="1:70" ht="24" hidden="1" customHeight="1" thickBot="1">
      <c r="A76" s="1191"/>
      <c r="B76" s="323"/>
      <c r="C76" s="323"/>
      <c r="D76" s="323"/>
      <c r="E76" s="298" t="s">
        <v>83</v>
      </c>
      <c r="F76" s="409" t="s">
        <v>30</v>
      </c>
      <c r="G76" s="614"/>
      <c r="H76" s="287"/>
      <c r="I76" s="287"/>
      <c r="J76" s="300"/>
      <c r="K76" s="439"/>
      <c r="L76" s="301"/>
      <c r="M76" s="282">
        <f t="shared" si="2"/>
        <v>0</v>
      </c>
      <c r="N76" s="285">
        <f t="shared" si="5"/>
        <v>0</v>
      </c>
      <c r="O76" s="285" t="e">
        <f t="shared" si="6"/>
        <v>#DIV/0!</v>
      </c>
      <c r="P76" s="472"/>
      <c r="Q76" s="286" t="e">
        <f t="shared" ca="1" si="10"/>
        <v>#DIV/0!</v>
      </c>
      <c r="R76" s="35"/>
      <c r="S76" s="36"/>
      <c r="T76" s="40"/>
      <c r="U76" s="42"/>
      <c r="V76" s="1086"/>
      <c r="W76" s="1086"/>
      <c r="X76" s="1086"/>
      <c r="Y76" s="1086"/>
      <c r="Z76" s="1086"/>
      <c r="AA76" s="1084"/>
      <c r="AB76" s="1120"/>
      <c r="AC76" s="1118"/>
      <c r="AD76" s="1126"/>
      <c r="AE76" s="1120"/>
      <c r="AF76" s="1118"/>
      <c r="AG76" s="1126"/>
      <c r="AH76" s="1120"/>
      <c r="AI76" s="1118"/>
      <c r="AJ76" s="1126"/>
      <c r="AK76" s="1116"/>
      <c r="AL76" s="1113"/>
      <c r="AM76" s="1129"/>
      <c r="AN76" s="1116"/>
      <c r="AO76" s="1113"/>
      <c r="AP76" s="1129"/>
      <c r="AQ76" s="1132"/>
      <c r="AR76" s="1135"/>
      <c r="AS76" s="1138"/>
      <c r="AT76" s="1132"/>
      <c r="AU76" s="1135"/>
      <c r="AV76" s="1138"/>
      <c r="AW76" s="1132"/>
      <c r="AX76" s="1135"/>
      <c r="AY76" s="1138"/>
      <c r="AZ76" s="1132"/>
      <c r="BA76" s="1135"/>
      <c r="BB76" s="1138"/>
      <c r="BC76" s="1132"/>
      <c r="BD76" s="1135"/>
      <c r="BE76" s="1138"/>
      <c r="BF76" s="1132"/>
      <c r="BG76" s="1135"/>
      <c r="BH76" s="1138"/>
      <c r="BI76" s="1132"/>
      <c r="BJ76" s="1135"/>
      <c r="BK76" s="1138"/>
    </row>
    <row r="77" spans="1:70" ht="24" hidden="1" customHeight="1" thickBot="1">
      <c r="A77" s="1191"/>
      <c r="B77" s="323"/>
      <c r="C77" s="323"/>
      <c r="D77" s="323"/>
      <c r="E77" s="298" t="s">
        <v>84</v>
      </c>
      <c r="F77" s="409" t="s">
        <v>31</v>
      </c>
      <c r="G77" s="614"/>
      <c r="H77" s="287"/>
      <c r="I77" s="287"/>
      <c r="J77" s="300"/>
      <c r="K77" s="439"/>
      <c r="L77" s="301"/>
      <c r="M77" s="282">
        <f t="shared" si="2"/>
        <v>0</v>
      </c>
      <c r="N77" s="285">
        <f t="shared" si="5"/>
        <v>0</v>
      </c>
      <c r="O77" s="285" t="e">
        <f t="shared" si="6"/>
        <v>#DIV/0!</v>
      </c>
      <c r="P77" s="472"/>
      <c r="Q77" s="286" t="e">
        <f t="shared" ca="1" si="10"/>
        <v>#DIV/0!</v>
      </c>
      <c r="R77" s="35"/>
      <c r="S77" s="36"/>
      <c r="T77" s="40"/>
      <c r="U77" s="41"/>
      <c r="V77" s="1085"/>
      <c r="W77" s="1085"/>
      <c r="X77" s="1085"/>
      <c r="Y77" s="1085"/>
      <c r="Z77" s="1085"/>
      <c r="AA77" s="1083"/>
      <c r="AB77" s="1119"/>
      <c r="AC77" s="1117"/>
      <c r="AD77" s="1125"/>
      <c r="AE77" s="1119"/>
      <c r="AF77" s="1117"/>
      <c r="AG77" s="1125"/>
      <c r="AH77" s="1119"/>
      <c r="AI77" s="1117"/>
      <c r="AJ77" s="1125"/>
      <c r="AK77" s="1114"/>
      <c r="AL77" s="1111"/>
      <c r="AM77" s="1127"/>
      <c r="AN77" s="1114"/>
      <c r="AO77" s="1111"/>
      <c r="AP77" s="1127"/>
      <c r="AQ77" s="1130"/>
      <c r="AR77" s="1133"/>
      <c r="AS77" s="1136"/>
      <c r="AT77" s="1130"/>
      <c r="AU77" s="1133"/>
      <c r="AV77" s="1136"/>
      <c r="AW77" s="1130"/>
      <c r="AX77" s="1133"/>
      <c r="AY77" s="1136"/>
      <c r="AZ77" s="1130"/>
      <c r="BA77" s="1133"/>
      <c r="BB77" s="1136"/>
      <c r="BC77" s="1130"/>
      <c r="BD77" s="1133"/>
      <c r="BE77" s="1136"/>
      <c r="BF77" s="1130"/>
      <c r="BG77" s="1133"/>
      <c r="BH77" s="1136"/>
      <c r="BI77" s="1130"/>
      <c r="BJ77" s="1133"/>
      <c r="BK77" s="1136"/>
    </row>
    <row r="78" spans="1:70" ht="24" hidden="1" customHeight="1" thickBot="1">
      <c r="A78" s="1191"/>
      <c r="B78" s="323"/>
      <c r="C78" s="323"/>
      <c r="D78" s="323"/>
      <c r="E78" s="298" t="s">
        <v>85</v>
      </c>
      <c r="F78" s="409" t="s">
        <v>32</v>
      </c>
      <c r="G78" s="614"/>
      <c r="H78" s="287"/>
      <c r="I78" s="287"/>
      <c r="J78" s="300"/>
      <c r="K78" s="439"/>
      <c r="L78" s="301"/>
      <c r="M78" s="282">
        <f t="shared" si="2"/>
        <v>0</v>
      </c>
      <c r="N78" s="285">
        <f t="shared" si="5"/>
        <v>0</v>
      </c>
      <c r="O78" s="285" t="e">
        <f t="shared" si="6"/>
        <v>#DIV/0!</v>
      </c>
      <c r="P78" s="472"/>
      <c r="Q78" s="286" t="e">
        <f t="shared" ca="1" si="10"/>
        <v>#DIV/0!</v>
      </c>
      <c r="R78" s="35"/>
      <c r="S78" s="36"/>
      <c r="T78" s="40"/>
      <c r="U78" s="42"/>
      <c r="V78" s="1086"/>
      <c r="W78" s="1086"/>
      <c r="X78" s="1086"/>
      <c r="Y78" s="1086"/>
      <c r="Z78" s="1086"/>
      <c r="AA78" s="1084"/>
      <c r="AB78" s="1120"/>
      <c r="AC78" s="1118"/>
      <c r="AD78" s="1126"/>
      <c r="AE78" s="1120"/>
      <c r="AF78" s="1118"/>
      <c r="AG78" s="1126"/>
      <c r="AH78" s="1120"/>
      <c r="AI78" s="1118"/>
      <c r="AJ78" s="1126"/>
      <c r="AK78" s="1116"/>
      <c r="AL78" s="1113"/>
      <c r="AM78" s="1129"/>
      <c r="AN78" s="1116"/>
      <c r="AO78" s="1113"/>
      <c r="AP78" s="1129"/>
      <c r="AQ78" s="1132"/>
      <c r="AR78" s="1135"/>
      <c r="AS78" s="1138"/>
      <c r="AT78" s="1132"/>
      <c r="AU78" s="1135"/>
      <c r="AV78" s="1138"/>
      <c r="AW78" s="1132"/>
      <c r="AX78" s="1135"/>
      <c r="AY78" s="1138"/>
      <c r="AZ78" s="1132"/>
      <c r="BA78" s="1135"/>
      <c r="BB78" s="1138"/>
      <c r="BC78" s="1132"/>
      <c r="BD78" s="1135"/>
      <c r="BE78" s="1138"/>
      <c r="BF78" s="1132"/>
      <c r="BG78" s="1135"/>
      <c r="BH78" s="1138"/>
      <c r="BI78" s="1132"/>
      <c r="BJ78" s="1135"/>
      <c r="BK78" s="1138"/>
    </row>
    <row r="79" spans="1:70" ht="24" hidden="1" customHeight="1" thickBot="1">
      <c r="A79" s="1191"/>
      <c r="B79" s="323"/>
      <c r="C79" s="323"/>
      <c r="D79" s="323"/>
      <c r="E79" s="280" t="s">
        <v>65</v>
      </c>
      <c r="F79" s="409" t="s">
        <v>109</v>
      </c>
      <c r="G79" s="614"/>
      <c r="H79" s="287"/>
      <c r="I79" s="287"/>
      <c r="J79" s="300"/>
      <c r="K79" s="439"/>
      <c r="L79" s="301"/>
      <c r="M79" s="282">
        <f t="shared" si="2"/>
        <v>0</v>
      </c>
      <c r="N79" s="285">
        <f t="shared" si="5"/>
        <v>0</v>
      </c>
      <c r="O79" s="285" t="e">
        <f t="shared" si="6"/>
        <v>#DIV/0!</v>
      </c>
      <c r="P79" s="472"/>
      <c r="Q79" s="286" t="e">
        <f t="shared" ca="1" si="10"/>
        <v>#DIV/0!</v>
      </c>
      <c r="R79" s="35"/>
      <c r="S79" s="36"/>
      <c r="T79" s="40"/>
      <c r="U79" s="40"/>
      <c r="V79" s="39"/>
      <c r="W79" s="39"/>
      <c r="X79" s="39"/>
      <c r="Y79" s="39"/>
      <c r="Z79" s="39"/>
      <c r="AA79" s="40"/>
      <c r="AB79" s="245"/>
      <c r="AC79" s="247"/>
      <c r="AD79" s="249"/>
      <c r="AE79" s="245"/>
      <c r="AF79" s="247"/>
      <c r="AG79" s="249"/>
      <c r="AH79" s="245"/>
      <c r="AI79" s="247"/>
      <c r="AJ79" s="249"/>
      <c r="AK79" s="253"/>
      <c r="AL79" s="254"/>
      <c r="AM79" s="255"/>
      <c r="AN79" s="253"/>
      <c r="AO79" s="254"/>
      <c r="AP79" s="255"/>
      <c r="AQ79" s="250"/>
      <c r="AR79" s="251"/>
      <c r="AS79" s="252"/>
      <c r="AT79" s="250"/>
      <c r="AU79" s="251"/>
      <c r="AV79" s="252"/>
      <c r="AW79" s="250"/>
      <c r="AX79" s="251"/>
      <c r="AY79" s="252"/>
      <c r="AZ79" s="250"/>
      <c r="BA79" s="251"/>
      <c r="BB79" s="252"/>
      <c r="BC79" s="250"/>
      <c r="BD79" s="251"/>
      <c r="BE79" s="252"/>
      <c r="BF79" s="250"/>
      <c r="BG79" s="251"/>
      <c r="BH79" s="252"/>
      <c r="BI79" s="250"/>
      <c r="BJ79" s="251"/>
      <c r="BK79" s="252"/>
    </row>
    <row r="80" spans="1:70" ht="24" hidden="1" customHeight="1" thickBot="1">
      <c r="A80" s="1191"/>
      <c r="B80" s="323"/>
      <c r="C80" s="323"/>
      <c r="D80" s="323"/>
      <c r="E80" s="280" t="s">
        <v>66</v>
      </c>
      <c r="F80" s="409" t="s">
        <v>20</v>
      </c>
      <c r="G80" s="614"/>
      <c r="H80" s="287"/>
      <c r="I80" s="287"/>
      <c r="J80" s="300"/>
      <c r="K80" s="439"/>
      <c r="L80" s="301"/>
      <c r="M80" s="282">
        <f t="shared" si="2"/>
        <v>0</v>
      </c>
      <c r="N80" s="285">
        <f t="shared" si="5"/>
        <v>0</v>
      </c>
      <c r="O80" s="285" t="e">
        <f t="shared" si="6"/>
        <v>#DIV/0!</v>
      </c>
      <c r="P80" s="472"/>
      <c r="Q80" s="286" t="e">
        <f t="shared" ca="1" si="10"/>
        <v>#DIV/0!</v>
      </c>
      <c r="R80" s="35"/>
      <c r="S80" s="36"/>
      <c r="T80" s="40"/>
      <c r="U80" s="40"/>
      <c r="V80" s="39"/>
      <c r="W80" s="39"/>
      <c r="X80" s="39"/>
      <c r="Y80" s="39"/>
      <c r="Z80" s="39"/>
      <c r="AA80" s="40"/>
      <c r="AB80" s="245"/>
      <c r="AC80" s="247"/>
      <c r="AD80" s="249"/>
      <c r="AE80" s="245"/>
      <c r="AF80" s="247"/>
      <c r="AG80" s="249"/>
      <c r="AH80" s="245"/>
      <c r="AI80" s="247"/>
      <c r="AJ80" s="249"/>
      <c r="AK80" s="253"/>
      <c r="AL80" s="254"/>
      <c r="AM80" s="255"/>
      <c r="AN80" s="253"/>
      <c r="AO80" s="254"/>
      <c r="AP80" s="255"/>
      <c r="AQ80" s="250"/>
      <c r="AR80" s="251"/>
      <c r="AS80" s="252"/>
      <c r="AT80" s="250"/>
      <c r="AU80" s="251"/>
      <c r="AV80" s="252"/>
      <c r="AW80" s="250"/>
      <c r="AX80" s="251"/>
      <c r="AY80" s="252"/>
      <c r="AZ80" s="250"/>
      <c r="BA80" s="251"/>
      <c r="BB80" s="252"/>
      <c r="BC80" s="250"/>
      <c r="BD80" s="251"/>
      <c r="BE80" s="252"/>
      <c r="BF80" s="250"/>
      <c r="BG80" s="251"/>
      <c r="BH80" s="252"/>
      <c r="BI80" s="250"/>
      <c r="BJ80" s="251"/>
      <c r="BK80" s="252"/>
    </row>
    <row r="81" spans="1:63" ht="34.5" customHeight="1">
      <c r="A81" s="1191"/>
      <c r="B81" s="1194"/>
      <c r="C81" s="288" t="s">
        <v>445</v>
      </c>
      <c r="D81" s="1194" t="s">
        <v>339</v>
      </c>
      <c r="E81" s="298" t="s">
        <v>334</v>
      </c>
      <c r="F81" s="409" t="s">
        <v>244</v>
      </c>
      <c r="G81" s="614">
        <f>59.8</f>
        <v>59.8</v>
      </c>
      <c r="H81" s="282">
        <f t="shared" ref="H81:H86" si="15">3600/G81</f>
        <v>60.200668896321076</v>
      </c>
      <c r="I81" s="287"/>
      <c r="J81" s="281">
        <f>0.19*Q1</f>
        <v>100.7</v>
      </c>
      <c r="K81" s="459">
        <v>605</v>
      </c>
      <c r="L81" s="1218">
        <v>1170</v>
      </c>
      <c r="M81" s="282">
        <f>K81-J81</f>
        <v>504.3</v>
      </c>
      <c r="N81" s="285">
        <f>((M81*G81)/3600)*-1</f>
        <v>-8.3769833333333334</v>
      </c>
      <c r="O81" s="285">
        <f t="shared" ref="O81:O98" si="16">K81/J81</f>
        <v>6.0079443892750746</v>
      </c>
      <c r="P81" s="472">
        <f>2.5*O81</f>
        <v>15.019860973187686</v>
      </c>
      <c r="Q81" s="286">
        <f ca="1">+$Q$5+O81</f>
        <v>41758.007944389276</v>
      </c>
      <c r="R81" s="57"/>
      <c r="S81" s="58"/>
      <c r="T81" s="59"/>
      <c r="U81" s="59"/>
      <c r="V81" s="66"/>
      <c r="W81" s="66"/>
      <c r="X81" s="66"/>
      <c r="Y81" s="66"/>
      <c r="Z81" s="66"/>
      <c r="AA81" s="59"/>
      <c r="AB81" s="233"/>
      <c r="AC81" s="269"/>
      <c r="AD81" s="229"/>
      <c r="AE81" s="230"/>
      <c r="AF81" s="231"/>
      <c r="AG81" s="229"/>
      <c r="AH81" s="230"/>
      <c r="AI81" s="269"/>
      <c r="AJ81" s="229"/>
      <c r="AK81" s="230"/>
      <c r="AL81" s="231"/>
      <c r="AM81" s="229"/>
      <c r="AN81" s="84"/>
      <c r="AO81" s="216"/>
      <c r="AP81" s="85"/>
      <c r="AQ81" s="86"/>
      <c r="AR81" s="234"/>
      <c r="AS81" s="87"/>
      <c r="AT81" s="235"/>
      <c r="AU81" s="236"/>
      <c r="AV81" s="237"/>
      <c r="AW81" s="235"/>
      <c r="AX81" s="236"/>
      <c r="AY81" s="237"/>
      <c r="AZ81" s="235"/>
      <c r="BA81" s="236"/>
      <c r="BB81" s="237"/>
      <c r="BC81" s="235"/>
      <c r="BD81" s="236"/>
      <c r="BE81" s="237"/>
      <c r="BF81" s="235"/>
      <c r="BG81" s="236"/>
      <c r="BH81" s="237"/>
      <c r="BI81" s="235"/>
      <c r="BJ81" s="236"/>
      <c r="BK81" s="237"/>
    </row>
    <row r="82" spans="1:63" ht="42" customHeight="1">
      <c r="A82" s="1191"/>
      <c r="B82" s="1217"/>
      <c r="C82" s="288" t="s">
        <v>446</v>
      </c>
      <c r="D82" s="1217"/>
      <c r="E82" s="280" t="s">
        <v>333</v>
      </c>
      <c r="F82" s="414" t="s">
        <v>241</v>
      </c>
      <c r="G82" s="614">
        <v>59.8</v>
      </c>
      <c r="H82" s="282">
        <f t="shared" si="15"/>
        <v>60.200668896321076</v>
      </c>
      <c r="I82" s="287"/>
      <c r="J82" s="281">
        <f>0.8*Q1</f>
        <v>424</v>
      </c>
      <c r="K82" s="459">
        <v>651</v>
      </c>
      <c r="L82" s="1218"/>
      <c r="M82" s="282">
        <f>K82-J82</f>
        <v>227</v>
      </c>
      <c r="N82" s="285">
        <f>((M82*G82)/3600)*-1</f>
        <v>-3.7707222222222216</v>
      </c>
      <c r="O82" s="285">
        <f t="shared" si="16"/>
        <v>1.5353773584905661</v>
      </c>
      <c r="P82" s="472">
        <f>2.5*O82</f>
        <v>3.8384433962264151</v>
      </c>
      <c r="Q82" s="286">
        <f ca="1">+$Q$5+O82</f>
        <v>41753.535377358494</v>
      </c>
      <c r="R82" s="57"/>
      <c r="S82" s="58"/>
      <c r="T82" s="59"/>
      <c r="U82" s="59"/>
      <c r="V82" s="66"/>
      <c r="W82" s="66"/>
      <c r="X82" s="66"/>
      <c r="Y82" s="66"/>
      <c r="Z82" s="66"/>
      <c r="AA82" s="59"/>
      <c r="AB82" s="233"/>
      <c r="AC82" s="269"/>
      <c r="AD82" s="229"/>
      <c r="AE82" s="230"/>
      <c r="AF82" s="231"/>
      <c r="AG82" s="229"/>
      <c r="AH82" s="230"/>
      <c r="AI82" s="269"/>
      <c r="AJ82" s="229"/>
      <c r="AK82" s="230"/>
      <c r="AL82" s="231"/>
      <c r="AM82" s="229"/>
      <c r="AN82" s="84"/>
      <c r="AO82" s="216"/>
      <c r="AP82" s="85"/>
      <c r="AQ82" s="86"/>
      <c r="AR82" s="234"/>
      <c r="AS82" s="87"/>
      <c r="AT82" s="235"/>
      <c r="AU82" s="236"/>
      <c r="AV82" s="237"/>
      <c r="AW82" s="235"/>
      <c r="AX82" s="236"/>
      <c r="AY82" s="237"/>
      <c r="AZ82" s="235"/>
      <c r="BA82" s="236"/>
      <c r="BB82" s="237"/>
      <c r="BC82" s="235"/>
      <c r="BD82" s="236"/>
      <c r="BE82" s="237"/>
      <c r="BF82" s="235"/>
      <c r="BG82" s="236"/>
      <c r="BH82" s="237"/>
      <c r="BI82" s="235"/>
      <c r="BJ82" s="236"/>
      <c r="BK82" s="237"/>
    </row>
    <row r="83" spans="1:63" ht="35.25" customHeight="1">
      <c r="A83" s="1191"/>
      <c r="B83" s="1217"/>
      <c r="C83" s="288" t="s">
        <v>447</v>
      </c>
      <c r="D83" s="1217"/>
      <c r="E83" s="312" t="s">
        <v>335</v>
      </c>
      <c r="F83" s="415" t="s">
        <v>245</v>
      </c>
      <c r="G83" s="614">
        <v>59.8</v>
      </c>
      <c r="H83" s="326">
        <f t="shared" si="15"/>
        <v>60.200668896321076</v>
      </c>
      <c r="I83" s="313"/>
      <c r="J83" s="281">
        <f>0.01*Q1</f>
        <v>5.3</v>
      </c>
      <c r="K83" s="462">
        <v>63</v>
      </c>
      <c r="L83" s="1219"/>
      <c r="M83" s="326">
        <f>K83-J83</f>
        <v>57.7</v>
      </c>
      <c r="N83" s="317">
        <f>((M83*G83)/3600)*-1</f>
        <v>-0.9584611111111111</v>
      </c>
      <c r="O83" s="317">
        <f t="shared" si="16"/>
        <v>11.886792452830189</v>
      </c>
      <c r="P83" s="472">
        <f>2.5*O83</f>
        <v>29.716981132075475</v>
      </c>
      <c r="Q83" s="328">
        <f ca="1">+$Q$5+O83</f>
        <v>41763.886792452831</v>
      </c>
      <c r="R83" s="57"/>
      <c r="S83" s="58"/>
      <c r="T83" s="59"/>
      <c r="U83" s="59"/>
      <c r="V83" s="66"/>
      <c r="W83" s="66"/>
      <c r="X83" s="66"/>
      <c r="Y83" s="66"/>
      <c r="Z83" s="66"/>
      <c r="AA83" s="59"/>
      <c r="AB83" s="233"/>
      <c r="AC83" s="269"/>
      <c r="AD83" s="229"/>
      <c r="AE83" s="230"/>
      <c r="AF83" s="231"/>
      <c r="AG83" s="229"/>
      <c r="AH83" s="230"/>
      <c r="AI83" s="269"/>
      <c r="AJ83" s="229"/>
      <c r="AK83" s="230"/>
      <c r="AL83" s="231"/>
      <c r="AM83" s="229"/>
      <c r="AN83" s="84"/>
      <c r="AO83" s="216"/>
      <c r="AP83" s="85"/>
      <c r="AQ83" s="86"/>
      <c r="AR83" s="234"/>
      <c r="AS83" s="87"/>
      <c r="AT83" s="235"/>
      <c r="AU83" s="236"/>
      <c r="AV83" s="237"/>
      <c r="AW83" s="235"/>
      <c r="AX83" s="236"/>
      <c r="AY83" s="237"/>
      <c r="AZ83" s="235"/>
      <c r="BA83" s="236"/>
      <c r="BB83" s="237"/>
      <c r="BC83" s="235"/>
      <c r="BD83" s="236"/>
      <c r="BE83" s="237"/>
      <c r="BF83" s="235"/>
      <c r="BG83" s="236"/>
      <c r="BH83" s="237"/>
      <c r="BI83" s="235"/>
      <c r="BJ83" s="236"/>
      <c r="BK83" s="237"/>
    </row>
    <row r="84" spans="1:63" ht="35.25" customHeight="1" thickBot="1">
      <c r="A84" s="1192"/>
      <c r="B84" s="329"/>
      <c r="C84" s="329"/>
      <c r="D84" s="329" t="s">
        <v>340</v>
      </c>
      <c r="E84" s="290" t="s">
        <v>331</v>
      </c>
      <c r="F84" s="410" t="s">
        <v>239</v>
      </c>
      <c r="G84" s="614">
        <v>36</v>
      </c>
      <c r="H84" s="320">
        <f t="shared" si="15"/>
        <v>100</v>
      </c>
      <c r="I84" s="291"/>
      <c r="J84" s="293">
        <f>Q1</f>
        <v>530</v>
      </c>
      <c r="K84" s="438">
        <v>623</v>
      </c>
      <c r="L84" s="294">
        <v>1800</v>
      </c>
      <c r="M84" s="292">
        <f t="shared" si="2"/>
        <v>93</v>
      </c>
      <c r="N84" s="295">
        <f t="shared" si="5"/>
        <v>-0.93</v>
      </c>
      <c r="O84" s="295">
        <f t="shared" si="16"/>
        <v>1.1754716981132076</v>
      </c>
      <c r="P84" s="472">
        <f>2.5*O84</f>
        <v>2.9386792452830193</v>
      </c>
      <c r="Q84" s="296">
        <f t="shared" ca="1" si="10"/>
        <v>41753.175471698116</v>
      </c>
      <c r="R84" s="57"/>
      <c r="S84" s="58"/>
      <c r="T84" s="59"/>
      <c r="U84" s="59"/>
      <c r="V84" s="66"/>
      <c r="W84" s="66"/>
      <c r="X84" s="66"/>
      <c r="Y84" s="66"/>
      <c r="Z84" s="66"/>
      <c r="AA84" s="59"/>
      <c r="AB84" s="233"/>
      <c r="AC84" s="269"/>
      <c r="AD84" s="229"/>
      <c r="AE84" s="230"/>
      <c r="AF84" s="231"/>
      <c r="AG84" s="229"/>
      <c r="AH84" s="230"/>
      <c r="AI84" s="269"/>
      <c r="AJ84" s="229"/>
      <c r="AK84" s="230"/>
      <c r="AL84" s="231"/>
      <c r="AM84" s="229"/>
      <c r="AN84" s="84"/>
      <c r="AO84" s="216"/>
      <c r="AP84" s="85"/>
      <c r="AQ84" s="86"/>
      <c r="AR84" s="234"/>
      <c r="AS84" s="87"/>
      <c r="AT84" s="235"/>
      <c r="AU84" s="236"/>
      <c r="AV84" s="237"/>
      <c r="AW84" s="235"/>
      <c r="AX84" s="236"/>
      <c r="AY84" s="237"/>
      <c r="AZ84" s="235"/>
      <c r="BA84" s="236"/>
      <c r="BB84" s="237"/>
      <c r="BC84" s="235"/>
      <c r="BD84" s="236"/>
      <c r="BE84" s="237"/>
      <c r="BF84" s="235"/>
      <c r="BG84" s="236"/>
      <c r="BH84" s="237"/>
      <c r="BI84" s="235"/>
      <c r="BJ84" s="236"/>
      <c r="BK84" s="237"/>
    </row>
    <row r="85" spans="1:63" ht="33" customHeight="1">
      <c r="A85" s="1214" t="s">
        <v>236</v>
      </c>
      <c r="B85" s="754"/>
      <c r="C85" s="848" t="s">
        <v>442</v>
      </c>
      <c r="D85" s="390" t="s">
        <v>277</v>
      </c>
      <c r="E85" s="391" t="s">
        <v>87</v>
      </c>
      <c r="F85" s="416" t="s">
        <v>382</v>
      </c>
      <c r="G85" s="369">
        <v>67</v>
      </c>
      <c r="H85" s="393">
        <f t="shared" si="15"/>
        <v>53.731343283582092</v>
      </c>
      <c r="I85" s="393"/>
      <c r="J85" s="394">
        <f>Q2</f>
        <v>320</v>
      </c>
      <c r="K85" s="440">
        <v>614</v>
      </c>
      <c r="L85" s="395">
        <v>616</v>
      </c>
      <c r="M85" s="393">
        <f t="shared" si="2"/>
        <v>294</v>
      </c>
      <c r="N85" s="396">
        <f t="shared" si="5"/>
        <v>-5.4716666666666667</v>
      </c>
      <c r="O85" s="396">
        <f t="shared" si="16"/>
        <v>1.91875</v>
      </c>
      <c r="P85" s="477">
        <f>O85*1.5</f>
        <v>2.8781249999999998</v>
      </c>
      <c r="Q85" s="397">
        <f t="shared" ca="1" si="10"/>
        <v>41753.918749999997</v>
      </c>
      <c r="R85" s="47"/>
      <c r="S85" s="48"/>
      <c r="T85" s="67">
        <v>1</v>
      </c>
      <c r="U85" s="67"/>
      <c r="V85" s="68">
        <v>1</v>
      </c>
      <c r="W85" s="68">
        <v>1</v>
      </c>
      <c r="X85" s="50"/>
      <c r="Y85" s="50"/>
      <c r="Z85" s="50"/>
      <c r="AA85" s="49"/>
      <c r="AB85" s="244">
        <v>13</v>
      </c>
      <c r="AC85" s="6"/>
      <c r="AD85" s="7"/>
      <c r="AE85" s="5"/>
      <c r="AF85" s="246"/>
      <c r="AG85" s="248"/>
      <c r="AH85" s="244"/>
      <c r="AI85" s="246">
        <v>20</v>
      </c>
      <c r="AJ85" s="7"/>
      <c r="AK85" s="5"/>
      <c r="AL85" s="6"/>
      <c r="AM85" s="7"/>
      <c r="AN85" s="251"/>
      <c r="AO85" s="251"/>
      <c r="AP85" s="251"/>
      <c r="AQ85" s="251"/>
      <c r="AR85" s="251"/>
      <c r="AS85" s="251"/>
      <c r="AT85" s="30"/>
      <c r="AU85" s="31"/>
      <c r="AV85" s="32"/>
      <c r="AW85" s="30"/>
      <c r="AX85" s="31"/>
      <c r="AY85" s="32"/>
      <c r="AZ85" s="30"/>
      <c r="BA85" s="31"/>
      <c r="BB85" s="32"/>
      <c r="BC85" s="30"/>
      <c r="BD85" s="31"/>
      <c r="BE85" s="32"/>
      <c r="BF85" s="30"/>
      <c r="BG85" s="31"/>
      <c r="BH85" s="32"/>
      <c r="BI85" s="30"/>
      <c r="BJ85" s="31"/>
      <c r="BK85" s="32"/>
    </row>
    <row r="86" spans="1:63" ht="36" customHeight="1">
      <c r="A86" s="1214"/>
      <c r="B86" s="753"/>
      <c r="C86" s="847" t="s">
        <v>442</v>
      </c>
      <c r="D86" s="398" t="s">
        <v>279</v>
      </c>
      <c r="E86" s="367" t="s">
        <v>89</v>
      </c>
      <c r="F86" s="406" t="s">
        <v>366</v>
      </c>
      <c r="G86" s="369">
        <v>60</v>
      </c>
      <c r="H86" s="369">
        <f t="shared" si="15"/>
        <v>60</v>
      </c>
      <c r="I86" s="369">
        <v>1</v>
      </c>
      <c r="J86" s="370">
        <f>Q3</f>
        <v>214</v>
      </c>
      <c r="K86" s="437">
        <f>305+144</f>
        <v>449</v>
      </c>
      <c r="L86" s="395">
        <v>480</v>
      </c>
      <c r="M86" s="369">
        <f t="shared" si="2"/>
        <v>235</v>
      </c>
      <c r="N86" s="372">
        <f t="shared" si="5"/>
        <v>-3.9166666666666665</v>
      </c>
      <c r="O86" s="372">
        <f t="shared" si="16"/>
        <v>2.0981308411214954</v>
      </c>
      <c r="P86" s="477">
        <f>O86*1.5</f>
        <v>3.1471962616822431</v>
      </c>
      <c r="Q86" s="373">
        <f t="shared" ca="1" si="10"/>
        <v>41754.098130841121</v>
      </c>
      <c r="R86" s="35"/>
      <c r="S86" s="36"/>
      <c r="T86" s="40"/>
      <c r="U86" s="40"/>
      <c r="V86" s="39"/>
      <c r="W86" s="39"/>
      <c r="X86" s="64">
        <v>1</v>
      </c>
      <c r="Y86" s="64">
        <v>1</v>
      </c>
      <c r="Z86" s="39"/>
      <c r="AA86" s="40"/>
      <c r="AB86" s="245"/>
      <c r="AC86" s="247"/>
      <c r="AD86" s="249"/>
      <c r="AE86" s="245"/>
      <c r="AF86" s="247"/>
      <c r="AG86" s="249"/>
      <c r="AH86" s="245"/>
      <c r="AI86" s="247"/>
      <c r="AJ86" s="249"/>
      <c r="AK86" s="253"/>
      <c r="AL86" s="254"/>
      <c r="AM86" s="255">
        <v>3</v>
      </c>
      <c r="AN86" s="251"/>
      <c r="AO86" s="251"/>
      <c r="AP86" s="251"/>
      <c r="AQ86" s="251"/>
      <c r="AR86" s="251"/>
      <c r="AS86" s="251"/>
      <c r="AT86" s="250"/>
      <c r="AU86" s="251"/>
      <c r="AV86" s="252"/>
      <c r="AW86" s="250"/>
      <c r="AX86" s="251"/>
      <c r="AY86" s="252"/>
      <c r="AZ86" s="250"/>
      <c r="BA86" s="251"/>
      <c r="BB86" s="252"/>
      <c r="BC86" s="250"/>
      <c r="BD86" s="251"/>
      <c r="BE86" s="252"/>
      <c r="BF86" s="250"/>
      <c r="BG86" s="251"/>
      <c r="BH86" s="252"/>
      <c r="BI86" s="250"/>
      <c r="BJ86" s="251"/>
      <c r="BK86" s="252"/>
    </row>
    <row r="87" spans="1:63" ht="23.25" hidden="1" customHeight="1">
      <c r="A87" s="1214"/>
      <c r="B87" s="753"/>
      <c r="C87" s="847"/>
      <c r="D87" s="398"/>
      <c r="E87" s="384" t="s">
        <v>86</v>
      </c>
      <c r="F87" s="406" t="s">
        <v>111</v>
      </c>
      <c r="G87" s="369"/>
      <c r="H87" s="369" t="e">
        <f t="shared" ref="H87:H97" si="17">3600/G87</f>
        <v>#DIV/0!</v>
      </c>
      <c r="I87" s="374"/>
      <c r="J87" s="387"/>
      <c r="K87" s="437"/>
      <c r="L87" s="388"/>
      <c r="M87" s="369">
        <f t="shared" si="2"/>
        <v>0</v>
      </c>
      <c r="N87" s="372">
        <f t="shared" si="5"/>
        <v>0</v>
      </c>
      <c r="O87" s="372" t="e">
        <f t="shared" si="16"/>
        <v>#DIV/0!</v>
      </c>
      <c r="P87" s="469"/>
      <c r="Q87" s="373" t="e">
        <f t="shared" ca="1" si="10"/>
        <v>#DIV/0!</v>
      </c>
      <c r="R87" s="35"/>
      <c r="S87" s="36"/>
      <c r="T87" s="40"/>
      <c r="U87" s="40"/>
      <c r="V87" s="39"/>
      <c r="W87" s="39"/>
      <c r="X87" s="64"/>
      <c r="Y87" s="64"/>
      <c r="Z87" s="39"/>
      <c r="AA87" s="40"/>
      <c r="AB87" s="245"/>
      <c r="AC87" s="247"/>
      <c r="AD87" s="249"/>
      <c r="AE87" s="245"/>
      <c r="AF87" s="247"/>
      <c r="AG87" s="249" t="s">
        <v>146</v>
      </c>
      <c r="AH87" s="260"/>
      <c r="AI87" s="247"/>
      <c r="AJ87" s="249"/>
      <c r="AK87" s="253"/>
      <c r="AL87" s="254"/>
      <c r="AM87" s="255"/>
      <c r="AN87" s="251"/>
      <c r="AO87" s="251"/>
      <c r="AP87" s="251"/>
      <c r="AQ87" s="251"/>
      <c r="AR87" s="251"/>
      <c r="AS87" s="251"/>
      <c r="AT87" s="250"/>
      <c r="AU87" s="251"/>
      <c r="AV87" s="252"/>
      <c r="AW87" s="250"/>
      <c r="AX87" s="251"/>
      <c r="AY87" s="252"/>
      <c r="AZ87" s="250"/>
      <c r="BA87" s="251"/>
      <c r="BB87" s="252"/>
      <c r="BC87" s="250"/>
      <c r="BD87" s="251"/>
      <c r="BE87" s="252"/>
      <c r="BF87" s="250"/>
      <c r="BG87" s="251"/>
      <c r="BH87" s="252"/>
      <c r="BI87" s="250"/>
      <c r="BJ87" s="251"/>
      <c r="BK87" s="252"/>
    </row>
    <row r="88" spans="1:63" ht="23.25" hidden="1" customHeight="1">
      <c r="A88" s="1214"/>
      <c r="B88" s="753"/>
      <c r="C88" s="847"/>
      <c r="D88" s="398"/>
      <c r="E88" s="385" t="s">
        <v>92</v>
      </c>
      <c r="F88" s="406" t="s">
        <v>35</v>
      </c>
      <c r="G88" s="369"/>
      <c r="H88" s="369" t="e">
        <f t="shared" si="17"/>
        <v>#DIV/0!</v>
      </c>
      <c r="I88" s="374"/>
      <c r="J88" s="387"/>
      <c r="K88" s="437"/>
      <c r="L88" s="388"/>
      <c r="M88" s="369">
        <f t="shared" si="2"/>
        <v>0</v>
      </c>
      <c r="N88" s="372">
        <f t="shared" si="5"/>
        <v>0</v>
      </c>
      <c r="O88" s="372" t="e">
        <f t="shared" si="16"/>
        <v>#DIV/0!</v>
      </c>
      <c r="P88" s="469"/>
      <c r="Q88" s="373" t="e">
        <f t="shared" ca="1" si="10"/>
        <v>#DIV/0!</v>
      </c>
      <c r="R88" s="35"/>
      <c r="S88" s="36"/>
      <c r="T88" s="40"/>
      <c r="U88" s="40"/>
      <c r="V88" s="39"/>
      <c r="W88" s="39"/>
      <c r="X88" s="64"/>
      <c r="Y88" s="64"/>
      <c r="Z88" s="39"/>
      <c r="AA88" s="40"/>
      <c r="AB88" s="1119"/>
      <c r="AC88" s="1117"/>
      <c r="AD88" s="1125"/>
      <c r="AE88" s="1119"/>
      <c r="AF88" s="1117"/>
      <c r="AG88" s="1125"/>
      <c r="AH88" s="1119"/>
      <c r="AI88" s="1117"/>
      <c r="AJ88" s="1125"/>
      <c r="AK88" s="1114"/>
      <c r="AL88" s="1111"/>
      <c r="AM88" s="1127"/>
      <c r="AN88" s="251"/>
      <c r="AO88" s="251"/>
      <c r="AP88" s="251"/>
      <c r="AQ88" s="251"/>
      <c r="AR88" s="251"/>
      <c r="AS88" s="251"/>
      <c r="AT88" s="1130"/>
      <c r="AU88" s="1133"/>
      <c r="AV88" s="1136"/>
      <c r="AW88" s="1130"/>
      <c r="AX88" s="1133"/>
      <c r="AY88" s="1136"/>
      <c r="AZ88" s="1130"/>
      <c r="BA88" s="1133"/>
      <c r="BB88" s="1136"/>
      <c r="BC88" s="1130"/>
      <c r="BD88" s="1133"/>
      <c r="BE88" s="1136"/>
      <c r="BF88" s="1130"/>
      <c r="BG88" s="1133"/>
      <c r="BH88" s="1136"/>
      <c r="BI88" s="1130"/>
      <c r="BJ88" s="1133"/>
      <c r="BK88" s="1136"/>
    </row>
    <row r="89" spans="1:63" ht="23.25" hidden="1" customHeight="1">
      <c r="A89" s="1214"/>
      <c r="B89" s="753"/>
      <c r="C89" s="847"/>
      <c r="D89" s="398"/>
      <c r="E89" s="385" t="s">
        <v>94</v>
      </c>
      <c r="F89" s="406" t="s">
        <v>37</v>
      </c>
      <c r="G89" s="369"/>
      <c r="H89" s="369" t="e">
        <f t="shared" si="17"/>
        <v>#DIV/0!</v>
      </c>
      <c r="I89" s="374"/>
      <c r="J89" s="387"/>
      <c r="K89" s="437"/>
      <c r="L89" s="388"/>
      <c r="M89" s="369">
        <f t="shared" si="2"/>
        <v>0</v>
      </c>
      <c r="N89" s="372">
        <f t="shared" si="5"/>
        <v>0</v>
      </c>
      <c r="O89" s="372" t="e">
        <f t="shared" si="16"/>
        <v>#DIV/0!</v>
      </c>
      <c r="P89" s="469"/>
      <c r="Q89" s="373" t="e">
        <f t="shared" ca="1" si="10"/>
        <v>#DIV/0!</v>
      </c>
      <c r="R89" s="35"/>
      <c r="S89" s="36"/>
      <c r="T89" s="40"/>
      <c r="U89" s="40"/>
      <c r="V89" s="39"/>
      <c r="W89" s="39"/>
      <c r="X89" s="64"/>
      <c r="Y89" s="64"/>
      <c r="Z89" s="39"/>
      <c r="AA89" s="40"/>
      <c r="AB89" s="1120"/>
      <c r="AC89" s="1118"/>
      <c r="AD89" s="1126"/>
      <c r="AE89" s="1120"/>
      <c r="AF89" s="1118"/>
      <c r="AG89" s="1126"/>
      <c r="AH89" s="1120"/>
      <c r="AI89" s="1118"/>
      <c r="AJ89" s="1126"/>
      <c r="AK89" s="1116"/>
      <c r="AL89" s="1113"/>
      <c r="AM89" s="1129"/>
      <c r="AN89" s="251"/>
      <c r="AO89" s="251"/>
      <c r="AP89" s="251"/>
      <c r="AQ89" s="251"/>
      <c r="AR89" s="251"/>
      <c r="AS89" s="251"/>
      <c r="AT89" s="1132"/>
      <c r="AU89" s="1135"/>
      <c r="AV89" s="1138"/>
      <c r="AW89" s="1132"/>
      <c r="AX89" s="1135"/>
      <c r="AY89" s="1138"/>
      <c r="AZ89" s="1132"/>
      <c r="BA89" s="1135"/>
      <c r="BB89" s="1138"/>
      <c r="BC89" s="1132"/>
      <c r="BD89" s="1135"/>
      <c r="BE89" s="1138"/>
      <c r="BF89" s="1132"/>
      <c r="BG89" s="1135"/>
      <c r="BH89" s="1138"/>
      <c r="BI89" s="1132"/>
      <c r="BJ89" s="1135"/>
      <c r="BK89" s="1138"/>
    </row>
    <row r="90" spans="1:63" ht="23.25" hidden="1" customHeight="1">
      <c r="A90" s="1214"/>
      <c r="B90" s="753"/>
      <c r="C90" s="847"/>
      <c r="D90" s="398"/>
      <c r="E90" s="385" t="s">
        <v>93</v>
      </c>
      <c r="F90" s="406" t="s">
        <v>36</v>
      </c>
      <c r="G90" s="369"/>
      <c r="H90" s="369" t="e">
        <f t="shared" si="17"/>
        <v>#DIV/0!</v>
      </c>
      <c r="I90" s="374"/>
      <c r="J90" s="387"/>
      <c r="K90" s="437"/>
      <c r="L90" s="388"/>
      <c r="M90" s="369">
        <f t="shared" si="2"/>
        <v>0</v>
      </c>
      <c r="N90" s="372">
        <f t="shared" si="5"/>
        <v>0</v>
      </c>
      <c r="O90" s="372" t="e">
        <f t="shared" si="16"/>
        <v>#DIV/0!</v>
      </c>
      <c r="P90" s="469"/>
      <c r="Q90" s="373" t="e">
        <f t="shared" ca="1" si="10"/>
        <v>#DIV/0!</v>
      </c>
      <c r="R90" s="35"/>
      <c r="S90" s="36"/>
      <c r="T90" s="40"/>
      <c r="U90" s="40"/>
      <c r="V90" s="39"/>
      <c r="W90" s="39"/>
      <c r="X90" s="64"/>
      <c r="Y90" s="64"/>
      <c r="Z90" s="39"/>
      <c r="AA90" s="40"/>
      <c r="AB90" s="260">
        <v>6</v>
      </c>
      <c r="AC90" s="247"/>
      <c r="AD90" s="249"/>
      <c r="AE90" s="245"/>
      <c r="AF90" s="247"/>
      <c r="AG90" s="249"/>
      <c r="AH90" s="245"/>
      <c r="AI90" s="247"/>
      <c r="AJ90" s="249"/>
      <c r="AK90" s="253"/>
      <c r="AL90" s="254"/>
      <c r="AM90" s="255"/>
      <c r="AN90" s="251"/>
      <c r="AO90" s="251"/>
      <c r="AP90" s="251"/>
      <c r="AQ90" s="251"/>
      <c r="AR90" s="251"/>
      <c r="AS90" s="251"/>
      <c r="AT90" s="250"/>
      <c r="AU90" s="251"/>
      <c r="AV90" s="252"/>
      <c r="AW90" s="250"/>
      <c r="AX90" s="251"/>
      <c r="AY90" s="252"/>
      <c r="AZ90" s="250"/>
      <c r="BA90" s="251"/>
      <c r="BB90" s="252"/>
      <c r="BC90" s="250"/>
      <c r="BD90" s="251"/>
      <c r="BE90" s="252"/>
      <c r="BF90" s="250"/>
      <c r="BG90" s="251"/>
      <c r="BH90" s="252"/>
      <c r="BI90" s="250"/>
      <c r="BJ90" s="251"/>
      <c r="BK90" s="252"/>
    </row>
    <row r="91" spans="1:63" ht="23.25" hidden="1" customHeight="1">
      <c r="A91" s="1214"/>
      <c r="B91" s="753"/>
      <c r="C91" s="847"/>
      <c r="D91" s="398"/>
      <c r="E91" s="385" t="s">
        <v>95</v>
      </c>
      <c r="F91" s="406" t="s">
        <v>38</v>
      </c>
      <c r="G91" s="369"/>
      <c r="H91" s="369" t="e">
        <f t="shared" si="17"/>
        <v>#DIV/0!</v>
      </c>
      <c r="I91" s="374"/>
      <c r="J91" s="387"/>
      <c r="K91" s="437"/>
      <c r="L91" s="388"/>
      <c r="M91" s="369">
        <f t="shared" si="2"/>
        <v>0</v>
      </c>
      <c r="N91" s="372">
        <f t="shared" si="5"/>
        <v>0</v>
      </c>
      <c r="O91" s="372" t="e">
        <f t="shared" si="16"/>
        <v>#DIV/0!</v>
      </c>
      <c r="P91" s="469"/>
      <c r="Q91" s="373" t="e">
        <f t="shared" ca="1" si="10"/>
        <v>#DIV/0!</v>
      </c>
      <c r="R91" s="35"/>
      <c r="S91" s="36"/>
      <c r="T91" s="40"/>
      <c r="U91" s="40"/>
      <c r="V91" s="39"/>
      <c r="W91" s="39"/>
      <c r="X91" s="64"/>
      <c r="Y91" s="64"/>
      <c r="Z91" s="39"/>
      <c r="AA91" s="40"/>
      <c r="AB91" s="1119"/>
      <c r="AC91" s="1117"/>
      <c r="AD91" s="1125"/>
      <c r="AE91" s="1119"/>
      <c r="AF91" s="1117"/>
      <c r="AG91" s="1125"/>
      <c r="AH91" s="1119"/>
      <c r="AI91" s="1117"/>
      <c r="AJ91" s="1125"/>
      <c r="AK91" s="1114"/>
      <c r="AL91" s="1111"/>
      <c r="AM91" s="1127"/>
      <c r="AN91" s="251"/>
      <c r="AO91" s="251"/>
      <c r="AP91" s="251"/>
      <c r="AQ91" s="251"/>
      <c r="AR91" s="251"/>
      <c r="AS91" s="251"/>
      <c r="AT91" s="1130"/>
      <c r="AU91" s="1133"/>
      <c r="AV91" s="1136"/>
      <c r="AW91" s="1130"/>
      <c r="AX91" s="1133"/>
      <c r="AY91" s="1136"/>
      <c r="AZ91" s="1130"/>
      <c r="BA91" s="1133"/>
      <c r="BB91" s="1136"/>
      <c r="BC91" s="1130"/>
      <c r="BD91" s="1133"/>
      <c r="BE91" s="1136"/>
      <c r="BF91" s="1130"/>
      <c r="BG91" s="1133"/>
      <c r="BH91" s="1136"/>
      <c r="BI91" s="1130"/>
      <c r="BJ91" s="1133"/>
      <c r="BK91" s="1136"/>
    </row>
    <row r="92" spans="1:63" ht="23.25" hidden="1" customHeight="1">
      <c r="A92" s="1214"/>
      <c r="B92" s="753"/>
      <c r="C92" s="847"/>
      <c r="D92" s="398"/>
      <c r="E92" s="385" t="s">
        <v>97</v>
      </c>
      <c r="F92" s="406" t="s">
        <v>40</v>
      </c>
      <c r="G92" s="369"/>
      <c r="H92" s="369" t="e">
        <f t="shared" si="17"/>
        <v>#DIV/0!</v>
      </c>
      <c r="I92" s="374"/>
      <c r="J92" s="387"/>
      <c r="K92" s="437"/>
      <c r="L92" s="388"/>
      <c r="M92" s="369">
        <f t="shared" si="2"/>
        <v>0</v>
      </c>
      <c r="N92" s="372">
        <f t="shared" si="5"/>
        <v>0</v>
      </c>
      <c r="O92" s="372" t="e">
        <f t="shared" si="16"/>
        <v>#DIV/0!</v>
      </c>
      <c r="P92" s="469"/>
      <c r="Q92" s="373" t="e">
        <f t="shared" ca="1" si="10"/>
        <v>#DIV/0!</v>
      </c>
      <c r="R92" s="35"/>
      <c r="S92" s="36"/>
      <c r="T92" s="40"/>
      <c r="U92" s="40"/>
      <c r="V92" s="39"/>
      <c r="W92" s="39"/>
      <c r="X92" s="64"/>
      <c r="Y92" s="64"/>
      <c r="Z92" s="39"/>
      <c r="AA92" s="40"/>
      <c r="AB92" s="1120"/>
      <c r="AC92" s="1118"/>
      <c r="AD92" s="1126"/>
      <c r="AE92" s="1120"/>
      <c r="AF92" s="1118"/>
      <c r="AG92" s="1126"/>
      <c r="AH92" s="1120"/>
      <c r="AI92" s="1118"/>
      <c r="AJ92" s="1126"/>
      <c r="AK92" s="1116"/>
      <c r="AL92" s="1113"/>
      <c r="AM92" s="1129"/>
      <c r="AN92" s="251"/>
      <c r="AO92" s="251"/>
      <c r="AP92" s="251"/>
      <c r="AQ92" s="251"/>
      <c r="AR92" s="251"/>
      <c r="AS92" s="251"/>
      <c r="AT92" s="1132"/>
      <c r="AU92" s="1135"/>
      <c r="AV92" s="1138"/>
      <c r="AW92" s="1132"/>
      <c r="AX92" s="1135"/>
      <c r="AY92" s="1138"/>
      <c r="AZ92" s="1132"/>
      <c r="BA92" s="1135"/>
      <c r="BB92" s="1138"/>
      <c r="BC92" s="1132"/>
      <c r="BD92" s="1135"/>
      <c r="BE92" s="1138"/>
      <c r="BF92" s="1132"/>
      <c r="BG92" s="1135"/>
      <c r="BH92" s="1138"/>
      <c r="BI92" s="1132"/>
      <c r="BJ92" s="1135"/>
      <c r="BK92" s="1138"/>
    </row>
    <row r="93" spans="1:63" ht="23.25" hidden="1" customHeight="1">
      <c r="A93" s="1214"/>
      <c r="B93" s="753"/>
      <c r="C93" s="847"/>
      <c r="D93" s="398"/>
      <c r="E93" s="385" t="s">
        <v>96</v>
      </c>
      <c r="F93" s="406" t="s">
        <v>39</v>
      </c>
      <c r="G93" s="369"/>
      <c r="H93" s="369" t="e">
        <f t="shared" si="17"/>
        <v>#DIV/0!</v>
      </c>
      <c r="I93" s="374"/>
      <c r="J93" s="387"/>
      <c r="K93" s="437"/>
      <c r="L93" s="388"/>
      <c r="M93" s="369">
        <f t="shared" si="2"/>
        <v>0</v>
      </c>
      <c r="N93" s="372">
        <f t="shared" si="5"/>
        <v>0</v>
      </c>
      <c r="O93" s="372" t="e">
        <f t="shared" si="16"/>
        <v>#DIV/0!</v>
      </c>
      <c r="P93" s="469"/>
      <c r="Q93" s="373" t="e">
        <f t="shared" ca="1" si="10"/>
        <v>#DIV/0!</v>
      </c>
      <c r="R93" s="35"/>
      <c r="S93" s="36"/>
      <c r="T93" s="40"/>
      <c r="U93" s="40"/>
      <c r="V93" s="39"/>
      <c r="W93" s="39"/>
      <c r="X93" s="64"/>
      <c r="Y93" s="64"/>
      <c r="Z93" s="39"/>
      <c r="AA93" s="40"/>
      <c r="AB93" s="245"/>
      <c r="AC93" s="247"/>
      <c r="AD93" s="249"/>
      <c r="AE93" s="245"/>
      <c r="AF93" s="247"/>
      <c r="AG93" s="249"/>
      <c r="AH93" s="245"/>
      <c r="AI93" s="247"/>
      <c r="AJ93" s="249"/>
      <c r="AK93" s="253"/>
      <c r="AL93" s="254"/>
      <c r="AM93" s="255"/>
      <c r="AN93" s="251"/>
      <c r="AO93" s="251"/>
      <c r="AP93" s="251"/>
      <c r="AQ93" s="251"/>
      <c r="AR93" s="251"/>
      <c r="AS93" s="251"/>
      <c r="AT93" s="250"/>
      <c r="AU93" s="251"/>
      <c r="AV93" s="252"/>
      <c r="AW93" s="250"/>
      <c r="AX93" s="251"/>
      <c r="AY93" s="252"/>
      <c r="AZ93" s="250"/>
      <c r="BA93" s="251"/>
      <c r="BB93" s="252"/>
      <c r="BC93" s="250"/>
      <c r="BD93" s="251"/>
      <c r="BE93" s="252"/>
      <c r="BF93" s="250"/>
      <c r="BG93" s="251"/>
      <c r="BH93" s="252"/>
      <c r="BI93" s="250"/>
      <c r="BJ93" s="251"/>
      <c r="BK93" s="252"/>
    </row>
    <row r="94" spans="1:63" ht="23.25" hidden="1" customHeight="1">
      <c r="A94" s="1214"/>
      <c r="B94" s="753"/>
      <c r="C94" s="847"/>
      <c r="D94" s="398"/>
      <c r="E94" s="384" t="s">
        <v>98</v>
      </c>
      <c r="F94" s="406" t="s">
        <v>41</v>
      </c>
      <c r="G94" s="369"/>
      <c r="H94" s="369" t="e">
        <f t="shared" si="17"/>
        <v>#DIV/0!</v>
      </c>
      <c r="I94" s="374"/>
      <c r="J94" s="387"/>
      <c r="K94" s="437"/>
      <c r="L94" s="388"/>
      <c r="M94" s="369">
        <f t="shared" si="2"/>
        <v>0</v>
      </c>
      <c r="N94" s="372">
        <f t="shared" si="5"/>
        <v>0</v>
      </c>
      <c r="O94" s="372" t="e">
        <f t="shared" si="16"/>
        <v>#DIV/0!</v>
      </c>
      <c r="P94" s="469"/>
      <c r="Q94" s="373" t="e">
        <f t="shared" ca="1" si="10"/>
        <v>#DIV/0!</v>
      </c>
      <c r="R94" s="35"/>
      <c r="S94" s="36"/>
      <c r="T94" s="40"/>
      <c r="U94" s="40"/>
      <c r="V94" s="39"/>
      <c r="W94" s="39"/>
      <c r="X94" s="64"/>
      <c r="Y94" s="64"/>
      <c r="Z94" s="39"/>
      <c r="AA94" s="40"/>
      <c r="AB94" s="245"/>
      <c r="AC94" s="247"/>
      <c r="AD94" s="249"/>
      <c r="AE94" s="245"/>
      <c r="AF94" s="247"/>
      <c r="AG94" s="249"/>
      <c r="AH94" s="245"/>
      <c r="AI94" s="247"/>
      <c r="AJ94" s="249"/>
      <c r="AK94" s="253"/>
      <c r="AL94" s="254"/>
      <c r="AM94" s="255"/>
      <c r="AN94" s="251"/>
      <c r="AO94" s="251"/>
      <c r="AP94" s="251"/>
      <c r="AQ94" s="251"/>
      <c r="AR94" s="251"/>
      <c r="AS94" s="251"/>
      <c r="AT94" s="250"/>
      <c r="AU94" s="251"/>
      <c r="AV94" s="252"/>
      <c r="AW94" s="250"/>
      <c r="AX94" s="251"/>
      <c r="AY94" s="252"/>
      <c r="AZ94" s="250"/>
      <c r="BA94" s="251"/>
      <c r="BB94" s="252"/>
      <c r="BC94" s="250"/>
      <c r="BD94" s="251"/>
      <c r="BE94" s="252"/>
      <c r="BF94" s="250"/>
      <c r="BG94" s="251"/>
      <c r="BH94" s="252"/>
      <c r="BI94" s="250"/>
      <c r="BJ94" s="251"/>
      <c r="BK94" s="252"/>
    </row>
    <row r="95" spans="1:63" ht="23.25" hidden="1" customHeight="1">
      <c r="A95" s="1214"/>
      <c r="B95" s="753"/>
      <c r="C95" s="847"/>
      <c r="D95" s="398"/>
      <c r="E95" s="384" t="s">
        <v>99</v>
      </c>
      <c r="F95" s="406" t="s">
        <v>42</v>
      </c>
      <c r="G95" s="369"/>
      <c r="H95" s="369" t="e">
        <f t="shared" si="17"/>
        <v>#DIV/0!</v>
      </c>
      <c r="I95" s="374"/>
      <c r="J95" s="387"/>
      <c r="K95" s="437"/>
      <c r="L95" s="388"/>
      <c r="M95" s="369">
        <f t="shared" si="2"/>
        <v>0</v>
      </c>
      <c r="N95" s="372">
        <f t="shared" si="5"/>
        <v>0</v>
      </c>
      <c r="O95" s="372" t="e">
        <f t="shared" si="16"/>
        <v>#DIV/0!</v>
      </c>
      <c r="P95" s="469"/>
      <c r="Q95" s="373" t="e">
        <f t="shared" ca="1" si="10"/>
        <v>#DIV/0!</v>
      </c>
      <c r="R95" s="35"/>
      <c r="S95" s="36"/>
      <c r="T95" s="40"/>
      <c r="U95" s="40"/>
      <c r="V95" s="39"/>
      <c r="W95" s="39"/>
      <c r="X95" s="64"/>
      <c r="Y95" s="64"/>
      <c r="Z95" s="39"/>
      <c r="AA95" s="40"/>
      <c r="AB95" s="245"/>
      <c r="AC95" s="247"/>
      <c r="AD95" s="249"/>
      <c r="AE95" s="245"/>
      <c r="AF95" s="247"/>
      <c r="AG95" s="249"/>
      <c r="AH95" s="245"/>
      <c r="AI95" s="247"/>
      <c r="AJ95" s="249"/>
      <c r="AK95" s="253"/>
      <c r="AL95" s="254"/>
      <c r="AM95" s="255"/>
      <c r="AN95" s="251"/>
      <c r="AO95" s="251"/>
      <c r="AP95" s="251"/>
      <c r="AQ95" s="251"/>
      <c r="AR95" s="251"/>
      <c r="AS95" s="251"/>
      <c r="AT95" s="250"/>
      <c r="AU95" s="251"/>
      <c r="AV95" s="252"/>
      <c r="AW95" s="250"/>
      <c r="AX95" s="251"/>
      <c r="AY95" s="252"/>
      <c r="AZ95" s="250"/>
      <c r="BA95" s="251"/>
      <c r="BB95" s="252"/>
      <c r="BC95" s="250"/>
      <c r="BD95" s="251"/>
      <c r="BE95" s="252"/>
      <c r="BF95" s="250"/>
      <c r="BG95" s="251"/>
      <c r="BH95" s="252"/>
      <c r="BI95" s="250"/>
      <c r="BJ95" s="251"/>
      <c r="BK95" s="252"/>
    </row>
    <row r="96" spans="1:63" ht="23.25" hidden="1" customHeight="1">
      <c r="A96" s="1214"/>
      <c r="B96" s="753"/>
      <c r="C96" s="847"/>
      <c r="D96" s="398"/>
      <c r="E96" s="384" t="s">
        <v>100</v>
      </c>
      <c r="F96" s="406" t="s">
        <v>43</v>
      </c>
      <c r="G96" s="369"/>
      <c r="H96" s="369" t="e">
        <f t="shared" si="17"/>
        <v>#DIV/0!</v>
      </c>
      <c r="I96" s="374"/>
      <c r="J96" s="387"/>
      <c r="K96" s="437"/>
      <c r="L96" s="388"/>
      <c r="M96" s="369">
        <f t="shared" si="2"/>
        <v>0</v>
      </c>
      <c r="N96" s="372">
        <f t="shared" si="5"/>
        <v>0</v>
      </c>
      <c r="O96" s="372" t="e">
        <f t="shared" si="16"/>
        <v>#DIV/0!</v>
      </c>
      <c r="P96" s="469"/>
      <c r="Q96" s="373" t="e">
        <f t="shared" ca="1" si="10"/>
        <v>#DIV/0!</v>
      </c>
      <c r="R96" s="35"/>
      <c r="S96" s="36"/>
      <c r="T96" s="40"/>
      <c r="U96" s="40"/>
      <c r="V96" s="39"/>
      <c r="W96" s="39"/>
      <c r="X96" s="64"/>
      <c r="Y96" s="64"/>
      <c r="Z96" s="39"/>
      <c r="AA96" s="40"/>
      <c r="AB96" s="245"/>
      <c r="AC96" s="247"/>
      <c r="AD96" s="249"/>
      <c r="AE96" s="245"/>
      <c r="AF96" s="247"/>
      <c r="AG96" s="249"/>
      <c r="AH96" s="245"/>
      <c r="AI96" s="247"/>
      <c r="AJ96" s="249"/>
      <c r="AK96" s="253"/>
      <c r="AL96" s="254"/>
      <c r="AM96" s="255"/>
      <c r="AN96" s="251"/>
      <c r="AO96" s="251"/>
      <c r="AP96" s="251"/>
      <c r="AQ96" s="251"/>
      <c r="AR96" s="251"/>
      <c r="AS96" s="251"/>
      <c r="AT96" s="250"/>
      <c r="AU96" s="251"/>
      <c r="AV96" s="252"/>
      <c r="AW96" s="250"/>
      <c r="AX96" s="251"/>
      <c r="AY96" s="252"/>
      <c r="AZ96" s="250"/>
      <c r="BA96" s="251"/>
      <c r="BB96" s="252"/>
      <c r="BC96" s="250"/>
      <c r="BD96" s="251"/>
      <c r="BE96" s="252"/>
      <c r="BF96" s="250"/>
      <c r="BG96" s="251"/>
      <c r="BH96" s="252"/>
      <c r="BI96" s="250"/>
      <c r="BJ96" s="251"/>
      <c r="BK96" s="252"/>
    </row>
    <row r="97" spans="1:78" ht="24" hidden="1" customHeight="1">
      <c r="A97" s="1214"/>
      <c r="B97" s="753"/>
      <c r="C97" s="847"/>
      <c r="D97" s="398"/>
      <c r="E97" s="384" t="s">
        <v>101</v>
      </c>
      <c r="F97" s="406" t="s">
        <v>44</v>
      </c>
      <c r="G97" s="369"/>
      <c r="H97" s="369" t="e">
        <f t="shared" si="17"/>
        <v>#DIV/0!</v>
      </c>
      <c r="I97" s="374"/>
      <c r="J97" s="387"/>
      <c r="K97" s="437"/>
      <c r="L97" s="388"/>
      <c r="M97" s="369">
        <f t="shared" si="2"/>
        <v>0</v>
      </c>
      <c r="N97" s="372">
        <f t="shared" si="5"/>
        <v>0</v>
      </c>
      <c r="O97" s="372" t="e">
        <f t="shared" si="16"/>
        <v>#DIV/0!</v>
      </c>
      <c r="P97" s="469"/>
      <c r="Q97" s="373" t="e">
        <f t="shared" ca="1" si="10"/>
        <v>#DIV/0!</v>
      </c>
      <c r="R97" s="43"/>
      <c r="S97" s="44"/>
      <c r="T97" s="45"/>
      <c r="U97" s="45"/>
      <c r="V97" s="46"/>
      <c r="W97" s="46"/>
      <c r="X97" s="69"/>
      <c r="Y97" s="69"/>
      <c r="Z97" s="46"/>
      <c r="AA97" s="45"/>
      <c r="AB97" s="268"/>
      <c r="AC97" s="10"/>
      <c r="AD97" s="9"/>
      <c r="AE97" s="268"/>
      <c r="AF97" s="10"/>
      <c r="AG97" s="9"/>
      <c r="AH97" s="268"/>
      <c r="AI97" s="10"/>
      <c r="AJ97" s="9"/>
      <c r="AK97" s="266"/>
      <c r="AL97" s="261"/>
      <c r="AM97" s="262"/>
      <c r="AN97" s="251"/>
      <c r="AO97" s="251"/>
      <c r="AP97" s="251"/>
      <c r="AQ97" s="251"/>
      <c r="AR97" s="251"/>
      <c r="AS97" s="251"/>
      <c r="AT97" s="256"/>
      <c r="AU97" s="257"/>
      <c r="AV97" s="258"/>
      <c r="AW97" s="256"/>
      <c r="AX97" s="257"/>
      <c r="AY97" s="258"/>
      <c r="AZ97" s="256"/>
      <c r="BA97" s="257"/>
      <c r="BB97" s="258"/>
      <c r="BC97" s="256"/>
      <c r="BD97" s="257"/>
      <c r="BE97" s="258"/>
      <c r="BF97" s="256"/>
      <c r="BG97" s="257"/>
      <c r="BH97" s="258"/>
      <c r="BI97" s="256"/>
      <c r="BJ97" s="257"/>
      <c r="BK97" s="258"/>
    </row>
    <row r="98" spans="1:78" ht="41.25" customHeight="1">
      <c r="A98" s="1214"/>
      <c r="B98" s="1165"/>
      <c r="C98" s="843" t="s">
        <v>445</v>
      </c>
      <c r="D98" s="1165" t="s">
        <v>341</v>
      </c>
      <c r="E98" s="399" t="s">
        <v>328</v>
      </c>
      <c r="F98" s="417" t="s">
        <v>243</v>
      </c>
      <c r="G98" s="369">
        <v>68</v>
      </c>
      <c r="H98" s="369">
        <v>50</v>
      </c>
      <c r="I98" s="400"/>
      <c r="J98" s="369">
        <f>0.19*Q1</f>
        <v>100.7</v>
      </c>
      <c r="K98" s="459">
        <v>98</v>
      </c>
      <c r="L98" s="1168">
        <v>672</v>
      </c>
      <c r="M98" s="369">
        <f t="shared" si="2"/>
        <v>-2.7000000000000028</v>
      </c>
      <c r="N98" s="372">
        <f t="shared" si="5"/>
        <v>5.1000000000000052E-2</v>
      </c>
      <c r="O98" s="372">
        <f t="shared" si="16"/>
        <v>0.97318768619662366</v>
      </c>
      <c r="P98" s="469">
        <f>O98*2.5</f>
        <v>2.4329692154915592</v>
      </c>
      <c r="Q98" s="373">
        <f t="shared" ca="1" si="10"/>
        <v>41752.973187686199</v>
      </c>
      <c r="R98" s="57"/>
      <c r="S98" s="58"/>
      <c r="T98" s="59"/>
      <c r="U98" s="59"/>
      <c r="V98" s="66"/>
      <c r="W98" s="66"/>
      <c r="X98" s="91"/>
      <c r="Y98" s="91"/>
      <c r="Z98" s="66"/>
      <c r="AA98" s="59"/>
      <c r="AB98" s="230"/>
      <c r="AC98" s="231"/>
      <c r="AD98" s="229"/>
      <c r="AE98" s="230"/>
      <c r="AF98" s="231"/>
      <c r="AG98" s="229"/>
      <c r="AH98" s="230"/>
      <c r="AI98" s="231"/>
      <c r="AJ98" s="229"/>
      <c r="AK98" s="227"/>
      <c r="AL98" s="232"/>
      <c r="AM98" s="226"/>
      <c r="AN98" s="92"/>
      <c r="AO98" s="207"/>
      <c r="AP98" s="93"/>
      <c r="AQ98" s="92"/>
      <c r="AR98" s="207"/>
      <c r="AS98" s="93"/>
      <c r="AT98" s="225"/>
      <c r="AU98" s="228"/>
      <c r="AV98" s="224"/>
      <c r="AW98" s="225"/>
      <c r="AX98" s="228"/>
      <c r="AY98" s="224"/>
      <c r="AZ98" s="225"/>
      <c r="BA98" s="228"/>
      <c r="BB98" s="224"/>
      <c r="BC98" s="225"/>
      <c r="BD98" s="228"/>
      <c r="BE98" s="224"/>
      <c r="BF98" s="225"/>
      <c r="BG98" s="228"/>
      <c r="BH98" s="224"/>
      <c r="BI98" s="225"/>
      <c r="BJ98" s="228"/>
      <c r="BK98" s="224"/>
    </row>
    <row r="99" spans="1:78" ht="41.25" customHeight="1">
      <c r="A99" s="1214"/>
      <c r="B99" s="1166"/>
      <c r="C99" s="843" t="s">
        <v>446</v>
      </c>
      <c r="D99" s="1166"/>
      <c r="E99" s="399" t="s">
        <v>327</v>
      </c>
      <c r="F99" s="417" t="s">
        <v>240</v>
      </c>
      <c r="G99" s="369">
        <v>68</v>
      </c>
      <c r="H99" s="369">
        <v>50</v>
      </c>
      <c r="I99" s="400"/>
      <c r="J99" s="369">
        <f>0.8*Q1</f>
        <v>424</v>
      </c>
      <c r="K99" s="459">
        <v>502</v>
      </c>
      <c r="L99" s="1168"/>
      <c r="M99" s="369">
        <f t="shared" si="2"/>
        <v>78</v>
      </c>
      <c r="N99" s="372">
        <f t="shared" si="5"/>
        <v>-1.4733333333333334</v>
      </c>
      <c r="O99" s="372">
        <f>K98/J98</f>
        <v>0.97318768619662366</v>
      </c>
      <c r="P99" s="469">
        <f>O99*2.5</f>
        <v>2.4329692154915592</v>
      </c>
      <c r="Q99" s="373">
        <f t="shared" ca="1" si="10"/>
        <v>41752.973187686199</v>
      </c>
      <c r="R99" s="57"/>
      <c r="S99" s="58"/>
      <c r="T99" s="59"/>
      <c r="U99" s="59"/>
      <c r="V99" s="66"/>
      <c r="W99" s="66"/>
      <c r="X99" s="91"/>
      <c r="Y99" s="91"/>
      <c r="Z99" s="66"/>
      <c r="AA99" s="59"/>
      <c r="AB99" s="230"/>
      <c r="AC99" s="231"/>
      <c r="AD99" s="229"/>
      <c r="AE99" s="230"/>
      <c r="AF99" s="231"/>
      <c r="AG99" s="229"/>
      <c r="AH99" s="230"/>
      <c r="AI99" s="231"/>
      <c r="AJ99" s="229"/>
      <c r="AK99" s="227"/>
      <c r="AL99" s="232"/>
      <c r="AM99" s="226"/>
      <c r="AN99" s="92"/>
      <c r="AO99" s="207"/>
      <c r="AP99" s="93"/>
      <c r="AQ99" s="92"/>
      <c r="AR99" s="207"/>
      <c r="AS99" s="93"/>
      <c r="AT99" s="225"/>
      <c r="AU99" s="228"/>
      <c r="AV99" s="224"/>
      <c r="AW99" s="225"/>
      <c r="AX99" s="228"/>
      <c r="AY99" s="224"/>
      <c r="AZ99" s="225"/>
      <c r="BA99" s="228"/>
      <c r="BB99" s="224"/>
      <c r="BC99" s="225"/>
      <c r="BD99" s="228"/>
      <c r="BE99" s="224"/>
      <c r="BF99" s="225"/>
      <c r="BG99" s="228"/>
      <c r="BH99" s="224"/>
      <c r="BI99" s="225"/>
      <c r="BJ99" s="228"/>
      <c r="BK99" s="224"/>
    </row>
    <row r="100" spans="1:78" ht="42" customHeight="1" thickBot="1">
      <c r="A100" s="1215"/>
      <c r="B100" s="1167"/>
      <c r="C100" s="843" t="s">
        <v>447</v>
      </c>
      <c r="D100" s="1167"/>
      <c r="E100" s="401" t="s">
        <v>329</v>
      </c>
      <c r="F100" s="418" t="s">
        <v>242</v>
      </c>
      <c r="G100" s="369">
        <v>68</v>
      </c>
      <c r="H100" s="378">
        <f>3600/G100</f>
        <v>52.941176470588232</v>
      </c>
      <c r="I100" s="402"/>
      <c r="J100" s="369">
        <f>0.01*Q1</f>
        <v>5.3</v>
      </c>
      <c r="K100" s="460">
        <v>23</v>
      </c>
      <c r="L100" s="1169"/>
      <c r="M100" s="378">
        <f t="shared" si="2"/>
        <v>17.7</v>
      </c>
      <c r="N100" s="381">
        <f t="shared" si="5"/>
        <v>-0.33433333333333332</v>
      </c>
      <c r="O100" s="372">
        <f>K100/J98</f>
        <v>0.22840119165839126</v>
      </c>
      <c r="P100" s="469">
        <f>O100*2.5</f>
        <v>0.5710029791459782</v>
      </c>
      <c r="Q100" s="382">
        <f t="shared" ca="1" si="10"/>
        <v>41752.228401191656</v>
      </c>
      <c r="R100" s="57"/>
      <c r="S100" s="58"/>
      <c r="T100" s="59"/>
      <c r="U100" s="59"/>
      <c r="V100" s="66"/>
      <c r="W100" s="66"/>
      <c r="X100" s="91"/>
      <c r="Y100" s="91"/>
      <c r="Z100" s="66"/>
      <c r="AA100" s="59"/>
      <c r="AB100" s="230"/>
      <c r="AC100" s="231"/>
      <c r="AD100" s="229"/>
      <c r="AE100" s="230"/>
      <c r="AF100" s="231"/>
      <c r="AG100" s="229"/>
      <c r="AH100" s="230"/>
      <c r="AI100" s="231"/>
      <c r="AJ100" s="229"/>
      <c r="AK100" s="227"/>
      <c r="AL100" s="232"/>
      <c r="AM100" s="226"/>
      <c r="AN100" s="92"/>
      <c r="AO100" s="207"/>
      <c r="AP100" s="93"/>
      <c r="AQ100" s="92"/>
      <c r="AR100" s="207"/>
      <c r="AS100" s="93"/>
      <c r="AT100" s="225"/>
      <c r="AU100" s="228"/>
      <c r="AV100" s="224"/>
      <c r="AW100" s="225"/>
      <c r="AX100" s="228"/>
      <c r="AY100" s="224"/>
      <c r="AZ100" s="225"/>
      <c r="BA100" s="228"/>
      <c r="BB100" s="224"/>
      <c r="BC100" s="225"/>
      <c r="BD100" s="228"/>
      <c r="BE100" s="224"/>
      <c r="BF100" s="225"/>
      <c r="BG100" s="228"/>
      <c r="BH100" s="224"/>
      <c r="BI100" s="225"/>
      <c r="BJ100" s="228"/>
      <c r="BK100" s="224"/>
    </row>
    <row r="101" spans="1:78" ht="24" hidden="1" customHeight="1" thickBot="1">
      <c r="A101" s="429" t="s">
        <v>105</v>
      </c>
      <c r="B101" s="332"/>
      <c r="C101" s="849"/>
      <c r="D101" s="332" t="s">
        <v>270</v>
      </c>
      <c r="E101" s="333" t="s">
        <v>77</v>
      </c>
      <c r="F101" s="419" t="s">
        <v>26</v>
      </c>
      <c r="G101" s="614">
        <v>47</v>
      </c>
      <c r="H101" s="334">
        <f t="shared" ref="H101:H119" si="18">3600/G101</f>
        <v>76.59574468085107</v>
      </c>
      <c r="I101" s="335">
        <v>1</v>
      </c>
      <c r="J101" s="461">
        <v>144</v>
      </c>
      <c r="K101" s="444">
        <v>450</v>
      </c>
      <c r="L101" s="336" t="s">
        <v>210</v>
      </c>
      <c r="M101" s="335">
        <f t="shared" si="2"/>
        <v>306</v>
      </c>
      <c r="N101" s="337">
        <f t="shared" si="5"/>
        <v>-3.9950000000000001</v>
      </c>
      <c r="O101" s="337">
        <f t="shared" ref="O101:O132" si="19">K101/J101</f>
        <v>3.125</v>
      </c>
      <c r="P101" s="478"/>
      <c r="Q101" s="338">
        <f t="shared" ca="1" si="10"/>
        <v>41755.125</v>
      </c>
      <c r="R101" s="35"/>
      <c r="S101" s="36"/>
      <c r="T101" s="37">
        <v>1</v>
      </c>
      <c r="U101" s="37"/>
      <c r="V101" s="64">
        <v>1</v>
      </c>
      <c r="W101" s="39"/>
      <c r="X101" s="39"/>
      <c r="Y101" s="39"/>
      <c r="Z101" s="39"/>
      <c r="AA101" s="40"/>
      <c r="AB101" s="245"/>
      <c r="AC101" s="247"/>
      <c r="AD101" s="249"/>
      <c r="AE101" s="245"/>
      <c r="AF101" s="247"/>
      <c r="AG101" s="249"/>
      <c r="AH101" s="245"/>
      <c r="AI101" s="247"/>
      <c r="AJ101" s="249"/>
      <c r="AK101" s="245"/>
      <c r="AL101" s="247"/>
      <c r="AM101" s="249"/>
      <c r="AN101" s="245"/>
      <c r="AO101" s="247"/>
      <c r="AP101" s="249"/>
      <c r="AQ101" s="239"/>
      <c r="AR101" s="241"/>
      <c r="AS101" s="243"/>
      <c r="AT101" s="239"/>
      <c r="AU101" s="241"/>
      <c r="AV101" s="243"/>
      <c r="AW101" s="239"/>
      <c r="AX101" s="241"/>
      <c r="AY101" s="243"/>
      <c r="AZ101" s="239"/>
      <c r="BA101" s="241"/>
      <c r="BB101" s="243"/>
      <c r="BC101" s="239"/>
      <c r="BD101" s="241"/>
      <c r="BE101" s="243"/>
      <c r="BF101" s="239"/>
      <c r="BG101" s="241"/>
      <c r="BH101" s="243"/>
      <c r="BI101" s="239"/>
      <c r="BJ101" s="241"/>
      <c r="BK101" s="243"/>
    </row>
    <row r="102" spans="1:78" ht="27" customHeight="1" thickBot="1">
      <c r="A102" s="1190" t="s">
        <v>336</v>
      </c>
      <c r="B102" s="321"/>
      <c r="C102" s="321"/>
      <c r="D102" s="321" t="s">
        <v>337</v>
      </c>
      <c r="E102" s="339" t="s">
        <v>330</v>
      </c>
      <c r="F102" s="408" t="s">
        <v>237</v>
      </c>
      <c r="G102" s="614">
        <v>68</v>
      </c>
      <c r="H102" s="275">
        <f>3600/G102</f>
        <v>52.941176470588232</v>
      </c>
      <c r="I102" s="319"/>
      <c r="J102" s="276">
        <f>Q1</f>
        <v>530</v>
      </c>
      <c r="K102" s="436">
        <v>470</v>
      </c>
      <c r="L102" s="277">
        <v>858</v>
      </c>
      <c r="M102" s="275">
        <f>K102-J102</f>
        <v>-60</v>
      </c>
      <c r="N102" s="278">
        <f>((M102*G102)/3600)*-1</f>
        <v>1.1333333333333333</v>
      </c>
      <c r="O102" s="278">
        <f t="shared" si="19"/>
        <v>0.8867924528301887</v>
      </c>
      <c r="P102" s="471">
        <f>O102*2.5</f>
        <v>2.216981132075472</v>
      </c>
      <c r="Q102" s="279">
        <f ca="1">+$Q$5+O102</f>
        <v>41752.886792452831</v>
      </c>
      <c r="R102" s="35"/>
      <c r="S102" s="36"/>
      <c r="T102" s="37"/>
      <c r="U102" s="37"/>
      <c r="V102" s="64"/>
      <c r="W102" s="39"/>
      <c r="X102" s="39"/>
      <c r="Y102" s="39"/>
      <c r="Z102" s="39"/>
      <c r="AA102" s="40"/>
      <c r="AB102" s="245"/>
      <c r="AC102" s="247"/>
      <c r="AD102" s="249"/>
      <c r="AE102" s="245"/>
      <c r="AF102" s="247"/>
      <c r="AG102" s="249"/>
      <c r="AH102" s="245"/>
      <c r="AI102" s="247"/>
      <c r="AJ102" s="249"/>
      <c r="AK102" s="245"/>
      <c r="AL102" s="247"/>
      <c r="AM102" s="249"/>
      <c r="AN102" s="245"/>
      <c r="AO102" s="247"/>
      <c r="AP102" s="249"/>
      <c r="AQ102" s="239"/>
      <c r="AR102" s="241"/>
      <c r="AS102" s="243"/>
      <c r="AT102" s="239"/>
      <c r="AU102" s="241"/>
      <c r="AV102" s="243"/>
      <c r="AW102" s="239"/>
      <c r="AX102" s="241"/>
      <c r="AY102" s="243"/>
      <c r="AZ102" s="239"/>
      <c r="BA102" s="241"/>
      <c r="BB102" s="243"/>
      <c r="BC102" s="239"/>
      <c r="BD102" s="241"/>
      <c r="BE102" s="243"/>
      <c r="BF102" s="239"/>
      <c r="BG102" s="241"/>
      <c r="BH102" s="243"/>
      <c r="BI102" s="239"/>
      <c r="BJ102" s="241"/>
      <c r="BK102" s="243"/>
    </row>
    <row r="103" spans="1:78" ht="34.5" customHeight="1" thickBot="1">
      <c r="A103" s="1192"/>
      <c r="B103" s="329"/>
      <c r="C103" s="329"/>
      <c r="D103" s="329" t="s">
        <v>338</v>
      </c>
      <c r="E103" s="330" t="s">
        <v>332</v>
      </c>
      <c r="F103" s="410" t="s">
        <v>238</v>
      </c>
      <c r="G103" s="614">
        <v>61</v>
      </c>
      <c r="H103" s="292">
        <f>3600/G103</f>
        <v>59.016393442622949</v>
      </c>
      <c r="I103" s="331"/>
      <c r="J103" s="293">
        <f>Q1</f>
        <v>530</v>
      </c>
      <c r="K103" s="438">
        <v>856</v>
      </c>
      <c r="L103" s="294">
        <v>880</v>
      </c>
      <c r="M103" s="292">
        <f>K103-J103</f>
        <v>326</v>
      </c>
      <c r="N103" s="295">
        <f>((M103*G103)/3600)*-1</f>
        <v>-5.5238888888888891</v>
      </c>
      <c r="O103" s="295">
        <f t="shared" si="19"/>
        <v>1.6150943396226416</v>
      </c>
      <c r="P103" s="471">
        <f>O103*2.5</f>
        <v>4.0377358490566042</v>
      </c>
      <c r="Q103" s="296">
        <f ca="1">+$Q$5+O103</f>
        <v>41753.615094339621</v>
      </c>
      <c r="R103" s="35"/>
      <c r="S103" s="36"/>
      <c r="T103" s="37"/>
      <c r="U103" s="37"/>
      <c r="V103" s="64"/>
      <c r="W103" s="39"/>
      <c r="X103" s="39"/>
      <c r="Y103" s="39"/>
      <c r="Z103" s="39"/>
      <c r="AA103" s="40"/>
      <c r="AB103" s="245"/>
      <c r="AC103" s="247"/>
      <c r="AD103" s="249"/>
      <c r="AE103" s="245"/>
      <c r="AF103" s="247"/>
      <c r="AG103" s="249"/>
      <c r="AH103" s="245"/>
      <c r="AI103" s="247"/>
      <c r="AJ103" s="249"/>
      <c r="AK103" s="245"/>
      <c r="AL103" s="247"/>
      <c r="AM103" s="249"/>
      <c r="AN103" s="245"/>
      <c r="AO103" s="247"/>
      <c r="AP103" s="249"/>
      <c r="AQ103" s="239"/>
      <c r="AR103" s="241"/>
      <c r="AS103" s="243"/>
      <c r="AT103" s="239"/>
      <c r="AU103" s="241"/>
      <c r="AV103" s="243"/>
      <c r="AW103" s="239"/>
      <c r="AX103" s="241"/>
      <c r="AY103" s="243"/>
      <c r="AZ103" s="239"/>
      <c r="BA103" s="241"/>
      <c r="BB103" s="243"/>
      <c r="BC103" s="239"/>
      <c r="BD103" s="241"/>
      <c r="BE103" s="243"/>
      <c r="BF103" s="239"/>
      <c r="BG103" s="241"/>
      <c r="BH103" s="243"/>
      <c r="BI103" s="239"/>
      <c r="BJ103" s="241"/>
      <c r="BK103" s="243"/>
    </row>
    <row r="104" spans="1:78" ht="36.75" customHeight="1">
      <c r="A104" s="1213" t="s">
        <v>105</v>
      </c>
      <c r="B104" s="754"/>
      <c r="C104" s="848" t="s">
        <v>441</v>
      </c>
      <c r="D104" s="390" t="s">
        <v>270</v>
      </c>
      <c r="E104" s="391" t="s">
        <v>78</v>
      </c>
      <c r="F104" s="420" t="s">
        <v>113</v>
      </c>
      <c r="G104" s="369">
        <f>58.4</f>
        <v>58.4</v>
      </c>
      <c r="H104" s="392">
        <f t="shared" si="18"/>
        <v>61.643835616438359</v>
      </c>
      <c r="I104" s="393">
        <v>1</v>
      </c>
      <c r="J104" s="394">
        <f>Q3</f>
        <v>214</v>
      </c>
      <c r="K104" s="440">
        <f>624+184+381+349+59+80</f>
        <v>1677</v>
      </c>
      <c r="L104" s="395" t="s">
        <v>210</v>
      </c>
      <c r="M104" s="393">
        <f t="shared" si="2"/>
        <v>1463</v>
      </c>
      <c r="N104" s="396">
        <f t="shared" si="5"/>
        <v>-23.733111111111111</v>
      </c>
      <c r="O104" s="396">
        <f t="shared" si="19"/>
        <v>7.8364485981308407</v>
      </c>
      <c r="P104" s="477">
        <f>O104</f>
        <v>7.8364485981308407</v>
      </c>
      <c r="Q104" s="397">
        <f t="shared" ca="1" si="10"/>
        <v>41759.836448598129</v>
      </c>
      <c r="R104" s="35"/>
      <c r="S104" s="36"/>
      <c r="T104" s="40"/>
      <c r="U104" s="40"/>
      <c r="V104" s="39"/>
      <c r="W104" s="64">
        <v>1</v>
      </c>
      <c r="X104" s="64">
        <v>1</v>
      </c>
      <c r="Y104" s="64">
        <v>1</v>
      </c>
      <c r="Z104" s="64">
        <v>1</v>
      </c>
      <c r="AA104" s="37">
        <v>1</v>
      </c>
      <c r="AB104" s="245"/>
      <c r="AC104" s="247"/>
      <c r="AD104" s="249"/>
      <c r="AE104" s="245"/>
      <c r="AF104" s="247"/>
      <c r="AG104" s="249"/>
      <c r="AH104" s="245"/>
      <c r="AI104" s="247"/>
      <c r="AJ104" s="249"/>
      <c r="AK104" s="245"/>
      <c r="AL104" s="247"/>
      <c r="AM104" s="249"/>
      <c r="AN104" s="245"/>
      <c r="AO104" s="247"/>
      <c r="AP104" s="249"/>
      <c r="AQ104" s="239"/>
      <c r="AR104" s="241"/>
      <c r="AS104" s="243"/>
      <c r="AT104" s="239"/>
      <c r="AU104" s="241"/>
      <c r="AV104" s="243"/>
      <c r="AW104" s="239"/>
      <c r="AX104" s="241"/>
      <c r="AY104" s="243"/>
      <c r="AZ104" s="239"/>
      <c r="BA104" s="241"/>
      <c r="BB104" s="243"/>
      <c r="BC104" s="239"/>
      <c r="BD104" s="241"/>
      <c r="BE104" s="243"/>
      <c r="BF104" s="239"/>
      <c r="BG104" s="241"/>
      <c r="BH104" s="243"/>
      <c r="BI104" s="239"/>
      <c r="BJ104" s="241"/>
      <c r="BK104" s="243"/>
    </row>
    <row r="105" spans="1:78" ht="42" customHeight="1">
      <c r="A105" s="1214"/>
      <c r="B105" s="753"/>
      <c r="C105" s="847" t="s">
        <v>434</v>
      </c>
      <c r="D105" s="398" t="s">
        <v>271</v>
      </c>
      <c r="E105" s="367" t="s">
        <v>79</v>
      </c>
      <c r="F105" s="405" t="s">
        <v>27</v>
      </c>
      <c r="G105" s="369">
        <v>49.8</v>
      </c>
      <c r="H105" s="369">
        <f t="shared" si="18"/>
        <v>72.289156626506028</v>
      </c>
      <c r="I105" s="369">
        <v>1</v>
      </c>
      <c r="J105" s="370">
        <f>Q3</f>
        <v>214</v>
      </c>
      <c r="K105" s="437">
        <v>658</v>
      </c>
      <c r="L105" s="371">
        <v>1008</v>
      </c>
      <c r="M105" s="369">
        <f t="shared" si="2"/>
        <v>444</v>
      </c>
      <c r="N105" s="372">
        <f t="shared" si="5"/>
        <v>-6.1419999999999995</v>
      </c>
      <c r="O105" s="372">
        <f t="shared" si="19"/>
        <v>3.0747663551401869</v>
      </c>
      <c r="P105" s="469">
        <f>O105*2</f>
        <v>6.1495327102803738</v>
      </c>
      <c r="Q105" s="373">
        <f t="shared" ca="1" si="10"/>
        <v>41755.074766355137</v>
      </c>
      <c r="R105" s="35"/>
      <c r="S105" s="36"/>
      <c r="T105" s="40"/>
      <c r="U105" s="40"/>
      <c r="V105" s="39"/>
      <c r="W105" s="39"/>
      <c r="X105" s="39"/>
      <c r="Y105" s="39"/>
      <c r="Z105" s="39"/>
      <c r="AA105" s="40"/>
      <c r="AB105" s="245"/>
      <c r="AC105" s="247">
        <v>17</v>
      </c>
      <c r="AD105" s="259"/>
      <c r="AE105" s="260"/>
      <c r="AF105" s="247"/>
      <c r="AG105" s="249"/>
      <c r="AH105" s="245"/>
      <c r="AI105" s="247"/>
      <c r="AJ105" s="249"/>
      <c r="AK105" s="245"/>
      <c r="AL105" s="247"/>
      <c r="AM105" s="8">
        <v>0</v>
      </c>
      <c r="AN105" s="245"/>
      <c r="AO105" s="247"/>
      <c r="AP105" s="249"/>
      <c r="AQ105" s="239"/>
      <c r="AR105" s="241"/>
      <c r="AS105" s="243"/>
      <c r="AT105" s="239"/>
      <c r="AU105" s="241"/>
      <c r="AV105" s="243"/>
      <c r="AW105" s="239"/>
      <c r="AX105" s="241"/>
      <c r="AY105" s="243"/>
      <c r="AZ105" s="239"/>
      <c r="BA105" s="241"/>
      <c r="BB105" s="243"/>
      <c r="BC105" s="239"/>
      <c r="BD105" s="241"/>
      <c r="BE105" s="243"/>
      <c r="BF105" s="239"/>
      <c r="BG105" s="241"/>
      <c r="BH105" s="243"/>
      <c r="BI105" s="239"/>
      <c r="BJ105" s="241"/>
      <c r="BK105" s="243"/>
    </row>
    <row r="106" spans="1:78" ht="35.25" customHeight="1">
      <c r="A106" s="1214"/>
      <c r="B106" s="1318"/>
      <c r="C106" s="1318" t="s">
        <v>436</v>
      </c>
      <c r="D106" s="1318" t="s">
        <v>272</v>
      </c>
      <c r="E106" s="367" t="s">
        <v>80</v>
      </c>
      <c r="F106" s="406" t="s">
        <v>367</v>
      </c>
      <c r="G106" s="368">
        <v>51.8</v>
      </c>
      <c r="H106" s="369">
        <f t="shared" si="18"/>
        <v>69.498069498069498</v>
      </c>
      <c r="I106" s="369">
        <v>1</v>
      </c>
      <c r="J106" s="370">
        <v>70</v>
      </c>
      <c r="K106" s="437">
        <v>434</v>
      </c>
      <c r="L106" s="371">
        <v>816</v>
      </c>
      <c r="M106" s="369">
        <f t="shared" si="2"/>
        <v>364</v>
      </c>
      <c r="N106" s="372">
        <f t="shared" si="5"/>
        <v>-5.2375555555555557</v>
      </c>
      <c r="O106" s="372">
        <f t="shared" si="19"/>
        <v>6.2</v>
      </c>
      <c r="P106" s="469">
        <f>O106*2</f>
        <v>12.4</v>
      </c>
      <c r="Q106" s="373">
        <f t="shared" ca="1" si="10"/>
        <v>41758.199999999997</v>
      </c>
      <c r="R106" s="35"/>
      <c r="S106" s="36"/>
      <c r="T106" s="40"/>
      <c r="U106" s="41"/>
      <c r="V106" s="1085"/>
      <c r="W106" s="1085"/>
      <c r="X106" s="1085"/>
      <c r="Y106" s="1085"/>
      <c r="Z106" s="1085"/>
      <c r="AA106" s="1195"/>
      <c r="AB106" s="1119"/>
      <c r="AC106" s="1117"/>
      <c r="AD106" s="1125"/>
      <c r="AE106" s="1119"/>
      <c r="AF106" s="1117"/>
      <c r="AG106" s="1125"/>
      <c r="AH106" s="1119"/>
      <c r="AI106" s="1117"/>
      <c r="AJ106" s="1122">
        <v>22</v>
      </c>
      <c r="AK106" s="1119"/>
      <c r="AL106" s="1117"/>
      <c r="AM106" s="1125"/>
      <c r="AN106" s="1119"/>
      <c r="AO106" s="1117"/>
      <c r="AP106" s="1125"/>
      <c r="AQ106" s="1188"/>
      <c r="AR106" s="1189"/>
      <c r="AS106" s="1185"/>
      <c r="AT106" s="1188"/>
      <c r="AU106" s="1189"/>
      <c r="AV106" s="1185"/>
      <c r="AW106" s="1188"/>
      <c r="AX106" s="1189"/>
      <c r="AY106" s="1185"/>
      <c r="AZ106" s="1188"/>
      <c r="BA106" s="1189"/>
      <c r="BB106" s="1185"/>
      <c r="BC106" s="1188"/>
      <c r="BD106" s="1189"/>
      <c r="BE106" s="1185"/>
      <c r="BF106" s="1188"/>
      <c r="BG106" s="1189"/>
      <c r="BH106" s="1185"/>
      <c r="BI106" s="1188"/>
      <c r="BJ106" s="1189"/>
      <c r="BK106" s="1185"/>
    </row>
    <row r="107" spans="1:78" ht="31.5" customHeight="1">
      <c r="A107" s="1214"/>
      <c r="B107" s="1318"/>
      <c r="C107" s="1318"/>
      <c r="D107" s="1318"/>
      <c r="E107" s="367" t="s">
        <v>81</v>
      </c>
      <c r="F107" s="406" t="s">
        <v>437</v>
      </c>
      <c r="G107" s="368">
        <f>51.8</f>
        <v>51.8</v>
      </c>
      <c r="H107" s="369">
        <f t="shared" si="18"/>
        <v>69.498069498069498</v>
      </c>
      <c r="I107" s="369">
        <v>1</v>
      </c>
      <c r="J107" s="370">
        <v>70</v>
      </c>
      <c r="K107" s="437">
        <v>329</v>
      </c>
      <c r="L107" s="371">
        <v>816</v>
      </c>
      <c r="M107" s="369">
        <f t="shared" si="2"/>
        <v>259</v>
      </c>
      <c r="N107" s="372">
        <f t="shared" si="5"/>
        <v>-3.726722222222222</v>
      </c>
      <c r="O107" s="372">
        <f t="shared" si="19"/>
        <v>4.7</v>
      </c>
      <c r="P107" s="469">
        <f>O107*2</f>
        <v>9.4</v>
      </c>
      <c r="Q107" s="373">
        <f t="shared" ca="1" si="10"/>
        <v>41756.699999999997</v>
      </c>
      <c r="R107" s="35"/>
      <c r="S107" s="36"/>
      <c r="T107" s="40"/>
      <c r="U107" s="42"/>
      <c r="V107" s="1086"/>
      <c r="W107" s="1086"/>
      <c r="X107" s="1086"/>
      <c r="Y107" s="1086"/>
      <c r="Z107" s="1086"/>
      <c r="AA107" s="1196"/>
      <c r="AB107" s="1120"/>
      <c r="AC107" s="1118"/>
      <c r="AD107" s="1126"/>
      <c r="AE107" s="1120"/>
      <c r="AF107" s="1118"/>
      <c r="AG107" s="1126"/>
      <c r="AH107" s="1120"/>
      <c r="AI107" s="1118"/>
      <c r="AJ107" s="1124"/>
      <c r="AK107" s="1120"/>
      <c r="AL107" s="1118"/>
      <c r="AM107" s="1126"/>
      <c r="AN107" s="1120"/>
      <c r="AO107" s="1118"/>
      <c r="AP107" s="1126"/>
      <c r="AQ107" s="1140"/>
      <c r="AR107" s="1142"/>
      <c r="AS107" s="1150"/>
      <c r="AT107" s="1140"/>
      <c r="AU107" s="1142"/>
      <c r="AV107" s="1150"/>
      <c r="AW107" s="1140"/>
      <c r="AX107" s="1142"/>
      <c r="AY107" s="1150"/>
      <c r="AZ107" s="1140"/>
      <c r="BA107" s="1142"/>
      <c r="BB107" s="1150"/>
      <c r="BC107" s="1140"/>
      <c r="BD107" s="1142"/>
      <c r="BE107" s="1150"/>
      <c r="BF107" s="1140"/>
      <c r="BG107" s="1142"/>
      <c r="BH107" s="1150"/>
      <c r="BI107" s="1140"/>
      <c r="BJ107" s="1142"/>
      <c r="BK107" s="1150"/>
    </row>
    <row r="108" spans="1:78" ht="39" customHeight="1">
      <c r="A108" s="1214"/>
      <c r="B108" s="1165"/>
      <c r="C108" s="1165" t="s">
        <v>436</v>
      </c>
      <c r="D108" s="1165" t="s">
        <v>273</v>
      </c>
      <c r="E108" s="384" t="s">
        <v>82</v>
      </c>
      <c r="F108" s="406" t="s">
        <v>438</v>
      </c>
      <c r="G108" s="369">
        <f>51.5</f>
        <v>51.5</v>
      </c>
      <c r="H108" s="369">
        <f t="shared" si="18"/>
        <v>69.902912621359221</v>
      </c>
      <c r="I108" s="369">
        <v>1</v>
      </c>
      <c r="J108" s="370">
        <f>Q4</f>
        <v>108</v>
      </c>
      <c r="K108" s="437">
        <v>424</v>
      </c>
      <c r="L108" s="371">
        <v>496</v>
      </c>
      <c r="M108" s="369">
        <f t="shared" si="2"/>
        <v>316</v>
      </c>
      <c r="N108" s="372">
        <f t="shared" si="5"/>
        <v>-4.5205555555555552</v>
      </c>
      <c r="O108" s="372">
        <f t="shared" si="19"/>
        <v>3.925925925925926</v>
      </c>
      <c r="P108" s="469">
        <f>O108*2</f>
        <v>7.8518518518518521</v>
      </c>
      <c r="Q108" s="373">
        <f t="shared" ca="1" si="10"/>
        <v>41755.925925925927</v>
      </c>
      <c r="R108" s="35"/>
      <c r="S108" s="36"/>
      <c r="T108" s="40"/>
      <c r="U108" s="41"/>
      <c r="V108" s="1085"/>
      <c r="W108" s="1085"/>
      <c r="X108" s="1085"/>
      <c r="Y108" s="1085"/>
      <c r="Z108" s="1085"/>
      <c r="AA108" s="1195"/>
      <c r="AB108" s="1119"/>
      <c r="AC108" s="1117"/>
      <c r="AD108" s="1125"/>
      <c r="AE108" s="1119"/>
      <c r="AF108" s="1117"/>
      <c r="AG108" s="1125"/>
      <c r="AH108" s="1119"/>
      <c r="AI108" s="1117"/>
      <c r="AJ108" s="1125"/>
      <c r="AK108" s="1162"/>
      <c r="AL108" s="1170"/>
      <c r="AM108" s="1122"/>
      <c r="AN108" s="1119"/>
      <c r="AO108" s="1117"/>
      <c r="AP108" s="1125"/>
      <c r="AQ108" s="1188"/>
      <c r="AR108" s="1189"/>
      <c r="AS108" s="1185"/>
      <c r="AT108" s="1188"/>
      <c r="AU108" s="1189"/>
      <c r="AV108" s="1185"/>
      <c r="AW108" s="1188"/>
      <c r="AX108" s="1189"/>
      <c r="AY108" s="1185"/>
      <c r="AZ108" s="1188"/>
      <c r="BA108" s="1189"/>
      <c r="BB108" s="1185"/>
      <c r="BC108" s="1188"/>
      <c r="BD108" s="1189"/>
      <c r="BE108" s="1185"/>
      <c r="BF108" s="1188"/>
      <c r="BG108" s="1189"/>
      <c r="BH108" s="1185"/>
      <c r="BI108" s="1188"/>
      <c r="BJ108" s="1189"/>
      <c r="BK108" s="1185"/>
    </row>
    <row r="109" spans="1:78" ht="35.25" customHeight="1" thickBot="1">
      <c r="A109" s="1214"/>
      <c r="B109" s="1319"/>
      <c r="C109" s="1319"/>
      <c r="D109" s="1319"/>
      <c r="E109" s="367" t="s">
        <v>83</v>
      </c>
      <c r="F109" s="405" t="s">
        <v>439</v>
      </c>
      <c r="G109" s="368">
        <v>51.5</v>
      </c>
      <c r="H109" s="368">
        <f t="shared" si="18"/>
        <v>69.902912621359221</v>
      </c>
      <c r="I109" s="369">
        <v>1</v>
      </c>
      <c r="J109" s="370">
        <f>Q4</f>
        <v>108</v>
      </c>
      <c r="K109" s="437">
        <v>208</v>
      </c>
      <c r="L109" s="371">
        <v>496</v>
      </c>
      <c r="M109" s="369">
        <f t="shared" si="2"/>
        <v>100</v>
      </c>
      <c r="N109" s="372">
        <f t="shared" si="5"/>
        <v>-1.4305555555555556</v>
      </c>
      <c r="O109" s="372">
        <f t="shared" si="19"/>
        <v>1.9259259259259258</v>
      </c>
      <c r="P109" s="469">
        <f>O109*2</f>
        <v>3.8518518518518516</v>
      </c>
      <c r="Q109" s="373">
        <f t="shared" ca="1" si="10"/>
        <v>41753.925925925927</v>
      </c>
      <c r="R109" s="35"/>
      <c r="S109" s="36"/>
      <c r="T109" s="40"/>
      <c r="U109" s="42"/>
      <c r="V109" s="1086"/>
      <c r="W109" s="1086"/>
      <c r="X109" s="1086"/>
      <c r="Y109" s="1086"/>
      <c r="Z109" s="1086"/>
      <c r="AA109" s="1196"/>
      <c r="AB109" s="1120"/>
      <c r="AC109" s="1118"/>
      <c r="AD109" s="1126"/>
      <c r="AE109" s="1120"/>
      <c r="AF109" s="1118"/>
      <c r="AG109" s="1126"/>
      <c r="AH109" s="1120"/>
      <c r="AI109" s="1118"/>
      <c r="AJ109" s="1126"/>
      <c r="AK109" s="1164"/>
      <c r="AL109" s="1171"/>
      <c r="AM109" s="1124"/>
      <c r="AN109" s="1120"/>
      <c r="AO109" s="1118"/>
      <c r="AP109" s="1126"/>
      <c r="AQ109" s="1140"/>
      <c r="AR109" s="1142"/>
      <c r="AS109" s="1150"/>
      <c r="AT109" s="1140"/>
      <c r="AU109" s="1142"/>
      <c r="AV109" s="1150"/>
      <c r="AW109" s="1140"/>
      <c r="AX109" s="1142"/>
      <c r="AY109" s="1150"/>
      <c r="AZ109" s="1140"/>
      <c r="BA109" s="1142"/>
      <c r="BB109" s="1150"/>
      <c r="BC109" s="1140"/>
      <c r="BD109" s="1142"/>
      <c r="BE109" s="1150"/>
      <c r="BF109" s="1140"/>
      <c r="BG109" s="1142"/>
      <c r="BH109" s="1150"/>
      <c r="BI109" s="1140"/>
      <c r="BJ109" s="1142"/>
      <c r="BK109" s="1150"/>
      <c r="BZ109" s="14" t="s">
        <v>448</v>
      </c>
    </row>
    <row r="110" spans="1:78" ht="24" hidden="1" customHeight="1" thickBot="1">
      <c r="A110" s="1214"/>
      <c r="B110" s="755"/>
      <c r="C110" s="755"/>
      <c r="D110" s="403" t="s">
        <v>274</v>
      </c>
      <c r="E110" s="367" t="s">
        <v>84</v>
      </c>
      <c r="F110" s="405" t="s">
        <v>31</v>
      </c>
      <c r="G110" s="368">
        <v>52</v>
      </c>
      <c r="H110" s="368">
        <f t="shared" si="18"/>
        <v>69.230769230769226</v>
      </c>
      <c r="I110" s="369">
        <v>1</v>
      </c>
      <c r="J110" s="370">
        <v>200</v>
      </c>
      <c r="K110" s="437">
        <v>350</v>
      </c>
      <c r="L110" s="371">
        <v>935</v>
      </c>
      <c r="M110" s="369">
        <f t="shared" si="2"/>
        <v>150</v>
      </c>
      <c r="N110" s="372">
        <f t="shared" si="5"/>
        <v>-2.1666666666666665</v>
      </c>
      <c r="O110" s="372">
        <f t="shared" si="19"/>
        <v>1.75</v>
      </c>
      <c r="P110" s="469"/>
      <c r="Q110" s="373">
        <f t="shared" ca="1" si="10"/>
        <v>41753.75</v>
      </c>
      <c r="R110" s="35"/>
      <c r="S110" s="36"/>
      <c r="T110" s="40"/>
      <c r="U110" s="41"/>
      <c r="V110" s="1085"/>
      <c r="W110" s="1085"/>
      <c r="X110" s="1085"/>
      <c r="Y110" s="1085"/>
      <c r="Z110" s="1085"/>
      <c r="AA110" s="1195"/>
      <c r="AB110" s="1119"/>
      <c r="AC110" s="1117"/>
      <c r="AD110" s="1125"/>
      <c r="AE110" s="1119"/>
      <c r="AF110" s="1117"/>
      <c r="AG110" s="1125"/>
      <c r="AH110" s="1119"/>
      <c r="AI110" s="1117"/>
      <c r="AJ110" s="1125"/>
      <c r="AK110" s="1119"/>
      <c r="AL110" s="1117"/>
      <c r="AM110" s="1125"/>
      <c r="AN110" s="1119"/>
      <c r="AO110" s="1117"/>
      <c r="AP110" s="1125"/>
      <c r="AQ110" s="1188"/>
      <c r="AR110" s="1189"/>
      <c r="AS110" s="1185"/>
      <c r="AT110" s="1188"/>
      <c r="AU110" s="1189"/>
      <c r="AV110" s="1185"/>
      <c r="AW110" s="1188"/>
      <c r="AX110" s="1189"/>
      <c r="AY110" s="1185"/>
      <c r="AZ110" s="1188"/>
      <c r="BA110" s="1189"/>
      <c r="BB110" s="1185"/>
      <c r="BC110" s="1188"/>
      <c r="BD110" s="1189"/>
      <c r="BE110" s="1185"/>
      <c r="BF110" s="1188"/>
      <c r="BG110" s="1189"/>
      <c r="BH110" s="1185"/>
      <c r="BI110" s="1188"/>
      <c r="BJ110" s="1189"/>
      <c r="BK110" s="1185"/>
    </row>
    <row r="111" spans="1:78" ht="24" hidden="1" customHeight="1" thickBot="1">
      <c r="A111" s="1214"/>
      <c r="B111" s="753"/>
      <c r="C111" s="847"/>
      <c r="D111" s="398"/>
      <c r="E111" s="367" t="s">
        <v>85</v>
      </c>
      <c r="F111" s="405" t="s">
        <v>32</v>
      </c>
      <c r="G111" s="369">
        <v>52</v>
      </c>
      <c r="H111" s="369">
        <f>3600/G111</f>
        <v>69.230769230769226</v>
      </c>
      <c r="I111" s="369">
        <v>1</v>
      </c>
      <c r="J111" s="370">
        <v>200</v>
      </c>
      <c r="K111" s="437">
        <v>330</v>
      </c>
      <c r="L111" s="371">
        <v>935</v>
      </c>
      <c r="M111" s="369">
        <f t="shared" si="2"/>
        <v>130</v>
      </c>
      <c r="N111" s="372">
        <f t="shared" si="5"/>
        <v>-1.8777777777777778</v>
      </c>
      <c r="O111" s="372">
        <f t="shared" si="19"/>
        <v>1.65</v>
      </c>
      <c r="P111" s="469"/>
      <c r="Q111" s="373">
        <f t="shared" ca="1" si="10"/>
        <v>41753.65</v>
      </c>
      <c r="R111" s="35"/>
      <c r="S111" s="36"/>
      <c r="T111" s="40"/>
      <c r="U111" s="42"/>
      <c r="V111" s="1204"/>
      <c r="W111" s="1204"/>
      <c r="X111" s="1204"/>
      <c r="Y111" s="1204"/>
      <c r="Z111" s="1204"/>
      <c r="AA111" s="1206"/>
      <c r="AB111" s="1121"/>
      <c r="AC111" s="1152"/>
      <c r="AD111" s="1151"/>
      <c r="AE111" s="1121"/>
      <c r="AF111" s="1152"/>
      <c r="AG111" s="1151"/>
      <c r="AH111" s="1121"/>
      <c r="AI111" s="1152"/>
      <c r="AJ111" s="1151"/>
      <c r="AK111" s="1121"/>
      <c r="AL111" s="1152"/>
      <c r="AM111" s="1151"/>
      <c r="AN111" s="1121"/>
      <c r="AO111" s="1152"/>
      <c r="AP111" s="1151"/>
      <c r="AQ111" s="1199"/>
      <c r="AR111" s="1201"/>
      <c r="AS111" s="1197"/>
      <c r="AT111" s="1199"/>
      <c r="AU111" s="1201"/>
      <c r="AV111" s="1197"/>
      <c r="AW111" s="1199"/>
      <c r="AX111" s="1201"/>
      <c r="AY111" s="1197"/>
      <c r="AZ111" s="1199"/>
      <c r="BA111" s="1201"/>
      <c r="BB111" s="1197"/>
      <c r="BC111" s="1199"/>
      <c r="BD111" s="1201"/>
      <c r="BE111" s="1197"/>
      <c r="BF111" s="1199"/>
      <c r="BG111" s="1201"/>
      <c r="BH111" s="1197"/>
      <c r="BI111" s="1199"/>
      <c r="BJ111" s="1201"/>
      <c r="BK111" s="1197"/>
    </row>
    <row r="112" spans="1:78" ht="40.5" customHeight="1">
      <c r="A112" s="1214"/>
      <c r="B112" s="753"/>
      <c r="C112" s="847" t="s">
        <v>435</v>
      </c>
      <c r="D112" s="398" t="s">
        <v>275</v>
      </c>
      <c r="E112" s="367" t="s">
        <v>90</v>
      </c>
      <c r="F112" s="406" t="s">
        <v>368</v>
      </c>
      <c r="G112" s="368">
        <v>57.2</v>
      </c>
      <c r="H112" s="369">
        <f t="shared" si="18"/>
        <v>62.937062937062933</v>
      </c>
      <c r="I112" s="369">
        <v>1</v>
      </c>
      <c r="J112" s="370">
        <v>150</v>
      </c>
      <c r="K112" s="437">
        <v>457</v>
      </c>
      <c r="L112" s="371" t="s">
        <v>210</v>
      </c>
      <c r="M112" s="369">
        <f t="shared" si="2"/>
        <v>307</v>
      </c>
      <c r="N112" s="372">
        <f t="shared" si="5"/>
        <v>-4.8778888888888892</v>
      </c>
      <c r="O112" s="372">
        <f t="shared" si="19"/>
        <v>3.0466666666666669</v>
      </c>
      <c r="P112" s="469">
        <f>O112</f>
        <v>3.0466666666666669</v>
      </c>
      <c r="Q112" s="373">
        <f t="shared" ca="1" si="10"/>
        <v>41755.046666666669</v>
      </c>
      <c r="R112" s="47"/>
      <c r="S112" s="48"/>
      <c r="T112" s="49"/>
      <c r="U112" s="49"/>
      <c r="V112" s="1204"/>
      <c r="W112" s="1204"/>
      <c r="X112" s="1204"/>
      <c r="Y112" s="1204"/>
      <c r="Z112" s="1204"/>
      <c r="AA112" s="1206"/>
      <c r="AB112" s="1121"/>
      <c r="AC112" s="1152"/>
      <c r="AD112" s="1151"/>
      <c r="AE112" s="1121"/>
      <c r="AF112" s="1152"/>
      <c r="AG112" s="1151"/>
      <c r="AH112" s="1121"/>
      <c r="AI112" s="1152"/>
      <c r="AJ112" s="1151"/>
      <c r="AK112" s="1121"/>
      <c r="AL112" s="1152"/>
      <c r="AM112" s="1151"/>
      <c r="AN112" s="1121"/>
      <c r="AO112" s="1152"/>
      <c r="AP112" s="1151"/>
      <c r="AQ112" s="1199"/>
      <c r="AR112" s="1201"/>
      <c r="AS112" s="1197"/>
      <c r="AT112" s="1199"/>
      <c r="AU112" s="1201"/>
      <c r="AV112" s="1197"/>
      <c r="AW112" s="1199"/>
      <c r="AX112" s="1201"/>
      <c r="AY112" s="1197"/>
      <c r="AZ112" s="1199"/>
      <c r="BA112" s="1201"/>
      <c r="BB112" s="1197"/>
      <c r="BC112" s="1199"/>
      <c r="BD112" s="1201"/>
      <c r="BE112" s="1197"/>
      <c r="BF112" s="1199"/>
      <c r="BG112" s="1201"/>
      <c r="BH112" s="1197"/>
      <c r="BI112" s="1199"/>
      <c r="BJ112" s="1201"/>
      <c r="BK112" s="1197"/>
    </row>
    <row r="113" spans="1:63" ht="41.25" customHeight="1" thickBot="1">
      <c r="A113" s="1215"/>
      <c r="B113" s="753"/>
      <c r="C113" s="847" t="s">
        <v>435</v>
      </c>
      <c r="D113" s="398" t="s">
        <v>276</v>
      </c>
      <c r="E113" s="367" t="s">
        <v>91</v>
      </c>
      <c r="F113" s="406" t="s">
        <v>369</v>
      </c>
      <c r="G113" s="369">
        <v>57</v>
      </c>
      <c r="H113" s="369">
        <f t="shared" si="18"/>
        <v>63.157894736842103</v>
      </c>
      <c r="I113" s="369">
        <v>1</v>
      </c>
      <c r="J113" s="370">
        <v>150</v>
      </c>
      <c r="K113" s="437">
        <v>350</v>
      </c>
      <c r="L113" s="371" t="s">
        <v>210</v>
      </c>
      <c r="M113" s="369">
        <f t="shared" si="2"/>
        <v>200</v>
      </c>
      <c r="N113" s="372">
        <f t="shared" si="5"/>
        <v>-3.1666666666666665</v>
      </c>
      <c r="O113" s="372">
        <f t="shared" si="19"/>
        <v>2.3333333333333335</v>
      </c>
      <c r="P113" s="469">
        <f>O113</f>
        <v>2.3333333333333335</v>
      </c>
      <c r="Q113" s="373">
        <f t="shared" ca="1" si="10"/>
        <v>41754.333333333336</v>
      </c>
      <c r="R113" s="35"/>
      <c r="S113" s="36"/>
      <c r="T113" s="40"/>
      <c r="U113" s="40"/>
      <c r="V113" s="1204"/>
      <c r="W113" s="1204"/>
      <c r="X113" s="1204"/>
      <c r="Y113" s="1204"/>
      <c r="Z113" s="1204"/>
      <c r="AA113" s="1206"/>
      <c r="AB113" s="1121"/>
      <c r="AC113" s="1152"/>
      <c r="AD113" s="1151"/>
      <c r="AE113" s="1121"/>
      <c r="AF113" s="1152"/>
      <c r="AG113" s="1151"/>
      <c r="AH113" s="1121"/>
      <c r="AI113" s="1152"/>
      <c r="AJ113" s="1151"/>
      <c r="AK113" s="1121"/>
      <c r="AL113" s="1152"/>
      <c r="AM113" s="1151"/>
      <c r="AN113" s="1121"/>
      <c r="AO113" s="1152"/>
      <c r="AP113" s="1151"/>
      <c r="AQ113" s="1199"/>
      <c r="AR113" s="1201"/>
      <c r="AS113" s="1197"/>
      <c r="AT113" s="1199"/>
      <c r="AU113" s="1201"/>
      <c r="AV113" s="1197"/>
      <c r="AW113" s="1199"/>
      <c r="AX113" s="1201"/>
      <c r="AY113" s="1197"/>
      <c r="AZ113" s="1199"/>
      <c r="BA113" s="1201"/>
      <c r="BB113" s="1197"/>
      <c r="BC113" s="1199"/>
      <c r="BD113" s="1201"/>
      <c r="BE113" s="1197"/>
      <c r="BF113" s="1199"/>
      <c r="BG113" s="1201"/>
      <c r="BH113" s="1197"/>
      <c r="BI113" s="1199"/>
      <c r="BJ113" s="1201"/>
      <c r="BK113" s="1197"/>
    </row>
    <row r="114" spans="1:63" ht="23.25" hidden="1" customHeight="1">
      <c r="A114" s="430"/>
      <c r="B114" s="288"/>
      <c r="C114" s="288"/>
      <c r="D114" s="288"/>
      <c r="E114" s="298" t="s">
        <v>69</v>
      </c>
      <c r="F114" s="409" t="s">
        <v>21</v>
      </c>
      <c r="G114" s="614"/>
      <c r="H114" s="282" t="e">
        <f t="shared" si="18"/>
        <v>#DIV/0!</v>
      </c>
      <c r="I114" s="287"/>
      <c r="J114" s="300"/>
      <c r="K114" s="439"/>
      <c r="L114" s="301"/>
      <c r="M114" s="282">
        <f t="shared" si="2"/>
        <v>0</v>
      </c>
      <c r="N114" s="285">
        <f t="shared" si="5"/>
        <v>0</v>
      </c>
      <c r="O114" s="285" t="e">
        <f t="shared" si="19"/>
        <v>#DIV/0!</v>
      </c>
      <c r="P114" s="472"/>
      <c r="Q114" s="286" t="e">
        <f t="shared" ca="1" si="10"/>
        <v>#DIV/0!</v>
      </c>
      <c r="R114" s="35"/>
      <c r="S114" s="36"/>
      <c r="T114" s="40"/>
      <c r="U114" s="40"/>
      <c r="V114" s="39"/>
      <c r="W114" s="39"/>
      <c r="X114" s="39"/>
      <c r="Y114" s="39"/>
      <c r="Z114" s="39"/>
      <c r="AA114" s="40"/>
      <c r="AB114" s="245"/>
      <c r="AC114" s="247"/>
      <c r="AD114" s="249"/>
      <c r="AE114" s="245"/>
      <c r="AF114" s="247"/>
      <c r="AG114" s="249"/>
      <c r="AH114" s="245"/>
      <c r="AI114" s="247"/>
      <c r="AJ114" s="249"/>
      <c r="AK114" s="245"/>
      <c r="AL114" s="247"/>
      <c r="AM114" s="249"/>
      <c r="AN114" s="245"/>
      <c r="AO114" s="247"/>
      <c r="AP114" s="249"/>
      <c r="AQ114" s="239"/>
      <c r="AR114" s="241"/>
      <c r="AS114" s="243"/>
      <c r="AT114" s="239"/>
      <c r="AU114" s="241"/>
      <c r="AV114" s="243"/>
      <c r="AW114" s="239"/>
      <c r="AX114" s="241"/>
      <c r="AY114" s="243"/>
      <c r="AZ114" s="239"/>
      <c r="BA114" s="241"/>
      <c r="BB114" s="243"/>
      <c r="BC114" s="239"/>
      <c r="BD114" s="241"/>
      <c r="BE114" s="243"/>
      <c r="BF114" s="239"/>
      <c r="BG114" s="241"/>
      <c r="BH114" s="243"/>
      <c r="BI114" s="239"/>
      <c r="BJ114" s="241"/>
      <c r="BK114" s="243"/>
    </row>
    <row r="115" spans="1:63" ht="23.25" hidden="1" customHeight="1">
      <c r="A115" s="430"/>
      <c r="B115" s="1186"/>
      <c r="C115" s="1186"/>
      <c r="D115" s="1186"/>
      <c r="E115" s="280" t="s">
        <v>75</v>
      </c>
      <c r="F115" s="414" t="s">
        <v>24</v>
      </c>
      <c r="G115" s="613"/>
      <c r="H115" s="282" t="e">
        <f t="shared" si="18"/>
        <v>#DIV/0!</v>
      </c>
      <c r="I115" s="287"/>
      <c r="J115" s="300"/>
      <c r="K115" s="439"/>
      <c r="L115" s="301"/>
      <c r="M115" s="282">
        <f t="shared" si="2"/>
        <v>0</v>
      </c>
      <c r="N115" s="285">
        <f t="shared" si="5"/>
        <v>0</v>
      </c>
      <c r="O115" s="285" t="e">
        <f t="shared" si="19"/>
        <v>#DIV/0!</v>
      </c>
      <c r="P115" s="472"/>
      <c r="Q115" s="286" t="e">
        <f t="shared" ca="1" si="10"/>
        <v>#DIV/0!</v>
      </c>
      <c r="R115" s="35"/>
      <c r="S115" s="36"/>
      <c r="T115" s="40"/>
      <c r="U115" s="41"/>
      <c r="V115" s="1085"/>
      <c r="W115" s="1085"/>
      <c r="X115" s="1085"/>
      <c r="Y115" s="1085"/>
      <c r="Z115" s="1085"/>
      <c r="AA115" s="1195"/>
      <c r="AB115" s="1119"/>
      <c r="AC115" s="1117"/>
      <c r="AD115" s="1125"/>
      <c r="AE115" s="1119"/>
      <c r="AF115" s="1117"/>
      <c r="AG115" s="1125"/>
      <c r="AH115" s="1119"/>
      <c r="AI115" s="1117"/>
      <c r="AJ115" s="1125"/>
      <c r="AK115" s="1119"/>
      <c r="AL115" s="1117"/>
      <c r="AM115" s="1125"/>
      <c r="AN115" s="1119"/>
      <c r="AO115" s="1117"/>
      <c r="AP115" s="1125"/>
      <c r="AQ115" s="1188"/>
      <c r="AR115" s="1189"/>
      <c r="AS115" s="1185"/>
      <c r="AT115" s="1188"/>
      <c r="AU115" s="1189"/>
      <c r="AV115" s="1185"/>
      <c r="AW115" s="1188"/>
      <c r="AX115" s="1189"/>
      <c r="AY115" s="1185"/>
      <c r="AZ115" s="1188"/>
      <c r="BA115" s="1189"/>
      <c r="BB115" s="1185"/>
      <c r="BC115" s="1188"/>
      <c r="BD115" s="1189"/>
      <c r="BE115" s="1185"/>
      <c r="BF115" s="1188"/>
      <c r="BG115" s="1189"/>
      <c r="BH115" s="1185"/>
      <c r="BI115" s="1188"/>
      <c r="BJ115" s="1189"/>
      <c r="BK115" s="1185"/>
    </row>
    <row r="116" spans="1:63" ht="23.25" hidden="1" customHeight="1">
      <c r="A116" s="430"/>
      <c r="B116" s="1203"/>
      <c r="C116" s="1203"/>
      <c r="D116" s="1203"/>
      <c r="E116" s="280" t="s">
        <v>76</v>
      </c>
      <c r="F116" s="414" t="s">
        <v>25</v>
      </c>
      <c r="G116" s="613"/>
      <c r="H116" s="282" t="e">
        <f t="shared" si="18"/>
        <v>#DIV/0!</v>
      </c>
      <c r="I116" s="287"/>
      <c r="J116" s="300"/>
      <c r="K116" s="439"/>
      <c r="L116" s="301"/>
      <c r="M116" s="282">
        <f t="shared" si="2"/>
        <v>0</v>
      </c>
      <c r="N116" s="285">
        <f t="shared" si="5"/>
        <v>0</v>
      </c>
      <c r="O116" s="285" t="e">
        <f t="shared" si="19"/>
        <v>#DIV/0!</v>
      </c>
      <c r="P116" s="472"/>
      <c r="Q116" s="286" t="e">
        <f t="shared" ref="Q116:Q176" ca="1" si="20">+$Q$5+O116</f>
        <v>#DIV/0!</v>
      </c>
      <c r="R116" s="35"/>
      <c r="S116" s="36"/>
      <c r="T116" s="40"/>
      <c r="U116" s="42"/>
      <c r="V116" s="1086"/>
      <c r="W116" s="1086"/>
      <c r="X116" s="1086"/>
      <c r="Y116" s="1086"/>
      <c r="Z116" s="1086"/>
      <c r="AA116" s="1196"/>
      <c r="AB116" s="1120"/>
      <c r="AC116" s="1118"/>
      <c r="AD116" s="1126"/>
      <c r="AE116" s="1120"/>
      <c r="AF116" s="1118"/>
      <c r="AG116" s="1126"/>
      <c r="AH116" s="1120"/>
      <c r="AI116" s="1118"/>
      <c r="AJ116" s="1126"/>
      <c r="AK116" s="1120"/>
      <c r="AL116" s="1118"/>
      <c r="AM116" s="1126"/>
      <c r="AN116" s="1120"/>
      <c r="AO116" s="1118"/>
      <c r="AP116" s="1126"/>
      <c r="AQ116" s="1140"/>
      <c r="AR116" s="1142"/>
      <c r="AS116" s="1150"/>
      <c r="AT116" s="1140"/>
      <c r="AU116" s="1142"/>
      <c r="AV116" s="1150"/>
      <c r="AW116" s="1140"/>
      <c r="AX116" s="1142"/>
      <c r="AY116" s="1150"/>
      <c r="AZ116" s="1140"/>
      <c r="BA116" s="1142"/>
      <c r="BB116" s="1150"/>
      <c r="BC116" s="1140"/>
      <c r="BD116" s="1142"/>
      <c r="BE116" s="1150"/>
      <c r="BF116" s="1140"/>
      <c r="BG116" s="1142"/>
      <c r="BH116" s="1150"/>
      <c r="BI116" s="1140"/>
      <c r="BJ116" s="1142"/>
      <c r="BK116" s="1150"/>
    </row>
    <row r="117" spans="1:63" ht="23.25" hidden="1" customHeight="1">
      <c r="A117" s="430"/>
      <c r="B117" s="288"/>
      <c r="C117" s="288"/>
      <c r="D117" s="288"/>
      <c r="E117" s="280" t="s">
        <v>70</v>
      </c>
      <c r="F117" s="414" t="s">
        <v>22</v>
      </c>
      <c r="G117" s="614"/>
      <c r="H117" s="282" t="e">
        <f t="shared" si="18"/>
        <v>#DIV/0!</v>
      </c>
      <c r="I117" s="287"/>
      <c r="J117" s="300"/>
      <c r="K117" s="439"/>
      <c r="L117" s="301"/>
      <c r="M117" s="282">
        <f t="shared" si="2"/>
        <v>0</v>
      </c>
      <c r="N117" s="285">
        <f t="shared" si="5"/>
        <v>0</v>
      </c>
      <c r="O117" s="285" t="e">
        <f t="shared" si="19"/>
        <v>#DIV/0!</v>
      </c>
      <c r="P117" s="472"/>
      <c r="Q117" s="286" t="e">
        <f t="shared" ca="1" si="20"/>
        <v>#DIV/0!</v>
      </c>
      <c r="R117" s="35"/>
      <c r="S117" s="36"/>
      <c r="T117" s="40"/>
      <c r="U117" s="41"/>
      <c r="V117" s="1085"/>
      <c r="W117" s="1085"/>
      <c r="X117" s="1085"/>
      <c r="Y117" s="1085"/>
      <c r="Z117" s="1085"/>
      <c r="AA117" s="1195"/>
      <c r="AB117" s="1119"/>
      <c r="AC117" s="1117"/>
      <c r="AD117" s="1125"/>
      <c r="AE117" s="1119">
        <v>11</v>
      </c>
      <c r="AF117" s="1170"/>
      <c r="AG117" s="1122"/>
      <c r="AH117" s="1119"/>
      <c r="AI117" s="1117"/>
      <c r="AJ117" s="1125"/>
      <c r="AK117" s="1119"/>
      <c r="AL117" s="1117"/>
      <c r="AM117" s="1125"/>
      <c r="AN117" s="1119"/>
      <c r="AO117" s="1117"/>
      <c r="AP117" s="1125"/>
      <c r="AQ117" s="1188"/>
      <c r="AR117" s="1189"/>
      <c r="AS117" s="1185"/>
      <c r="AT117" s="1188"/>
      <c r="AU117" s="1189"/>
      <c r="AV117" s="1185"/>
      <c r="AW117" s="1188"/>
      <c r="AX117" s="1189"/>
      <c r="AY117" s="1185"/>
      <c r="AZ117" s="1188"/>
      <c r="BA117" s="1189"/>
      <c r="BB117" s="1185"/>
      <c r="BC117" s="1188"/>
      <c r="BD117" s="1189"/>
      <c r="BE117" s="1185"/>
      <c r="BF117" s="1188"/>
      <c r="BG117" s="1189"/>
      <c r="BH117" s="1185"/>
      <c r="BI117" s="1188"/>
      <c r="BJ117" s="1189"/>
      <c r="BK117" s="1185"/>
    </row>
    <row r="118" spans="1:63" ht="23.25" hidden="1" customHeight="1">
      <c r="A118" s="430"/>
      <c r="B118" s="1186"/>
      <c r="C118" s="1186"/>
      <c r="D118" s="1186"/>
      <c r="E118" s="280" t="s">
        <v>71</v>
      </c>
      <c r="F118" s="409" t="s">
        <v>23</v>
      </c>
      <c r="G118" s="613"/>
      <c r="H118" s="282" t="e">
        <f t="shared" si="18"/>
        <v>#DIV/0!</v>
      </c>
      <c r="I118" s="287"/>
      <c r="J118" s="300"/>
      <c r="K118" s="439"/>
      <c r="L118" s="301"/>
      <c r="M118" s="282">
        <f t="shared" si="2"/>
        <v>0</v>
      </c>
      <c r="N118" s="285">
        <f t="shared" si="5"/>
        <v>0</v>
      </c>
      <c r="O118" s="285" t="e">
        <f t="shared" si="19"/>
        <v>#DIV/0!</v>
      </c>
      <c r="P118" s="472"/>
      <c r="Q118" s="286" t="e">
        <f t="shared" ca="1" si="20"/>
        <v>#DIV/0!</v>
      </c>
      <c r="R118" s="35"/>
      <c r="S118" s="36"/>
      <c r="T118" s="40"/>
      <c r="U118" s="42"/>
      <c r="V118" s="1086"/>
      <c r="W118" s="1086"/>
      <c r="X118" s="1086"/>
      <c r="Y118" s="1086"/>
      <c r="Z118" s="1086"/>
      <c r="AA118" s="1196"/>
      <c r="AB118" s="1120"/>
      <c r="AC118" s="1118"/>
      <c r="AD118" s="1126"/>
      <c r="AE118" s="1120"/>
      <c r="AF118" s="1171"/>
      <c r="AG118" s="1124"/>
      <c r="AH118" s="1120"/>
      <c r="AI118" s="1118"/>
      <c r="AJ118" s="1126"/>
      <c r="AK118" s="1120"/>
      <c r="AL118" s="1118"/>
      <c r="AM118" s="1126"/>
      <c r="AN118" s="1120"/>
      <c r="AO118" s="1118"/>
      <c r="AP118" s="1126"/>
      <c r="AQ118" s="1140"/>
      <c r="AR118" s="1142"/>
      <c r="AS118" s="1150"/>
      <c r="AT118" s="1140"/>
      <c r="AU118" s="1142"/>
      <c r="AV118" s="1150"/>
      <c r="AW118" s="1140"/>
      <c r="AX118" s="1142"/>
      <c r="AY118" s="1150"/>
      <c r="AZ118" s="1140"/>
      <c r="BA118" s="1142"/>
      <c r="BB118" s="1150"/>
      <c r="BC118" s="1140"/>
      <c r="BD118" s="1142"/>
      <c r="BE118" s="1150"/>
      <c r="BF118" s="1140"/>
      <c r="BG118" s="1142"/>
      <c r="BH118" s="1150"/>
      <c r="BI118" s="1140"/>
      <c r="BJ118" s="1142"/>
      <c r="BK118" s="1150"/>
    </row>
    <row r="119" spans="1:63" ht="24" hidden="1" customHeight="1" thickBot="1">
      <c r="A119" s="430"/>
      <c r="B119" s="1186"/>
      <c r="C119" s="1186"/>
      <c r="D119" s="1186"/>
      <c r="E119" s="280"/>
      <c r="F119" s="409" t="s">
        <v>134</v>
      </c>
      <c r="G119" s="613"/>
      <c r="H119" s="282" t="e">
        <f t="shared" si="18"/>
        <v>#DIV/0!</v>
      </c>
      <c r="I119" s="287"/>
      <c r="J119" s="300"/>
      <c r="K119" s="439"/>
      <c r="L119" s="301"/>
      <c r="M119" s="282">
        <f t="shared" si="2"/>
        <v>0</v>
      </c>
      <c r="N119" s="285">
        <f t="shared" si="5"/>
        <v>0</v>
      </c>
      <c r="O119" s="285" t="e">
        <f t="shared" si="19"/>
        <v>#DIV/0!</v>
      </c>
      <c r="P119" s="472"/>
      <c r="Q119" s="286" t="e">
        <f t="shared" ca="1" si="20"/>
        <v>#DIV/0!</v>
      </c>
      <c r="R119" s="43"/>
      <c r="S119" s="44"/>
      <c r="T119" s="45"/>
      <c r="U119" s="45"/>
      <c r="V119" s="46"/>
      <c r="W119" s="46"/>
      <c r="X119" s="46"/>
      <c r="Y119" s="46"/>
      <c r="Z119" s="46"/>
      <c r="AA119" s="45"/>
      <c r="AB119" s="267">
        <v>8</v>
      </c>
      <c r="AC119" s="264"/>
      <c r="AD119" s="9"/>
      <c r="AE119" s="268"/>
      <c r="AF119" s="10"/>
      <c r="AG119" s="9"/>
      <c r="AH119" s="268">
        <v>8</v>
      </c>
      <c r="AI119" s="264"/>
      <c r="AJ119" s="9"/>
      <c r="AK119" s="268"/>
      <c r="AL119" s="10"/>
      <c r="AM119" s="9"/>
      <c r="AN119" s="268"/>
      <c r="AO119" s="10"/>
      <c r="AP119" s="9"/>
      <c r="AQ119" s="51"/>
      <c r="AR119" s="52"/>
      <c r="AS119" s="53"/>
      <c r="AT119" s="51"/>
      <c r="AU119" s="52"/>
      <c r="AV119" s="53"/>
      <c r="AW119" s="51"/>
      <c r="AX119" s="52"/>
      <c r="AY119" s="53"/>
      <c r="AZ119" s="51"/>
      <c r="BA119" s="52"/>
      <c r="BB119" s="53"/>
      <c r="BC119" s="51"/>
      <c r="BD119" s="52"/>
      <c r="BE119" s="53"/>
      <c r="BF119" s="51"/>
      <c r="BG119" s="52"/>
      <c r="BH119" s="53"/>
      <c r="BI119" s="51"/>
      <c r="BJ119" s="52"/>
      <c r="BK119" s="53"/>
    </row>
    <row r="120" spans="1:63" ht="23.25" hidden="1" customHeight="1">
      <c r="A120" s="430"/>
      <c r="B120" s="340"/>
      <c r="C120" s="340"/>
      <c r="D120" s="340"/>
      <c r="E120" s="304" t="s">
        <v>90</v>
      </c>
      <c r="F120" s="411" t="s">
        <v>33</v>
      </c>
      <c r="G120" s="853"/>
      <c r="H120" s="305"/>
      <c r="I120" s="305"/>
      <c r="J120" s="342"/>
      <c r="K120" s="443"/>
      <c r="L120" s="343"/>
      <c r="M120" s="308">
        <f t="shared" ref="M120:M183" si="21">K120-J120</f>
        <v>0</v>
      </c>
      <c r="N120" s="309">
        <f t="shared" ref="N120:N183" si="22">((M120*G120)/3600)*-1</f>
        <v>0</v>
      </c>
      <c r="O120" s="309" t="e">
        <f t="shared" si="19"/>
        <v>#DIV/0!</v>
      </c>
      <c r="P120" s="475"/>
      <c r="Q120" s="310" t="e">
        <f t="shared" ca="1" si="20"/>
        <v>#DIV/0!</v>
      </c>
      <c r="V120" s="64"/>
      <c r="W120" s="39"/>
      <c r="X120" s="39"/>
      <c r="Y120" s="39"/>
      <c r="Z120" s="39"/>
      <c r="AA120" s="40"/>
      <c r="AB120" s="260"/>
      <c r="AC120" s="263"/>
      <c r="AD120" s="259"/>
      <c r="AE120" s="245"/>
      <c r="AF120" s="247"/>
      <c r="AG120" s="249"/>
      <c r="AH120" s="245"/>
      <c r="AI120" s="247"/>
      <c r="AJ120" s="249"/>
      <c r="AK120" s="260">
        <v>6</v>
      </c>
      <c r="AL120" s="263"/>
      <c r="AM120" s="259"/>
      <c r="AN120" s="253"/>
      <c r="AO120" s="254"/>
      <c r="AP120" s="255"/>
      <c r="AQ120" s="250"/>
      <c r="AR120" s="251"/>
      <c r="AS120" s="252"/>
      <c r="AT120" s="250"/>
      <c r="AU120" s="251"/>
      <c r="AV120" s="252"/>
      <c r="AW120" s="250"/>
      <c r="AX120" s="251"/>
      <c r="AY120" s="252"/>
      <c r="AZ120" s="250"/>
      <c r="BA120" s="251"/>
      <c r="BB120" s="252"/>
      <c r="BC120" s="250"/>
      <c r="BD120" s="251"/>
      <c r="BE120" s="252"/>
      <c r="BF120" s="250"/>
      <c r="BG120" s="251"/>
      <c r="BH120" s="252"/>
      <c r="BI120" s="250"/>
      <c r="BJ120" s="251"/>
      <c r="BK120" s="252"/>
    </row>
    <row r="121" spans="1:63" ht="24" hidden="1" customHeight="1" thickBot="1">
      <c r="A121" s="431"/>
      <c r="B121" s="340"/>
      <c r="C121" s="340"/>
      <c r="D121" s="340"/>
      <c r="E121" s="344" t="s">
        <v>91</v>
      </c>
      <c r="F121" s="412" t="s">
        <v>34</v>
      </c>
      <c r="G121" s="852"/>
      <c r="H121" s="313"/>
      <c r="I121" s="313"/>
      <c r="J121" s="315"/>
      <c r="K121" s="441"/>
      <c r="L121" s="345"/>
      <c r="M121" s="284">
        <f t="shared" si="21"/>
        <v>0</v>
      </c>
      <c r="N121" s="285">
        <f t="shared" si="22"/>
        <v>0</v>
      </c>
      <c r="O121" s="285" t="e">
        <f t="shared" si="19"/>
        <v>#DIV/0!</v>
      </c>
      <c r="P121" s="475"/>
      <c r="Q121" s="279" t="e">
        <f t="shared" ca="1" si="20"/>
        <v>#DIV/0!</v>
      </c>
      <c r="R121" s="71"/>
      <c r="S121" s="71"/>
      <c r="T121" s="72"/>
      <c r="U121" s="72"/>
      <c r="V121" s="69"/>
      <c r="W121" s="46"/>
      <c r="X121" s="46"/>
      <c r="Y121" s="46"/>
      <c r="Z121" s="46"/>
      <c r="AA121" s="45"/>
      <c r="AB121" s="268"/>
      <c r="AC121" s="10"/>
      <c r="AD121" s="9">
        <v>3</v>
      </c>
      <c r="AE121" s="267"/>
      <c r="AF121" s="264"/>
      <c r="AG121" s="265"/>
      <c r="AH121" s="267"/>
      <c r="AI121" s="264"/>
      <c r="AJ121" s="265"/>
      <c r="AK121" s="266"/>
      <c r="AL121" s="261"/>
      <c r="AM121" s="262"/>
      <c r="AN121" s="266"/>
      <c r="AO121" s="261"/>
      <c r="AP121" s="262"/>
      <c r="AQ121" s="256"/>
      <c r="AR121" s="257"/>
      <c r="AS121" s="258"/>
      <c r="AT121" s="256"/>
      <c r="AU121" s="257"/>
      <c r="AV121" s="258"/>
      <c r="AW121" s="256"/>
      <c r="AX121" s="257"/>
      <c r="AY121" s="258"/>
      <c r="AZ121" s="256"/>
      <c r="BA121" s="257"/>
      <c r="BB121" s="258"/>
      <c r="BC121" s="256"/>
      <c r="BD121" s="257"/>
      <c r="BE121" s="258"/>
      <c r="BF121" s="256"/>
      <c r="BG121" s="257"/>
      <c r="BH121" s="258"/>
      <c r="BI121" s="256"/>
      <c r="BJ121" s="257"/>
      <c r="BK121" s="258"/>
    </row>
    <row r="122" spans="1:63" s="16" customFormat="1" ht="23.25" hidden="1" customHeight="1">
      <c r="A122" s="432" t="s">
        <v>156</v>
      </c>
      <c r="B122" s="346"/>
      <c r="C122" s="346"/>
      <c r="D122" s="346"/>
      <c r="E122" s="1179" t="s">
        <v>157</v>
      </c>
      <c r="F122" s="421" t="s">
        <v>158</v>
      </c>
      <c r="G122" s="613">
        <v>39</v>
      </c>
      <c r="H122" s="282">
        <v>92</v>
      </c>
      <c r="I122" s="348"/>
      <c r="J122" s="283">
        <v>364</v>
      </c>
      <c r="K122" s="437"/>
      <c r="L122" s="349"/>
      <c r="M122" s="284">
        <f t="shared" si="21"/>
        <v>-364</v>
      </c>
      <c r="N122" s="285">
        <f t="shared" si="22"/>
        <v>3.9433333333333334</v>
      </c>
      <c r="O122" s="285">
        <f t="shared" si="19"/>
        <v>0</v>
      </c>
      <c r="P122" s="475"/>
      <c r="Q122" s="279">
        <f t="shared" ca="1" si="20"/>
        <v>41752</v>
      </c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</row>
    <row r="123" spans="1:63" s="16" customFormat="1" ht="24" hidden="1" customHeight="1" thickBot="1">
      <c r="A123" s="433"/>
      <c r="B123" s="346"/>
      <c r="C123" s="346"/>
      <c r="D123" s="346"/>
      <c r="E123" s="1180"/>
      <c r="F123" s="422" t="s">
        <v>159</v>
      </c>
      <c r="G123" s="613">
        <v>39</v>
      </c>
      <c r="H123" s="282">
        <v>92</v>
      </c>
      <c r="I123" s="350"/>
      <c r="J123" s="283">
        <v>364</v>
      </c>
      <c r="K123" s="437"/>
      <c r="L123" s="349"/>
      <c r="M123" s="284">
        <f t="shared" si="21"/>
        <v>-364</v>
      </c>
      <c r="N123" s="285">
        <f t="shared" si="22"/>
        <v>3.9433333333333334</v>
      </c>
      <c r="O123" s="285">
        <f t="shared" si="19"/>
        <v>0</v>
      </c>
      <c r="P123" s="475"/>
      <c r="Q123" s="279">
        <f t="shared" ca="1" si="20"/>
        <v>41752</v>
      </c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</row>
    <row r="124" spans="1:63" s="16" customFormat="1" ht="23.25" hidden="1" customHeight="1">
      <c r="A124" s="433"/>
      <c r="B124" s="346"/>
      <c r="C124" s="346"/>
      <c r="D124" s="346"/>
      <c r="E124" s="1179" t="s">
        <v>160</v>
      </c>
      <c r="F124" s="421" t="s">
        <v>161</v>
      </c>
      <c r="G124" s="613">
        <v>34</v>
      </c>
      <c r="H124" s="282">
        <v>106</v>
      </c>
      <c r="I124" s="348"/>
      <c r="J124" s="283">
        <v>448</v>
      </c>
      <c r="K124" s="437"/>
      <c r="L124" s="349"/>
      <c r="M124" s="284">
        <f t="shared" si="21"/>
        <v>-448</v>
      </c>
      <c r="N124" s="285">
        <f t="shared" si="22"/>
        <v>4.2311111111111108</v>
      </c>
      <c r="O124" s="285">
        <f t="shared" si="19"/>
        <v>0</v>
      </c>
      <c r="P124" s="475"/>
      <c r="Q124" s="279">
        <f t="shared" ca="1" si="20"/>
        <v>41752</v>
      </c>
      <c r="T124" s="17"/>
      <c r="U124" s="17"/>
      <c r="V124" s="17"/>
      <c r="W124" s="17"/>
      <c r="X124" s="17"/>
      <c r="Y124" s="17"/>
      <c r="Z124" s="17"/>
      <c r="AA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</row>
    <row r="125" spans="1:63" s="16" customFormat="1" ht="23.25" hidden="1" customHeight="1">
      <c r="A125" s="433"/>
      <c r="B125" s="346"/>
      <c r="C125" s="346"/>
      <c r="D125" s="346"/>
      <c r="E125" s="1187"/>
      <c r="F125" s="423" t="s">
        <v>162</v>
      </c>
      <c r="G125" s="613">
        <v>34</v>
      </c>
      <c r="H125" s="282">
        <v>106</v>
      </c>
      <c r="I125" s="351"/>
      <c r="J125" s="283">
        <v>448</v>
      </c>
      <c r="K125" s="437"/>
      <c r="L125" s="349"/>
      <c r="M125" s="284">
        <f t="shared" si="21"/>
        <v>-448</v>
      </c>
      <c r="N125" s="285">
        <f t="shared" si="22"/>
        <v>4.2311111111111108</v>
      </c>
      <c r="O125" s="285">
        <f t="shared" si="19"/>
        <v>0</v>
      </c>
      <c r="P125" s="475"/>
      <c r="Q125" s="279">
        <f t="shared" ca="1" si="20"/>
        <v>41752</v>
      </c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</row>
    <row r="126" spans="1:63" s="16" customFormat="1" ht="23.25" hidden="1" customHeight="1">
      <c r="A126" s="433"/>
      <c r="B126" s="346"/>
      <c r="C126" s="346"/>
      <c r="D126" s="346"/>
      <c r="E126" s="1187"/>
      <c r="F126" s="423" t="s">
        <v>163</v>
      </c>
      <c r="G126" s="613">
        <v>34</v>
      </c>
      <c r="H126" s="282">
        <v>106</v>
      </c>
      <c r="I126" s="351"/>
      <c r="J126" s="283">
        <v>448</v>
      </c>
      <c r="K126" s="437"/>
      <c r="L126" s="349"/>
      <c r="M126" s="284">
        <f t="shared" si="21"/>
        <v>-448</v>
      </c>
      <c r="N126" s="285">
        <f t="shared" si="22"/>
        <v>4.2311111111111108</v>
      </c>
      <c r="O126" s="285">
        <f t="shared" si="19"/>
        <v>0</v>
      </c>
      <c r="P126" s="475"/>
      <c r="Q126" s="279">
        <f t="shared" ca="1" si="20"/>
        <v>41752</v>
      </c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</row>
    <row r="127" spans="1:63" s="16" customFormat="1" ht="23.25" hidden="1" customHeight="1">
      <c r="A127" s="433"/>
      <c r="B127" s="346"/>
      <c r="C127" s="346"/>
      <c r="D127" s="346"/>
      <c r="E127" s="1187"/>
      <c r="F127" s="423" t="s">
        <v>164</v>
      </c>
      <c r="G127" s="613">
        <v>34</v>
      </c>
      <c r="H127" s="282">
        <v>106</v>
      </c>
      <c r="I127" s="351"/>
      <c r="J127" s="283">
        <v>448</v>
      </c>
      <c r="K127" s="437"/>
      <c r="L127" s="349"/>
      <c r="M127" s="284">
        <f t="shared" si="21"/>
        <v>-448</v>
      </c>
      <c r="N127" s="285">
        <f t="shared" si="22"/>
        <v>4.2311111111111108</v>
      </c>
      <c r="O127" s="285">
        <f t="shared" si="19"/>
        <v>0</v>
      </c>
      <c r="P127" s="475"/>
      <c r="Q127" s="279">
        <f t="shared" ca="1" si="20"/>
        <v>41752</v>
      </c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</row>
    <row r="128" spans="1:63" s="16" customFormat="1" ht="23.25" hidden="1" customHeight="1">
      <c r="A128" s="433"/>
      <c r="B128" s="346"/>
      <c r="C128" s="346"/>
      <c r="D128" s="346"/>
      <c r="E128" s="1187"/>
      <c r="F128" s="423" t="s">
        <v>165</v>
      </c>
      <c r="G128" s="613">
        <v>34</v>
      </c>
      <c r="H128" s="282">
        <v>106</v>
      </c>
      <c r="I128" s="351"/>
      <c r="J128" s="283">
        <v>448</v>
      </c>
      <c r="K128" s="437"/>
      <c r="L128" s="349"/>
      <c r="M128" s="284">
        <f t="shared" si="21"/>
        <v>-448</v>
      </c>
      <c r="N128" s="285">
        <f t="shared" si="22"/>
        <v>4.2311111111111108</v>
      </c>
      <c r="O128" s="285">
        <f t="shared" si="19"/>
        <v>0</v>
      </c>
      <c r="P128" s="475"/>
      <c r="Q128" s="279">
        <f t="shared" ca="1" si="20"/>
        <v>41752</v>
      </c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</row>
    <row r="129" spans="1:57" s="16" customFormat="1" ht="23.25" hidden="1" customHeight="1">
      <c r="A129" s="433"/>
      <c r="B129" s="346"/>
      <c r="C129" s="346"/>
      <c r="D129" s="346"/>
      <c r="E129" s="1187"/>
      <c r="F129" s="423" t="s">
        <v>166</v>
      </c>
      <c r="G129" s="613">
        <v>34</v>
      </c>
      <c r="H129" s="282">
        <v>106</v>
      </c>
      <c r="I129" s="351"/>
      <c r="J129" s="283">
        <v>448</v>
      </c>
      <c r="K129" s="437"/>
      <c r="L129" s="349"/>
      <c r="M129" s="284">
        <f t="shared" si="21"/>
        <v>-448</v>
      </c>
      <c r="N129" s="285">
        <f t="shared" si="22"/>
        <v>4.2311111111111108</v>
      </c>
      <c r="O129" s="285">
        <f t="shared" si="19"/>
        <v>0</v>
      </c>
      <c r="P129" s="475"/>
      <c r="Q129" s="279">
        <f t="shared" ca="1" si="20"/>
        <v>41752</v>
      </c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</row>
    <row r="130" spans="1:57" s="16" customFormat="1" ht="23.25" hidden="1" customHeight="1">
      <c r="A130" s="433"/>
      <c r="B130" s="346"/>
      <c r="C130" s="346"/>
      <c r="D130" s="346"/>
      <c r="E130" s="1187"/>
      <c r="F130" s="423" t="s">
        <v>167</v>
      </c>
      <c r="G130" s="613">
        <v>34</v>
      </c>
      <c r="H130" s="282">
        <v>106</v>
      </c>
      <c r="I130" s="351"/>
      <c r="J130" s="283">
        <v>448</v>
      </c>
      <c r="K130" s="437"/>
      <c r="L130" s="349"/>
      <c r="M130" s="284">
        <f t="shared" si="21"/>
        <v>-448</v>
      </c>
      <c r="N130" s="285">
        <f t="shared" si="22"/>
        <v>4.2311111111111108</v>
      </c>
      <c r="O130" s="285">
        <f t="shared" si="19"/>
        <v>0</v>
      </c>
      <c r="P130" s="475"/>
      <c r="Q130" s="279">
        <f t="shared" ca="1" si="20"/>
        <v>41752</v>
      </c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</row>
    <row r="131" spans="1:57" s="16" customFormat="1" ht="23.25" hidden="1" customHeight="1">
      <c r="A131" s="433"/>
      <c r="B131" s="346"/>
      <c r="C131" s="346"/>
      <c r="D131" s="346"/>
      <c r="E131" s="1187"/>
      <c r="F131" s="423" t="s">
        <v>168</v>
      </c>
      <c r="G131" s="613">
        <v>34</v>
      </c>
      <c r="H131" s="282">
        <v>106</v>
      </c>
      <c r="I131" s="351"/>
      <c r="J131" s="283">
        <v>448</v>
      </c>
      <c r="K131" s="437"/>
      <c r="L131" s="349"/>
      <c r="M131" s="284">
        <f t="shared" si="21"/>
        <v>-448</v>
      </c>
      <c r="N131" s="285">
        <f t="shared" si="22"/>
        <v>4.2311111111111108</v>
      </c>
      <c r="O131" s="285">
        <f t="shared" si="19"/>
        <v>0</v>
      </c>
      <c r="P131" s="475"/>
      <c r="Q131" s="279">
        <f t="shared" ca="1" si="20"/>
        <v>41752</v>
      </c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</row>
    <row r="132" spans="1:57" s="16" customFormat="1" ht="23.25" hidden="1" customHeight="1">
      <c r="A132" s="433"/>
      <c r="B132" s="346"/>
      <c r="C132" s="346"/>
      <c r="D132" s="346"/>
      <c r="E132" s="1187"/>
      <c r="F132" s="423" t="s">
        <v>169</v>
      </c>
      <c r="G132" s="613">
        <v>34</v>
      </c>
      <c r="H132" s="282">
        <v>106</v>
      </c>
      <c r="I132" s="351"/>
      <c r="J132" s="283">
        <v>448</v>
      </c>
      <c r="K132" s="437"/>
      <c r="L132" s="349"/>
      <c r="M132" s="284">
        <f t="shared" si="21"/>
        <v>-448</v>
      </c>
      <c r="N132" s="285">
        <f t="shared" si="22"/>
        <v>4.2311111111111108</v>
      </c>
      <c r="O132" s="285">
        <f t="shared" si="19"/>
        <v>0</v>
      </c>
      <c r="P132" s="475"/>
      <c r="Q132" s="279">
        <f t="shared" ca="1" si="20"/>
        <v>41752</v>
      </c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</row>
    <row r="133" spans="1:57" s="16" customFormat="1" ht="24" hidden="1" customHeight="1" thickBot="1">
      <c r="A133" s="433"/>
      <c r="B133" s="346"/>
      <c r="C133" s="346"/>
      <c r="D133" s="346"/>
      <c r="E133" s="1180"/>
      <c r="F133" s="422" t="s">
        <v>170</v>
      </c>
      <c r="G133" s="613">
        <v>34</v>
      </c>
      <c r="H133" s="282">
        <v>106</v>
      </c>
      <c r="I133" s="350"/>
      <c r="J133" s="283">
        <v>448</v>
      </c>
      <c r="K133" s="437"/>
      <c r="L133" s="349"/>
      <c r="M133" s="284">
        <f t="shared" si="21"/>
        <v>-448</v>
      </c>
      <c r="N133" s="285">
        <f t="shared" si="22"/>
        <v>4.2311111111111108</v>
      </c>
      <c r="O133" s="285">
        <f t="shared" ref="O133:O164" si="23">K133/J133</f>
        <v>0</v>
      </c>
      <c r="P133" s="475"/>
      <c r="Q133" s="279">
        <f t="shared" ca="1" si="20"/>
        <v>41752</v>
      </c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</row>
    <row r="134" spans="1:57" s="16" customFormat="1" ht="23.25" hidden="1" customHeight="1">
      <c r="A134" s="433"/>
      <c r="B134" s="346"/>
      <c r="C134" s="346"/>
      <c r="D134" s="346"/>
      <c r="E134" s="1179" t="s">
        <v>171</v>
      </c>
      <c r="F134" s="421" t="s">
        <v>172</v>
      </c>
      <c r="G134" s="613">
        <v>34</v>
      </c>
      <c r="H134" s="282">
        <v>106</v>
      </c>
      <c r="I134" s="348"/>
      <c r="J134" s="283">
        <v>448</v>
      </c>
      <c r="K134" s="437"/>
      <c r="L134" s="349"/>
      <c r="M134" s="284">
        <f t="shared" si="21"/>
        <v>-448</v>
      </c>
      <c r="N134" s="285">
        <f t="shared" si="22"/>
        <v>4.2311111111111108</v>
      </c>
      <c r="O134" s="285">
        <f t="shared" si="23"/>
        <v>0</v>
      </c>
      <c r="P134" s="475"/>
      <c r="Q134" s="279">
        <f t="shared" ca="1" si="20"/>
        <v>41752</v>
      </c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</row>
    <row r="135" spans="1:57" s="16" customFormat="1" ht="23.25" hidden="1" customHeight="1">
      <c r="A135" s="433"/>
      <c r="B135" s="346"/>
      <c r="C135" s="346"/>
      <c r="D135" s="346"/>
      <c r="E135" s="1187"/>
      <c r="F135" s="423" t="s">
        <v>173</v>
      </c>
      <c r="G135" s="613">
        <v>34</v>
      </c>
      <c r="H135" s="282">
        <v>106</v>
      </c>
      <c r="I135" s="351"/>
      <c r="J135" s="283">
        <v>448</v>
      </c>
      <c r="K135" s="437"/>
      <c r="L135" s="349"/>
      <c r="M135" s="284">
        <f t="shared" si="21"/>
        <v>-448</v>
      </c>
      <c r="N135" s="285">
        <f t="shared" si="22"/>
        <v>4.2311111111111108</v>
      </c>
      <c r="O135" s="285">
        <f t="shared" si="23"/>
        <v>0</v>
      </c>
      <c r="P135" s="475"/>
      <c r="Q135" s="279">
        <f t="shared" ca="1" si="20"/>
        <v>41752</v>
      </c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</row>
    <row r="136" spans="1:57" s="16" customFormat="1" ht="23.25" hidden="1" customHeight="1">
      <c r="A136" s="433"/>
      <c r="B136" s="346"/>
      <c r="C136" s="346"/>
      <c r="D136" s="346"/>
      <c r="E136" s="1187"/>
      <c r="F136" s="423" t="s">
        <v>174</v>
      </c>
      <c r="G136" s="613">
        <v>34</v>
      </c>
      <c r="H136" s="282">
        <v>106</v>
      </c>
      <c r="I136" s="351"/>
      <c r="J136" s="283">
        <v>448</v>
      </c>
      <c r="K136" s="437"/>
      <c r="L136" s="349"/>
      <c r="M136" s="284">
        <f t="shared" si="21"/>
        <v>-448</v>
      </c>
      <c r="N136" s="285">
        <f t="shared" si="22"/>
        <v>4.2311111111111108</v>
      </c>
      <c r="O136" s="285">
        <f t="shared" si="23"/>
        <v>0</v>
      </c>
      <c r="P136" s="475"/>
      <c r="Q136" s="279">
        <f t="shared" ca="1" si="20"/>
        <v>41752</v>
      </c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</row>
    <row r="137" spans="1:57" s="16" customFormat="1" ht="23.25" hidden="1" customHeight="1">
      <c r="A137" s="433"/>
      <c r="B137" s="346"/>
      <c r="C137" s="346"/>
      <c r="D137" s="346"/>
      <c r="E137" s="1187"/>
      <c r="F137" s="423" t="s">
        <v>175</v>
      </c>
      <c r="G137" s="613">
        <v>34</v>
      </c>
      <c r="H137" s="282">
        <v>106</v>
      </c>
      <c r="I137" s="351"/>
      <c r="J137" s="283">
        <v>448</v>
      </c>
      <c r="K137" s="437"/>
      <c r="L137" s="349"/>
      <c r="M137" s="284">
        <f t="shared" si="21"/>
        <v>-448</v>
      </c>
      <c r="N137" s="285">
        <f t="shared" si="22"/>
        <v>4.2311111111111108</v>
      </c>
      <c r="O137" s="285">
        <f t="shared" si="23"/>
        <v>0</v>
      </c>
      <c r="P137" s="475"/>
      <c r="Q137" s="279">
        <f t="shared" ca="1" si="20"/>
        <v>41752</v>
      </c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</row>
    <row r="138" spans="1:57" s="16" customFormat="1" ht="23.25" hidden="1" customHeight="1">
      <c r="A138" s="433"/>
      <c r="B138" s="346"/>
      <c r="C138" s="346"/>
      <c r="D138" s="346"/>
      <c r="E138" s="1187"/>
      <c r="F138" s="423" t="s">
        <v>176</v>
      </c>
      <c r="G138" s="613">
        <v>34</v>
      </c>
      <c r="H138" s="282">
        <v>106</v>
      </c>
      <c r="I138" s="351"/>
      <c r="J138" s="283">
        <v>448</v>
      </c>
      <c r="K138" s="437"/>
      <c r="L138" s="349"/>
      <c r="M138" s="284">
        <f t="shared" si="21"/>
        <v>-448</v>
      </c>
      <c r="N138" s="285">
        <f t="shared" si="22"/>
        <v>4.2311111111111108</v>
      </c>
      <c r="O138" s="285">
        <f t="shared" si="23"/>
        <v>0</v>
      </c>
      <c r="P138" s="475"/>
      <c r="Q138" s="279">
        <f t="shared" ca="1" si="20"/>
        <v>41752</v>
      </c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</row>
    <row r="139" spans="1:57" s="16" customFormat="1" ht="23.25" hidden="1" customHeight="1">
      <c r="A139" s="433"/>
      <c r="B139" s="346"/>
      <c r="C139" s="346"/>
      <c r="D139" s="346"/>
      <c r="E139" s="1187"/>
      <c r="F139" s="423" t="s">
        <v>177</v>
      </c>
      <c r="G139" s="613">
        <v>34</v>
      </c>
      <c r="H139" s="282">
        <v>106</v>
      </c>
      <c r="I139" s="351"/>
      <c r="J139" s="283">
        <v>448</v>
      </c>
      <c r="K139" s="437"/>
      <c r="L139" s="349"/>
      <c r="M139" s="284">
        <f t="shared" si="21"/>
        <v>-448</v>
      </c>
      <c r="N139" s="285">
        <f t="shared" si="22"/>
        <v>4.2311111111111108</v>
      </c>
      <c r="O139" s="285">
        <f t="shared" si="23"/>
        <v>0</v>
      </c>
      <c r="P139" s="475"/>
      <c r="Q139" s="279">
        <f t="shared" ca="1" si="20"/>
        <v>41752</v>
      </c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</row>
    <row r="140" spans="1:57" s="16" customFormat="1" ht="23.25" hidden="1" customHeight="1">
      <c r="A140" s="433"/>
      <c r="B140" s="346"/>
      <c r="C140" s="346"/>
      <c r="D140" s="346"/>
      <c r="E140" s="1187"/>
      <c r="F140" s="423" t="s">
        <v>178</v>
      </c>
      <c r="G140" s="613">
        <v>34</v>
      </c>
      <c r="H140" s="282">
        <v>106</v>
      </c>
      <c r="I140" s="351"/>
      <c r="J140" s="283">
        <v>448</v>
      </c>
      <c r="K140" s="437"/>
      <c r="L140" s="349"/>
      <c r="M140" s="284">
        <f t="shared" si="21"/>
        <v>-448</v>
      </c>
      <c r="N140" s="285">
        <f t="shared" si="22"/>
        <v>4.2311111111111108</v>
      </c>
      <c r="O140" s="285">
        <f t="shared" si="23"/>
        <v>0</v>
      </c>
      <c r="P140" s="475"/>
      <c r="Q140" s="279">
        <f t="shared" ca="1" si="20"/>
        <v>41752</v>
      </c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</row>
    <row r="141" spans="1:57" s="16" customFormat="1" ht="23.25" hidden="1" customHeight="1">
      <c r="A141" s="433"/>
      <c r="B141" s="346"/>
      <c r="C141" s="346"/>
      <c r="D141" s="346"/>
      <c r="E141" s="1187"/>
      <c r="F141" s="423" t="s">
        <v>179</v>
      </c>
      <c r="G141" s="613">
        <v>34</v>
      </c>
      <c r="H141" s="282">
        <v>106</v>
      </c>
      <c r="I141" s="351"/>
      <c r="J141" s="283">
        <v>448</v>
      </c>
      <c r="K141" s="437"/>
      <c r="L141" s="349"/>
      <c r="M141" s="284">
        <f t="shared" si="21"/>
        <v>-448</v>
      </c>
      <c r="N141" s="285">
        <f t="shared" si="22"/>
        <v>4.2311111111111108</v>
      </c>
      <c r="O141" s="285">
        <f t="shared" si="23"/>
        <v>0</v>
      </c>
      <c r="P141" s="475"/>
      <c r="Q141" s="279">
        <f t="shared" ca="1" si="20"/>
        <v>41752</v>
      </c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</row>
    <row r="142" spans="1:57" s="16" customFormat="1" ht="23.25" hidden="1" customHeight="1">
      <c r="A142" s="433"/>
      <c r="B142" s="346"/>
      <c r="C142" s="346"/>
      <c r="D142" s="346"/>
      <c r="E142" s="1187"/>
      <c r="F142" s="423" t="s">
        <v>180</v>
      </c>
      <c r="G142" s="613">
        <v>34</v>
      </c>
      <c r="H142" s="282">
        <v>106</v>
      </c>
      <c r="I142" s="351"/>
      <c r="J142" s="283">
        <v>448</v>
      </c>
      <c r="K142" s="437"/>
      <c r="L142" s="349"/>
      <c r="M142" s="284">
        <f t="shared" si="21"/>
        <v>-448</v>
      </c>
      <c r="N142" s="285">
        <f t="shared" si="22"/>
        <v>4.2311111111111108</v>
      </c>
      <c r="O142" s="285">
        <f t="shared" si="23"/>
        <v>0</v>
      </c>
      <c r="P142" s="475"/>
      <c r="Q142" s="279">
        <f t="shared" ca="1" si="20"/>
        <v>41752</v>
      </c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</row>
    <row r="143" spans="1:57" s="16" customFormat="1" ht="24" hidden="1" customHeight="1" thickBot="1">
      <c r="A143" s="433"/>
      <c r="B143" s="346"/>
      <c r="C143" s="346"/>
      <c r="D143" s="346"/>
      <c r="E143" s="1180"/>
      <c r="F143" s="422" t="s">
        <v>181</v>
      </c>
      <c r="G143" s="613">
        <v>34</v>
      </c>
      <c r="H143" s="282">
        <v>106</v>
      </c>
      <c r="I143" s="350"/>
      <c r="J143" s="283">
        <v>448</v>
      </c>
      <c r="K143" s="437"/>
      <c r="L143" s="349"/>
      <c r="M143" s="284">
        <f t="shared" si="21"/>
        <v>-448</v>
      </c>
      <c r="N143" s="285">
        <f t="shared" si="22"/>
        <v>4.2311111111111108</v>
      </c>
      <c r="O143" s="285">
        <f t="shared" si="23"/>
        <v>0</v>
      </c>
      <c r="P143" s="475"/>
      <c r="Q143" s="279">
        <f t="shared" ca="1" si="20"/>
        <v>41752</v>
      </c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</row>
    <row r="144" spans="1:57" s="16" customFormat="1" ht="23.25" hidden="1" customHeight="1">
      <c r="A144" s="433"/>
      <c r="B144" s="346"/>
      <c r="C144" s="346"/>
      <c r="D144" s="346"/>
      <c r="E144" s="1179" t="s">
        <v>182</v>
      </c>
      <c r="F144" s="421" t="s">
        <v>183</v>
      </c>
      <c r="G144" s="1351">
        <v>32</v>
      </c>
      <c r="H144" s="1183">
        <v>113</v>
      </c>
      <c r="I144" s="348"/>
      <c r="J144" s="283">
        <v>448</v>
      </c>
      <c r="K144" s="437"/>
      <c r="L144" s="349"/>
      <c r="M144" s="284">
        <f t="shared" si="21"/>
        <v>-448</v>
      </c>
      <c r="N144" s="285">
        <f t="shared" si="22"/>
        <v>3.9822222222222221</v>
      </c>
      <c r="O144" s="285">
        <f t="shared" si="23"/>
        <v>0</v>
      </c>
      <c r="P144" s="475"/>
      <c r="Q144" s="279">
        <f t="shared" ca="1" si="20"/>
        <v>41752</v>
      </c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</row>
    <row r="145" spans="1:57" s="16" customFormat="1" ht="24" hidden="1" customHeight="1" thickBot="1">
      <c r="A145" s="433"/>
      <c r="B145" s="346"/>
      <c r="C145" s="346"/>
      <c r="D145" s="346"/>
      <c r="E145" s="1180"/>
      <c r="F145" s="422" t="s">
        <v>184</v>
      </c>
      <c r="G145" s="1352"/>
      <c r="H145" s="1184"/>
      <c r="I145" s="350"/>
      <c r="J145" s="283">
        <v>448</v>
      </c>
      <c r="K145" s="437"/>
      <c r="L145" s="349"/>
      <c r="M145" s="284">
        <f t="shared" si="21"/>
        <v>-448</v>
      </c>
      <c r="N145" s="285">
        <f t="shared" si="22"/>
        <v>0</v>
      </c>
      <c r="O145" s="285">
        <f t="shared" si="23"/>
        <v>0</v>
      </c>
      <c r="P145" s="475"/>
      <c r="Q145" s="279">
        <f t="shared" ca="1" si="20"/>
        <v>41752</v>
      </c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</row>
    <row r="146" spans="1:57" s="16" customFormat="1" ht="23.25" hidden="1" customHeight="1">
      <c r="A146" s="433"/>
      <c r="B146" s="346"/>
      <c r="C146" s="346"/>
      <c r="D146" s="346"/>
      <c r="E146" s="1179" t="s">
        <v>185</v>
      </c>
      <c r="F146" s="421" t="s">
        <v>183</v>
      </c>
      <c r="G146" s="1351">
        <v>32</v>
      </c>
      <c r="H146" s="1183">
        <v>113</v>
      </c>
      <c r="I146" s="348"/>
      <c r="J146" s="283">
        <v>64</v>
      </c>
      <c r="K146" s="437"/>
      <c r="L146" s="349"/>
      <c r="M146" s="284">
        <f t="shared" si="21"/>
        <v>-64</v>
      </c>
      <c r="N146" s="285">
        <f t="shared" si="22"/>
        <v>0.56888888888888889</v>
      </c>
      <c r="O146" s="285">
        <f t="shared" si="23"/>
        <v>0</v>
      </c>
      <c r="P146" s="475"/>
      <c r="Q146" s="279">
        <f t="shared" ca="1" si="20"/>
        <v>41752</v>
      </c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</row>
    <row r="147" spans="1:57" s="16" customFormat="1" ht="24" hidden="1" customHeight="1" thickBot="1">
      <c r="A147" s="434"/>
      <c r="B147" s="352"/>
      <c r="C147" s="352"/>
      <c r="D147" s="352"/>
      <c r="E147" s="1180"/>
      <c r="F147" s="422" t="s">
        <v>184</v>
      </c>
      <c r="G147" s="1352"/>
      <c r="H147" s="1184"/>
      <c r="I147" s="350"/>
      <c r="J147" s="283">
        <v>64</v>
      </c>
      <c r="K147" s="437"/>
      <c r="L147" s="349"/>
      <c r="M147" s="284">
        <f t="shared" si="21"/>
        <v>-64</v>
      </c>
      <c r="N147" s="285">
        <f t="shared" si="22"/>
        <v>0</v>
      </c>
      <c r="O147" s="285">
        <f t="shared" si="23"/>
        <v>0</v>
      </c>
      <c r="P147" s="475"/>
      <c r="Q147" s="279">
        <f t="shared" ca="1" si="20"/>
        <v>41752</v>
      </c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</row>
    <row r="148" spans="1:57" s="16" customFormat="1" ht="23.25" hidden="1" customHeight="1">
      <c r="A148" s="435" t="s">
        <v>209</v>
      </c>
      <c r="B148" s="353"/>
      <c r="C148" s="353"/>
      <c r="D148" s="353"/>
      <c r="E148" s="1179" t="s">
        <v>186</v>
      </c>
      <c r="F148" s="421" t="s">
        <v>187</v>
      </c>
      <c r="G148" s="613">
        <v>26</v>
      </c>
      <c r="H148" s="282">
        <v>138</v>
      </c>
      <c r="I148" s="348"/>
      <c r="J148" s="283">
        <v>896</v>
      </c>
      <c r="K148" s="437"/>
      <c r="L148" s="349"/>
      <c r="M148" s="284">
        <f t="shared" si="21"/>
        <v>-896</v>
      </c>
      <c r="N148" s="285">
        <f t="shared" si="22"/>
        <v>6.471111111111111</v>
      </c>
      <c r="O148" s="285">
        <f t="shared" si="23"/>
        <v>0</v>
      </c>
      <c r="P148" s="475"/>
      <c r="Q148" s="279">
        <f t="shared" ca="1" si="20"/>
        <v>41752</v>
      </c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</row>
    <row r="149" spans="1:57" s="16" customFormat="1" ht="24" hidden="1" customHeight="1" thickBot="1">
      <c r="A149" s="433"/>
      <c r="B149" s="346"/>
      <c r="C149" s="346"/>
      <c r="D149" s="346"/>
      <c r="E149" s="1180"/>
      <c r="F149" s="422" t="s">
        <v>188</v>
      </c>
      <c r="G149" s="613">
        <v>26</v>
      </c>
      <c r="H149" s="282">
        <v>138</v>
      </c>
      <c r="I149" s="350"/>
      <c r="J149" s="283">
        <v>896</v>
      </c>
      <c r="K149" s="437"/>
      <c r="L149" s="349"/>
      <c r="M149" s="284">
        <f t="shared" si="21"/>
        <v>-896</v>
      </c>
      <c r="N149" s="285">
        <f t="shared" si="22"/>
        <v>6.471111111111111</v>
      </c>
      <c r="O149" s="285">
        <f t="shared" si="23"/>
        <v>0</v>
      </c>
      <c r="P149" s="475"/>
      <c r="Q149" s="279">
        <f t="shared" ca="1" si="20"/>
        <v>41752</v>
      </c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</row>
    <row r="150" spans="1:57" s="16" customFormat="1" ht="23.25" hidden="1" customHeight="1">
      <c r="A150" s="433"/>
      <c r="B150" s="346"/>
      <c r="C150" s="346"/>
      <c r="D150" s="346"/>
      <c r="E150" s="1179" t="s">
        <v>189</v>
      </c>
      <c r="F150" s="421" t="s">
        <v>190</v>
      </c>
      <c r="G150" s="613">
        <v>24</v>
      </c>
      <c r="H150" s="282">
        <v>150</v>
      </c>
      <c r="I150" s="348"/>
      <c r="J150" s="283">
        <v>896</v>
      </c>
      <c r="K150" s="437"/>
      <c r="L150" s="349"/>
      <c r="M150" s="284">
        <f t="shared" si="21"/>
        <v>-896</v>
      </c>
      <c r="N150" s="285">
        <f t="shared" si="22"/>
        <v>5.9733333333333336</v>
      </c>
      <c r="O150" s="285">
        <f t="shared" si="23"/>
        <v>0</v>
      </c>
      <c r="P150" s="475"/>
      <c r="Q150" s="279">
        <f t="shared" ca="1" si="20"/>
        <v>41752</v>
      </c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</row>
    <row r="151" spans="1:57" s="16" customFormat="1" ht="24" hidden="1" customHeight="1" thickBot="1">
      <c r="A151" s="433"/>
      <c r="B151" s="346"/>
      <c r="C151" s="346"/>
      <c r="D151" s="346"/>
      <c r="E151" s="1180"/>
      <c r="F151" s="422" t="s">
        <v>191</v>
      </c>
      <c r="G151" s="613">
        <v>24</v>
      </c>
      <c r="H151" s="282">
        <v>150</v>
      </c>
      <c r="I151" s="350"/>
      <c r="J151" s="283">
        <v>896</v>
      </c>
      <c r="K151" s="437"/>
      <c r="L151" s="349"/>
      <c r="M151" s="284">
        <f t="shared" si="21"/>
        <v>-896</v>
      </c>
      <c r="N151" s="285">
        <f t="shared" si="22"/>
        <v>5.9733333333333336</v>
      </c>
      <c r="O151" s="285">
        <f t="shared" si="23"/>
        <v>0</v>
      </c>
      <c r="P151" s="475"/>
      <c r="Q151" s="279">
        <f t="shared" ca="1" si="20"/>
        <v>41752</v>
      </c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</row>
    <row r="152" spans="1:57" s="16" customFormat="1" ht="24" hidden="1" customHeight="1" thickBot="1">
      <c r="A152" s="433"/>
      <c r="B152" s="346"/>
      <c r="C152" s="346"/>
      <c r="D152" s="346"/>
      <c r="E152" s="354" t="s">
        <v>192</v>
      </c>
      <c r="F152" s="424" t="s">
        <v>193</v>
      </c>
      <c r="G152" s="613">
        <v>33</v>
      </c>
      <c r="H152" s="282">
        <v>109</v>
      </c>
      <c r="I152" s="355"/>
      <c r="J152" s="283">
        <v>896</v>
      </c>
      <c r="K152" s="437"/>
      <c r="L152" s="349"/>
      <c r="M152" s="284">
        <f>K152-J152</f>
        <v>-896</v>
      </c>
      <c r="N152" s="285">
        <f t="shared" si="22"/>
        <v>8.2133333333333329</v>
      </c>
      <c r="O152" s="285">
        <f t="shared" si="23"/>
        <v>0</v>
      </c>
      <c r="P152" s="475"/>
      <c r="Q152" s="279">
        <f t="shared" ca="1" si="20"/>
        <v>41752</v>
      </c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</row>
    <row r="153" spans="1:57" s="79" customFormat="1" ht="24" hidden="1" customHeight="1" thickBot="1">
      <c r="A153" s="433"/>
      <c r="B153" s="346"/>
      <c r="C153" s="346"/>
      <c r="D153" s="346"/>
      <c r="E153" s="354" t="s">
        <v>207</v>
      </c>
      <c r="F153" s="424" t="s">
        <v>194</v>
      </c>
      <c r="G153" s="613">
        <v>27</v>
      </c>
      <c r="H153" s="282">
        <v>133</v>
      </c>
      <c r="I153" s="355"/>
      <c r="J153" s="283">
        <v>1024</v>
      </c>
      <c r="K153" s="437"/>
      <c r="L153" s="349"/>
      <c r="M153" s="284">
        <f t="shared" si="21"/>
        <v>-1024</v>
      </c>
      <c r="N153" s="285">
        <f t="shared" si="22"/>
        <v>7.68</v>
      </c>
      <c r="O153" s="285">
        <f t="shared" si="23"/>
        <v>0</v>
      </c>
      <c r="P153" s="475"/>
      <c r="Q153" s="279">
        <f t="shared" ca="1" si="20"/>
        <v>41752</v>
      </c>
      <c r="T153" s="80"/>
      <c r="U153" s="80"/>
      <c r="V153" s="80"/>
      <c r="W153" s="80"/>
      <c r="X153" s="80"/>
      <c r="Y153" s="80"/>
      <c r="Z153" s="80"/>
      <c r="AA153" s="80"/>
      <c r="AB153" s="80"/>
      <c r="AC153" s="80"/>
      <c r="AD153" s="80"/>
      <c r="AE153" s="80"/>
      <c r="AF153" s="80"/>
      <c r="AG153" s="80"/>
      <c r="AH153" s="80"/>
      <c r="AI153" s="80"/>
      <c r="AJ153" s="80"/>
      <c r="AK153" s="80"/>
      <c r="AL153" s="80"/>
      <c r="AM153" s="80"/>
      <c r="AN153" s="80"/>
      <c r="AO153" s="80"/>
      <c r="AP153" s="80"/>
      <c r="AQ153" s="80"/>
      <c r="AR153" s="80"/>
      <c r="AS153" s="80"/>
      <c r="AT153" s="80"/>
      <c r="AU153" s="80"/>
      <c r="AV153" s="80"/>
      <c r="AW153" s="80"/>
      <c r="AX153" s="80"/>
      <c r="AY153" s="80"/>
      <c r="AZ153" s="80"/>
      <c r="BA153" s="80"/>
      <c r="BB153" s="80"/>
      <c r="BC153" s="80"/>
      <c r="BD153" s="80"/>
      <c r="BE153" s="80"/>
    </row>
    <row r="154" spans="1:57" s="79" customFormat="1" ht="23.25" hidden="1" customHeight="1">
      <c r="A154" s="433"/>
      <c r="B154" s="346"/>
      <c r="C154" s="346"/>
      <c r="D154" s="346"/>
      <c r="E154" s="1179" t="s">
        <v>197</v>
      </c>
      <c r="F154" s="421" t="s">
        <v>195</v>
      </c>
      <c r="G154" s="1351">
        <v>27</v>
      </c>
      <c r="H154" s="1183">
        <v>133</v>
      </c>
      <c r="I154" s="348"/>
      <c r="J154" s="283">
        <v>512</v>
      </c>
      <c r="K154" s="437"/>
      <c r="L154" s="349"/>
      <c r="M154" s="284">
        <f t="shared" si="21"/>
        <v>-512</v>
      </c>
      <c r="N154" s="285">
        <f t="shared" si="22"/>
        <v>3.84</v>
      </c>
      <c r="O154" s="285">
        <f t="shared" si="23"/>
        <v>0</v>
      </c>
      <c r="P154" s="475"/>
      <c r="Q154" s="279">
        <f t="shared" ca="1" si="20"/>
        <v>41752</v>
      </c>
      <c r="T154" s="80"/>
      <c r="U154" s="80"/>
      <c r="V154" s="80"/>
      <c r="W154" s="80"/>
      <c r="X154" s="80"/>
      <c r="Y154" s="80"/>
      <c r="Z154" s="80"/>
      <c r="AA154" s="80"/>
      <c r="AB154" s="80"/>
      <c r="AC154" s="80"/>
      <c r="AD154" s="80"/>
      <c r="AE154" s="80"/>
      <c r="AF154" s="80"/>
      <c r="AG154" s="80"/>
      <c r="AH154" s="80"/>
      <c r="AI154" s="80"/>
      <c r="AJ154" s="80"/>
      <c r="AK154" s="80"/>
      <c r="AL154" s="80"/>
      <c r="AM154" s="80"/>
      <c r="AN154" s="80"/>
      <c r="AO154" s="80"/>
      <c r="AP154" s="80"/>
      <c r="AQ154" s="80"/>
      <c r="AR154" s="80"/>
      <c r="AS154" s="80"/>
      <c r="AT154" s="80"/>
      <c r="AU154" s="80"/>
      <c r="AV154" s="80"/>
      <c r="AW154" s="80"/>
      <c r="AX154" s="80"/>
      <c r="AY154" s="80"/>
      <c r="AZ154" s="80"/>
      <c r="BA154" s="80"/>
      <c r="BB154" s="80"/>
      <c r="BC154" s="80"/>
      <c r="BD154" s="80"/>
      <c r="BE154" s="80"/>
    </row>
    <row r="155" spans="1:57" s="79" customFormat="1" ht="24" hidden="1" customHeight="1" thickBot="1">
      <c r="A155" s="433"/>
      <c r="B155" s="346"/>
      <c r="C155" s="346"/>
      <c r="D155" s="346"/>
      <c r="E155" s="1180"/>
      <c r="F155" s="422" t="s">
        <v>196</v>
      </c>
      <c r="G155" s="1352"/>
      <c r="H155" s="1184"/>
      <c r="I155" s="350"/>
      <c r="J155" s="283">
        <v>512</v>
      </c>
      <c r="K155" s="437"/>
      <c r="L155" s="349"/>
      <c r="M155" s="284">
        <f t="shared" si="21"/>
        <v>-512</v>
      </c>
      <c r="N155" s="285">
        <f t="shared" si="22"/>
        <v>0</v>
      </c>
      <c r="O155" s="285">
        <f t="shared" si="23"/>
        <v>0</v>
      </c>
      <c r="P155" s="475"/>
      <c r="Q155" s="279">
        <f t="shared" ca="1" si="20"/>
        <v>41752</v>
      </c>
      <c r="T155" s="80"/>
      <c r="U155" s="80"/>
      <c r="V155" s="80"/>
      <c r="W155" s="80"/>
      <c r="X155" s="80"/>
      <c r="Y155" s="80"/>
      <c r="Z155" s="80"/>
      <c r="AA155" s="80"/>
      <c r="AB155" s="80"/>
      <c r="AC155" s="80"/>
      <c r="AD155" s="80"/>
      <c r="AE155" s="80"/>
      <c r="AF155" s="80"/>
      <c r="AG155" s="80"/>
      <c r="AH155" s="80"/>
      <c r="AI155" s="80"/>
      <c r="AJ155" s="80"/>
      <c r="AK155" s="80"/>
      <c r="AL155" s="80"/>
      <c r="AM155" s="80"/>
      <c r="AN155" s="80"/>
      <c r="AO155" s="80"/>
      <c r="AP155" s="80"/>
      <c r="AQ155" s="80"/>
      <c r="AR155" s="80"/>
      <c r="AS155" s="80"/>
      <c r="AT155" s="80"/>
      <c r="AU155" s="80"/>
      <c r="AV155" s="80"/>
      <c r="AW155" s="80"/>
      <c r="AX155" s="80"/>
      <c r="AY155" s="80"/>
      <c r="AZ155" s="80"/>
      <c r="BA155" s="80"/>
      <c r="BB155" s="80"/>
      <c r="BC155" s="80"/>
      <c r="BD155" s="80"/>
      <c r="BE155" s="80"/>
    </row>
    <row r="156" spans="1:57" s="79" customFormat="1" ht="24" hidden="1" customHeight="1" thickBot="1">
      <c r="A156" s="433"/>
      <c r="B156" s="346"/>
      <c r="C156" s="346"/>
      <c r="D156" s="346"/>
      <c r="E156" s="356" t="s">
        <v>198</v>
      </c>
      <c r="F156" s="424" t="s">
        <v>199</v>
      </c>
      <c r="G156" s="613">
        <v>19</v>
      </c>
      <c r="H156" s="282">
        <v>189</v>
      </c>
      <c r="I156" s="355"/>
      <c r="J156" s="283">
        <v>1024</v>
      </c>
      <c r="K156" s="437"/>
      <c r="L156" s="349"/>
      <c r="M156" s="284">
        <f t="shared" si="21"/>
        <v>-1024</v>
      </c>
      <c r="N156" s="285">
        <f t="shared" si="22"/>
        <v>5.4044444444444446</v>
      </c>
      <c r="O156" s="285">
        <f t="shared" si="23"/>
        <v>0</v>
      </c>
      <c r="P156" s="475"/>
      <c r="Q156" s="279">
        <f t="shared" ca="1" si="20"/>
        <v>41752</v>
      </c>
      <c r="T156" s="80"/>
      <c r="U156" s="80"/>
      <c r="V156" s="80"/>
      <c r="W156" s="80"/>
      <c r="X156" s="80"/>
      <c r="Y156" s="80"/>
      <c r="Z156" s="80"/>
      <c r="AA156" s="80"/>
      <c r="AB156" s="80"/>
      <c r="AC156" s="80"/>
      <c r="AD156" s="80"/>
      <c r="AE156" s="80"/>
      <c r="AF156" s="80"/>
      <c r="AG156" s="80"/>
      <c r="AH156" s="80"/>
      <c r="AI156" s="80"/>
      <c r="AJ156" s="80"/>
      <c r="AK156" s="80"/>
      <c r="AL156" s="80"/>
      <c r="AM156" s="80"/>
      <c r="AN156" s="80"/>
      <c r="AO156" s="80"/>
      <c r="AP156" s="80"/>
      <c r="AQ156" s="80"/>
      <c r="AR156" s="80"/>
      <c r="AS156" s="80"/>
      <c r="AT156" s="80"/>
      <c r="AU156" s="80"/>
      <c r="AV156" s="80"/>
      <c r="AW156" s="80"/>
      <c r="AX156" s="80"/>
      <c r="AY156" s="80"/>
      <c r="AZ156" s="80"/>
      <c r="BA156" s="80"/>
      <c r="BB156" s="80"/>
      <c r="BC156" s="80"/>
      <c r="BD156" s="80"/>
      <c r="BE156" s="80"/>
    </row>
    <row r="157" spans="1:57" s="16" customFormat="1" ht="23.25" hidden="1" customHeight="1">
      <c r="A157" s="433"/>
      <c r="B157" s="346"/>
      <c r="C157" s="346"/>
      <c r="D157" s="346"/>
      <c r="E157" s="1179" t="s">
        <v>202</v>
      </c>
      <c r="F157" s="421" t="s">
        <v>200</v>
      </c>
      <c r="G157" s="613">
        <v>21</v>
      </c>
      <c r="H157" s="282">
        <v>171</v>
      </c>
      <c r="I157" s="348"/>
      <c r="J157" s="283">
        <v>512</v>
      </c>
      <c r="K157" s="437"/>
      <c r="L157" s="349"/>
      <c r="M157" s="284">
        <f t="shared" si="21"/>
        <v>-512</v>
      </c>
      <c r="N157" s="285">
        <f t="shared" si="22"/>
        <v>2.9866666666666668</v>
      </c>
      <c r="O157" s="285">
        <f t="shared" si="23"/>
        <v>0</v>
      </c>
      <c r="P157" s="475"/>
      <c r="Q157" s="279">
        <f t="shared" ca="1" si="20"/>
        <v>41752</v>
      </c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</row>
    <row r="158" spans="1:57" s="16" customFormat="1" ht="24" hidden="1" customHeight="1" thickBot="1">
      <c r="A158" s="433"/>
      <c r="B158" s="346"/>
      <c r="C158" s="346"/>
      <c r="D158" s="346"/>
      <c r="E158" s="1180"/>
      <c r="F158" s="422" t="s">
        <v>201</v>
      </c>
      <c r="G158" s="613">
        <v>21</v>
      </c>
      <c r="H158" s="282">
        <v>171</v>
      </c>
      <c r="I158" s="350"/>
      <c r="J158" s="283">
        <v>512</v>
      </c>
      <c r="K158" s="437"/>
      <c r="L158" s="349"/>
      <c r="M158" s="284">
        <f t="shared" si="21"/>
        <v>-512</v>
      </c>
      <c r="N158" s="285">
        <f t="shared" si="22"/>
        <v>2.9866666666666668</v>
      </c>
      <c r="O158" s="285">
        <f t="shared" si="23"/>
        <v>0</v>
      </c>
      <c r="P158" s="475"/>
      <c r="Q158" s="279">
        <f t="shared" ca="1" si="20"/>
        <v>41752</v>
      </c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</row>
    <row r="159" spans="1:57" s="16" customFormat="1" ht="23.25" hidden="1" customHeight="1">
      <c r="A159" s="433"/>
      <c r="B159" s="346"/>
      <c r="C159" s="346"/>
      <c r="D159" s="346"/>
      <c r="E159" s="1179" t="s">
        <v>203</v>
      </c>
      <c r="F159" s="421" t="s">
        <v>161</v>
      </c>
      <c r="G159" s="613">
        <v>34</v>
      </c>
      <c r="H159" s="282">
        <v>106</v>
      </c>
      <c r="I159" s="348"/>
      <c r="J159" s="283">
        <v>64</v>
      </c>
      <c r="K159" s="437"/>
      <c r="L159" s="349"/>
      <c r="M159" s="284">
        <f t="shared" si="21"/>
        <v>-64</v>
      </c>
      <c r="N159" s="285">
        <f t="shared" si="22"/>
        <v>0.60444444444444445</v>
      </c>
      <c r="O159" s="285">
        <f t="shared" si="23"/>
        <v>0</v>
      </c>
      <c r="P159" s="475"/>
      <c r="Q159" s="279">
        <f t="shared" ca="1" si="20"/>
        <v>41752</v>
      </c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</row>
    <row r="160" spans="1:57" s="16" customFormat="1" ht="23.25" hidden="1" customHeight="1">
      <c r="A160" s="433"/>
      <c r="B160" s="346"/>
      <c r="C160" s="346"/>
      <c r="D160" s="346"/>
      <c r="E160" s="1187"/>
      <c r="F160" s="423" t="s">
        <v>162</v>
      </c>
      <c r="G160" s="613">
        <v>34</v>
      </c>
      <c r="H160" s="282">
        <v>106</v>
      </c>
      <c r="I160" s="351"/>
      <c r="J160" s="283">
        <v>64</v>
      </c>
      <c r="K160" s="437"/>
      <c r="L160" s="349"/>
      <c r="M160" s="284">
        <f t="shared" si="21"/>
        <v>-64</v>
      </c>
      <c r="N160" s="285">
        <f t="shared" si="22"/>
        <v>0.60444444444444445</v>
      </c>
      <c r="O160" s="285">
        <f t="shared" si="23"/>
        <v>0</v>
      </c>
      <c r="P160" s="475"/>
      <c r="Q160" s="279">
        <f t="shared" ca="1" si="20"/>
        <v>41752</v>
      </c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</row>
    <row r="161" spans="1:57" s="16" customFormat="1" ht="23.25" hidden="1" customHeight="1">
      <c r="A161" s="433"/>
      <c r="B161" s="346"/>
      <c r="C161" s="346"/>
      <c r="D161" s="346"/>
      <c r="E161" s="1187"/>
      <c r="F161" s="423" t="s">
        <v>163</v>
      </c>
      <c r="G161" s="613">
        <v>34</v>
      </c>
      <c r="H161" s="282">
        <v>106</v>
      </c>
      <c r="I161" s="351"/>
      <c r="J161" s="283">
        <v>64</v>
      </c>
      <c r="K161" s="437"/>
      <c r="L161" s="349"/>
      <c r="M161" s="284">
        <f t="shared" si="21"/>
        <v>-64</v>
      </c>
      <c r="N161" s="285">
        <f t="shared" si="22"/>
        <v>0.60444444444444445</v>
      </c>
      <c r="O161" s="285">
        <f t="shared" si="23"/>
        <v>0</v>
      </c>
      <c r="P161" s="475"/>
      <c r="Q161" s="279">
        <f t="shared" ca="1" si="20"/>
        <v>41752</v>
      </c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</row>
    <row r="162" spans="1:57" s="16" customFormat="1" ht="23.25" hidden="1" customHeight="1">
      <c r="A162" s="433"/>
      <c r="B162" s="346"/>
      <c r="C162" s="346"/>
      <c r="D162" s="346"/>
      <c r="E162" s="1187"/>
      <c r="F162" s="423" t="s">
        <v>164</v>
      </c>
      <c r="G162" s="613">
        <v>34</v>
      </c>
      <c r="H162" s="282">
        <v>106</v>
      </c>
      <c r="I162" s="351"/>
      <c r="J162" s="283">
        <v>64</v>
      </c>
      <c r="K162" s="437"/>
      <c r="L162" s="349"/>
      <c r="M162" s="284">
        <f t="shared" si="21"/>
        <v>-64</v>
      </c>
      <c r="N162" s="285">
        <f t="shared" si="22"/>
        <v>0.60444444444444445</v>
      </c>
      <c r="O162" s="285">
        <f t="shared" si="23"/>
        <v>0</v>
      </c>
      <c r="P162" s="475"/>
      <c r="Q162" s="279">
        <f t="shared" ca="1" si="20"/>
        <v>41752</v>
      </c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</row>
    <row r="163" spans="1:57" s="16" customFormat="1" ht="23.25" hidden="1" customHeight="1">
      <c r="A163" s="433"/>
      <c r="B163" s="346"/>
      <c r="C163" s="346"/>
      <c r="D163" s="346"/>
      <c r="E163" s="1187"/>
      <c r="F163" s="423" t="s">
        <v>165</v>
      </c>
      <c r="G163" s="613">
        <v>34</v>
      </c>
      <c r="H163" s="282">
        <v>106</v>
      </c>
      <c r="I163" s="351"/>
      <c r="J163" s="283">
        <v>64</v>
      </c>
      <c r="K163" s="437"/>
      <c r="L163" s="349"/>
      <c r="M163" s="284">
        <f t="shared" si="21"/>
        <v>-64</v>
      </c>
      <c r="N163" s="285">
        <f t="shared" si="22"/>
        <v>0.60444444444444445</v>
      </c>
      <c r="O163" s="285">
        <f t="shared" si="23"/>
        <v>0</v>
      </c>
      <c r="P163" s="475"/>
      <c r="Q163" s="279">
        <f t="shared" ca="1" si="20"/>
        <v>41752</v>
      </c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</row>
    <row r="164" spans="1:57" s="16" customFormat="1" ht="23.25" hidden="1" customHeight="1">
      <c r="A164" s="433"/>
      <c r="B164" s="346"/>
      <c r="C164" s="346"/>
      <c r="D164" s="346"/>
      <c r="E164" s="1187"/>
      <c r="F164" s="423" t="s">
        <v>166</v>
      </c>
      <c r="G164" s="613">
        <v>34</v>
      </c>
      <c r="H164" s="282">
        <v>106</v>
      </c>
      <c r="I164" s="351"/>
      <c r="J164" s="283">
        <v>64</v>
      </c>
      <c r="K164" s="437"/>
      <c r="L164" s="349"/>
      <c r="M164" s="284">
        <f t="shared" si="21"/>
        <v>-64</v>
      </c>
      <c r="N164" s="285">
        <f t="shared" si="22"/>
        <v>0.60444444444444445</v>
      </c>
      <c r="O164" s="285">
        <f t="shared" si="23"/>
        <v>0</v>
      </c>
      <c r="P164" s="475"/>
      <c r="Q164" s="279">
        <f t="shared" ca="1" si="20"/>
        <v>41752</v>
      </c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</row>
    <row r="165" spans="1:57" s="16" customFormat="1" ht="23.25" hidden="1" customHeight="1">
      <c r="A165" s="433"/>
      <c r="B165" s="346"/>
      <c r="C165" s="346"/>
      <c r="D165" s="346"/>
      <c r="E165" s="1187"/>
      <c r="F165" s="423" t="s">
        <v>167</v>
      </c>
      <c r="G165" s="613">
        <v>34</v>
      </c>
      <c r="H165" s="282">
        <v>106</v>
      </c>
      <c r="I165" s="351"/>
      <c r="J165" s="283">
        <v>64</v>
      </c>
      <c r="K165" s="437"/>
      <c r="L165" s="349"/>
      <c r="M165" s="284">
        <f t="shared" si="21"/>
        <v>-64</v>
      </c>
      <c r="N165" s="285">
        <f t="shared" si="22"/>
        <v>0.60444444444444445</v>
      </c>
      <c r="O165" s="285">
        <f t="shared" ref="O165:O183" si="24">K165/J165</f>
        <v>0</v>
      </c>
      <c r="P165" s="475"/>
      <c r="Q165" s="279">
        <f t="shared" ca="1" si="20"/>
        <v>41752</v>
      </c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</row>
    <row r="166" spans="1:57" s="16" customFormat="1" ht="23.25" hidden="1" customHeight="1">
      <c r="A166" s="433"/>
      <c r="B166" s="346"/>
      <c r="C166" s="346"/>
      <c r="D166" s="346"/>
      <c r="E166" s="1187"/>
      <c r="F166" s="423" t="s">
        <v>168</v>
      </c>
      <c r="G166" s="613">
        <v>34</v>
      </c>
      <c r="H166" s="282">
        <v>106</v>
      </c>
      <c r="I166" s="351"/>
      <c r="J166" s="283">
        <v>64</v>
      </c>
      <c r="K166" s="437"/>
      <c r="L166" s="349"/>
      <c r="M166" s="284">
        <f t="shared" si="21"/>
        <v>-64</v>
      </c>
      <c r="N166" s="285">
        <f t="shared" si="22"/>
        <v>0.60444444444444445</v>
      </c>
      <c r="O166" s="285">
        <f t="shared" si="24"/>
        <v>0</v>
      </c>
      <c r="P166" s="475"/>
      <c r="Q166" s="279">
        <f t="shared" ca="1" si="20"/>
        <v>41752</v>
      </c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</row>
    <row r="167" spans="1:57" s="16" customFormat="1" ht="23.25" hidden="1" customHeight="1">
      <c r="A167" s="433"/>
      <c r="B167" s="346"/>
      <c r="C167" s="346"/>
      <c r="D167" s="346"/>
      <c r="E167" s="1187"/>
      <c r="F167" s="423" t="s">
        <v>169</v>
      </c>
      <c r="G167" s="613">
        <v>34</v>
      </c>
      <c r="H167" s="282">
        <v>106</v>
      </c>
      <c r="I167" s="351"/>
      <c r="J167" s="283">
        <v>64</v>
      </c>
      <c r="K167" s="437"/>
      <c r="L167" s="349"/>
      <c r="M167" s="284">
        <f>K167-J167</f>
        <v>-64</v>
      </c>
      <c r="N167" s="285">
        <f t="shared" si="22"/>
        <v>0.60444444444444445</v>
      </c>
      <c r="O167" s="285">
        <f t="shared" si="24"/>
        <v>0</v>
      </c>
      <c r="P167" s="475"/>
      <c r="Q167" s="279">
        <f t="shared" ca="1" si="20"/>
        <v>41752</v>
      </c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</row>
    <row r="168" spans="1:57" s="16" customFormat="1" ht="24" hidden="1" customHeight="1" thickBot="1">
      <c r="A168" s="433"/>
      <c r="B168" s="346"/>
      <c r="C168" s="346"/>
      <c r="D168" s="346"/>
      <c r="E168" s="1180"/>
      <c r="F168" s="422" t="s">
        <v>170</v>
      </c>
      <c r="G168" s="613">
        <v>34</v>
      </c>
      <c r="H168" s="282">
        <v>106</v>
      </c>
      <c r="I168" s="350"/>
      <c r="J168" s="283">
        <v>64</v>
      </c>
      <c r="K168" s="437"/>
      <c r="L168" s="349"/>
      <c r="M168" s="284">
        <f t="shared" si="21"/>
        <v>-64</v>
      </c>
      <c r="N168" s="285">
        <f t="shared" si="22"/>
        <v>0.60444444444444445</v>
      </c>
      <c r="O168" s="285">
        <f t="shared" si="24"/>
        <v>0</v>
      </c>
      <c r="P168" s="475"/>
      <c r="Q168" s="279">
        <f t="shared" ca="1" si="20"/>
        <v>41752</v>
      </c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</row>
    <row r="169" spans="1:57" s="16" customFormat="1" ht="23.25" hidden="1" customHeight="1">
      <c r="A169" s="433"/>
      <c r="B169" s="346"/>
      <c r="C169" s="346"/>
      <c r="D169" s="346"/>
      <c r="E169" s="1179" t="s">
        <v>204</v>
      </c>
      <c r="F169" s="421" t="s">
        <v>172</v>
      </c>
      <c r="G169" s="613">
        <v>34</v>
      </c>
      <c r="H169" s="282">
        <v>106</v>
      </c>
      <c r="I169" s="348"/>
      <c r="J169" s="283">
        <v>64</v>
      </c>
      <c r="K169" s="437"/>
      <c r="L169" s="349"/>
      <c r="M169" s="284">
        <f>K169-J169</f>
        <v>-64</v>
      </c>
      <c r="N169" s="285">
        <f t="shared" si="22"/>
        <v>0.60444444444444445</v>
      </c>
      <c r="O169" s="285">
        <f t="shared" si="24"/>
        <v>0</v>
      </c>
      <c r="P169" s="475"/>
      <c r="Q169" s="279">
        <f t="shared" ca="1" si="20"/>
        <v>41752</v>
      </c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</row>
    <row r="170" spans="1:57" s="16" customFormat="1" ht="23.25" hidden="1" customHeight="1">
      <c r="A170" s="433"/>
      <c r="B170" s="346"/>
      <c r="C170" s="346"/>
      <c r="D170" s="346"/>
      <c r="E170" s="1187"/>
      <c r="F170" s="423" t="s">
        <v>173</v>
      </c>
      <c r="G170" s="613">
        <v>34</v>
      </c>
      <c r="H170" s="282">
        <v>106</v>
      </c>
      <c r="I170" s="351"/>
      <c r="J170" s="283">
        <v>64</v>
      </c>
      <c r="K170" s="437"/>
      <c r="L170" s="349"/>
      <c r="M170" s="284">
        <f t="shared" si="21"/>
        <v>-64</v>
      </c>
      <c r="N170" s="285">
        <f t="shared" si="22"/>
        <v>0.60444444444444445</v>
      </c>
      <c r="O170" s="285">
        <f t="shared" si="24"/>
        <v>0</v>
      </c>
      <c r="P170" s="475"/>
      <c r="Q170" s="279">
        <f t="shared" ca="1" si="20"/>
        <v>41752</v>
      </c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</row>
    <row r="171" spans="1:57" s="16" customFormat="1" ht="23.25" hidden="1" customHeight="1">
      <c r="A171" s="433"/>
      <c r="B171" s="346"/>
      <c r="C171" s="346"/>
      <c r="D171" s="346"/>
      <c r="E171" s="1187"/>
      <c r="F171" s="423" t="s">
        <v>174</v>
      </c>
      <c r="G171" s="613">
        <v>34</v>
      </c>
      <c r="H171" s="282">
        <v>106</v>
      </c>
      <c r="I171" s="351"/>
      <c r="J171" s="283">
        <v>64</v>
      </c>
      <c r="K171" s="437"/>
      <c r="L171" s="349"/>
      <c r="M171" s="284">
        <f t="shared" si="21"/>
        <v>-64</v>
      </c>
      <c r="N171" s="285">
        <f t="shared" si="22"/>
        <v>0.60444444444444445</v>
      </c>
      <c r="O171" s="285">
        <f t="shared" si="24"/>
        <v>0</v>
      </c>
      <c r="P171" s="475"/>
      <c r="Q171" s="279">
        <f t="shared" ca="1" si="20"/>
        <v>41752</v>
      </c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</row>
    <row r="172" spans="1:57" s="16" customFormat="1" ht="23.25" hidden="1" customHeight="1">
      <c r="A172" s="433"/>
      <c r="B172" s="346"/>
      <c r="C172" s="346"/>
      <c r="D172" s="346"/>
      <c r="E172" s="1187"/>
      <c r="F172" s="423" t="s">
        <v>175</v>
      </c>
      <c r="G172" s="613">
        <v>34</v>
      </c>
      <c r="H172" s="282">
        <v>106</v>
      </c>
      <c r="I172" s="351"/>
      <c r="J172" s="283">
        <v>64</v>
      </c>
      <c r="K172" s="437"/>
      <c r="L172" s="349"/>
      <c r="M172" s="284">
        <f t="shared" si="21"/>
        <v>-64</v>
      </c>
      <c r="N172" s="285">
        <f t="shared" si="22"/>
        <v>0.60444444444444445</v>
      </c>
      <c r="O172" s="285">
        <f t="shared" si="24"/>
        <v>0</v>
      </c>
      <c r="P172" s="475"/>
      <c r="Q172" s="279">
        <f t="shared" ca="1" si="20"/>
        <v>41752</v>
      </c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</row>
    <row r="173" spans="1:57" s="16" customFormat="1" ht="23.25" hidden="1" customHeight="1">
      <c r="A173" s="433"/>
      <c r="B173" s="346"/>
      <c r="C173" s="346"/>
      <c r="D173" s="346"/>
      <c r="E173" s="1187"/>
      <c r="F173" s="423" t="s">
        <v>176</v>
      </c>
      <c r="G173" s="613">
        <v>34</v>
      </c>
      <c r="H173" s="282">
        <v>106</v>
      </c>
      <c r="I173" s="351"/>
      <c r="J173" s="283">
        <v>64</v>
      </c>
      <c r="K173" s="437"/>
      <c r="L173" s="349"/>
      <c r="M173" s="284">
        <f t="shared" si="21"/>
        <v>-64</v>
      </c>
      <c r="N173" s="285">
        <f t="shared" si="22"/>
        <v>0.60444444444444445</v>
      </c>
      <c r="O173" s="285">
        <f t="shared" si="24"/>
        <v>0</v>
      </c>
      <c r="P173" s="475"/>
      <c r="Q173" s="279">
        <f t="shared" ca="1" si="20"/>
        <v>41752</v>
      </c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</row>
    <row r="174" spans="1:57" s="16" customFormat="1" ht="23.25" hidden="1" customHeight="1">
      <c r="A174" s="433"/>
      <c r="B174" s="346"/>
      <c r="C174" s="346"/>
      <c r="D174" s="346"/>
      <c r="E174" s="1187"/>
      <c r="F174" s="423" t="s">
        <v>177</v>
      </c>
      <c r="G174" s="613">
        <v>34</v>
      </c>
      <c r="H174" s="282">
        <v>106</v>
      </c>
      <c r="I174" s="351"/>
      <c r="J174" s="283">
        <v>64</v>
      </c>
      <c r="K174" s="437"/>
      <c r="L174" s="349"/>
      <c r="M174" s="284">
        <f t="shared" si="21"/>
        <v>-64</v>
      </c>
      <c r="N174" s="285">
        <f t="shared" si="22"/>
        <v>0.60444444444444445</v>
      </c>
      <c r="O174" s="285">
        <f t="shared" si="24"/>
        <v>0</v>
      </c>
      <c r="P174" s="475"/>
      <c r="Q174" s="279">
        <f t="shared" ca="1" si="20"/>
        <v>41752</v>
      </c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</row>
    <row r="175" spans="1:57" s="16" customFormat="1" ht="23.25" hidden="1" customHeight="1">
      <c r="A175" s="433"/>
      <c r="B175" s="346"/>
      <c r="C175" s="346"/>
      <c r="D175" s="346"/>
      <c r="E175" s="1187"/>
      <c r="F175" s="423" t="s">
        <v>178</v>
      </c>
      <c r="G175" s="613">
        <v>34</v>
      </c>
      <c r="H175" s="282">
        <v>106</v>
      </c>
      <c r="I175" s="351"/>
      <c r="J175" s="283">
        <v>64</v>
      </c>
      <c r="K175" s="437"/>
      <c r="L175" s="349"/>
      <c r="M175" s="284">
        <f t="shared" si="21"/>
        <v>-64</v>
      </c>
      <c r="N175" s="285">
        <f t="shared" si="22"/>
        <v>0.60444444444444445</v>
      </c>
      <c r="O175" s="285">
        <f t="shared" si="24"/>
        <v>0</v>
      </c>
      <c r="P175" s="475"/>
      <c r="Q175" s="279">
        <f t="shared" ca="1" si="20"/>
        <v>41752</v>
      </c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</row>
    <row r="176" spans="1:57" s="16" customFormat="1" ht="23.25" hidden="1" customHeight="1">
      <c r="A176" s="433"/>
      <c r="B176" s="346"/>
      <c r="C176" s="346"/>
      <c r="D176" s="346"/>
      <c r="E176" s="1187"/>
      <c r="F176" s="423" t="s">
        <v>179</v>
      </c>
      <c r="G176" s="613">
        <v>34</v>
      </c>
      <c r="H176" s="282">
        <v>106</v>
      </c>
      <c r="I176" s="351"/>
      <c r="J176" s="283">
        <v>64</v>
      </c>
      <c r="K176" s="437"/>
      <c r="L176" s="349"/>
      <c r="M176" s="284">
        <f t="shared" si="21"/>
        <v>-64</v>
      </c>
      <c r="N176" s="285">
        <f t="shared" si="22"/>
        <v>0.60444444444444445</v>
      </c>
      <c r="O176" s="285">
        <f t="shared" si="24"/>
        <v>0</v>
      </c>
      <c r="P176" s="475"/>
      <c r="Q176" s="279">
        <f t="shared" ca="1" si="20"/>
        <v>41752</v>
      </c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</row>
    <row r="177" spans="1:74" s="16" customFormat="1" ht="23.25" hidden="1" customHeight="1">
      <c r="A177" s="433"/>
      <c r="B177" s="346"/>
      <c r="C177" s="346"/>
      <c r="D177" s="346"/>
      <c r="E177" s="1187"/>
      <c r="F177" s="423" t="s">
        <v>180</v>
      </c>
      <c r="G177" s="613">
        <v>34</v>
      </c>
      <c r="H177" s="282">
        <v>106</v>
      </c>
      <c r="I177" s="351"/>
      <c r="J177" s="283">
        <v>64</v>
      </c>
      <c r="K177" s="437"/>
      <c r="L177" s="349"/>
      <c r="M177" s="284">
        <f>K177-J177</f>
        <v>-64</v>
      </c>
      <c r="N177" s="285">
        <f t="shared" si="22"/>
        <v>0.60444444444444445</v>
      </c>
      <c r="O177" s="285">
        <f t="shared" si="24"/>
        <v>0</v>
      </c>
      <c r="P177" s="475"/>
      <c r="Q177" s="279">
        <f t="shared" ref="Q177:Q190" ca="1" si="25">+$Q$5+O177</f>
        <v>41752</v>
      </c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</row>
    <row r="178" spans="1:74" s="16" customFormat="1" ht="24" hidden="1" customHeight="1" thickBot="1">
      <c r="A178" s="433"/>
      <c r="B178" s="346"/>
      <c r="C178" s="346"/>
      <c r="D178" s="346"/>
      <c r="E178" s="1180"/>
      <c r="F178" s="422" t="s">
        <v>181</v>
      </c>
      <c r="G178" s="613">
        <v>34</v>
      </c>
      <c r="H178" s="282">
        <v>106</v>
      </c>
      <c r="I178" s="350"/>
      <c r="J178" s="283">
        <v>64</v>
      </c>
      <c r="K178" s="437"/>
      <c r="L178" s="349"/>
      <c r="M178" s="284">
        <f t="shared" si="21"/>
        <v>-64</v>
      </c>
      <c r="N178" s="285">
        <f t="shared" si="22"/>
        <v>0.60444444444444445</v>
      </c>
      <c r="O178" s="285">
        <f t="shared" si="24"/>
        <v>0</v>
      </c>
      <c r="P178" s="475"/>
      <c r="Q178" s="279">
        <f t="shared" ca="1" si="25"/>
        <v>41752</v>
      </c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</row>
    <row r="179" spans="1:74" s="16" customFormat="1" ht="23.25" hidden="1" customHeight="1">
      <c r="A179" s="433"/>
      <c r="B179" s="346"/>
      <c r="C179" s="346"/>
      <c r="D179" s="346"/>
      <c r="E179" s="1179" t="s">
        <v>205</v>
      </c>
      <c r="F179" s="421" t="s">
        <v>187</v>
      </c>
      <c r="G179" s="613">
        <v>26</v>
      </c>
      <c r="H179" s="282">
        <v>138</v>
      </c>
      <c r="I179" s="348"/>
      <c r="J179" s="283">
        <v>128</v>
      </c>
      <c r="K179" s="437"/>
      <c r="L179" s="349"/>
      <c r="M179" s="284">
        <f t="shared" si="21"/>
        <v>-128</v>
      </c>
      <c r="N179" s="285">
        <f t="shared" si="22"/>
        <v>0.9244444444444444</v>
      </c>
      <c r="O179" s="285">
        <f t="shared" si="24"/>
        <v>0</v>
      </c>
      <c r="P179" s="475"/>
      <c r="Q179" s="279">
        <f t="shared" ca="1" si="25"/>
        <v>41752</v>
      </c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</row>
    <row r="180" spans="1:74" s="16" customFormat="1" ht="24" hidden="1" customHeight="1" thickBot="1">
      <c r="A180" s="433"/>
      <c r="B180" s="346"/>
      <c r="C180" s="346"/>
      <c r="D180" s="346"/>
      <c r="E180" s="1180"/>
      <c r="F180" s="422" t="s">
        <v>188</v>
      </c>
      <c r="G180" s="613">
        <v>26</v>
      </c>
      <c r="H180" s="282">
        <v>138</v>
      </c>
      <c r="I180" s="350"/>
      <c r="J180" s="283">
        <v>128</v>
      </c>
      <c r="K180" s="437"/>
      <c r="L180" s="349"/>
      <c r="M180" s="284">
        <f t="shared" si="21"/>
        <v>-128</v>
      </c>
      <c r="N180" s="285">
        <f t="shared" si="22"/>
        <v>0.9244444444444444</v>
      </c>
      <c r="O180" s="285">
        <f t="shared" si="24"/>
        <v>0</v>
      </c>
      <c r="P180" s="475"/>
      <c r="Q180" s="279">
        <f t="shared" ca="1" si="25"/>
        <v>41752</v>
      </c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</row>
    <row r="181" spans="1:74" s="16" customFormat="1" ht="23.25" hidden="1" customHeight="1">
      <c r="A181" s="433"/>
      <c r="B181" s="346"/>
      <c r="C181" s="346"/>
      <c r="D181" s="346"/>
      <c r="E181" s="1179" t="s">
        <v>206</v>
      </c>
      <c r="F181" s="421" t="s">
        <v>190</v>
      </c>
      <c r="G181" s="613">
        <v>24</v>
      </c>
      <c r="H181" s="282">
        <v>150</v>
      </c>
      <c r="I181" s="348"/>
      <c r="J181" s="283">
        <v>128</v>
      </c>
      <c r="K181" s="437"/>
      <c r="L181" s="349"/>
      <c r="M181" s="284">
        <f t="shared" si="21"/>
        <v>-128</v>
      </c>
      <c r="N181" s="285">
        <f t="shared" si="22"/>
        <v>0.85333333333333339</v>
      </c>
      <c r="O181" s="285">
        <f t="shared" si="24"/>
        <v>0</v>
      </c>
      <c r="P181" s="475"/>
      <c r="Q181" s="279">
        <f t="shared" ca="1" si="25"/>
        <v>41752</v>
      </c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</row>
    <row r="182" spans="1:74" s="16" customFormat="1" ht="24" hidden="1" customHeight="1" thickBot="1">
      <c r="A182" s="433"/>
      <c r="B182" s="346"/>
      <c r="C182" s="346"/>
      <c r="D182" s="346"/>
      <c r="E182" s="1180"/>
      <c r="F182" s="422" t="s">
        <v>191</v>
      </c>
      <c r="G182" s="613">
        <v>24</v>
      </c>
      <c r="H182" s="282">
        <v>150</v>
      </c>
      <c r="I182" s="350"/>
      <c r="J182" s="283">
        <v>128</v>
      </c>
      <c r="K182" s="437"/>
      <c r="L182" s="349"/>
      <c r="M182" s="284">
        <f t="shared" si="21"/>
        <v>-128</v>
      </c>
      <c r="N182" s="285">
        <f t="shared" si="22"/>
        <v>0.85333333333333339</v>
      </c>
      <c r="O182" s="285">
        <f t="shared" si="24"/>
        <v>0</v>
      </c>
      <c r="P182" s="475"/>
      <c r="Q182" s="279">
        <f t="shared" ca="1" si="25"/>
        <v>41752</v>
      </c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</row>
    <row r="183" spans="1:74" s="16" customFormat="1" ht="24" hidden="1" customHeight="1" thickBot="1">
      <c r="A183" s="433"/>
      <c r="B183" s="346"/>
      <c r="C183" s="346"/>
      <c r="D183" s="346"/>
      <c r="E183" s="347" t="s">
        <v>208</v>
      </c>
      <c r="F183" s="425" t="s">
        <v>193</v>
      </c>
      <c r="G183" s="854">
        <v>33</v>
      </c>
      <c r="H183" s="326">
        <v>109</v>
      </c>
      <c r="I183" s="357"/>
      <c r="J183" s="358">
        <v>128</v>
      </c>
      <c r="K183" s="442"/>
      <c r="L183" s="359"/>
      <c r="M183" s="327">
        <f t="shared" si="21"/>
        <v>-128</v>
      </c>
      <c r="N183" s="317">
        <f t="shared" si="22"/>
        <v>1.1733333333333333</v>
      </c>
      <c r="O183" s="317">
        <f t="shared" si="24"/>
        <v>0</v>
      </c>
      <c r="P183" s="479"/>
      <c r="Q183" s="338">
        <f t="shared" ca="1" si="25"/>
        <v>41752</v>
      </c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</row>
    <row r="184" spans="1:74" ht="38.25" customHeight="1" thickBot="1">
      <c r="A184" s="1322" t="s">
        <v>104</v>
      </c>
      <c r="B184" s="1316"/>
      <c r="C184" s="1316" t="s">
        <v>442</v>
      </c>
      <c r="D184" s="1316" t="s">
        <v>259</v>
      </c>
      <c r="E184" s="778" t="s">
        <v>63</v>
      </c>
      <c r="F184" s="779" t="s">
        <v>374</v>
      </c>
      <c r="G184" s="614">
        <v>48.6</v>
      </c>
      <c r="H184" s="780">
        <f>3600/G184</f>
        <v>74.074074074074076</v>
      </c>
      <c r="I184" s="781">
        <v>1</v>
      </c>
      <c r="J184" s="782">
        <f>Q2</f>
        <v>320</v>
      </c>
      <c r="K184" s="436">
        <f>420+425+561+577+551</f>
        <v>2534</v>
      </c>
      <c r="L184" s="783" t="s">
        <v>210</v>
      </c>
      <c r="M184" s="781">
        <f t="shared" ref="M184:M190" si="26">K184-J184</f>
        <v>2214</v>
      </c>
      <c r="N184" s="784">
        <f t="shared" ref="N184:N190" si="27">((M184*G184)/3600)*-1</f>
        <v>-29.889000000000003</v>
      </c>
      <c r="O184" s="784">
        <f t="shared" ref="O184:O190" si="28">K184/J184</f>
        <v>7.9187500000000002</v>
      </c>
      <c r="P184" s="785">
        <f>O184</f>
        <v>7.9187500000000002</v>
      </c>
      <c r="Q184" s="786">
        <f t="shared" ref="Q184:Q189" ca="1" si="29">+$Q$5+O184</f>
        <v>41759.918749999997</v>
      </c>
      <c r="R184" s="787"/>
      <c r="S184" s="788"/>
      <c r="T184" s="789"/>
      <c r="U184" s="790"/>
      <c r="V184" s="1349"/>
      <c r="W184" s="1349">
        <v>1</v>
      </c>
      <c r="X184" s="1349">
        <v>1</v>
      </c>
      <c r="Y184" s="1349">
        <v>1</v>
      </c>
      <c r="Z184" s="1349">
        <v>1</v>
      </c>
      <c r="AA184" s="1361"/>
      <c r="AB184" s="1353"/>
      <c r="AC184" s="1355"/>
      <c r="AD184" s="1357"/>
      <c r="AE184" s="1353"/>
      <c r="AF184" s="1355"/>
      <c r="AG184" s="1357"/>
      <c r="AH184" s="1353"/>
      <c r="AI184" s="1355"/>
      <c r="AJ184" s="1357"/>
      <c r="AK184" s="1353"/>
      <c r="AL184" s="1355"/>
      <c r="AM184" s="1357"/>
      <c r="AN184" s="1353"/>
      <c r="AO184" s="1355"/>
      <c r="AP184" s="1357"/>
      <c r="AQ184" s="1359"/>
      <c r="AR184" s="1349"/>
      <c r="AS184" s="1369"/>
      <c r="AT184" s="1367"/>
      <c r="AU184" s="1363"/>
      <c r="AV184" s="1365"/>
      <c r="AW184" s="1367"/>
      <c r="AX184" s="1363"/>
      <c r="AY184" s="1365"/>
      <c r="AZ184" s="1367"/>
      <c r="BA184" s="1363"/>
      <c r="BB184" s="1365"/>
      <c r="BC184" s="1367"/>
      <c r="BD184" s="1363"/>
      <c r="BE184" s="1365"/>
      <c r="BF184" s="1367"/>
      <c r="BG184" s="1363"/>
      <c r="BH184" s="1365"/>
      <c r="BI184" s="1367"/>
      <c r="BJ184" s="1363"/>
      <c r="BK184" s="1365"/>
      <c r="BL184" s="791"/>
      <c r="BM184" s="791"/>
      <c r="BN184" s="791"/>
      <c r="BO184" s="791"/>
      <c r="BP184" s="791"/>
      <c r="BQ184" s="791"/>
      <c r="BR184" s="792">
        <v>3344</v>
      </c>
      <c r="BS184" s="791"/>
      <c r="BT184" s="791"/>
      <c r="BU184" s="791"/>
      <c r="BV184" s="791"/>
    </row>
    <row r="185" spans="1:74" ht="46.5" customHeight="1" thickBot="1">
      <c r="A185" s="1323"/>
      <c r="B185" s="1317"/>
      <c r="C185" s="1317"/>
      <c r="D185" s="1317"/>
      <c r="E185" s="793" t="s">
        <v>64</v>
      </c>
      <c r="F185" s="794" t="s">
        <v>375</v>
      </c>
      <c r="G185" s="614">
        <v>48.6</v>
      </c>
      <c r="H185" s="780">
        <f>3600/G185</f>
        <v>74.074074074074076</v>
      </c>
      <c r="I185" s="796">
        <v>1</v>
      </c>
      <c r="J185" s="797">
        <f>Q2</f>
        <v>320</v>
      </c>
      <c r="K185" s="437">
        <f>425+450+560+577+550</f>
        <v>2562</v>
      </c>
      <c r="L185" s="798" t="s">
        <v>210</v>
      </c>
      <c r="M185" s="796">
        <f t="shared" si="26"/>
        <v>2242</v>
      </c>
      <c r="N185" s="799">
        <f t="shared" si="27"/>
        <v>-30.266999999999999</v>
      </c>
      <c r="O185" s="799">
        <f t="shared" si="28"/>
        <v>8.0062499999999996</v>
      </c>
      <c r="P185" s="785">
        <f>O185</f>
        <v>8.0062499999999996</v>
      </c>
      <c r="Q185" s="800">
        <f t="shared" ca="1" si="29"/>
        <v>41760.006249999999</v>
      </c>
      <c r="R185" s="801"/>
      <c r="S185" s="802"/>
      <c r="T185" s="803"/>
      <c r="U185" s="804"/>
      <c r="V185" s="1350"/>
      <c r="W185" s="1350">
        <v>1</v>
      </c>
      <c r="X185" s="1350">
        <v>1</v>
      </c>
      <c r="Y185" s="1350">
        <v>1</v>
      </c>
      <c r="Z185" s="1350">
        <v>1</v>
      </c>
      <c r="AA185" s="1362"/>
      <c r="AB185" s="1354"/>
      <c r="AC185" s="1356"/>
      <c r="AD185" s="1358"/>
      <c r="AE185" s="1354"/>
      <c r="AF185" s="1356"/>
      <c r="AG185" s="1358"/>
      <c r="AH185" s="1354"/>
      <c r="AI185" s="1356"/>
      <c r="AJ185" s="1358"/>
      <c r="AK185" s="1354"/>
      <c r="AL185" s="1356"/>
      <c r="AM185" s="1358"/>
      <c r="AN185" s="1354"/>
      <c r="AO185" s="1356"/>
      <c r="AP185" s="1358"/>
      <c r="AQ185" s="1360"/>
      <c r="AR185" s="1350"/>
      <c r="AS185" s="1370"/>
      <c r="AT185" s="1368"/>
      <c r="AU185" s="1364"/>
      <c r="AV185" s="1366"/>
      <c r="AW185" s="1368"/>
      <c r="AX185" s="1364"/>
      <c r="AY185" s="1366"/>
      <c r="AZ185" s="1368"/>
      <c r="BA185" s="1364"/>
      <c r="BB185" s="1366"/>
      <c r="BC185" s="1368"/>
      <c r="BD185" s="1364"/>
      <c r="BE185" s="1366"/>
      <c r="BF185" s="1368"/>
      <c r="BG185" s="1364"/>
      <c r="BH185" s="1366"/>
      <c r="BI185" s="1368"/>
      <c r="BJ185" s="1364"/>
      <c r="BK185" s="1366"/>
      <c r="BL185" s="791"/>
      <c r="BM185" s="791"/>
      <c r="BN185" s="791"/>
      <c r="BO185" s="791"/>
      <c r="BP185" s="791"/>
      <c r="BQ185" s="791"/>
      <c r="BR185" s="805">
        <v>3349</v>
      </c>
      <c r="BS185" s="791"/>
      <c r="BT185" s="791"/>
      <c r="BU185" s="791"/>
      <c r="BV185" s="791"/>
    </row>
    <row r="186" spans="1:74" ht="45" customHeight="1">
      <c r="A186" s="1323"/>
      <c r="B186" s="806"/>
      <c r="C186" s="844" t="s">
        <v>435</v>
      </c>
      <c r="D186" s="806" t="s">
        <v>260</v>
      </c>
      <c r="E186" s="793" t="s">
        <v>65</v>
      </c>
      <c r="F186" s="794" t="s">
        <v>376</v>
      </c>
      <c r="G186" s="614">
        <v>46</v>
      </c>
      <c r="H186" s="796">
        <f>3600/G186</f>
        <v>78.260869565217391</v>
      </c>
      <c r="I186" s="796">
        <v>1</v>
      </c>
      <c r="J186" s="797">
        <v>126</v>
      </c>
      <c r="K186" s="437">
        <v>945</v>
      </c>
      <c r="L186" s="798" t="s">
        <v>210</v>
      </c>
      <c r="M186" s="796">
        <f t="shared" si="26"/>
        <v>819</v>
      </c>
      <c r="N186" s="799">
        <f t="shared" si="27"/>
        <v>-10.465</v>
      </c>
      <c r="O186" s="799">
        <f t="shared" si="28"/>
        <v>7.5</v>
      </c>
      <c r="P186" s="785">
        <f>O186</f>
        <v>7.5</v>
      </c>
      <c r="Q186" s="800">
        <f t="shared" ca="1" si="29"/>
        <v>41759.5</v>
      </c>
      <c r="R186" s="801"/>
      <c r="S186" s="802"/>
      <c r="T186" s="803"/>
      <c r="U186" s="804"/>
      <c r="V186" s="804"/>
      <c r="W186" s="804"/>
      <c r="X186" s="804"/>
      <c r="Y186" s="804"/>
      <c r="Z186" s="804"/>
      <c r="AA186" s="803"/>
      <c r="AB186" s="807"/>
      <c r="AC186" s="808"/>
      <c r="AD186" s="809"/>
      <c r="AE186" s="807"/>
      <c r="AF186" s="808">
        <v>20</v>
      </c>
      <c r="AG186" s="809"/>
      <c r="AH186" s="807"/>
      <c r="AI186" s="808"/>
      <c r="AJ186" s="809"/>
      <c r="AK186" s="807"/>
      <c r="AL186" s="808"/>
      <c r="AM186" s="809"/>
      <c r="AN186" s="807"/>
      <c r="AO186" s="808"/>
      <c r="AP186" s="809"/>
      <c r="AQ186" s="810"/>
      <c r="AR186" s="804"/>
      <c r="AS186" s="811"/>
      <c r="AT186" s="810"/>
      <c r="AU186" s="804"/>
      <c r="AV186" s="811"/>
      <c r="AW186" s="810"/>
      <c r="AX186" s="804"/>
      <c r="AY186" s="811"/>
      <c r="AZ186" s="810"/>
      <c r="BA186" s="804"/>
      <c r="BB186" s="811"/>
      <c r="BC186" s="810"/>
      <c r="BD186" s="804"/>
      <c r="BE186" s="811"/>
      <c r="BF186" s="810"/>
      <c r="BG186" s="804"/>
      <c r="BH186" s="811"/>
      <c r="BI186" s="810"/>
      <c r="BJ186" s="804"/>
      <c r="BK186" s="811"/>
      <c r="BL186" s="791"/>
      <c r="BM186" s="791"/>
      <c r="BN186" s="791"/>
      <c r="BO186" s="791"/>
      <c r="BP186" s="791"/>
      <c r="BQ186" s="791"/>
      <c r="BR186" s="805">
        <v>3714</v>
      </c>
      <c r="BS186" s="791"/>
      <c r="BT186" s="791"/>
      <c r="BU186" s="791"/>
      <c r="BV186" s="791"/>
    </row>
    <row r="187" spans="1:74" ht="37.5" customHeight="1">
      <c r="A187" s="1323"/>
      <c r="B187" s="806"/>
      <c r="C187" s="844" t="s">
        <v>444</v>
      </c>
      <c r="D187" s="806" t="s">
        <v>261</v>
      </c>
      <c r="E187" s="793" t="s">
        <v>66</v>
      </c>
      <c r="F187" s="812" t="s">
        <v>377</v>
      </c>
      <c r="G187" s="613">
        <v>60.1</v>
      </c>
      <c r="H187" s="796">
        <f>3600/G187*2</f>
        <v>119.80033277870216</v>
      </c>
      <c r="I187" s="796">
        <v>1</v>
      </c>
      <c r="J187" s="797">
        <f>Q2</f>
        <v>320</v>
      </c>
      <c r="K187" s="437">
        <v>283</v>
      </c>
      <c r="L187" s="798">
        <v>1680</v>
      </c>
      <c r="M187" s="796">
        <f t="shared" si="26"/>
        <v>-37</v>
      </c>
      <c r="N187" s="799">
        <f t="shared" si="27"/>
        <v>0.61769444444444455</v>
      </c>
      <c r="O187" s="799">
        <f t="shared" si="28"/>
        <v>0.88437500000000002</v>
      </c>
      <c r="P187" s="813">
        <f>O187*1.5</f>
        <v>1.3265625000000001</v>
      </c>
      <c r="Q187" s="800">
        <f t="shared" ca="1" si="29"/>
        <v>41752.884375000001</v>
      </c>
      <c r="R187" s="801"/>
      <c r="S187" s="802"/>
      <c r="T187" s="803"/>
      <c r="U187" s="803"/>
      <c r="V187" s="804"/>
      <c r="W187" s="804"/>
      <c r="X187" s="804"/>
      <c r="Y187" s="804"/>
      <c r="Z187" s="804"/>
      <c r="AA187" s="803"/>
      <c r="AB187" s="807"/>
      <c r="AC187" s="808"/>
      <c r="AD187" s="809">
        <v>22</v>
      </c>
      <c r="AE187" s="807"/>
      <c r="AF187" s="808"/>
      <c r="AG187" s="809"/>
      <c r="AH187" s="807"/>
      <c r="AI187" s="808"/>
      <c r="AJ187" s="809"/>
      <c r="AK187" s="807"/>
      <c r="AL187" s="808"/>
      <c r="AM187" s="809"/>
      <c r="AN187" s="807"/>
      <c r="AO187" s="808"/>
      <c r="AP187" s="814"/>
      <c r="AQ187" s="810"/>
      <c r="AR187" s="804"/>
      <c r="AS187" s="811"/>
      <c r="AT187" s="810"/>
      <c r="AU187" s="804"/>
      <c r="AV187" s="811"/>
      <c r="AW187" s="810"/>
      <c r="AX187" s="804"/>
      <c r="AY187" s="811"/>
      <c r="AZ187" s="810"/>
      <c r="BA187" s="804"/>
      <c r="BB187" s="811"/>
      <c r="BC187" s="810"/>
      <c r="BD187" s="804"/>
      <c r="BE187" s="811"/>
      <c r="BF187" s="810"/>
      <c r="BG187" s="804"/>
      <c r="BH187" s="811"/>
      <c r="BI187" s="810"/>
      <c r="BJ187" s="804"/>
      <c r="BK187" s="811"/>
      <c r="BL187" s="791"/>
      <c r="BM187" s="791"/>
      <c r="BN187" s="791"/>
      <c r="BO187" s="791"/>
      <c r="BP187" s="791"/>
      <c r="BQ187" s="791"/>
      <c r="BR187" s="792">
        <v>433</v>
      </c>
      <c r="BS187" s="791"/>
      <c r="BT187" s="791"/>
      <c r="BU187" s="791"/>
      <c r="BV187" s="791"/>
    </row>
    <row r="188" spans="1:74" ht="44.25" customHeight="1">
      <c r="A188" s="1323"/>
      <c r="B188" s="1320"/>
      <c r="C188" s="1320" t="s">
        <v>444</v>
      </c>
      <c r="D188" s="1320" t="s">
        <v>257</v>
      </c>
      <c r="E188" s="815" t="s">
        <v>58</v>
      </c>
      <c r="F188" s="812" t="s">
        <v>378</v>
      </c>
      <c r="G188" s="614">
        <v>50</v>
      </c>
      <c r="H188" s="795">
        <f>3600/G188*2</f>
        <v>144</v>
      </c>
      <c r="I188" s="796">
        <v>1</v>
      </c>
      <c r="J188" s="797">
        <f>Q2</f>
        <v>320</v>
      </c>
      <c r="K188" s="437">
        <v>1102</v>
      </c>
      <c r="L188" s="798">
        <v>1140</v>
      </c>
      <c r="M188" s="796">
        <f t="shared" si="26"/>
        <v>782</v>
      </c>
      <c r="N188" s="799">
        <f t="shared" si="27"/>
        <v>-10.861111111111111</v>
      </c>
      <c r="O188" s="799">
        <f t="shared" si="28"/>
        <v>3.4437500000000001</v>
      </c>
      <c r="P188" s="813">
        <f>O188*1.5</f>
        <v>5.1656250000000004</v>
      </c>
      <c r="Q188" s="800">
        <f t="shared" ca="1" si="29"/>
        <v>41755.443749999999</v>
      </c>
      <c r="R188" s="801"/>
      <c r="S188" s="802"/>
      <c r="T188" s="803"/>
      <c r="U188" s="804"/>
      <c r="V188" s="804"/>
      <c r="W188" s="804"/>
      <c r="X188" s="804"/>
      <c r="Y188" s="804"/>
      <c r="Z188" s="804"/>
      <c r="AA188" s="803">
        <v>1</v>
      </c>
      <c r="AB188" s="1383"/>
      <c r="AC188" s="1377"/>
      <c r="AD188" s="1380"/>
      <c r="AE188" s="1383"/>
      <c r="AF188" s="1377"/>
      <c r="AG188" s="1380"/>
      <c r="AH188" s="1383"/>
      <c r="AI188" s="1377"/>
      <c r="AJ188" s="1380"/>
      <c r="AK188" s="1383"/>
      <c r="AL188" s="1377"/>
      <c r="AM188" s="1380"/>
      <c r="AN188" s="1383"/>
      <c r="AO188" s="1377"/>
      <c r="AP188" s="1380"/>
      <c r="AQ188" s="1375"/>
      <c r="AR188" s="1371"/>
      <c r="AS188" s="1373"/>
      <c r="AT188" s="1375"/>
      <c r="AU188" s="816"/>
      <c r="AV188" s="817"/>
      <c r="AW188" s="818"/>
      <c r="AX188" s="816"/>
      <c r="AY188" s="817"/>
      <c r="AZ188" s="818"/>
      <c r="BA188" s="816"/>
      <c r="BB188" s="817"/>
      <c r="BC188" s="818"/>
      <c r="BD188" s="816"/>
      <c r="BE188" s="817"/>
      <c r="BF188" s="818"/>
      <c r="BG188" s="816"/>
      <c r="BH188" s="817"/>
      <c r="BI188" s="818"/>
      <c r="BJ188" s="816"/>
      <c r="BK188" s="817"/>
      <c r="BL188" s="791"/>
      <c r="BM188" s="791"/>
      <c r="BN188" s="791"/>
      <c r="BO188" s="791"/>
      <c r="BP188" s="791"/>
      <c r="BQ188" s="791"/>
      <c r="BR188" s="805">
        <v>3781</v>
      </c>
      <c r="BS188" s="791"/>
      <c r="BT188" s="791"/>
      <c r="BU188" s="791"/>
      <c r="BV188" s="791"/>
    </row>
    <row r="189" spans="1:74" ht="39.75" customHeight="1">
      <c r="A189" s="1323"/>
      <c r="B189" s="1317"/>
      <c r="C189" s="1317"/>
      <c r="D189" s="1317"/>
      <c r="E189" s="815" t="s">
        <v>59</v>
      </c>
      <c r="F189" s="812" t="s">
        <v>379</v>
      </c>
      <c r="G189" s="614">
        <v>50</v>
      </c>
      <c r="H189" s="795">
        <f>3600/G189*2</f>
        <v>144</v>
      </c>
      <c r="I189" s="796">
        <v>1</v>
      </c>
      <c r="J189" s="797">
        <f>J188</f>
        <v>320</v>
      </c>
      <c r="K189" s="437">
        <v>800</v>
      </c>
      <c r="L189" s="798">
        <v>1140</v>
      </c>
      <c r="M189" s="796">
        <f t="shared" si="26"/>
        <v>480</v>
      </c>
      <c r="N189" s="799">
        <f t="shared" si="27"/>
        <v>-6.666666666666667</v>
      </c>
      <c r="O189" s="799">
        <f t="shared" si="28"/>
        <v>2.5</v>
      </c>
      <c r="P189" s="813">
        <f>O189*1.5</f>
        <v>3.75</v>
      </c>
      <c r="Q189" s="800">
        <f t="shared" ca="1" si="29"/>
        <v>41754.5</v>
      </c>
      <c r="R189" s="801"/>
      <c r="S189" s="802"/>
      <c r="T189" s="803"/>
      <c r="U189" s="804"/>
      <c r="V189" s="804"/>
      <c r="W189" s="804"/>
      <c r="X189" s="804"/>
      <c r="Y189" s="804"/>
      <c r="Z189" s="804"/>
      <c r="AA189" s="803">
        <v>1</v>
      </c>
      <c r="AB189" s="1384"/>
      <c r="AC189" s="1378"/>
      <c r="AD189" s="1381"/>
      <c r="AE189" s="1384"/>
      <c r="AF189" s="1378"/>
      <c r="AG189" s="1381"/>
      <c r="AH189" s="1384"/>
      <c r="AI189" s="1378"/>
      <c r="AJ189" s="1381"/>
      <c r="AK189" s="1384"/>
      <c r="AL189" s="1378"/>
      <c r="AM189" s="1381"/>
      <c r="AN189" s="1384"/>
      <c r="AO189" s="1378"/>
      <c r="AP189" s="1381"/>
      <c r="AQ189" s="1376"/>
      <c r="AR189" s="1372"/>
      <c r="AS189" s="1374"/>
      <c r="AT189" s="1376"/>
      <c r="AU189" s="819"/>
      <c r="AV189" s="820"/>
      <c r="AW189" s="821"/>
      <c r="AX189" s="819"/>
      <c r="AY189" s="820"/>
      <c r="AZ189" s="821"/>
      <c r="BA189" s="819"/>
      <c r="BB189" s="820"/>
      <c r="BC189" s="821"/>
      <c r="BD189" s="819"/>
      <c r="BE189" s="820"/>
      <c r="BF189" s="821"/>
      <c r="BG189" s="819"/>
      <c r="BH189" s="820"/>
      <c r="BI189" s="821"/>
      <c r="BJ189" s="819"/>
      <c r="BK189" s="820"/>
      <c r="BL189" s="791"/>
      <c r="BM189" s="791"/>
      <c r="BN189" s="791"/>
      <c r="BO189" s="791"/>
      <c r="BP189" s="791"/>
      <c r="BQ189" s="791"/>
      <c r="BR189" s="792">
        <v>2355</v>
      </c>
      <c r="BS189" s="791"/>
      <c r="BT189" s="791"/>
      <c r="BU189" s="791"/>
      <c r="BV189" s="791"/>
    </row>
    <row r="190" spans="1:74" ht="39" customHeight="1" thickBot="1">
      <c r="A190" s="1324"/>
      <c r="B190" s="1321"/>
      <c r="C190" s="1321"/>
      <c r="D190" s="1321"/>
      <c r="E190" s="822" t="s">
        <v>64</v>
      </c>
      <c r="F190" s="823" t="s">
        <v>114</v>
      </c>
      <c r="G190" s="614">
        <v>50</v>
      </c>
      <c r="H190" s="824">
        <f>3600/G190*2</f>
        <v>144</v>
      </c>
      <c r="I190" s="825"/>
      <c r="J190" s="826">
        <f>J185</f>
        <v>320</v>
      </c>
      <c r="K190" s="438">
        <v>4773</v>
      </c>
      <c r="L190" s="827">
        <v>1140</v>
      </c>
      <c r="M190" s="825">
        <f t="shared" si="26"/>
        <v>4453</v>
      </c>
      <c r="N190" s="828">
        <f t="shared" si="27"/>
        <v>-61.847222222222221</v>
      </c>
      <c r="O190" s="828">
        <f t="shared" si="28"/>
        <v>14.915625</v>
      </c>
      <c r="P190" s="829">
        <f>O190</f>
        <v>14.915625</v>
      </c>
      <c r="Q190" s="830">
        <f t="shared" ca="1" si="25"/>
        <v>41766.915625000001</v>
      </c>
      <c r="R190" s="801"/>
      <c r="S190" s="802"/>
      <c r="T190" s="803"/>
      <c r="U190" s="804"/>
      <c r="V190" s="804"/>
      <c r="W190" s="804"/>
      <c r="X190" s="804"/>
      <c r="Y190" s="804"/>
      <c r="Z190" s="804"/>
      <c r="AA190" s="803">
        <v>1</v>
      </c>
      <c r="AB190" s="1385"/>
      <c r="AC190" s="1379"/>
      <c r="AD190" s="1382"/>
      <c r="AE190" s="1385"/>
      <c r="AF190" s="1379"/>
      <c r="AG190" s="1382"/>
      <c r="AH190" s="1385"/>
      <c r="AI190" s="1379"/>
      <c r="AJ190" s="1382"/>
      <c r="AK190" s="1385"/>
      <c r="AL190" s="1379"/>
      <c r="AM190" s="1382"/>
      <c r="AN190" s="1385"/>
      <c r="AO190" s="1379"/>
      <c r="AP190" s="1382"/>
      <c r="AQ190" s="1368"/>
      <c r="AR190" s="1364"/>
      <c r="AS190" s="1366"/>
      <c r="AT190" s="1368"/>
      <c r="AU190" s="831"/>
      <c r="AV190" s="832"/>
      <c r="AW190" s="833"/>
      <c r="AX190" s="831"/>
      <c r="AY190" s="832"/>
      <c r="AZ190" s="833"/>
      <c r="BA190" s="831"/>
      <c r="BB190" s="832"/>
      <c r="BC190" s="833"/>
      <c r="BD190" s="831"/>
      <c r="BE190" s="832"/>
      <c r="BF190" s="833"/>
      <c r="BG190" s="831"/>
      <c r="BH190" s="832"/>
      <c r="BI190" s="833"/>
      <c r="BJ190" s="831"/>
      <c r="BK190" s="832"/>
      <c r="BL190" s="791"/>
      <c r="BM190" s="791"/>
      <c r="BN190" s="791"/>
      <c r="BO190" s="791"/>
      <c r="BP190" s="791"/>
      <c r="BQ190" s="791"/>
      <c r="BR190" s="805">
        <v>3349</v>
      </c>
      <c r="BS190" s="791"/>
      <c r="BT190" s="791"/>
      <c r="BU190" s="791"/>
      <c r="BV190" s="791"/>
    </row>
    <row r="191" spans="1:74" s="16" customFormat="1">
      <c r="A191" s="834"/>
      <c r="B191" s="834"/>
      <c r="C191" s="834"/>
      <c r="D191" s="834"/>
      <c r="E191" s="834"/>
      <c r="F191" s="834"/>
      <c r="G191" s="835"/>
      <c r="H191" s="835"/>
      <c r="I191" s="834"/>
      <c r="J191" s="834"/>
      <c r="K191" s="836"/>
      <c r="L191" s="834"/>
      <c r="M191" s="834"/>
      <c r="N191" s="834"/>
      <c r="O191" s="834"/>
      <c r="P191" s="834"/>
      <c r="Q191" s="837"/>
      <c r="R191" s="834"/>
      <c r="S191" s="834"/>
      <c r="T191" s="835"/>
      <c r="U191" s="835"/>
      <c r="V191" s="835"/>
      <c r="W191" s="835"/>
      <c r="X191" s="835"/>
      <c r="Y191" s="835"/>
      <c r="Z191" s="835"/>
      <c r="AA191" s="835"/>
      <c r="AB191" s="835"/>
      <c r="AC191" s="835"/>
      <c r="AD191" s="835"/>
      <c r="AE191" s="835"/>
      <c r="AF191" s="835"/>
      <c r="AG191" s="835"/>
      <c r="AH191" s="835"/>
      <c r="AI191" s="835"/>
      <c r="AJ191" s="835"/>
      <c r="AK191" s="835"/>
      <c r="AL191" s="835"/>
      <c r="AM191" s="835"/>
      <c r="AN191" s="835"/>
      <c r="AO191" s="835"/>
      <c r="AP191" s="835"/>
      <c r="AQ191" s="835"/>
      <c r="AR191" s="835"/>
      <c r="AS191" s="835"/>
      <c r="AT191" s="835"/>
      <c r="AU191" s="835"/>
      <c r="AV191" s="835"/>
      <c r="AW191" s="835"/>
      <c r="AX191" s="835"/>
      <c r="AY191" s="835"/>
      <c r="AZ191" s="835"/>
      <c r="BA191" s="835"/>
      <c r="BB191" s="835"/>
      <c r="BC191" s="835"/>
      <c r="BD191" s="835"/>
      <c r="BE191" s="835"/>
      <c r="BF191" s="834"/>
      <c r="BG191" s="834"/>
      <c r="BH191" s="834"/>
      <c r="BI191" s="834"/>
      <c r="BJ191" s="834"/>
      <c r="BK191" s="834"/>
      <c r="BL191" s="834"/>
      <c r="BM191" s="834"/>
      <c r="BN191" s="834"/>
      <c r="BO191" s="834"/>
      <c r="BP191" s="834"/>
      <c r="BQ191" s="834"/>
      <c r="BR191" s="834"/>
      <c r="BS191" s="834"/>
      <c r="BT191" s="834"/>
      <c r="BU191" s="834"/>
      <c r="BV191" s="834"/>
    </row>
    <row r="192" spans="1:74" s="16" customFormat="1">
      <c r="A192" s="834"/>
      <c r="B192" s="834"/>
      <c r="C192" s="834"/>
      <c r="D192" s="834"/>
      <c r="E192" s="834"/>
      <c r="F192" s="834"/>
      <c r="G192" s="835"/>
      <c r="H192" s="835"/>
      <c r="I192" s="834"/>
      <c r="J192" s="834"/>
      <c r="K192" s="836"/>
      <c r="L192" s="834"/>
      <c r="M192" s="834"/>
      <c r="N192" s="834"/>
      <c r="O192" s="834"/>
      <c r="P192" s="834"/>
      <c r="Q192" s="837"/>
      <c r="R192" s="834"/>
      <c r="S192" s="834"/>
      <c r="T192" s="835"/>
      <c r="U192" s="835"/>
      <c r="V192" s="835"/>
      <c r="W192" s="835"/>
      <c r="X192" s="835"/>
      <c r="Y192" s="835"/>
      <c r="Z192" s="835"/>
      <c r="AA192" s="835"/>
      <c r="AB192" s="835"/>
      <c r="AC192" s="835"/>
      <c r="AD192" s="835"/>
      <c r="AE192" s="835"/>
      <c r="AF192" s="835"/>
      <c r="AG192" s="835"/>
      <c r="AH192" s="835"/>
      <c r="AI192" s="835"/>
      <c r="AJ192" s="835"/>
      <c r="AK192" s="835"/>
      <c r="AL192" s="835"/>
      <c r="AM192" s="835"/>
      <c r="AN192" s="835"/>
      <c r="AO192" s="835"/>
      <c r="AP192" s="835"/>
      <c r="AQ192" s="835"/>
      <c r="AR192" s="835"/>
      <c r="AS192" s="835"/>
      <c r="AT192" s="835"/>
      <c r="AU192" s="835"/>
      <c r="AV192" s="835"/>
      <c r="AW192" s="835"/>
      <c r="AX192" s="835"/>
      <c r="AY192" s="835"/>
      <c r="AZ192" s="835"/>
      <c r="BA192" s="835"/>
      <c r="BB192" s="835"/>
      <c r="BC192" s="835"/>
      <c r="BD192" s="835"/>
      <c r="BE192" s="835"/>
      <c r="BF192" s="834"/>
      <c r="BG192" s="834"/>
      <c r="BH192" s="834"/>
      <c r="BI192" s="834"/>
      <c r="BJ192" s="834"/>
      <c r="BK192" s="834"/>
      <c r="BL192" s="834"/>
      <c r="BM192" s="834"/>
      <c r="BN192" s="834"/>
      <c r="BO192" s="834"/>
      <c r="BP192" s="834"/>
      <c r="BQ192" s="834"/>
      <c r="BR192" s="834"/>
      <c r="BS192" s="834"/>
      <c r="BT192" s="834"/>
      <c r="BU192" s="834"/>
      <c r="BV192" s="834"/>
    </row>
    <row r="193" spans="7:57" s="16" customFormat="1">
      <c r="G193" s="17"/>
      <c r="H193" s="17"/>
      <c r="K193" s="201"/>
      <c r="Q193" s="196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</row>
    <row r="194" spans="7:57" s="16" customFormat="1">
      <c r="G194" s="17"/>
      <c r="H194" s="17"/>
      <c r="K194" s="201"/>
      <c r="Q194" s="196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</row>
    <row r="195" spans="7:57" s="16" customFormat="1">
      <c r="G195" s="17"/>
      <c r="H195" s="17"/>
      <c r="K195" s="201"/>
      <c r="Q195" s="196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</row>
    <row r="196" spans="7:57" s="16" customFormat="1">
      <c r="G196" s="17"/>
      <c r="H196" s="17"/>
      <c r="K196" s="201"/>
      <c r="Q196" s="196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</row>
    <row r="197" spans="7:57" s="16" customFormat="1">
      <c r="G197" s="17"/>
      <c r="H197" s="17"/>
      <c r="K197" s="201"/>
      <c r="Q197" s="196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</row>
    <row r="198" spans="7:57" s="16" customFormat="1">
      <c r="G198" s="17"/>
      <c r="H198" s="17"/>
      <c r="K198" s="201"/>
      <c r="Q198" s="196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</row>
    <row r="199" spans="7:57" s="16" customFormat="1">
      <c r="G199" s="17"/>
      <c r="H199" s="17"/>
      <c r="K199" s="201"/>
      <c r="Q199" s="196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</row>
    <row r="200" spans="7:57" s="16" customFormat="1">
      <c r="G200" s="17"/>
      <c r="H200" s="17"/>
      <c r="K200" s="201"/>
      <c r="Q200" s="196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</row>
    <row r="201" spans="7:57" s="16" customFormat="1">
      <c r="G201" s="17"/>
      <c r="H201" s="17"/>
      <c r="K201" s="201"/>
      <c r="Q201" s="196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</row>
    <row r="202" spans="7:57" s="16" customFormat="1">
      <c r="G202" s="17"/>
      <c r="H202" s="17"/>
      <c r="K202" s="201"/>
      <c r="Q202" s="196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</row>
    <row r="203" spans="7:57" s="16" customFormat="1">
      <c r="G203" s="17"/>
      <c r="H203" s="17"/>
      <c r="K203" s="201"/>
      <c r="Q203" s="196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</row>
    <row r="204" spans="7:57" s="16" customFormat="1">
      <c r="G204" s="17"/>
      <c r="H204" s="17"/>
      <c r="K204" s="201"/>
      <c r="Q204" s="196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</row>
    <row r="205" spans="7:57" s="16" customFormat="1">
      <c r="G205" s="17"/>
      <c r="H205" s="17"/>
      <c r="K205" s="201"/>
      <c r="Q205" s="196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</row>
    <row r="206" spans="7:57" s="16" customFormat="1">
      <c r="G206" s="17"/>
      <c r="H206" s="17"/>
      <c r="K206" s="201"/>
      <c r="Q206" s="196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</row>
    <row r="207" spans="7:57" s="16" customFormat="1">
      <c r="G207" s="17"/>
      <c r="H207" s="17"/>
      <c r="K207" s="201"/>
      <c r="Q207" s="196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</row>
    <row r="208" spans="7:57" s="16" customFormat="1">
      <c r="G208" s="17"/>
      <c r="H208" s="17"/>
      <c r="K208" s="201"/>
      <c r="Q208" s="196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</row>
    <row r="209" spans="7:57" s="16" customFormat="1">
      <c r="G209" s="17"/>
      <c r="H209" s="17"/>
      <c r="K209" s="201"/>
      <c r="Q209" s="196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</row>
    <row r="210" spans="7:57" s="16" customFormat="1">
      <c r="G210" s="17"/>
      <c r="H210" s="17"/>
      <c r="K210" s="201"/>
      <c r="Q210" s="196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</row>
    <row r="211" spans="7:57" s="16" customFormat="1">
      <c r="G211" s="17"/>
      <c r="H211" s="17"/>
      <c r="K211" s="201"/>
      <c r="Q211" s="196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</row>
    <row r="212" spans="7:57" s="16" customFormat="1">
      <c r="G212" s="17"/>
      <c r="H212" s="17"/>
      <c r="K212" s="201"/>
      <c r="Q212" s="196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</row>
    <row r="213" spans="7:57" s="16" customFormat="1">
      <c r="G213" s="17"/>
      <c r="H213" s="17"/>
      <c r="K213" s="201"/>
      <c r="Q213" s="196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</row>
    <row r="214" spans="7:57" s="16" customFormat="1">
      <c r="G214" s="17"/>
      <c r="H214" s="17"/>
      <c r="K214" s="201"/>
      <c r="Q214" s="196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</row>
    <row r="215" spans="7:57" s="16" customFormat="1">
      <c r="G215" s="17"/>
      <c r="H215" s="17"/>
      <c r="K215" s="201"/>
      <c r="Q215" s="196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</row>
    <row r="216" spans="7:57" s="16" customFormat="1">
      <c r="G216" s="17"/>
      <c r="H216" s="17"/>
      <c r="K216" s="201"/>
      <c r="Q216" s="196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</row>
    <row r="217" spans="7:57" s="16" customFormat="1">
      <c r="G217" s="17"/>
      <c r="H217" s="17"/>
      <c r="K217" s="201"/>
      <c r="Q217" s="196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</row>
    <row r="218" spans="7:57" s="16" customFormat="1">
      <c r="G218" s="17"/>
      <c r="H218" s="17"/>
      <c r="K218" s="201"/>
      <c r="Q218" s="196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</row>
    <row r="219" spans="7:57" s="16" customFormat="1">
      <c r="G219" s="17"/>
      <c r="H219" s="17"/>
      <c r="K219" s="201"/>
      <c r="Q219" s="196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</row>
    <row r="220" spans="7:57" s="16" customFormat="1">
      <c r="G220" s="17"/>
      <c r="H220" s="17"/>
      <c r="K220" s="201"/>
      <c r="Q220" s="196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</row>
    <row r="221" spans="7:57" s="16" customFormat="1">
      <c r="G221" s="17"/>
      <c r="H221" s="17"/>
      <c r="K221" s="201"/>
      <c r="Q221" s="196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</row>
    <row r="222" spans="7:57" s="16" customFormat="1">
      <c r="G222" s="17"/>
      <c r="H222" s="17"/>
      <c r="K222" s="201"/>
      <c r="Q222" s="196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</row>
    <row r="223" spans="7:57" s="16" customFormat="1">
      <c r="G223" s="17"/>
      <c r="H223" s="17"/>
      <c r="K223" s="201"/>
      <c r="Q223" s="196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</row>
    <row r="224" spans="7:57" s="16" customFormat="1">
      <c r="G224" s="17"/>
      <c r="H224" s="17"/>
      <c r="K224" s="201"/>
      <c r="Q224" s="196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</row>
    <row r="225" spans="7:57" s="16" customFormat="1">
      <c r="G225" s="17"/>
      <c r="H225" s="17"/>
      <c r="K225" s="201"/>
      <c r="Q225" s="196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</row>
    <row r="226" spans="7:57" s="16" customFormat="1">
      <c r="G226" s="17"/>
      <c r="H226" s="17"/>
      <c r="K226" s="201"/>
      <c r="Q226" s="196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</row>
    <row r="227" spans="7:57" s="16" customFormat="1">
      <c r="G227" s="17"/>
      <c r="H227" s="17"/>
      <c r="K227" s="201"/>
      <c r="Q227" s="196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</row>
    <row r="228" spans="7:57" s="16" customFormat="1">
      <c r="G228" s="17"/>
      <c r="H228" s="17"/>
      <c r="K228" s="201"/>
      <c r="Q228" s="196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</row>
    <row r="229" spans="7:57" s="16" customFormat="1">
      <c r="G229" s="17"/>
      <c r="H229" s="17"/>
      <c r="K229" s="201"/>
      <c r="Q229" s="196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</row>
    <row r="230" spans="7:57" s="16" customFormat="1">
      <c r="G230" s="17"/>
      <c r="H230" s="17"/>
      <c r="K230" s="201"/>
      <c r="Q230" s="196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</row>
    <row r="231" spans="7:57" s="16" customFormat="1">
      <c r="G231" s="17"/>
      <c r="H231" s="17"/>
      <c r="K231" s="201"/>
      <c r="Q231" s="196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</row>
    <row r="232" spans="7:57" s="16" customFormat="1">
      <c r="G232" s="17"/>
      <c r="H232" s="17"/>
      <c r="K232" s="201"/>
      <c r="Q232" s="196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</row>
    <row r="233" spans="7:57" s="16" customFormat="1">
      <c r="G233" s="17"/>
      <c r="H233" s="17"/>
      <c r="K233" s="201"/>
      <c r="Q233" s="196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</row>
    <row r="234" spans="7:57" s="16" customFormat="1">
      <c r="G234" s="17"/>
      <c r="H234" s="17"/>
      <c r="K234" s="201"/>
      <c r="Q234" s="196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</row>
    <row r="235" spans="7:57" s="16" customFormat="1">
      <c r="G235" s="17"/>
      <c r="H235" s="17"/>
      <c r="K235" s="201"/>
      <c r="Q235" s="196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</row>
    <row r="236" spans="7:57" s="16" customFormat="1">
      <c r="G236" s="17"/>
      <c r="H236" s="17"/>
      <c r="K236" s="201"/>
      <c r="Q236" s="196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</row>
    <row r="237" spans="7:57" s="16" customFormat="1">
      <c r="G237" s="17"/>
      <c r="H237" s="17"/>
      <c r="K237" s="201"/>
      <c r="Q237" s="196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</row>
    <row r="238" spans="7:57" s="16" customFormat="1">
      <c r="G238" s="17"/>
      <c r="H238" s="17"/>
      <c r="K238" s="201"/>
      <c r="Q238" s="196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</row>
    <row r="239" spans="7:57" s="16" customFormat="1">
      <c r="G239" s="17"/>
      <c r="H239" s="17"/>
      <c r="K239" s="201"/>
      <c r="Q239" s="196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</row>
    <row r="240" spans="7:57" s="16" customFormat="1">
      <c r="G240" s="17"/>
      <c r="H240" s="17"/>
      <c r="K240" s="201"/>
      <c r="Q240" s="196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</row>
    <row r="241" spans="7:57" s="16" customFormat="1">
      <c r="G241" s="17"/>
      <c r="H241" s="17"/>
      <c r="K241" s="201"/>
      <c r="Q241" s="196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</row>
    <row r="242" spans="7:57" s="16" customFormat="1">
      <c r="G242" s="17"/>
      <c r="H242" s="17"/>
      <c r="K242" s="201"/>
      <c r="Q242" s="196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</row>
    <row r="243" spans="7:57" s="16" customFormat="1">
      <c r="G243" s="17"/>
      <c r="H243" s="17"/>
      <c r="K243" s="201"/>
      <c r="Q243" s="196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</row>
    <row r="244" spans="7:57" s="16" customFormat="1">
      <c r="G244" s="17"/>
      <c r="H244" s="17"/>
      <c r="K244" s="201"/>
      <c r="Q244" s="196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</row>
    <row r="245" spans="7:57" s="16" customFormat="1">
      <c r="G245" s="17"/>
      <c r="H245" s="17"/>
      <c r="K245" s="201"/>
      <c r="Q245" s="196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</row>
    <row r="246" spans="7:57" s="16" customFormat="1">
      <c r="G246" s="17"/>
      <c r="H246" s="17"/>
      <c r="K246" s="201"/>
      <c r="Q246" s="196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</row>
    <row r="247" spans="7:57" s="16" customFormat="1">
      <c r="G247" s="17"/>
      <c r="H247" s="17"/>
      <c r="K247" s="201"/>
      <c r="Q247" s="196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</row>
    <row r="248" spans="7:57" s="16" customFormat="1">
      <c r="G248" s="17"/>
      <c r="H248" s="17"/>
      <c r="K248" s="201"/>
      <c r="Q248" s="196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</row>
    <row r="249" spans="7:57" s="16" customFormat="1">
      <c r="G249" s="17"/>
      <c r="H249" s="17"/>
      <c r="K249" s="201"/>
      <c r="Q249" s="196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</row>
    <row r="250" spans="7:57" s="16" customFormat="1">
      <c r="G250" s="17"/>
      <c r="H250" s="17"/>
      <c r="K250" s="201"/>
      <c r="Q250" s="196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</row>
    <row r="251" spans="7:57" s="16" customFormat="1">
      <c r="G251" s="17"/>
      <c r="H251" s="17"/>
      <c r="K251" s="201"/>
      <c r="Q251" s="196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</row>
    <row r="252" spans="7:57" s="16" customFormat="1">
      <c r="G252" s="17"/>
      <c r="H252" s="17"/>
      <c r="K252" s="201"/>
      <c r="Q252" s="196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</row>
    <row r="253" spans="7:57" s="16" customFormat="1">
      <c r="G253" s="17"/>
      <c r="H253" s="17"/>
      <c r="K253" s="201"/>
      <c r="Q253" s="196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</row>
    <row r="254" spans="7:57" s="16" customFormat="1">
      <c r="G254" s="17"/>
      <c r="H254" s="17"/>
      <c r="K254" s="201"/>
      <c r="Q254" s="196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</row>
    <row r="255" spans="7:57" s="16" customFormat="1">
      <c r="G255" s="17"/>
      <c r="H255" s="17"/>
      <c r="K255" s="201"/>
      <c r="Q255" s="196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</row>
  </sheetData>
  <mergeCells count="1049">
    <mergeCell ref="C19:C20"/>
    <mergeCell ref="C22:C23"/>
    <mergeCell ref="C24:C26"/>
    <mergeCell ref="A7:A12"/>
    <mergeCell ref="A45:A63"/>
    <mergeCell ref="N2:P2"/>
    <mergeCell ref="N3:P3"/>
    <mergeCell ref="N4:P4"/>
    <mergeCell ref="F5:F6"/>
    <mergeCell ref="G5:G6"/>
    <mergeCell ref="H5:H6"/>
    <mergeCell ref="B5:B6"/>
    <mergeCell ref="N1:P1"/>
    <mergeCell ref="D49:D51"/>
    <mergeCell ref="D19:D20"/>
    <mergeCell ref="A85:A100"/>
    <mergeCell ref="A64:A84"/>
    <mergeCell ref="A104:A113"/>
    <mergeCell ref="N5:N6"/>
    <mergeCell ref="A5:A6"/>
    <mergeCell ref="D5:D6"/>
    <mergeCell ref="E5:E6"/>
    <mergeCell ref="D98:D100"/>
    <mergeCell ref="L98:L100"/>
    <mergeCell ref="B14:B15"/>
    <mergeCell ref="B16:B17"/>
    <mergeCell ref="B19:B20"/>
    <mergeCell ref="B22:B23"/>
    <mergeCell ref="B24:B26"/>
    <mergeCell ref="E1:M4"/>
    <mergeCell ref="A1:D4"/>
    <mergeCell ref="A14:A21"/>
    <mergeCell ref="D14:D15"/>
    <mergeCell ref="D16:D17"/>
    <mergeCell ref="L81:L83"/>
    <mergeCell ref="C62:C63"/>
    <mergeCell ref="C65:C66"/>
    <mergeCell ref="C106:C107"/>
    <mergeCell ref="C27:C28"/>
    <mergeCell ref="C46:C48"/>
    <mergeCell ref="C49:C51"/>
    <mergeCell ref="C56:C57"/>
    <mergeCell ref="C58:C59"/>
    <mergeCell ref="C60:C61"/>
    <mergeCell ref="C5:C6"/>
    <mergeCell ref="C14:C15"/>
    <mergeCell ref="C16:C17"/>
    <mergeCell ref="BG27:BG28"/>
    <mergeCell ref="BH27:BH28"/>
    <mergeCell ref="BI27:BI28"/>
    <mergeCell ref="BJ27:BJ28"/>
    <mergeCell ref="BK27:BK28"/>
    <mergeCell ref="AZ27:AZ28"/>
    <mergeCell ref="BA27:BA28"/>
    <mergeCell ref="BB27:BB28"/>
    <mergeCell ref="BC27:BC28"/>
    <mergeCell ref="BD27:BD28"/>
    <mergeCell ref="AO27:AO28"/>
    <mergeCell ref="AP27:AP28"/>
    <mergeCell ref="AQ27:AQ28"/>
    <mergeCell ref="AR27:AR28"/>
    <mergeCell ref="AS27:AS28"/>
    <mergeCell ref="AH27:AH28"/>
    <mergeCell ref="AI27:AI28"/>
    <mergeCell ref="AJ27:AJ28"/>
    <mergeCell ref="AK27:AK28"/>
    <mergeCell ref="AL27:AL28"/>
    <mergeCell ref="AM27:AM28"/>
    <mergeCell ref="AR188:AR190"/>
    <mergeCell ref="AS188:AS190"/>
    <mergeCell ref="AT188:AT190"/>
    <mergeCell ref="D27:D28"/>
    <mergeCell ref="V27:V28"/>
    <mergeCell ref="W27:W28"/>
    <mergeCell ref="X27:X28"/>
    <mergeCell ref="Y27:Y28"/>
    <mergeCell ref="Z27:Z28"/>
    <mergeCell ref="AA27:AA28"/>
    <mergeCell ref="AL188:AL190"/>
    <mergeCell ref="AM188:AM190"/>
    <mergeCell ref="AN188:AN190"/>
    <mergeCell ref="AO188:AO190"/>
    <mergeCell ref="AP188:AP190"/>
    <mergeCell ref="AQ188:AQ190"/>
    <mergeCell ref="AF188:AF190"/>
    <mergeCell ref="AG188:AG190"/>
    <mergeCell ref="AH188:AH190"/>
    <mergeCell ref="AI188:AI190"/>
    <mergeCell ref="AJ188:AJ190"/>
    <mergeCell ref="AK188:AK190"/>
    <mergeCell ref="D188:D190"/>
    <mergeCell ref="AB188:AB190"/>
    <mergeCell ref="AC188:AC190"/>
    <mergeCell ref="AD188:AD190"/>
    <mergeCell ref="AE188:AE190"/>
    <mergeCell ref="AT27:AT28"/>
    <mergeCell ref="AN27:AN28"/>
    <mergeCell ref="AB27:AB28"/>
    <mergeCell ref="AL184:AL185"/>
    <mergeCell ref="AM184:AM185"/>
    <mergeCell ref="BJ184:BJ185"/>
    <mergeCell ref="AX184:AX185"/>
    <mergeCell ref="AY184:AY185"/>
    <mergeCell ref="AZ184:AZ185"/>
    <mergeCell ref="BA184:BA185"/>
    <mergeCell ref="BK184:BK185"/>
    <mergeCell ref="BD184:BD185"/>
    <mergeCell ref="BE184:BE185"/>
    <mergeCell ref="BF184:BF185"/>
    <mergeCell ref="BG184:BG185"/>
    <mergeCell ref="BH184:BH185"/>
    <mergeCell ref="BI184:BI185"/>
    <mergeCell ref="BB184:BB185"/>
    <mergeCell ref="BC184:BC185"/>
    <mergeCell ref="AR184:AR185"/>
    <mergeCell ref="AS184:AS185"/>
    <mergeCell ref="AT184:AT185"/>
    <mergeCell ref="AU184:AU185"/>
    <mergeCell ref="AV184:AV185"/>
    <mergeCell ref="AW184:AW185"/>
    <mergeCell ref="AN184:AN185"/>
    <mergeCell ref="AO184:AO185"/>
    <mergeCell ref="AP184:AP185"/>
    <mergeCell ref="AQ184:AQ185"/>
    <mergeCell ref="AF184:AF185"/>
    <mergeCell ref="AG184:AG185"/>
    <mergeCell ref="AH184:AH185"/>
    <mergeCell ref="AI184:AI185"/>
    <mergeCell ref="AJ184:AJ185"/>
    <mergeCell ref="AK184:AK185"/>
    <mergeCell ref="Z184:Z185"/>
    <mergeCell ref="AA184:AA185"/>
    <mergeCell ref="AB184:AB185"/>
    <mergeCell ref="AC184:AC185"/>
    <mergeCell ref="AD184:AD185"/>
    <mergeCell ref="AE184:AE185"/>
    <mergeCell ref="X184:X185"/>
    <mergeCell ref="Y184:Y185"/>
    <mergeCell ref="E159:E168"/>
    <mergeCell ref="E169:E178"/>
    <mergeCell ref="E179:E180"/>
    <mergeCell ref="E181:E182"/>
    <mergeCell ref="E148:E149"/>
    <mergeCell ref="E150:E151"/>
    <mergeCell ref="E154:E155"/>
    <mergeCell ref="D184:D185"/>
    <mergeCell ref="V184:V185"/>
    <mergeCell ref="W184:W185"/>
    <mergeCell ref="G154:G155"/>
    <mergeCell ref="H154:H155"/>
    <mergeCell ref="E157:E158"/>
    <mergeCell ref="E134:E143"/>
    <mergeCell ref="E144:E145"/>
    <mergeCell ref="G144:G145"/>
    <mergeCell ref="H144:H145"/>
    <mergeCell ref="E146:E147"/>
    <mergeCell ref="G146:G147"/>
    <mergeCell ref="H146:H147"/>
    <mergeCell ref="E122:E123"/>
    <mergeCell ref="E124:E133"/>
    <mergeCell ref="BF117:BF118"/>
    <mergeCell ref="BE117:BE118"/>
    <mergeCell ref="AT117:AT118"/>
    <mergeCell ref="AU117:AU118"/>
    <mergeCell ref="AV117:AV118"/>
    <mergeCell ref="BG117:BG118"/>
    <mergeCell ref="BH117:BH118"/>
    <mergeCell ref="BI117:BI118"/>
    <mergeCell ref="BJ117:BJ118"/>
    <mergeCell ref="BK117:BK118"/>
    <mergeCell ref="AZ117:AZ118"/>
    <mergeCell ref="BA117:BA118"/>
    <mergeCell ref="BB117:BB118"/>
    <mergeCell ref="BC117:BC118"/>
    <mergeCell ref="BD117:BD118"/>
    <mergeCell ref="AW117:AW118"/>
    <mergeCell ref="AX117:AX118"/>
    <mergeCell ref="AY117:AY118"/>
    <mergeCell ref="AN117:AN118"/>
    <mergeCell ref="AO117:AO118"/>
    <mergeCell ref="AP117:AP118"/>
    <mergeCell ref="AQ117:AQ118"/>
    <mergeCell ref="AR117:AR118"/>
    <mergeCell ref="AS117:AS118"/>
    <mergeCell ref="AH117:AH118"/>
    <mergeCell ref="AI117:AI118"/>
    <mergeCell ref="AJ117:AJ118"/>
    <mergeCell ref="AK117:AK118"/>
    <mergeCell ref="AL117:AL118"/>
    <mergeCell ref="AM117:AM118"/>
    <mergeCell ref="AB117:AB118"/>
    <mergeCell ref="AC117:AC118"/>
    <mergeCell ref="AD117:AD118"/>
    <mergeCell ref="AE117:AE118"/>
    <mergeCell ref="AF117:AF118"/>
    <mergeCell ref="AG117:AG118"/>
    <mergeCell ref="V117:V118"/>
    <mergeCell ref="W117:W118"/>
    <mergeCell ref="X117:X118"/>
    <mergeCell ref="Y117:Y118"/>
    <mergeCell ref="Z117:Z118"/>
    <mergeCell ref="AA117:AA118"/>
    <mergeCell ref="BF115:BF116"/>
    <mergeCell ref="BG115:BG116"/>
    <mergeCell ref="AH115:AH116"/>
    <mergeCell ref="AI115:AI116"/>
    <mergeCell ref="AJ115:AJ116"/>
    <mergeCell ref="AK115:AK116"/>
    <mergeCell ref="AL115:AL116"/>
    <mergeCell ref="AM115:AM116"/>
    <mergeCell ref="AB115:AB116"/>
    <mergeCell ref="AC115:AC116"/>
    <mergeCell ref="AD115:AD116"/>
    <mergeCell ref="AE115:AE116"/>
    <mergeCell ref="AF115:AF116"/>
    <mergeCell ref="AG115:AG116"/>
    <mergeCell ref="V115:V116"/>
    <mergeCell ref="W115:W116"/>
    <mergeCell ref="X115:X116"/>
    <mergeCell ref="Y115:Y116"/>
    <mergeCell ref="Z115:Z116"/>
    <mergeCell ref="AA115:AA116"/>
    <mergeCell ref="BH115:BH116"/>
    <mergeCell ref="BI115:BI116"/>
    <mergeCell ref="BJ115:BJ116"/>
    <mergeCell ref="BK115:BK116"/>
    <mergeCell ref="AZ115:AZ116"/>
    <mergeCell ref="BA115:BA116"/>
    <mergeCell ref="BB115:BB116"/>
    <mergeCell ref="BC115:BC116"/>
    <mergeCell ref="BD115:BD116"/>
    <mergeCell ref="BE115:BE116"/>
    <mergeCell ref="AT115:AT116"/>
    <mergeCell ref="AU115:AU116"/>
    <mergeCell ref="AV115:AV116"/>
    <mergeCell ref="AW115:AW116"/>
    <mergeCell ref="AX115:AX116"/>
    <mergeCell ref="AY115:AY116"/>
    <mergeCell ref="AN115:AN116"/>
    <mergeCell ref="AO115:AO116"/>
    <mergeCell ref="AP115:AP116"/>
    <mergeCell ref="AQ115:AQ116"/>
    <mergeCell ref="AR115:AR116"/>
    <mergeCell ref="AS115:AS116"/>
    <mergeCell ref="BF110:BF113"/>
    <mergeCell ref="BG110:BG113"/>
    <mergeCell ref="BH110:BH113"/>
    <mergeCell ref="BI110:BI113"/>
    <mergeCell ref="BJ110:BJ113"/>
    <mergeCell ref="BK110:BK113"/>
    <mergeCell ref="AZ110:AZ113"/>
    <mergeCell ref="BA110:BA113"/>
    <mergeCell ref="BB110:BB113"/>
    <mergeCell ref="BC110:BC113"/>
    <mergeCell ref="BD110:BD113"/>
    <mergeCell ref="BE110:BE113"/>
    <mergeCell ref="AT110:AT113"/>
    <mergeCell ref="AU110:AU113"/>
    <mergeCell ref="AV110:AV113"/>
    <mergeCell ref="AW110:AW113"/>
    <mergeCell ref="AX110:AX113"/>
    <mergeCell ref="AY110:AY113"/>
    <mergeCell ref="AR110:AR113"/>
    <mergeCell ref="AS110:AS113"/>
    <mergeCell ref="AH110:AH113"/>
    <mergeCell ref="AI110:AI113"/>
    <mergeCell ref="AJ110:AJ113"/>
    <mergeCell ref="AK110:AK113"/>
    <mergeCell ref="AL110:AL113"/>
    <mergeCell ref="AM110:AM113"/>
    <mergeCell ref="AB110:AB113"/>
    <mergeCell ref="AC110:AC113"/>
    <mergeCell ref="AD110:AD113"/>
    <mergeCell ref="AE110:AE113"/>
    <mergeCell ref="AF110:AF113"/>
    <mergeCell ref="AG110:AG113"/>
    <mergeCell ref="AN108:AN109"/>
    <mergeCell ref="AO108:AO109"/>
    <mergeCell ref="AP108:AP109"/>
    <mergeCell ref="AQ108:AQ109"/>
    <mergeCell ref="AR108:AR109"/>
    <mergeCell ref="AS108:AS109"/>
    <mergeCell ref="V110:V113"/>
    <mergeCell ref="W110:W113"/>
    <mergeCell ref="X110:X113"/>
    <mergeCell ref="Y110:Y113"/>
    <mergeCell ref="Z110:Z113"/>
    <mergeCell ref="AA110:AA113"/>
    <mergeCell ref="BF108:BF109"/>
    <mergeCell ref="BG108:BG109"/>
    <mergeCell ref="BH108:BH109"/>
    <mergeCell ref="BI108:BI109"/>
    <mergeCell ref="AH108:AH109"/>
    <mergeCell ref="AI108:AI109"/>
    <mergeCell ref="AJ108:AJ109"/>
    <mergeCell ref="AK108:AK109"/>
    <mergeCell ref="AL108:AL109"/>
    <mergeCell ref="AM108:AM109"/>
    <mergeCell ref="AB108:AB109"/>
    <mergeCell ref="AC108:AC109"/>
    <mergeCell ref="AD108:AD109"/>
    <mergeCell ref="AE108:AE109"/>
    <mergeCell ref="AF108:AF109"/>
    <mergeCell ref="AG108:AG109"/>
    <mergeCell ref="V108:V109"/>
    <mergeCell ref="W108:W109"/>
    <mergeCell ref="X108:X109"/>
    <mergeCell ref="Y108:Y109"/>
    <mergeCell ref="Z108:Z109"/>
    <mergeCell ref="AA108:AA109"/>
    <mergeCell ref="AN110:AN113"/>
    <mergeCell ref="AO110:AO113"/>
    <mergeCell ref="AP110:AP113"/>
    <mergeCell ref="AQ110:AQ113"/>
    <mergeCell ref="BI106:BI107"/>
    <mergeCell ref="BJ106:BJ107"/>
    <mergeCell ref="BK106:BK107"/>
    <mergeCell ref="AZ106:AZ107"/>
    <mergeCell ref="BA106:BA107"/>
    <mergeCell ref="BB106:BB107"/>
    <mergeCell ref="BC106:BC107"/>
    <mergeCell ref="BD106:BD107"/>
    <mergeCell ref="BE106:BE107"/>
    <mergeCell ref="AT106:AT107"/>
    <mergeCell ref="AU106:AU107"/>
    <mergeCell ref="AV106:AV107"/>
    <mergeCell ref="AW106:AW107"/>
    <mergeCell ref="AX106:AX107"/>
    <mergeCell ref="AY106:AY107"/>
    <mergeCell ref="BJ108:BJ109"/>
    <mergeCell ref="BK108:BK109"/>
    <mergeCell ref="AZ108:AZ109"/>
    <mergeCell ref="BA108:BA109"/>
    <mergeCell ref="BB108:BB109"/>
    <mergeCell ref="BC108:BC109"/>
    <mergeCell ref="BD108:BD109"/>
    <mergeCell ref="BE108:BE109"/>
    <mergeCell ref="AT108:AT109"/>
    <mergeCell ref="AU108:AU109"/>
    <mergeCell ref="AV108:AV109"/>
    <mergeCell ref="AW108:AW109"/>
    <mergeCell ref="AX108:AX109"/>
    <mergeCell ref="AY108:AY109"/>
    <mergeCell ref="AR106:AR107"/>
    <mergeCell ref="AS106:AS107"/>
    <mergeCell ref="AH106:AH107"/>
    <mergeCell ref="AI106:AI107"/>
    <mergeCell ref="AJ106:AJ107"/>
    <mergeCell ref="AK106:AK107"/>
    <mergeCell ref="AL106:AL107"/>
    <mergeCell ref="AM106:AM107"/>
    <mergeCell ref="AB106:AB107"/>
    <mergeCell ref="AC106:AC107"/>
    <mergeCell ref="AD106:AD107"/>
    <mergeCell ref="AE106:AE107"/>
    <mergeCell ref="AF106:AF107"/>
    <mergeCell ref="AG106:AG107"/>
    <mergeCell ref="BF106:BF107"/>
    <mergeCell ref="BG106:BG107"/>
    <mergeCell ref="BH106:BH107"/>
    <mergeCell ref="V106:V107"/>
    <mergeCell ref="W106:W107"/>
    <mergeCell ref="X106:X107"/>
    <mergeCell ref="Y106:Y107"/>
    <mergeCell ref="Z106:Z107"/>
    <mergeCell ref="AA106:AA107"/>
    <mergeCell ref="BH91:BH92"/>
    <mergeCell ref="BI91:BI92"/>
    <mergeCell ref="BJ91:BJ92"/>
    <mergeCell ref="BK91:BK92"/>
    <mergeCell ref="BB91:BB92"/>
    <mergeCell ref="BC91:BC92"/>
    <mergeCell ref="BD91:BD92"/>
    <mergeCell ref="BE91:BE92"/>
    <mergeCell ref="BF91:BF92"/>
    <mergeCell ref="BG91:BG92"/>
    <mergeCell ref="AV91:AV92"/>
    <mergeCell ref="AW91:AW92"/>
    <mergeCell ref="AX91:AX92"/>
    <mergeCell ref="AY91:AY92"/>
    <mergeCell ref="AZ91:AZ92"/>
    <mergeCell ref="BA91:BA92"/>
    <mergeCell ref="AJ91:AJ92"/>
    <mergeCell ref="AK91:AK92"/>
    <mergeCell ref="AL91:AL92"/>
    <mergeCell ref="AM91:AM92"/>
    <mergeCell ref="AT91:AT92"/>
    <mergeCell ref="AU91:AU92"/>
    <mergeCell ref="AN106:AN107"/>
    <mergeCell ref="AO106:AO107"/>
    <mergeCell ref="AP106:AP107"/>
    <mergeCell ref="AQ106:AQ107"/>
    <mergeCell ref="BJ88:BJ89"/>
    <mergeCell ref="BK88:BK89"/>
    <mergeCell ref="AB91:AB92"/>
    <mergeCell ref="AC91:AC92"/>
    <mergeCell ref="AD91:AD92"/>
    <mergeCell ref="AE91:AE92"/>
    <mergeCell ref="AF91:AF92"/>
    <mergeCell ref="AG91:AG92"/>
    <mergeCell ref="AH91:AH92"/>
    <mergeCell ref="AI91:AI92"/>
    <mergeCell ref="BD88:BD89"/>
    <mergeCell ref="BE88:BE89"/>
    <mergeCell ref="BF88:BF89"/>
    <mergeCell ref="BG88:BG89"/>
    <mergeCell ref="BH88:BH89"/>
    <mergeCell ref="BI88:BI89"/>
    <mergeCell ref="AX88:AX89"/>
    <mergeCell ref="AY88:AY89"/>
    <mergeCell ref="AZ88:AZ89"/>
    <mergeCell ref="BA88:BA89"/>
    <mergeCell ref="BB88:BB89"/>
    <mergeCell ref="BC88:BC89"/>
    <mergeCell ref="AL88:AL89"/>
    <mergeCell ref="AM88:AM89"/>
    <mergeCell ref="AT88:AT89"/>
    <mergeCell ref="AU88:AU89"/>
    <mergeCell ref="AV88:AV89"/>
    <mergeCell ref="AW88:AW89"/>
    <mergeCell ref="AF88:AF89"/>
    <mergeCell ref="AG88:AG89"/>
    <mergeCell ref="AH88:AH89"/>
    <mergeCell ref="AI88:AI89"/>
    <mergeCell ref="AJ88:AJ89"/>
    <mergeCell ref="AK88:AK89"/>
    <mergeCell ref="AB88:AB89"/>
    <mergeCell ref="AC88:AC89"/>
    <mergeCell ref="AD88:AD89"/>
    <mergeCell ref="AE88:AE89"/>
    <mergeCell ref="BF77:BF78"/>
    <mergeCell ref="BG77:BG78"/>
    <mergeCell ref="AT77:AT78"/>
    <mergeCell ref="AU77:AU78"/>
    <mergeCell ref="AV77:AV78"/>
    <mergeCell ref="AW77:AW78"/>
    <mergeCell ref="BH77:BH78"/>
    <mergeCell ref="BI77:BI78"/>
    <mergeCell ref="AB77:AB78"/>
    <mergeCell ref="AC77:AC78"/>
    <mergeCell ref="AD77:AD78"/>
    <mergeCell ref="AE77:AE78"/>
    <mergeCell ref="AF77:AF78"/>
    <mergeCell ref="AG77:AG78"/>
    <mergeCell ref="BJ77:BJ78"/>
    <mergeCell ref="BK77:BK78"/>
    <mergeCell ref="AZ77:AZ78"/>
    <mergeCell ref="BA77:BA78"/>
    <mergeCell ref="BB77:BB78"/>
    <mergeCell ref="BC77:BC78"/>
    <mergeCell ref="BD77:BD78"/>
    <mergeCell ref="BE77:BE78"/>
    <mergeCell ref="AX77:AX78"/>
    <mergeCell ref="AY77:AY78"/>
    <mergeCell ref="AN77:AN78"/>
    <mergeCell ref="AO77:AO78"/>
    <mergeCell ref="AP77:AP78"/>
    <mergeCell ref="AQ77:AQ78"/>
    <mergeCell ref="AR77:AR78"/>
    <mergeCell ref="AS77:AS78"/>
    <mergeCell ref="AH77:AH78"/>
    <mergeCell ref="AI77:AI78"/>
    <mergeCell ref="AJ77:AJ78"/>
    <mergeCell ref="AK77:AK78"/>
    <mergeCell ref="AL77:AL78"/>
    <mergeCell ref="AM77:AM78"/>
    <mergeCell ref="V77:V78"/>
    <mergeCell ref="W77:W78"/>
    <mergeCell ref="X77:X78"/>
    <mergeCell ref="Y77:Y78"/>
    <mergeCell ref="Z77:Z78"/>
    <mergeCell ref="AA77:AA78"/>
    <mergeCell ref="BF75:BF76"/>
    <mergeCell ref="BG75:BG76"/>
    <mergeCell ref="BH75:BH76"/>
    <mergeCell ref="BI75:BI76"/>
    <mergeCell ref="BJ75:BJ76"/>
    <mergeCell ref="BK75:BK76"/>
    <mergeCell ref="AZ75:AZ76"/>
    <mergeCell ref="BA75:BA76"/>
    <mergeCell ref="BB75:BB76"/>
    <mergeCell ref="BC75:BC76"/>
    <mergeCell ref="BD75:BD76"/>
    <mergeCell ref="BE75:BE76"/>
    <mergeCell ref="AT75:AT76"/>
    <mergeCell ref="AU75:AU76"/>
    <mergeCell ref="AV75:AV76"/>
    <mergeCell ref="AW75:AW76"/>
    <mergeCell ref="AX75:AX76"/>
    <mergeCell ref="AY75:AY76"/>
    <mergeCell ref="AN75:AN76"/>
    <mergeCell ref="AO75:AO76"/>
    <mergeCell ref="AP75:AP76"/>
    <mergeCell ref="AQ75:AQ76"/>
    <mergeCell ref="AR75:AR76"/>
    <mergeCell ref="AS75:AS76"/>
    <mergeCell ref="AH75:AH76"/>
    <mergeCell ref="AI75:AI76"/>
    <mergeCell ref="AJ75:AJ76"/>
    <mergeCell ref="AK75:AK76"/>
    <mergeCell ref="AL75:AL76"/>
    <mergeCell ref="AM75:AM76"/>
    <mergeCell ref="AB75:AB76"/>
    <mergeCell ref="AC75:AC76"/>
    <mergeCell ref="AD75:AD76"/>
    <mergeCell ref="AE75:AE76"/>
    <mergeCell ref="AF75:AF76"/>
    <mergeCell ref="AG75:AG76"/>
    <mergeCell ref="BH68:BH69"/>
    <mergeCell ref="BI68:BI69"/>
    <mergeCell ref="BJ68:BJ69"/>
    <mergeCell ref="BK68:BK69"/>
    <mergeCell ref="V75:V76"/>
    <mergeCell ref="W75:W76"/>
    <mergeCell ref="X75:X76"/>
    <mergeCell ref="Y75:Y76"/>
    <mergeCell ref="Z75:Z76"/>
    <mergeCell ref="AA75:AA76"/>
    <mergeCell ref="BB68:BB69"/>
    <mergeCell ref="BC68:BC69"/>
    <mergeCell ref="BD68:BD69"/>
    <mergeCell ref="BE68:BE69"/>
    <mergeCell ref="BF68:BF69"/>
    <mergeCell ref="BG68:BG69"/>
    <mergeCell ref="AV68:AV69"/>
    <mergeCell ref="AW68:AW69"/>
    <mergeCell ref="AX68:AX69"/>
    <mergeCell ref="AY68:AY69"/>
    <mergeCell ref="AZ68:AZ69"/>
    <mergeCell ref="BA68:BA69"/>
    <mergeCell ref="AP68:AP69"/>
    <mergeCell ref="AQ68:AQ69"/>
    <mergeCell ref="AR68:AR69"/>
    <mergeCell ref="AS68:AS69"/>
    <mergeCell ref="AT68:AT69"/>
    <mergeCell ref="AU68:AU69"/>
    <mergeCell ref="AJ68:AJ69"/>
    <mergeCell ref="AK68:AK69"/>
    <mergeCell ref="AL68:AL69"/>
    <mergeCell ref="AM68:AM69"/>
    <mergeCell ref="AN68:AN69"/>
    <mergeCell ref="AO68:AO69"/>
    <mergeCell ref="AD68:AD69"/>
    <mergeCell ref="AE68:AE69"/>
    <mergeCell ref="AF68:AF69"/>
    <mergeCell ref="AG68:AG69"/>
    <mergeCell ref="AH68:AH69"/>
    <mergeCell ref="AI68:AI69"/>
    <mergeCell ref="BK65:BK66"/>
    <mergeCell ref="D68:D69"/>
    <mergeCell ref="V68:V69"/>
    <mergeCell ref="W68:W69"/>
    <mergeCell ref="X68:X69"/>
    <mergeCell ref="Y68:Y69"/>
    <mergeCell ref="Z68:Z69"/>
    <mergeCell ref="AA68:AA69"/>
    <mergeCell ref="AB68:AB69"/>
    <mergeCell ref="AC68:AC69"/>
    <mergeCell ref="BE65:BE66"/>
    <mergeCell ref="BF65:BF66"/>
    <mergeCell ref="BG65:BG66"/>
    <mergeCell ref="BH65:BH66"/>
    <mergeCell ref="BI65:BI66"/>
    <mergeCell ref="BJ65:BJ66"/>
    <mergeCell ref="AY65:AY66"/>
    <mergeCell ref="AZ65:AZ66"/>
    <mergeCell ref="BA65:BA66"/>
    <mergeCell ref="BB65:BB66"/>
    <mergeCell ref="BC65:BC66"/>
    <mergeCell ref="BD65:BD66"/>
    <mergeCell ref="AS65:AS66"/>
    <mergeCell ref="AT65:AT66"/>
    <mergeCell ref="AU65:AU66"/>
    <mergeCell ref="AV65:AV66"/>
    <mergeCell ref="AW65:AW66"/>
    <mergeCell ref="AX65:AX66"/>
    <mergeCell ref="AM65:AM66"/>
    <mergeCell ref="AN65:AN66"/>
    <mergeCell ref="AO65:AO66"/>
    <mergeCell ref="AP65:AP66"/>
    <mergeCell ref="AQ65:AQ66"/>
    <mergeCell ref="AR65:AR66"/>
    <mergeCell ref="AG65:AG66"/>
    <mergeCell ref="AH65:AH66"/>
    <mergeCell ref="AI65:AI66"/>
    <mergeCell ref="AJ65:AJ66"/>
    <mergeCell ref="AK65:AK66"/>
    <mergeCell ref="AL65:AL66"/>
    <mergeCell ref="AA65:AA66"/>
    <mergeCell ref="AB65:AB66"/>
    <mergeCell ref="AC65:AC66"/>
    <mergeCell ref="AD65:AD66"/>
    <mergeCell ref="AE65:AE66"/>
    <mergeCell ref="AF65:AF66"/>
    <mergeCell ref="BK49:BK50"/>
    <mergeCell ref="D56:D57"/>
    <mergeCell ref="D58:D59"/>
    <mergeCell ref="D65:D66"/>
    <mergeCell ref="V65:V66"/>
    <mergeCell ref="W65:W66"/>
    <mergeCell ref="X65:X66"/>
    <mergeCell ref="Y65:Y66"/>
    <mergeCell ref="Z65:Z66"/>
    <mergeCell ref="BE49:BE50"/>
    <mergeCell ref="BF49:BF50"/>
    <mergeCell ref="BG49:BG50"/>
    <mergeCell ref="BH49:BH50"/>
    <mergeCell ref="BI49:BI50"/>
    <mergeCell ref="BJ49:BJ50"/>
    <mergeCell ref="AY49:AY50"/>
    <mergeCell ref="AZ49:AZ50"/>
    <mergeCell ref="BA49:BA50"/>
    <mergeCell ref="BB49:BB50"/>
    <mergeCell ref="BC49:BC50"/>
    <mergeCell ref="BD49:BD50"/>
    <mergeCell ref="AS49:AS50"/>
    <mergeCell ref="AT49:AT50"/>
    <mergeCell ref="AU49:AU50"/>
    <mergeCell ref="AV49:AV50"/>
    <mergeCell ref="AW49:AW50"/>
    <mergeCell ref="AX49:AX50"/>
    <mergeCell ref="AM49:AM50"/>
    <mergeCell ref="AN49:AN50"/>
    <mergeCell ref="AO49:AO50"/>
    <mergeCell ref="AP49:AP50"/>
    <mergeCell ref="AQ49:AQ50"/>
    <mergeCell ref="AR49:AR50"/>
    <mergeCell ref="AG49:AG50"/>
    <mergeCell ref="AH49:AH50"/>
    <mergeCell ref="AI49:AI50"/>
    <mergeCell ref="AJ49:AJ50"/>
    <mergeCell ref="AK49:AK50"/>
    <mergeCell ref="AL49:AL50"/>
    <mergeCell ref="AB49:AB50"/>
    <mergeCell ref="AC49:AC50"/>
    <mergeCell ref="AD49:AD50"/>
    <mergeCell ref="AE49:AE50"/>
    <mergeCell ref="AF49:AF50"/>
    <mergeCell ref="BF46:BF47"/>
    <mergeCell ref="BE46:BE47"/>
    <mergeCell ref="AT46:AT47"/>
    <mergeCell ref="AU46:AU47"/>
    <mergeCell ref="AV46:AV47"/>
    <mergeCell ref="BG46:BG47"/>
    <mergeCell ref="BH46:BH47"/>
    <mergeCell ref="BI46:BI47"/>
    <mergeCell ref="BJ46:BJ47"/>
    <mergeCell ref="BK46:BK47"/>
    <mergeCell ref="AZ46:AZ47"/>
    <mergeCell ref="BA46:BA47"/>
    <mergeCell ref="BB46:BB47"/>
    <mergeCell ref="BC46:BC47"/>
    <mergeCell ref="BD46:BD47"/>
    <mergeCell ref="AW46:AW47"/>
    <mergeCell ref="AX46:AX47"/>
    <mergeCell ref="AY46:AY47"/>
    <mergeCell ref="AN46:AN47"/>
    <mergeCell ref="AO46:AO47"/>
    <mergeCell ref="AP46:AP47"/>
    <mergeCell ref="AQ46:AQ47"/>
    <mergeCell ref="AR46:AR47"/>
    <mergeCell ref="AS46:AS47"/>
    <mergeCell ref="AH46:AH47"/>
    <mergeCell ref="AI46:AI47"/>
    <mergeCell ref="AJ46:AJ47"/>
    <mergeCell ref="AK46:AK47"/>
    <mergeCell ref="AL46:AL47"/>
    <mergeCell ref="AM46:AM47"/>
    <mergeCell ref="AQ40:AQ42"/>
    <mergeCell ref="AR40:AR42"/>
    <mergeCell ref="AS40:AS42"/>
    <mergeCell ref="D46:D48"/>
    <mergeCell ref="AB46:AB47"/>
    <mergeCell ref="AC46:AC47"/>
    <mergeCell ref="AD46:AD47"/>
    <mergeCell ref="AE46:AE47"/>
    <mergeCell ref="AF46:AF47"/>
    <mergeCell ref="AK40:AK42"/>
    <mergeCell ref="AL40:AL42"/>
    <mergeCell ref="AM40:AM42"/>
    <mergeCell ref="AN40:AN42"/>
    <mergeCell ref="AO40:AO42"/>
    <mergeCell ref="AP40:AP42"/>
    <mergeCell ref="AB40:AB42"/>
    <mergeCell ref="AC40:AC42"/>
    <mergeCell ref="AD40:AD42"/>
    <mergeCell ref="AE40:AE42"/>
    <mergeCell ref="AF40:AF42"/>
    <mergeCell ref="AG40:AG42"/>
    <mergeCell ref="AH40:AH42"/>
    <mergeCell ref="AI40:AI42"/>
    <mergeCell ref="AJ40:AJ42"/>
    <mergeCell ref="BE38:BE39"/>
    <mergeCell ref="BF38:BF39"/>
    <mergeCell ref="BG38:BG39"/>
    <mergeCell ref="AY38:AY39"/>
    <mergeCell ref="AZ38:AZ39"/>
    <mergeCell ref="BA38:BA39"/>
    <mergeCell ref="BB38:BB39"/>
    <mergeCell ref="BD38:BD39"/>
    <mergeCell ref="AS38:AS39"/>
    <mergeCell ref="AT38:AT39"/>
    <mergeCell ref="AU38:AU39"/>
    <mergeCell ref="AV38:AV39"/>
    <mergeCell ref="AW38:AW39"/>
    <mergeCell ref="AX38:AX39"/>
    <mergeCell ref="AM38:AM39"/>
    <mergeCell ref="AN38:AN39"/>
    <mergeCell ref="AO38:AO39"/>
    <mergeCell ref="AP38:AP39"/>
    <mergeCell ref="AG38:AG39"/>
    <mergeCell ref="AH38:AH39"/>
    <mergeCell ref="AI38:AI39"/>
    <mergeCell ref="AJ38:AJ39"/>
    <mergeCell ref="AK38:AK39"/>
    <mergeCell ref="AL38:AL39"/>
    <mergeCell ref="AA38:AA39"/>
    <mergeCell ref="AB38:AB39"/>
    <mergeCell ref="AC38:AC39"/>
    <mergeCell ref="AD38:AD39"/>
    <mergeCell ref="AE38:AE39"/>
    <mergeCell ref="AF38:AF39"/>
    <mergeCell ref="BG24:BG26"/>
    <mergeCell ref="BH24:BH26"/>
    <mergeCell ref="BI24:BI26"/>
    <mergeCell ref="BK38:BK39"/>
    <mergeCell ref="BH38:BH39"/>
    <mergeCell ref="BI38:BI39"/>
    <mergeCell ref="BJ38:BJ39"/>
    <mergeCell ref="BC38:BC39"/>
    <mergeCell ref="AC27:AC28"/>
    <mergeCell ref="AD27:AD28"/>
    <mergeCell ref="AE27:AE28"/>
    <mergeCell ref="AF27:AF28"/>
    <mergeCell ref="AG27:AG28"/>
    <mergeCell ref="BF27:BF28"/>
    <mergeCell ref="BE27:BE28"/>
    <mergeCell ref="AU27:AU28"/>
    <mergeCell ref="AV27:AV28"/>
    <mergeCell ref="AW27:AW28"/>
    <mergeCell ref="AX27:AX28"/>
    <mergeCell ref="AY27:AY28"/>
    <mergeCell ref="BK24:BK26"/>
    <mergeCell ref="V38:V39"/>
    <mergeCell ref="W38:W39"/>
    <mergeCell ref="X38:X39"/>
    <mergeCell ref="Y38:Y39"/>
    <mergeCell ref="Z38:Z39"/>
    <mergeCell ref="BA24:BA26"/>
    <mergeCell ref="BB24:BB26"/>
    <mergeCell ref="BC24:BC26"/>
    <mergeCell ref="BD24:BD26"/>
    <mergeCell ref="BE24:BE26"/>
    <mergeCell ref="BF24:BF26"/>
    <mergeCell ref="AU24:AU26"/>
    <mergeCell ref="AV24:AV26"/>
    <mergeCell ref="AW24:AW26"/>
    <mergeCell ref="AX24:AX26"/>
    <mergeCell ref="AY24:AY26"/>
    <mergeCell ref="AZ24:AZ26"/>
    <mergeCell ref="AO24:AO26"/>
    <mergeCell ref="AP24:AP26"/>
    <mergeCell ref="AQ24:AQ26"/>
    <mergeCell ref="AR24:AR26"/>
    <mergeCell ref="AS24:AS26"/>
    <mergeCell ref="AT24:AT26"/>
    <mergeCell ref="AI24:AI26"/>
    <mergeCell ref="AJ24:AJ26"/>
    <mergeCell ref="AK24:AK26"/>
    <mergeCell ref="AL24:AL26"/>
    <mergeCell ref="AM24:AM26"/>
    <mergeCell ref="AN24:AN26"/>
    <mergeCell ref="AQ38:AQ39"/>
    <mergeCell ref="AR38:AR39"/>
    <mergeCell ref="BK22:BK23"/>
    <mergeCell ref="D24:D26"/>
    <mergeCell ref="AB24:AB26"/>
    <mergeCell ref="AC24:AC26"/>
    <mergeCell ref="AD24:AD26"/>
    <mergeCell ref="AE24:AE26"/>
    <mergeCell ref="AF24:AF26"/>
    <mergeCell ref="AG24:AG26"/>
    <mergeCell ref="AH24:AH26"/>
    <mergeCell ref="BD22:BD23"/>
    <mergeCell ref="BE22:BE23"/>
    <mergeCell ref="BF22:BF23"/>
    <mergeCell ref="BG22:BG23"/>
    <mergeCell ref="BH22:BH23"/>
    <mergeCell ref="BI22:BI23"/>
    <mergeCell ref="AX22:AX23"/>
    <mergeCell ref="AY22:AY23"/>
    <mergeCell ref="AZ22:AZ23"/>
    <mergeCell ref="BA22:BA23"/>
    <mergeCell ref="BB22:BB23"/>
    <mergeCell ref="BC22:BC23"/>
    <mergeCell ref="AR22:AR23"/>
    <mergeCell ref="AS22:AS23"/>
    <mergeCell ref="AT22:AT23"/>
    <mergeCell ref="AU22:AU23"/>
    <mergeCell ref="AV22:AV23"/>
    <mergeCell ref="AW22:AW23"/>
    <mergeCell ref="AL22:AL23"/>
    <mergeCell ref="AM22:AM23"/>
    <mergeCell ref="AN22:AN23"/>
    <mergeCell ref="AO22:AO23"/>
    <mergeCell ref="BJ24:BJ26"/>
    <mergeCell ref="AP22:AP23"/>
    <mergeCell ref="AQ22:AQ23"/>
    <mergeCell ref="AF22:AF23"/>
    <mergeCell ref="AG22:AG23"/>
    <mergeCell ref="AH22:AH23"/>
    <mergeCell ref="AI22:AI23"/>
    <mergeCell ref="AJ22:AJ23"/>
    <mergeCell ref="AK22:AK23"/>
    <mergeCell ref="Z22:Z23"/>
    <mergeCell ref="AA22:AA23"/>
    <mergeCell ref="AB22:AB23"/>
    <mergeCell ref="AC22:AC23"/>
    <mergeCell ref="AD22:AD23"/>
    <mergeCell ref="AE22:AE23"/>
    <mergeCell ref="BH19:BH20"/>
    <mergeCell ref="BI19:BI20"/>
    <mergeCell ref="BJ19:BJ20"/>
    <mergeCell ref="AE19:AE20"/>
    <mergeCell ref="AF19:AF20"/>
    <mergeCell ref="AG19:AG20"/>
    <mergeCell ref="AH19:AH20"/>
    <mergeCell ref="AI19:AI20"/>
    <mergeCell ref="BJ22:BJ23"/>
    <mergeCell ref="BK19:BK20"/>
    <mergeCell ref="A22:A36"/>
    <mergeCell ref="D22:D23"/>
    <mergeCell ref="V22:V23"/>
    <mergeCell ref="W22:W23"/>
    <mergeCell ref="X22:X23"/>
    <mergeCell ref="Y22:Y23"/>
    <mergeCell ref="BB19:BB20"/>
    <mergeCell ref="BC19:BC20"/>
    <mergeCell ref="BD19:BD20"/>
    <mergeCell ref="BE19:BE20"/>
    <mergeCell ref="BF19:BF20"/>
    <mergeCell ref="BG19:BG20"/>
    <mergeCell ref="AV19:AV20"/>
    <mergeCell ref="AW19:AW20"/>
    <mergeCell ref="AX19:AX20"/>
    <mergeCell ref="AY19:AY20"/>
    <mergeCell ref="AZ19:AZ20"/>
    <mergeCell ref="BA19:BA20"/>
    <mergeCell ref="AP19:AP20"/>
    <mergeCell ref="AQ19:AQ20"/>
    <mergeCell ref="AR19:AR20"/>
    <mergeCell ref="AS19:AS20"/>
    <mergeCell ref="AT19:AT20"/>
    <mergeCell ref="AU19:AU20"/>
    <mergeCell ref="AJ19:AJ20"/>
    <mergeCell ref="AK19:AK20"/>
    <mergeCell ref="AL19:AL20"/>
    <mergeCell ref="AM19:AM20"/>
    <mergeCell ref="AN19:AN20"/>
    <mergeCell ref="AO19:AO20"/>
    <mergeCell ref="AD19:AD20"/>
    <mergeCell ref="Y19:Y20"/>
    <mergeCell ref="Z19:Z20"/>
    <mergeCell ref="BF16:BF17"/>
    <mergeCell ref="BE16:BE17"/>
    <mergeCell ref="AT16:AT17"/>
    <mergeCell ref="AU16:AU17"/>
    <mergeCell ref="AV16:AV17"/>
    <mergeCell ref="AA19:AA20"/>
    <mergeCell ref="AB19:AB20"/>
    <mergeCell ref="AC19:AC20"/>
    <mergeCell ref="BG16:BG17"/>
    <mergeCell ref="BH16:BH17"/>
    <mergeCell ref="BI16:BI17"/>
    <mergeCell ref="BJ16:BJ17"/>
    <mergeCell ref="BK16:BK17"/>
    <mergeCell ref="AZ16:AZ17"/>
    <mergeCell ref="BA16:BA17"/>
    <mergeCell ref="BB16:BB17"/>
    <mergeCell ref="BC16:BC17"/>
    <mergeCell ref="BD16:BD17"/>
    <mergeCell ref="AM16:AM17"/>
    <mergeCell ref="AW16:AW17"/>
    <mergeCell ref="AX16:AX17"/>
    <mergeCell ref="AY16:AY17"/>
    <mergeCell ref="AN16:AN17"/>
    <mergeCell ref="AO16:AO17"/>
    <mergeCell ref="AP16:AP17"/>
    <mergeCell ref="AQ16:AQ17"/>
    <mergeCell ref="AR16:AR17"/>
    <mergeCell ref="AS16:AS17"/>
    <mergeCell ref="AG16:AG17"/>
    <mergeCell ref="AH16:AH17"/>
    <mergeCell ref="AI16:AI17"/>
    <mergeCell ref="AJ16:AJ17"/>
    <mergeCell ref="AK16:AK17"/>
    <mergeCell ref="AL16:AL17"/>
    <mergeCell ref="AA16:AA17"/>
    <mergeCell ref="AB16:AB17"/>
    <mergeCell ref="AC16:AC17"/>
    <mergeCell ref="AD16:AD17"/>
    <mergeCell ref="AE16:AE17"/>
    <mergeCell ref="AF16:AF17"/>
    <mergeCell ref="V16:V17"/>
    <mergeCell ref="W16:W17"/>
    <mergeCell ref="X16:X17"/>
    <mergeCell ref="V19:V20"/>
    <mergeCell ref="W19:W20"/>
    <mergeCell ref="X19:X20"/>
    <mergeCell ref="BF11:BF12"/>
    <mergeCell ref="AN11:AN12"/>
    <mergeCell ref="AO11:AO12"/>
    <mergeCell ref="AP11:AP12"/>
    <mergeCell ref="AQ11:AQ12"/>
    <mergeCell ref="AR11:AR12"/>
    <mergeCell ref="AS11:AS12"/>
    <mergeCell ref="AH11:AH12"/>
    <mergeCell ref="AI11:AI12"/>
    <mergeCell ref="AJ11:AJ12"/>
    <mergeCell ref="AK11:AK12"/>
    <mergeCell ref="AL11:AL12"/>
    <mergeCell ref="AM11:AM12"/>
    <mergeCell ref="AB11:AB12"/>
    <mergeCell ref="AC11:AC12"/>
    <mergeCell ref="AD11:AD12"/>
    <mergeCell ref="BG11:BG12"/>
    <mergeCell ref="BH11:BH12"/>
    <mergeCell ref="BI11:BI12"/>
    <mergeCell ref="BJ11:BJ12"/>
    <mergeCell ref="BK11:BK12"/>
    <mergeCell ref="AZ11:AZ12"/>
    <mergeCell ref="BA11:BA12"/>
    <mergeCell ref="BB11:BB12"/>
    <mergeCell ref="BC11:BC12"/>
    <mergeCell ref="BD11:BD12"/>
    <mergeCell ref="BE11:BE12"/>
    <mergeCell ref="AT11:AT12"/>
    <mergeCell ref="AU11:AU12"/>
    <mergeCell ref="AV11:AV12"/>
    <mergeCell ref="AW11:AW12"/>
    <mergeCell ref="AX11:AX12"/>
    <mergeCell ref="AY11:AY12"/>
    <mergeCell ref="AE11:AE12"/>
    <mergeCell ref="AF11:AF12"/>
    <mergeCell ref="AG11:AG12"/>
    <mergeCell ref="BH9:BH10"/>
    <mergeCell ref="BI9:BI10"/>
    <mergeCell ref="BJ9:BJ10"/>
    <mergeCell ref="BK9:BK10"/>
    <mergeCell ref="V11:V12"/>
    <mergeCell ref="W11:W12"/>
    <mergeCell ref="X11:X12"/>
    <mergeCell ref="Y11:Y12"/>
    <mergeCell ref="Z11:Z12"/>
    <mergeCell ref="AA11:AA12"/>
    <mergeCell ref="BB9:BB10"/>
    <mergeCell ref="BC9:BC10"/>
    <mergeCell ref="BD9:BD10"/>
    <mergeCell ref="BE9:BE10"/>
    <mergeCell ref="BF9:BF10"/>
    <mergeCell ref="BG9:BG10"/>
    <mergeCell ref="AV9:AV10"/>
    <mergeCell ref="AW9:AW10"/>
    <mergeCell ref="AX9:AX10"/>
    <mergeCell ref="AY9:AY10"/>
    <mergeCell ref="AZ9:AZ10"/>
    <mergeCell ref="BA9:BA10"/>
    <mergeCell ref="AP9:AP10"/>
    <mergeCell ref="AQ9:AQ10"/>
    <mergeCell ref="AR9:AR10"/>
    <mergeCell ref="AS9:AS10"/>
    <mergeCell ref="AT9:AT10"/>
    <mergeCell ref="AU9:AU10"/>
    <mergeCell ref="AJ9:AJ10"/>
    <mergeCell ref="AK9:AK10"/>
    <mergeCell ref="AL9:AL10"/>
    <mergeCell ref="AM9:AM10"/>
    <mergeCell ref="AN9:AN10"/>
    <mergeCell ref="AO9:AO10"/>
    <mergeCell ref="AD9:AD10"/>
    <mergeCell ref="AE9:AE10"/>
    <mergeCell ref="AF9:AF10"/>
    <mergeCell ref="AG9:AG10"/>
    <mergeCell ref="AH9:AH10"/>
    <mergeCell ref="AI9:AI10"/>
    <mergeCell ref="V9:V10"/>
    <mergeCell ref="W9:W10"/>
    <mergeCell ref="X9:X10"/>
    <mergeCell ref="Y9:Y10"/>
    <mergeCell ref="Z9:Z10"/>
    <mergeCell ref="AT5:AV5"/>
    <mergeCell ref="AQ5:AS5"/>
    <mergeCell ref="AA9:AA10"/>
    <mergeCell ref="AB9:AB10"/>
    <mergeCell ref="AC9:AC10"/>
    <mergeCell ref="AW5:AY5"/>
    <mergeCell ref="AZ5:BB5"/>
    <mergeCell ref="BC5:BE5"/>
    <mergeCell ref="BF5:BH5"/>
    <mergeCell ref="BI5:BK5"/>
    <mergeCell ref="AB5:AD5"/>
    <mergeCell ref="AE5:AG5"/>
    <mergeCell ref="AH5:AJ5"/>
    <mergeCell ref="AK5:AM5"/>
    <mergeCell ref="AN5:AP5"/>
    <mergeCell ref="Q5:Q6"/>
    <mergeCell ref="R5:T5"/>
    <mergeCell ref="U5:U6"/>
    <mergeCell ref="V5:X5"/>
    <mergeCell ref="Y5:AA5"/>
    <mergeCell ref="I5:I6"/>
    <mergeCell ref="J5:J6"/>
    <mergeCell ref="K5:K6"/>
    <mergeCell ref="L5:L6"/>
    <mergeCell ref="M5:M6"/>
    <mergeCell ref="O5:O6"/>
    <mergeCell ref="P5:P6"/>
    <mergeCell ref="B118:B119"/>
    <mergeCell ref="B184:B185"/>
    <mergeCell ref="A102:A103"/>
    <mergeCell ref="D106:D107"/>
    <mergeCell ref="D108:D109"/>
    <mergeCell ref="D115:D116"/>
    <mergeCell ref="B27:B28"/>
    <mergeCell ref="B46:B48"/>
    <mergeCell ref="B49:B51"/>
    <mergeCell ref="B56:B57"/>
    <mergeCell ref="B58:B59"/>
    <mergeCell ref="B65:B66"/>
    <mergeCell ref="B188:B190"/>
    <mergeCell ref="B60:B61"/>
    <mergeCell ref="B68:B69"/>
    <mergeCell ref="B81:B83"/>
    <mergeCell ref="B98:B100"/>
    <mergeCell ref="B106:B107"/>
    <mergeCell ref="B108:B109"/>
    <mergeCell ref="B115:B116"/>
    <mergeCell ref="D60:D61"/>
    <mergeCell ref="B62:B63"/>
    <mergeCell ref="D62:D63"/>
    <mergeCell ref="D118:D119"/>
    <mergeCell ref="D81:D83"/>
    <mergeCell ref="A184:A190"/>
    <mergeCell ref="C108:C109"/>
    <mergeCell ref="C115:C116"/>
    <mergeCell ref="C118:C119"/>
    <mergeCell ref="C184:C185"/>
    <mergeCell ref="C188:C190"/>
    <mergeCell ref="C68:C69"/>
  </mergeCells>
  <conditionalFormatting sqref="N7:N13 N22:N26 N34:N44 N29 N104:N183 N64:N101">
    <cfRule type="cellIs" dxfId="17" priority="21" stopIfTrue="1" operator="greaterThanOrEqual">
      <formula>0</formula>
    </cfRule>
  </conditionalFormatting>
  <conditionalFormatting sqref="V7">
    <cfRule type="cellIs" dxfId="16" priority="20" stopIfTrue="1" operator="between">
      <formula>$O$7</formula>
      <formula>$O$8</formula>
    </cfRule>
  </conditionalFormatting>
  <conditionalFormatting sqref="AC8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{1A709DB6-737D-4800-8EEC-34E7EEAE74A2}</x14:id>
        </ext>
      </extLst>
    </cfRule>
  </conditionalFormatting>
  <conditionalFormatting sqref="N18">
    <cfRule type="cellIs" dxfId="15" priority="18" stopIfTrue="1" operator="greaterThanOrEqual">
      <formula>0</formula>
    </cfRule>
  </conditionalFormatting>
  <conditionalFormatting sqref="N21">
    <cfRule type="cellIs" dxfId="14" priority="17" stopIfTrue="1" operator="greaterThanOrEqual">
      <formula>0</formula>
    </cfRule>
  </conditionalFormatting>
  <conditionalFormatting sqref="N19:N20">
    <cfRule type="cellIs" dxfId="13" priority="16" stopIfTrue="1" operator="greaterThanOrEqual">
      <formula>0</formula>
    </cfRule>
  </conditionalFormatting>
  <conditionalFormatting sqref="N184:N185">
    <cfRule type="cellIs" dxfId="12" priority="15" stopIfTrue="1" operator="greaterThanOrEqual">
      <formula>0</formula>
    </cfRule>
  </conditionalFormatting>
  <conditionalFormatting sqref="N186">
    <cfRule type="cellIs" dxfId="11" priority="14" stopIfTrue="1" operator="greaterThanOrEqual">
      <formula>0</formula>
    </cfRule>
  </conditionalFormatting>
  <conditionalFormatting sqref="N187">
    <cfRule type="cellIs" dxfId="10" priority="12" stopIfTrue="1" operator="greaterThanOrEqual">
      <formula>0</formula>
    </cfRule>
  </conditionalFormatting>
  <conditionalFormatting sqref="N56:N59 N46:N51">
    <cfRule type="cellIs" dxfId="9" priority="11" stopIfTrue="1" operator="greaterThanOrEqual">
      <formula>0</formula>
    </cfRule>
  </conditionalFormatting>
  <conditionalFormatting sqref="N188:N190">
    <cfRule type="cellIs" dxfId="8" priority="9" stopIfTrue="1" operator="greaterThanOrEqual">
      <formula>0</formula>
    </cfRule>
  </conditionalFormatting>
  <conditionalFormatting sqref="N16:N17">
    <cfRule type="cellIs" dxfId="7" priority="8" stopIfTrue="1" operator="greaterThanOrEqual">
      <formula>0</formula>
    </cfRule>
  </conditionalFormatting>
  <conditionalFormatting sqref="N14:N15">
    <cfRule type="cellIs" dxfId="6" priority="7" stopIfTrue="1" operator="greaterThanOrEqual">
      <formula>0</formula>
    </cfRule>
  </conditionalFormatting>
  <conditionalFormatting sqref="N102">
    <cfRule type="cellIs" dxfId="5" priority="6" stopIfTrue="1" operator="greaterThanOrEqual">
      <formula>0</formula>
    </cfRule>
  </conditionalFormatting>
  <conditionalFormatting sqref="N103">
    <cfRule type="cellIs" dxfId="4" priority="5" stopIfTrue="1" operator="greaterThanOrEqual">
      <formula>0</formula>
    </cfRule>
  </conditionalFormatting>
  <conditionalFormatting sqref="N28">
    <cfRule type="cellIs" dxfId="3" priority="4" stopIfTrue="1" operator="greaterThanOrEqual">
      <formula>0</formula>
    </cfRule>
  </conditionalFormatting>
  <conditionalFormatting sqref="N27">
    <cfRule type="cellIs" dxfId="2" priority="3" stopIfTrue="1" operator="greaterThanOrEqual">
      <formula>0</formula>
    </cfRule>
  </conditionalFormatting>
  <conditionalFormatting sqref="N45">
    <cfRule type="cellIs" dxfId="1" priority="2" stopIfTrue="1" operator="greaterThanOrEqual">
      <formula>0</formula>
    </cfRule>
  </conditionalFormatting>
  <conditionalFormatting sqref="N60:N63">
    <cfRule type="cellIs" dxfId="0" priority="1" stopIfTrue="1" operator="greaterThanOrEqual">
      <formula>0</formula>
    </cfRule>
  </conditionalFormatting>
  <printOptions horizontalCentered="1" verticalCentered="1"/>
  <pageMargins left="0" right="0" top="0" bottom="0" header="0" footer="0"/>
  <pageSetup paperSize="9" scale="35" orientation="portrait" r:id="rId1"/>
  <headerFooter alignWithMargins="0">
    <oddHeader>&amp;L&amp;BVisteon Confidentiel&amp;B&amp;C&amp;D&amp;RPage &amp;P</oddHeader>
    <oddFooter>&amp;L&amp;D&amp;C&amp;F&amp;RPage &amp;P
&amp;T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709DB6-737D-4800-8EEC-34E7EEAE74A2}">
            <x14:dataBar minLength="0" maxLength="100" negativeBarColorSameAsPositive="1" axisPosition="none">
              <x14:cfvo type="min"/>
              <x14:cfvo type="max"/>
            </x14:dataBar>
          </x14:cfRule>
          <xm:sqref>AC8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17"/>
  <sheetViews>
    <sheetView zoomScale="90" zoomScaleNormal="90" workbookViewId="0">
      <selection activeCell="AA26" sqref="A21:AA26"/>
    </sheetView>
  </sheetViews>
  <sheetFormatPr baseColWidth="10" defaultColWidth="24.5703125" defaultRowHeight="14.25" customHeight="1"/>
  <cols>
    <col min="1" max="1" width="12.5703125" style="107" customWidth="1"/>
    <col min="2" max="2" width="17.5703125" style="107" customWidth="1"/>
    <col min="3" max="3" width="12.42578125" style="107" customWidth="1"/>
    <col min="4" max="4" width="48.85546875" style="107" customWidth="1"/>
    <col min="5" max="5" width="9.140625" style="107" hidden="1" customWidth="1"/>
    <col min="6" max="6" width="12.42578125" style="107" hidden="1" customWidth="1"/>
    <col min="7" max="11" width="24.5703125" style="107" hidden="1" customWidth="1"/>
    <col min="12" max="12" width="24.5703125" style="107" customWidth="1"/>
    <col min="13" max="14" width="24.5703125" style="107" hidden="1" customWidth="1"/>
    <col min="15" max="15" width="24.5703125" style="107" customWidth="1"/>
    <col min="16" max="16" width="24.5703125" style="107" hidden="1" customWidth="1"/>
    <col min="17" max="17" width="24.5703125" style="107" customWidth="1"/>
    <col min="18" max="19" width="24.5703125" style="107" hidden="1" customWidth="1"/>
    <col min="20" max="20" width="24.5703125" style="107" customWidth="1"/>
    <col min="21" max="22" width="24.5703125" style="107" hidden="1" customWidth="1"/>
    <col min="23" max="23" width="24.5703125" style="107" customWidth="1"/>
    <col min="24" max="24" width="24.5703125" style="107" hidden="1" customWidth="1"/>
    <col min="25" max="25" width="24.5703125" style="107" customWidth="1"/>
    <col min="26" max="26" width="24.5703125" style="107" hidden="1" customWidth="1"/>
    <col min="27" max="27" width="24.5703125" style="107" customWidth="1"/>
    <col min="28" max="28" width="24.5703125" style="107" hidden="1" customWidth="1"/>
    <col min="29" max="29" width="24.5703125" style="107" customWidth="1"/>
    <col min="30" max="30" width="24.5703125" style="107" hidden="1" customWidth="1"/>
    <col min="31" max="31" width="24.5703125" style="107" customWidth="1"/>
    <col min="32" max="32" width="24.5703125" style="107" hidden="1" customWidth="1"/>
    <col min="33" max="33" width="24.5703125" style="107" customWidth="1"/>
    <col min="34" max="34" width="24.5703125" style="107" hidden="1" customWidth="1"/>
    <col min="35" max="35" width="24.5703125" style="107" customWidth="1"/>
    <col min="36" max="36" width="24.5703125" style="107" hidden="1" customWidth="1"/>
    <col min="37" max="37" width="24.5703125" style="107" customWidth="1"/>
    <col min="38" max="38" width="24.5703125" style="107" hidden="1" customWidth="1"/>
    <col min="39" max="16384" width="24.5703125" style="107"/>
  </cols>
  <sheetData>
    <row r="1" spans="1:39" ht="14.25" customHeight="1">
      <c r="A1" s="1046" t="s">
        <v>308</v>
      </c>
      <c r="B1" s="1046"/>
      <c r="C1" s="1046"/>
      <c r="D1" s="1046"/>
      <c r="E1" s="1046"/>
      <c r="F1" s="1046"/>
      <c r="G1" s="1046"/>
      <c r="H1" s="1046"/>
      <c r="I1" s="1046"/>
      <c r="J1" s="1046"/>
      <c r="K1" s="1046"/>
      <c r="L1" s="1046"/>
      <c r="M1" s="1046"/>
      <c r="N1" s="1046"/>
      <c r="O1" s="1046"/>
      <c r="P1" s="1046"/>
      <c r="Q1" s="1046"/>
      <c r="R1" s="1046"/>
      <c r="S1" s="1046"/>
      <c r="T1" s="1046"/>
      <c r="U1" s="1046"/>
      <c r="V1" s="1046"/>
      <c r="W1" s="1046"/>
      <c r="X1" s="1046"/>
      <c r="Y1" s="1046"/>
      <c r="Z1" s="1046"/>
      <c r="AA1" s="1046"/>
      <c r="AB1" s="1046"/>
      <c r="AC1" s="1046"/>
      <c r="AD1" s="1046"/>
      <c r="AE1" s="1046"/>
      <c r="AF1" s="1046"/>
      <c r="AG1" s="1046"/>
      <c r="AH1" s="1046"/>
      <c r="AI1" s="1046"/>
      <c r="AJ1" s="1046"/>
      <c r="AK1" s="1046"/>
      <c r="AL1" s="1046"/>
      <c r="AM1" s="1046"/>
    </row>
    <row r="2" spans="1:39" ht="27.75" customHeight="1" thickBot="1">
      <c r="A2" s="1046"/>
      <c r="B2" s="1046"/>
      <c r="C2" s="1046"/>
      <c r="D2" s="1046"/>
      <c r="E2" s="1046"/>
      <c r="F2" s="1046"/>
      <c r="G2" s="1046"/>
      <c r="H2" s="1046"/>
      <c r="I2" s="1046"/>
      <c r="J2" s="1046"/>
      <c r="K2" s="1046"/>
      <c r="L2" s="1046"/>
      <c r="M2" s="1046"/>
      <c r="N2" s="1046"/>
      <c r="O2" s="1046"/>
      <c r="P2" s="1046"/>
      <c r="Q2" s="1046"/>
      <c r="R2" s="1046"/>
      <c r="S2" s="1046"/>
      <c r="T2" s="1046"/>
      <c r="U2" s="1046"/>
      <c r="V2" s="1046"/>
      <c r="W2" s="1046"/>
      <c r="X2" s="1046"/>
      <c r="Y2" s="1046"/>
      <c r="Z2" s="1046"/>
      <c r="AA2" s="1046"/>
      <c r="AB2" s="1046"/>
      <c r="AC2" s="1046"/>
      <c r="AD2" s="1046"/>
      <c r="AE2" s="1046"/>
      <c r="AF2" s="1046"/>
      <c r="AG2" s="1046"/>
      <c r="AH2" s="1046"/>
      <c r="AI2" s="1046"/>
      <c r="AJ2" s="1046"/>
      <c r="AK2" s="1046"/>
      <c r="AL2" s="1046"/>
      <c r="AM2" s="1046"/>
    </row>
    <row r="3" spans="1:39" ht="32.25" customHeight="1" thickBot="1">
      <c r="A3" s="134" t="s">
        <v>299</v>
      </c>
      <c r="B3" s="134" t="s">
        <v>300</v>
      </c>
      <c r="C3" s="134" t="s">
        <v>306</v>
      </c>
      <c r="D3" s="134" t="s">
        <v>142</v>
      </c>
      <c r="E3" s="109" t="s">
        <v>284</v>
      </c>
      <c r="F3" s="1047" t="s">
        <v>311</v>
      </c>
      <c r="G3" s="1048"/>
      <c r="H3" s="109" t="s">
        <v>285</v>
      </c>
      <c r="I3" s="178" t="s">
        <v>312</v>
      </c>
      <c r="J3" s="171" t="s">
        <v>286</v>
      </c>
      <c r="K3" s="1049" t="s">
        <v>313</v>
      </c>
      <c r="L3" s="1050"/>
      <c r="M3" s="171" t="s">
        <v>287</v>
      </c>
      <c r="N3" s="1051" t="s">
        <v>314</v>
      </c>
      <c r="O3" s="1052"/>
      <c r="P3" s="171" t="s">
        <v>288</v>
      </c>
      <c r="Q3" s="1049" t="s">
        <v>315</v>
      </c>
      <c r="R3" s="1050"/>
      <c r="S3" s="171" t="s">
        <v>289</v>
      </c>
      <c r="T3" s="172" t="s">
        <v>316</v>
      </c>
      <c r="U3" s="170"/>
      <c r="V3" s="109" t="s">
        <v>290</v>
      </c>
      <c r="W3" s="108" t="s">
        <v>317</v>
      </c>
      <c r="X3" s="109" t="s">
        <v>291</v>
      </c>
      <c r="Y3" s="108" t="s">
        <v>318</v>
      </c>
      <c r="Z3" s="109" t="s">
        <v>292</v>
      </c>
      <c r="AA3" s="108" t="s">
        <v>319</v>
      </c>
      <c r="AB3" s="109" t="s">
        <v>293</v>
      </c>
      <c r="AC3" s="108" t="s">
        <v>320</v>
      </c>
      <c r="AD3" s="109" t="s">
        <v>294</v>
      </c>
      <c r="AE3" s="108" t="s">
        <v>321</v>
      </c>
      <c r="AF3" s="109" t="s">
        <v>295</v>
      </c>
      <c r="AG3" s="108" t="s">
        <v>322</v>
      </c>
      <c r="AH3" s="109" t="s">
        <v>296</v>
      </c>
      <c r="AI3" s="108" t="s">
        <v>323</v>
      </c>
      <c r="AJ3" s="109" t="s">
        <v>297</v>
      </c>
      <c r="AK3" s="108" t="s">
        <v>324</v>
      </c>
      <c r="AL3" s="109" t="s">
        <v>298</v>
      </c>
      <c r="AM3" s="108" t="s">
        <v>325</v>
      </c>
    </row>
    <row r="4" spans="1:39" ht="46.5" customHeight="1">
      <c r="A4" s="1054">
        <v>40002867</v>
      </c>
      <c r="B4" s="156" t="s">
        <v>248</v>
      </c>
      <c r="C4" s="165">
        <v>64</v>
      </c>
      <c r="D4" s="145" t="s">
        <v>301</v>
      </c>
      <c r="E4" s="146">
        <v>16</v>
      </c>
      <c r="F4" s="111"/>
      <c r="G4" s="112">
        <v>24</v>
      </c>
      <c r="H4" s="146">
        <v>24</v>
      </c>
      <c r="I4" s="111"/>
      <c r="J4" s="146">
        <v>24</v>
      </c>
      <c r="K4" s="111"/>
      <c r="L4" s="111">
        <v>32</v>
      </c>
      <c r="M4" s="147">
        <v>32</v>
      </c>
      <c r="N4" s="111"/>
      <c r="O4" s="111">
        <v>32</v>
      </c>
      <c r="P4" s="146">
        <v>24</v>
      </c>
      <c r="Q4" s="112">
        <v>0</v>
      </c>
      <c r="R4" s="115"/>
      <c r="S4" s="147">
        <v>32</v>
      </c>
      <c r="T4" s="112">
        <v>0</v>
      </c>
      <c r="U4" s="115"/>
      <c r="V4" s="147">
        <v>32</v>
      </c>
      <c r="W4" s="173">
        <v>40</v>
      </c>
      <c r="X4" s="174"/>
      <c r="Y4" s="175">
        <v>24</v>
      </c>
      <c r="Z4" s="176">
        <v>24</v>
      </c>
      <c r="AA4" s="177">
        <v>32</v>
      </c>
      <c r="AB4" s="174">
        <v>32</v>
      </c>
      <c r="AC4" s="173">
        <v>32</v>
      </c>
      <c r="AD4" s="174">
        <v>32</v>
      </c>
      <c r="AE4" s="173">
        <v>8</v>
      </c>
      <c r="AF4" s="147">
        <v>32</v>
      </c>
      <c r="AG4" s="116">
        <v>48</v>
      </c>
      <c r="AH4" s="147">
        <v>56</v>
      </c>
      <c r="AI4" s="116">
        <v>64</v>
      </c>
      <c r="AJ4" s="147">
        <v>8</v>
      </c>
      <c r="AK4" s="116">
        <v>0</v>
      </c>
      <c r="AL4" s="147">
        <v>72</v>
      </c>
      <c r="AM4" s="116">
        <v>80</v>
      </c>
    </row>
    <row r="5" spans="1:39" ht="34.5" customHeight="1" thickBot="1">
      <c r="A5" s="1055"/>
      <c r="B5" s="157" t="s">
        <v>250</v>
      </c>
      <c r="C5" s="166">
        <f>32+108-8-108+48+13-24-16-29+48</f>
        <v>64</v>
      </c>
      <c r="D5" s="148" t="s">
        <v>302</v>
      </c>
      <c r="E5" s="150"/>
      <c r="F5" s="125"/>
      <c r="G5" s="126">
        <v>24</v>
      </c>
      <c r="H5" s="150">
        <v>24</v>
      </c>
      <c r="I5" s="151"/>
      <c r="J5" s="149">
        <v>16</v>
      </c>
      <c r="K5" s="125"/>
      <c r="L5" s="125">
        <v>16</v>
      </c>
      <c r="M5" s="150">
        <v>16</v>
      </c>
      <c r="N5" s="151"/>
      <c r="O5" s="125">
        <v>48</v>
      </c>
      <c r="P5" s="150">
        <v>24</v>
      </c>
      <c r="Q5" s="126">
        <v>0</v>
      </c>
      <c r="R5" s="152"/>
      <c r="S5" s="150">
        <v>16</v>
      </c>
      <c r="T5" s="126">
        <v>0</v>
      </c>
      <c r="U5" s="152"/>
      <c r="V5" s="150">
        <v>32</v>
      </c>
      <c r="W5" s="181">
        <v>0</v>
      </c>
      <c r="X5" s="150">
        <v>8</v>
      </c>
      <c r="Y5" s="181">
        <v>0</v>
      </c>
      <c r="Z5" s="154">
        <v>32</v>
      </c>
      <c r="AA5" s="152">
        <v>16</v>
      </c>
      <c r="AB5" s="150">
        <v>48</v>
      </c>
      <c r="AC5" s="153">
        <v>40</v>
      </c>
      <c r="AD5" s="150">
        <v>32</v>
      </c>
      <c r="AE5" s="153">
        <v>80</v>
      </c>
      <c r="AF5" s="150">
        <v>48</v>
      </c>
      <c r="AG5" s="153">
        <v>0</v>
      </c>
      <c r="AH5" s="150">
        <v>24</v>
      </c>
      <c r="AI5" s="153">
        <v>0</v>
      </c>
      <c r="AJ5" s="150">
        <v>8</v>
      </c>
      <c r="AK5" s="153">
        <v>24</v>
      </c>
      <c r="AL5" s="150">
        <v>16</v>
      </c>
      <c r="AM5" s="153">
        <v>16</v>
      </c>
    </row>
    <row r="6" spans="1:39" ht="36" customHeight="1">
      <c r="A6" s="1056">
        <v>40005470</v>
      </c>
      <c r="B6" s="158" t="s">
        <v>248</v>
      </c>
      <c r="C6" s="167">
        <f>1462-120-528+45+27+100+80-280+170-304+202</f>
        <v>854</v>
      </c>
      <c r="D6" s="136" t="s">
        <v>301</v>
      </c>
      <c r="E6" s="139">
        <v>528</v>
      </c>
      <c r="F6" s="137"/>
      <c r="G6" s="138">
        <v>280</v>
      </c>
      <c r="H6" s="139">
        <v>280</v>
      </c>
      <c r="I6" s="137"/>
      <c r="J6" s="139">
        <v>304</v>
      </c>
      <c r="K6" s="137"/>
      <c r="L6" s="138">
        <v>232</v>
      </c>
      <c r="M6" s="140">
        <v>232</v>
      </c>
      <c r="N6" s="141"/>
      <c r="O6" s="138">
        <v>240</v>
      </c>
      <c r="P6" s="140">
        <v>224</v>
      </c>
      <c r="Q6" s="141">
        <v>400</v>
      </c>
      <c r="R6" s="142"/>
      <c r="S6" s="140">
        <v>320</v>
      </c>
      <c r="T6" s="141">
        <v>304</v>
      </c>
      <c r="U6" s="142"/>
      <c r="V6" s="140">
        <v>192</v>
      </c>
      <c r="W6" s="143">
        <v>0</v>
      </c>
      <c r="X6" s="140"/>
      <c r="Y6" s="143">
        <v>0</v>
      </c>
      <c r="Z6" s="144">
        <v>200</v>
      </c>
      <c r="AA6" s="142">
        <v>24</v>
      </c>
      <c r="AB6" s="140">
        <v>232</v>
      </c>
      <c r="AC6" s="143">
        <v>232</v>
      </c>
      <c r="AD6" s="140">
        <v>224</v>
      </c>
      <c r="AE6" s="143">
        <v>360</v>
      </c>
      <c r="AF6" s="140">
        <v>368</v>
      </c>
      <c r="AG6" s="143">
        <v>224</v>
      </c>
      <c r="AH6" s="140">
        <v>224</v>
      </c>
      <c r="AI6" s="143">
        <v>0</v>
      </c>
      <c r="AJ6" s="140"/>
      <c r="AK6" s="143">
        <v>232</v>
      </c>
      <c r="AL6" s="140">
        <v>224</v>
      </c>
      <c r="AM6" s="143">
        <v>208</v>
      </c>
    </row>
    <row r="7" spans="1:39" ht="38.25" customHeight="1">
      <c r="A7" s="1057"/>
      <c r="B7" s="159" t="s">
        <v>249</v>
      </c>
      <c r="C7" s="168">
        <v>0</v>
      </c>
      <c r="D7" s="135" t="s">
        <v>303</v>
      </c>
      <c r="E7" s="113"/>
      <c r="F7" s="117"/>
      <c r="G7" s="118"/>
      <c r="H7" s="113"/>
      <c r="I7" s="117"/>
      <c r="J7" s="113"/>
      <c r="K7" s="117"/>
      <c r="L7" s="118">
        <v>0</v>
      </c>
      <c r="M7" s="113"/>
      <c r="N7" s="117"/>
      <c r="O7" s="118">
        <v>0</v>
      </c>
      <c r="P7" s="113"/>
      <c r="Q7" s="117">
        <v>0</v>
      </c>
      <c r="R7" s="118"/>
      <c r="S7" s="113"/>
      <c r="T7" s="117">
        <v>0</v>
      </c>
      <c r="U7" s="118"/>
      <c r="V7" s="113"/>
      <c r="W7" s="123">
        <v>0</v>
      </c>
      <c r="X7" s="113"/>
      <c r="Y7" s="123">
        <v>0</v>
      </c>
      <c r="Z7" s="124"/>
      <c r="AA7" s="118">
        <v>0</v>
      </c>
      <c r="AB7" s="113"/>
      <c r="AC7" s="123">
        <v>0</v>
      </c>
      <c r="AD7" s="113"/>
      <c r="AE7" s="123">
        <v>0</v>
      </c>
      <c r="AF7" s="113"/>
      <c r="AG7" s="123">
        <v>0</v>
      </c>
      <c r="AH7" s="113"/>
      <c r="AI7" s="123">
        <v>0</v>
      </c>
      <c r="AJ7" s="113"/>
      <c r="AK7" s="123">
        <v>0</v>
      </c>
      <c r="AL7" s="113"/>
      <c r="AM7" s="164">
        <v>0</v>
      </c>
    </row>
    <row r="8" spans="1:39" ht="36" customHeight="1">
      <c r="A8" s="1057"/>
      <c r="B8" s="159" t="s">
        <v>250</v>
      </c>
      <c r="C8" s="168">
        <f>232-24-56+29-48</f>
        <v>133</v>
      </c>
      <c r="D8" s="135" t="s">
        <v>302</v>
      </c>
      <c r="E8" s="114">
        <v>64</v>
      </c>
      <c r="F8" s="117"/>
      <c r="G8" s="118">
        <v>24</v>
      </c>
      <c r="H8" s="114">
        <v>24</v>
      </c>
      <c r="I8" s="117"/>
      <c r="J8" s="114">
        <v>56</v>
      </c>
      <c r="K8" s="119"/>
      <c r="L8" s="118">
        <v>72</v>
      </c>
      <c r="M8" s="114">
        <v>72</v>
      </c>
      <c r="N8" s="119"/>
      <c r="O8" s="180">
        <v>168</v>
      </c>
      <c r="P8" s="114">
        <v>80</v>
      </c>
      <c r="Q8" s="119">
        <v>0</v>
      </c>
      <c r="R8" s="120"/>
      <c r="S8" s="114">
        <v>88</v>
      </c>
      <c r="T8" s="119">
        <v>0</v>
      </c>
      <c r="U8" s="120"/>
      <c r="V8" s="114">
        <v>96</v>
      </c>
      <c r="W8" s="121">
        <v>0</v>
      </c>
      <c r="X8" s="114"/>
      <c r="Y8" s="121">
        <v>0</v>
      </c>
      <c r="Z8" s="122">
        <v>96</v>
      </c>
      <c r="AA8" s="120">
        <v>0</v>
      </c>
      <c r="AB8" s="114">
        <v>56</v>
      </c>
      <c r="AC8" s="121">
        <v>0</v>
      </c>
      <c r="AD8" s="114">
        <v>40</v>
      </c>
      <c r="AE8" s="121">
        <v>56</v>
      </c>
      <c r="AF8" s="114">
        <v>56</v>
      </c>
      <c r="AG8" s="121">
        <v>48</v>
      </c>
      <c r="AH8" s="114">
        <v>48</v>
      </c>
      <c r="AI8" s="121">
        <v>0</v>
      </c>
      <c r="AJ8" s="114"/>
      <c r="AK8" s="121">
        <v>0</v>
      </c>
      <c r="AL8" s="114">
        <v>64</v>
      </c>
      <c r="AM8" s="121">
        <v>0</v>
      </c>
    </row>
    <row r="9" spans="1:39" ht="40.5" customHeight="1" thickBot="1">
      <c r="A9" s="1057"/>
      <c r="B9" s="159" t="s">
        <v>251</v>
      </c>
      <c r="C9" s="168">
        <v>8</v>
      </c>
      <c r="D9" s="135" t="s">
        <v>304</v>
      </c>
      <c r="E9" s="113"/>
      <c r="F9" s="125"/>
      <c r="G9" s="126"/>
      <c r="H9" s="113"/>
      <c r="I9" s="125"/>
      <c r="J9" s="113"/>
      <c r="K9" s="117"/>
      <c r="L9" s="118">
        <v>0</v>
      </c>
      <c r="M9" s="113"/>
      <c r="N9" s="117"/>
      <c r="O9" s="118">
        <v>0</v>
      </c>
      <c r="P9" s="113"/>
      <c r="Q9" s="117">
        <v>0</v>
      </c>
      <c r="R9" s="118"/>
      <c r="S9" s="113"/>
      <c r="T9" s="117">
        <v>0</v>
      </c>
      <c r="U9" s="118"/>
      <c r="V9" s="113"/>
      <c r="W9" s="123">
        <v>0</v>
      </c>
      <c r="X9" s="113"/>
      <c r="Y9" s="123">
        <v>0</v>
      </c>
      <c r="Z9" s="124"/>
      <c r="AA9" s="118">
        <v>0</v>
      </c>
      <c r="AB9" s="114"/>
      <c r="AC9" s="123">
        <v>0</v>
      </c>
      <c r="AD9" s="113"/>
      <c r="AE9" s="123"/>
      <c r="AF9" s="113"/>
      <c r="AG9" s="123">
        <v>0</v>
      </c>
      <c r="AH9" s="113"/>
      <c r="AI9" s="123">
        <v>0</v>
      </c>
      <c r="AJ9" s="113"/>
      <c r="AK9" s="123">
        <v>0</v>
      </c>
      <c r="AL9" s="113"/>
      <c r="AM9" s="123">
        <v>0</v>
      </c>
    </row>
    <row r="10" spans="1:39" ht="40.5" customHeight="1" thickBot="1">
      <c r="A10" s="1055"/>
      <c r="B10" s="160" t="s">
        <v>252</v>
      </c>
      <c r="C10" s="169">
        <v>0</v>
      </c>
      <c r="D10" s="155" t="s">
        <v>305</v>
      </c>
      <c r="E10" s="127"/>
      <c r="F10" s="130"/>
      <c r="G10" s="131"/>
      <c r="H10" s="127"/>
      <c r="I10" s="130"/>
      <c r="J10" s="127"/>
      <c r="K10" s="130"/>
      <c r="L10" s="131">
        <v>0</v>
      </c>
      <c r="M10" s="127"/>
      <c r="N10" s="130"/>
      <c r="O10" s="131">
        <v>0</v>
      </c>
      <c r="P10" s="127"/>
      <c r="Q10" s="130">
        <v>0</v>
      </c>
      <c r="R10" s="131"/>
      <c r="S10" s="127"/>
      <c r="T10" s="130">
        <v>0</v>
      </c>
      <c r="U10" s="131"/>
      <c r="V10" s="127"/>
      <c r="W10" s="132">
        <v>0</v>
      </c>
      <c r="X10" s="127"/>
      <c r="Y10" s="132">
        <v>0</v>
      </c>
      <c r="Z10" s="128"/>
      <c r="AA10" s="132">
        <v>0</v>
      </c>
      <c r="AB10" s="129"/>
      <c r="AC10" s="133">
        <v>8</v>
      </c>
      <c r="AD10" s="129">
        <v>16</v>
      </c>
      <c r="AE10" s="133">
        <v>72</v>
      </c>
      <c r="AF10" s="129">
        <v>64</v>
      </c>
      <c r="AG10" s="133">
        <v>32</v>
      </c>
      <c r="AH10" s="129">
        <v>32</v>
      </c>
      <c r="AI10" s="133">
        <v>0</v>
      </c>
      <c r="AJ10" s="129"/>
      <c r="AK10" s="133">
        <v>0</v>
      </c>
      <c r="AL10" s="129">
        <v>8</v>
      </c>
      <c r="AM10" s="133">
        <v>0</v>
      </c>
    </row>
    <row r="11" spans="1:39" ht="21" customHeight="1" thickBot="1">
      <c r="A11" s="1058" t="s">
        <v>307</v>
      </c>
      <c r="B11" s="1059"/>
      <c r="C11" s="1059"/>
      <c r="D11" s="1060"/>
      <c r="E11" s="161"/>
      <c r="F11" s="1053">
        <f>SUM(G4:G10)</f>
        <v>352</v>
      </c>
      <c r="G11" s="1053"/>
      <c r="H11" s="161"/>
      <c r="I11" s="179" t="e">
        <f>SUM(#REF!)</f>
        <v>#REF!</v>
      </c>
      <c r="J11" s="161"/>
      <c r="K11" s="1053">
        <f>SUM(L4:L10)</f>
        <v>352</v>
      </c>
      <c r="L11" s="1053"/>
      <c r="M11" s="161"/>
      <c r="N11" s="1053">
        <f>SUM(O4:O10)</f>
        <v>488</v>
      </c>
      <c r="O11" s="1053"/>
      <c r="P11" s="161"/>
      <c r="Q11" s="1053">
        <v>400</v>
      </c>
      <c r="R11" s="1053"/>
      <c r="S11" s="161"/>
      <c r="T11" s="1053">
        <v>304</v>
      </c>
      <c r="U11" s="1053"/>
      <c r="V11" s="161"/>
      <c r="W11" s="161">
        <v>40</v>
      </c>
      <c r="X11" s="161"/>
      <c r="Y11" s="161">
        <v>24</v>
      </c>
      <c r="Z11" s="161"/>
      <c r="AA11" s="161">
        <v>72</v>
      </c>
      <c r="AB11" s="161">
        <v>368</v>
      </c>
      <c r="AC11" s="161">
        <v>312</v>
      </c>
      <c r="AD11" s="161">
        <v>344</v>
      </c>
      <c r="AE11" s="161">
        <v>576</v>
      </c>
      <c r="AF11" s="161">
        <v>568</v>
      </c>
      <c r="AG11" s="161">
        <v>352</v>
      </c>
      <c r="AH11" s="161">
        <v>384</v>
      </c>
      <c r="AI11" s="161">
        <v>65</v>
      </c>
      <c r="AJ11" s="161">
        <v>16</v>
      </c>
      <c r="AK11" s="161">
        <v>256</v>
      </c>
      <c r="AL11" s="161">
        <v>384</v>
      </c>
      <c r="AM11" s="162">
        <v>304</v>
      </c>
    </row>
    <row r="16" spans="1:39" ht="14.25" customHeight="1" thickBot="1"/>
    <row r="17" spans="23:23" ht="14.25" customHeight="1" thickBot="1">
      <c r="W17" s="110"/>
    </row>
  </sheetData>
  <mergeCells count="13">
    <mergeCell ref="N11:O11"/>
    <mergeCell ref="Q11:R11"/>
    <mergeCell ref="T11:U11"/>
    <mergeCell ref="A4:A5"/>
    <mergeCell ref="A6:A10"/>
    <mergeCell ref="F11:G11"/>
    <mergeCell ref="A11:D11"/>
    <mergeCell ref="K11:L11"/>
    <mergeCell ref="A1:AM2"/>
    <mergeCell ref="F3:G3"/>
    <mergeCell ref="K3:L3"/>
    <mergeCell ref="N3:O3"/>
    <mergeCell ref="Q3:R3"/>
  </mergeCells>
  <pageMargins left="0.7" right="0.7" top="0.75" bottom="0.75" header="0.3" footer="0.3"/>
  <pageSetup scale="2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"/>
  <sheetViews>
    <sheetView zoomScale="140" zoomScaleNormal="140" workbookViewId="0">
      <selection activeCell="E83" sqref="E83"/>
    </sheetView>
  </sheetViews>
  <sheetFormatPr baseColWidth="10" defaultRowHeight="12.75"/>
  <sheetData>
    <row r="1" spans="1:11" ht="13.5" thickBot="1"/>
    <row r="2" spans="1:11" ht="15">
      <c r="A2" s="577"/>
      <c r="B2" s="551"/>
      <c r="C2" s="551"/>
      <c r="D2" s="1075" t="s">
        <v>396</v>
      </c>
      <c r="E2" s="1075"/>
      <c r="F2" s="1075"/>
      <c r="G2" s="1075"/>
      <c r="H2" s="1075"/>
      <c r="I2" s="1075"/>
      <c r="J2" s="1075"/>
      <c r="K2" s="552"/>
    </row>
    <row r="3" spans="1:11" ht="13.5" thickBot="1">
      <c r="A3" s="105"/>
      <c r="B3" s="81"/>
      <c r="C3" s="81"/>
      <c r="D3" s="81"/>
      <c r="E3" s="81"/>
      <c r="F3" s="81"/>
      <c r="G3" s="81"/>
      <c r="H3" s="81"/>
      <c r="I3" s="81"/>
      <c r="J3" s="81"/>
      <c r="K3" s="106"/>
    </row>
    <row r="4" spans="1:11" ht="13.5" thickBot="1">
      <c r="A4" s="577"/>
      <c r="B4" s="551"/>
      <c r="C4" s="551"/>
      <c r="D4" s="1072">
        <v>41579</v>
      </c>
      <c r="E4" s="1072">
        <v>41580</v>
      </c>
      <c r="F4" s="1072">
        <v>41581</v>
      </c>
      <c r="G4" s="1072">
        <v>41582</v>
      </c>
      <c r="H4" s="1081">
        <v>41583</v>
      </c>
      <c r="I4" s="1081"/>
      <c r="J4" s="1081"/>
      <c r="K4" s="1061">
        <v>41584</v>
      </c>
    </row>
    <row r="5" spans="1:11" ht="13.5" thickBot="1">
      <c r="A5" s="105"/>
      <c r="B5" s="81"/>
      <c r="C5" s="81"/>
      <c r="D5" s="1073"/>
      <c r="E5" s="1073"/>
      <c r="F5" s="1073"/>
      <c r="G5" s="1074"/>
      <c r="H5" s="592" t="s">
        <v>131</v>
      </c>
      <c r="I5" s="593" t="s">
        <v>133</v>
      </c>
      <c r="J5" s="594" t="s">
        <v>132</v>
      </c>
      <c r="K5" s="1062"/>
    </row>
    <row r="6" spans="1:11">
      <c r="A6" s="1078" t="s">
        <v>391</v>
      </c>
      <c r="B6" s="1076" t="s">
        <v>393</v>
      </c>
      <c r="C6" s="556" t="s">
        <v>390</v>
      </c>
      <c r="D6" s="574">
        <v>1</v>
      </c>
      <c r="E6" s="575">
        <v>0</v>
      </c>
      <c r="F6" s="575">
        <v>0</v>
      </c>
      <c r="G6" s="581">
        <v>0</v>
      </c>
      <c r="H6" s="595">
        <v>0</v>
      </c>
      <c r="I6" s="573">
        <v>0</v>
      </c>
      <c r="J6" s="596">
        <v>0</v>
      </c>
      <c r="K6" s="585">
        <v>1</v>
      </c>
    </row>
    <row r="7" spans="1:11">
      <c r="A7" s="1079"/>
      <c r="B7" s="1077"/>
      <c r="C7" s="445" t="s">
        <v>134</v>
      </c>
      <c r="D7" s="553">
        <v>1</v>
      </c>
      <c r="E7" s="554">
        <v>0</v>
      </c>
      <c r="F7" s="554">
        <v>0</v>
      </c>
      <c r="G7" s="582">
        <v>0</v>
      </c>
      <c r="H7" s="597">
        <v>1</v>
      </c>
      <c r="I7" s="565">
        <v>1</v>
      </c>
      <c r="J7" s="559">
        <v>1</v>
      </c>
      <c r="K7" s="586">
        <v>1</v>
      </c>
    </row>
    <row r="8" spans="1:11" ht="13.5" thickBot="1">
      <c r="A8" s="1080"/>
      <c r="B8" s="576" t="s">
        <v>389</v>
      </c>
      <c r="C8" s="560" t="s">
        <v>134</v>
      </c>
      <c r="D8" s="561">
        <v>1</v>
      </c>
      <c r="E8" s="561">
        <v>1</v>
      </c>
      <c r="F8" s="562">
        <v>0</v>
      </c>
      <c r="G8" s="566">
        <v>1</v>
      </c>
      <c r="H8" s="598">
        <v>1</v>
      </c>
      <c r="I8" s="566">
        <v>1</v>
      </c>
      <c r="J8" s="563">
        <v>1</v>
      </c>
      <c r="K8" s="587">
        <v>1</v>
      </c>
    </row>
    <row r="9" spans="1:11" ht="15" customHeight="1">
      <c r="A9" s="1063" t="s">
        <v>392</v>
      </c>
      <c r="B9" s="1066" t="s">
        <v>397</v>
      </c>
      <c r="C9" s="1067"/>
      <c r="D9" s="557">
        <v>1</v>
      </c>
      <c r="E9" s="558">
        <v>0</v>
      </c>
      <c r="F9" s="558">
        <v>0</v>
      </c>
      <c r="G9" s="564">
        <v>0</v>
      </c>
      <c r="H9" s="599">
        <v>0</v>
      </c>
      <c r="I9" s="648">
        <v>1</v>
      </c>
      <c r="J9" s="596">
        <v>0</v>
      </c>
      <c r="K9" s="588">
        <v>1</v>
      </c>
    </row>
    <row r="10" spans="1:11">
      <c r="A10" s="1064"/>
      <c r="B10" s="1068" t="s">
        <v>134</v>
      </c>
      <c r="C10" s="1069"/>
      <c r="D10" s="567">
        <v>1</v>
      </c>
      <c r="E10" s="568">
        <v>0</v>
      </c>
      <c r="F10" s="568">
        <v>0</v>
      </c>
      <c r="G10" s="571">
        <v>0</v>
      </c>
      <c r="H10" s="600">
        <v>0</v>
      </c>
      <c r="I10" s="569">
        <v>1</v>
      </c>
      <c r="J10" s="570">
        <v>1</v>
      </c>
      <c r="K10" s="589">
        <v>1</v>
      </c>
    </row>
    <row r="11" spans="1:11">
      <c r="A11" s="1064"/>
      <c r="B11" s="1069" t="s">
        <v>394</v>
      </c>
      <c r="C11" s="1082"/>
      <c r="D11" s="553">
        <v>1</v>
      </c>
      <c r="E11" s="555">
        <v>0</v>
      </c>
      <c r="F11" s="555">
        <v>0</v>
      </c>
      <c r="G11" s="583">
        <v>0</v>
      </c>
      <c r="H11" s="601">
        <v>0</v>
      </c>
      <c r="I11" s="572">
        <v>1</v>
      </c>
      <c r="J11" s="578">
        <v>1</v>
      </c>
      <c r="K11" s="590">
        <v>1</v>
      </c>
    </row>
    <row r="12" spans="1:11" ht="13.5" thickBot="1">
      <c r="A12" s="1065"/>
      <c r="B12" s="1070" t="s">
        <v>395</v>
      </c>
      <c r="C12" s="1071"/>
      <c r="D12" s="561">
        <v>1</v>
      </c>
      <c r="E12" s="562">
        <v>0</v>
      </c>
      <c r="F12" s="562">
        <v>0</v>
      </c>
      <c r="G12" s="584">
        <v>0</v>
      </c>
      <c r="H12" s="602">
        <v>0</v>
      </c>
      <c r="I12" s="579">
        <v>1</v>
      </c>
      <c r="J12" s="580">
        <v>1</v>
      </c>
      <c r="K12" s="591">
        <v>1</v>
      </c>
    </row>
  </sheetData>
  <mergeCells count="14">
    <mergeCell ref="D2:J2"/>
    <mergeCell ref="B6:B7"/>
    <mergeCell ref="A6:A8"/>
    <mergeCell ref="H4:J4"/>
    <mergeCell ref="B11:C11"/>
    <mergeCell ref="K4:K5"/>
    <mergeCell ref="A9:A12"/>
    <mergeCell ref="B9:C9"/>
    <mergeCell ref="B10:C10"/>
    <mergeCell ref="B12:C12"/>
    <mergeCell ref="D4:D5"/>
    <mergeCell ref="E4:E5"/>
    <mergeCell ref="F4:F5"/>
    <mergeCell ref="G4:G5"/>
  </mergeCells>
  <pageMargins left="0.7" right="0.7" top="0.75" bottom="0.75" header="0.3" footer="0.3"/>
  <pageSetup scale="9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W259"/>
  <sheetViews>
    <sheetView showGridLines="0" zoomScale="55" zoomScaleNormal="55" zoomScaleSheetLayoutView="75" workbookViewId="0">
      <selection activeCell="E83" sqref="E83"/>
    </sheetView>
  </sheetViews>
  <sheetFormatPr baseColWidth="10" defaultColWidth="12.28515625" defaultRowHeight="27"/>
  <cols>
    <col min="1" max="1" width="23.140625" style="16" customWidth="1"/>
    <col min="2" max="2" width="15.140625" style="16" customWidth="1"/>
    <col min="3" max="3" width="30.7109375" style="16" customWidth="1"/>
    <col min="4" max="4" width="57.5703125" style="16" customWidth="1"/>
    <col min="5" max="5" width="13.5703125" style="17" customWidth="1"/>
    <col min="6" max="6" width="13.7109375" style="17" customWidth="1"/>
    <col min="7" max="7" width="12.28515625" style="16" hidden="1" customWidth="1"/>
    <col min="8" max="8" width="12" style="16" customWidth="1"/>
    <col min="9" max="9" width="13.140625" style="201" hidden="1" customWidth="1"/>
    <col min="10" max="10" width="13.28515625" style="16" customWidth="1"/>
    <col min="11" max="11" width="14.42578125" style="16" customWidth="1"/>
    <col min="12" max="12" width="13.140625" style="16" customWidth="1"/>
    <col min="13" max="14" width="17.28515625" style="16" hidden="1" customWidth="1"/>
    <col min="15" max="15" width="20.5703125" style="196" hidden="1" customWidth="1"/>
    <col min="16" max="17" width="12.28515625" style="14" hidden="1" customWidth="1"/>
    <col min="18" max="30" width="12.28515625" style="15" hidden="1" customWidth="1"/>
    <col min="31" max="31" width="14.42578125" style="15" hidden="1" customWidth="1"/>
    <col min="32" max="33" width="12.28515625" style="15" hidden="1" customWidth="1"/>
    <col min="34" max="34" width="14.140625" style="15" hidden="1" customWidth="1"/>
    <col min="35" max="36" width="12.28515625" style="15" hidden="1" customWidth="1"/>
    <col min="37" max="37" width="15.5703125" style="15" hidden="1" customWidth="1"/>
    <col min="38" max="42" width="12.28515625" style="15" hidden="1" customWidth="1"/>
    <col min="43" max="43" width="13.7109375" style="15" hidden="1" customWidth="1"/>
    <col min="44" max="46" width="12.28515625" style="15" hidden="1" customWidth="1"/>
    <col min="47" max="55" width="11.7109375" style="15" hidden="1" customWidth="1"/>
    <col min="56" max="60" width="11.7109375" style="14" hidden="1" customWidth="1"/>
    <col min="61" max="66" width="0" style="14" hidden="1" customWidth="1"/>
    <col min="67" max="67" width="23.42578125" style="14" hidden="1" customWidth="1"/>
    <col min="68" max="68" width="38.7109375" style="14" hidden="1" customWidth="1"/>
    <col min="69" max="71" width="0" style="14" hidden="1" customWidth="1"/>
    <col min="72" max="72" width="18.42578125" style="14" customWidth="1"/>
    <col min="73" max="73" width="16.28515625" style="14" customWidth="1"/>
    <col min="74" max="16384" width="12.28515625" style="14"/>
  </cols>
  <sheetData>
    <row r="1" spans="1:127" ht="31.5" customHeight="1">
      <c r="A1" s="1248"/>
      <c r="B1" s="1249"/>
      <c r="C1" s="1091" t="s">
        <v>400</v>
      </c>
      <c r="D1" s="1092"/>
      <c r="E1" s="1092"/>
      <c r="F1" s="1092"/>
      <c r="G1" s="1092"/>
      <c r="H1" s="1092"/>
      <c r="I1" s="1092"/>
      <c r="J1" s="1092"/>
      <c r="K1" s="1092"/>
      <c r="L1" s="1092"/>
      <c r="M1" s="1092"/>
      <c r="N1" s="1092"/>
      <c r="O1" s="1092"/>
      <c r="P1" s="1092"/>
      <c r="Q1" s="1092"/>
      <c r="R1" s="1092"/>
      <c r="S1" s="1092"/>
      <c r="T1" s="1092"/>
      <c r="U1" s="1092"/>
      <c r="V1" s="1092"/>
      <c r="W1" s="1092"/>
      <c r="X1" s="1092"/>
      <c r="Y1" s="1092"/>
      <c r="Z1" s="1092"/>
      <c r="AA1" s="1092"/>
      <c r="AB1" s="1092"/>
      <c r="AC1" s="1092"/>
      <c r="AD1" s="1092"/>
      <c r="AE1" s="1092"/>
      <c r="AF1" s="1092"/>
      <c r="AG1" s="1092"/>
      <c r="AH1" s="1092"/>
      <c r="AI1" s="1092"/>
      <c r="AJ1" s="1092"/>
      <c r="AK1" s="1092"/>
      <c r="AL1" s="1092"/>
      <c r="AM1" s="1092"/>
      <c r="AN1" s="1092"/>
      <c r="AO1" s="1092"/>
      <c r="AP1" s="1092"/>
      <c r="AQ1" s="1092"/>
      <c r="AR1" s="1092"/>
      <c r="AS1" s="1092"/>
      <c r="AT1" s="1092"/>
      <c r="AU1" s="1092"/>
      <c r="AV1" s="1092"/>
      <c r="AW1" s="1092"/>
      <c r="AX1" s="1092"/>
      <c r="AY1" s="1092"/>
      <c r="AZ1" s="1092"/>
      <c r="BA1" s="1092"/>
      <c r="BB1" s="1092"/>
      <c r="BC1" s="1092"/>
      <c r="BD1" s="1092"/>
      <c r="BE1" s="1092"/>
      <c r="BF1" s="1092"/>
      <c r="BG1" s="1092"/>
      <c r="BH1" s="1092"/>
      <c r="BI1" s="1092"/>
      <c r="BJ1" s="1092"/>
      <c r="BK1" s="1092"/>
      <c r="BL1" s="1092"/>
      <c r="BM1" s="1092"/>
      <c r="BN1" s="1092"/>
      <c r="BO1" s="1092"/>
      <c r="BP1" s="1092"/>
      <c r="BQ1" s="1092"/>
      <c r="BR1" s="1092"/>
      <c r="BS1" s="1092"/>
      <c r="BT1" s="1092"/>
      <c r="BU1" s="1092"/>
    </row>
    <row r="2" spans="1:127" ht="31.5" customHeight="1">
      <c r="A2" s="1250"/>
      <c r="B2" s="1251"/>
      <c r="C2" s="1091"/>
      <c r="D2" s="1092"/>
      <c r="E2" s="1092"/>
      <c r="F2" s="1092"/>
      <c r="G2" s="1092"/>
      <c r="H2" s="1092"/>
      <c r="I2" s="1092"/>
      <c r="J2" s="1092"/>
      <c r="K2" s="1092"/>
      <c r="L2" s="1092"/>
      <c r="M2" s="1092"/>
      <c r="N2" s="1092"/>
      <c r="O2" s="1092"/>
      <c r="P2" s="1092"/>
      <c r="Q2" s="1092"/>
      <c r="R2" s="1092"/>
      <c r="S2" s="1092"/>
      <c r="T2" s="1092"/>
      <c r="U2" s="1092"/>
      <c r="V2" s="1092"/>
      <c r="W2" s="1092"/>
      <c r="X2" s="1092"/>
      <c r="Y2" s="1092"/>
      <c r="Z2" s="1092"/>
      <c r="AA2" s="1092"/>
      <c r="AB2" s="1092"/>
      <c r="AC2" s="1092"/>
      <c r="AD2" s="1092"/>
      <c r="AE2" s="1092"/>
      <c r="AF2" s="1092"/>
      <c r="AG2" s="1092"/>
      <c r="AH2" s="1092"/>
      <c r="AI2" s="1092"/>
      <c r="AJ2" s="1092"/>
      <c r="AK2" s="1092"/>
      <c r="AL2" s="1092"/>
      <c r="AM2" s="1092"/>
      <c r="AN2" s="1092"/>
      <c r="AO2" s="1092"/>
      <c r="AP2" s="1092"/>
      <c r="AQ2" s="1092"/>
      <c r="AR2" s="1092"/>
      <c r="AS2" s="1092"/>
      <c r="AT2" s="1092"/>
      <c r="AU2" s="1092"/>
      <c r="AV2" s="1092"/>
      <c r="AW2" s="1092"/>
      <c r="AX2" s="1092"/>
      <c r="AY2" s="1092"/>
      <c r="AZ2" s="1092"/>
      <c r="BA2" s="1092"/>
      <c r="BB2" s="1092"/>
      <c r="BC2" s="1092"/>
      <c r="BD2" s="1092"/>
      <c r="BE2" s="1092"/>
      <c r="BF2" s="1092"/>
      <c r="BG2" s="1092"/>
      <c r="BH2" s="1092"/>
      <c r="BI2" s="1092"/>
      <c r="BJ2" s="1092"/>
      <c r="BK2" s="1092"/>
      <c r="BL2" s="1092"/>
      <c r="BM2" s="1092"/>
      <c r="BN2" s="1092"/>
      <c r="BO2" s="1092"/>
      <c r="BP2" s="1092"/>
      <c r="BQ2" s="1092"/>
      <c r="BR2" s="1092"/>
      <c r="BS2" s="1092"/>
      <c r="BT2" s="1092"/>
      <c r="BU2" s="1092"/>
    </row>
    <row r="3" spans="1:127" ht="24" customHeight="1">
      <c r="A3" s="1250"/>
      <c r="B3" s="1251"/>
      <c r="C3" s="1091"/>
      <c r="D3" s="1092"/>
      <c r="E3" s="1092"/>
      <c r="F3" s="1092"/>
      <c r="G3" s="1092"/>
      <c r="H3" s="1092"/>
      <c r="I3" s="1092"/>
      <c r="J3" s="1092"/>
      <c r="K3" s="1092"/>
      <c r="L3" s="1092"/>
      <c r="M3" s="1092"/>
      <c r="N3" s="1092"/>
      <c r="O3" s="1092"/>
      <c r="P3" s="1092"/>
      <c r="Q3" s="1092"/>
      <c r="R3" s="1092"/>
      <c r="S3" s="1092"/>
      <c r="T3" s="1092"/>
      <c r="U3" s="1092"/>
      <c r="V3" s="1092"/>
      <c r="W3" s="1092"/>
      <c r="X3" s="1092"/>
      <c r="Y3" s="1092"/>
      <c r="Z3" s="1092"/>
      <c r="AA3" s="1092"/>
      <c r="AB3" s="1092"/>
      <c r="AC3" s="1092"/>
      <c r="AD3" s="1092"/>
      <c r="AE3" s="1092"/>
      <c r="AF3" s="1092"/>
      <c r="AG3" s="1092"/>
      <c r="AH3" s="1092"/>
      <c r="AI3" s="1092"/>
      <c r="AJ3" s="1092"/>
      <c r="AK3" s="1092"/>
      <c r="AL3" s="1092"/>
      <c r="AM3" s="1092"/>
      <c r="AN3" s="1092"/>
      <c r="AO3" s="1092"/>
      <c r="AP3" s="1092"/>
      <c r="AQ3" s="1092"/>
      <c r="AR3" s="1092"/>
      <c r="AS3" s="1092"/>
      <c r="AT3" s="1092"/>
      <c r="AU3" s="1092"/>
      <c r="AV3" s="1092"/>
      <c r="AW3" s="1092"/>
      <c r="AX3" s="1092"/>
      <c r="AY3" s="1092"/>
      <c r="AZ3" s="1092"/>
      <c r="BA3" s="1092"/>
      <c r="BB3" s="1092"/>
      <c r="BC3" s="1092"/>
      <c r="BD3" s="1092"/>
      <c r="BE3" s="1092"/>
      <c r="BF3" s="1092"/>
      <c r="BG3" s="1092"/>
      <c r="BH3" s="1092"/>
      <c r="BI3" s="1092"/>
      <c r="BJ3" s="1092"/>
      <c r="BK3" s="1092"/>
      <c r="BL3" s="1092"/>
      <c r="BM3" s="1092"/>
      <c r="BN3" s="1092"/>
      <c r="BO3" s="1092"/>
      <c r="BP3" s="1092"/>
      <c r="BQ3" s="1092"/>
      <c r="BR3" s="1092"/>
      <c r="BS3" s="1092"/>
      <c r="BT3" s="1092"/>
      <c r="BU3" s="1092"/>
    </row>
    <row r="4" spans="1:127" ht="28.5" customHeight="1" thickBot="1">
      <c r="A4" s="1252"/>
      <c r="B4" s="1253"/>
      <c r="C4" s="1091"/>
      <c r="D4" s="1092"/>
      <c r="E4" s="1092"/>
      <c r="F4" s="1092"/>
      <c r="G4" s="1092"/>
      <c r="H4" s="1092"/>
      <c r="I4" s="1092"/>
      <c r="J4" s="1092"/>
      <c r="K4" s="1092"/>
      <c r="L4" s="1092"/>
      <c r="M4" s="1092"/>
      <c r="N4" s="1092"/>
      <c r="O4" s="1092"/>
      <c r="P4" s="1092"/>
      <c r="Q4" s="1092"/>
      <c r="R4" s="1092"/>
      <c r="S4" s="1092"/>
      <c r="T4" s="1092"/>
      <c r="U4" s="1092"/>
      <c r="V4" s="1092"/>
      <c r="W4" s="1092"/>
      <c r="X4" s="1092"/>
      <c r="Y4" s="1092"/>
      <c r="Z4" s="1092"/>
      <c r="AA4" s="1092"/>
      <c r="AB4" s="1092"/>
      <c r="AC4" s="1092"/>
      <c r="AD4" s="1092"/>
      <c r="AE4" s="1092"/>
      <c r="AF4" s="1092"/>
      <c r="AG4" s="1092"/>
      <c r="AH4" s="1092"/>
      <c r="AI4" s="1092"/>
      <c r="AJ4" s="1092"/>
      <c r="AK4" s="1092"/>
      <c r="AL4" s="1092"/>
      <c r="AM4" s="1092"/>
      <c r="AN4" s="1092"/>
      <c r="AO4" s="1092"/>
      <c r="AP4" s="1092"/>
      <c r="AQ4" s="1092"/>
      <c r="AR4" s="1092"/>
      <c r="AS4" s="1092"/>
      <c r="AT4" s="1092"/>
      <c r="AU4" s="1092"/>
      <c r="AV4" s="1092"/>
      <c r="AW4" s="1092"/>
      <c r="AX4" s="1092"/>
      <c r="AY4" s="1092"/>
      <c r="AZ4" s="1092"/>
      <c r="BA4" s="1092"/>
      <c r="BB4" s="1092"/>
      <c r="BC4" s="1092"/>
      <c r="BD4" s="1092"/>
      <c r="BE4" s="1092"/>
      <c r="BF4" s="1092"/>
      <c r="BG4" s="1092"/>
      <c r="BH4" s="1092"/>
      <c r="BI4" s="1092"/>
      <c r="BJ4" s="1092"/>
      <c r="BK4" s="1092"/>
      <c r="BL4" s="1092"/>
      <c r="BM4" s="1092"/>
      <c r="BN4" s="1092"/>
      <c r="BO4" s="1092"/>
      <c r="BP4" s="1092"/>
      <c r="BQ4" s="1092"/>
      <c r="BR4" s="1092"/>
      <c r="BS4" s="1092"/>
      <c r="BT4" s="1092"/>
      <c r="BU4" s="1092"/>
    </row>
    <row r="5" spans="1:127" s="19" customFormat="1" ht="23.25" customHeight="1">
      <c r="A5" s="1263" t="s">
        <v>108</v>
      </c>
      <c r="B5" s="1265" t="s">
        <v>253</v>
      </c>
      <c r="C5" s="1267" t="s">
        <v>381</v>
      </c>
      <c r="D5" s="1267" t="s">
        <v>107</v>
      </c>
      <c r="E5" s="1269" t="s">
        <v>138</v>
      </c>
      <c r="F5" s="1271" t="s">
        <v>139</v>
      </c>
      <c r="G5" s="1269" t="s">
        <v>1</v>
      </c>
      <c r="H5" s="1273" t="s">
        <v>2</v>
      </c>
      <c r="I5" s="1275" t="s">
        <v>0</v>
      </c>
      <c r="J5" s="1277" t="s">
        <v>211</v>
      </c>
      <c r="K5" s="1279" t="s">
        <v>432</v>
      </c>
      <c r="L5" s="1281" t="s">
        <v>136</v>
      </c>
      <c r="M5" s="1283" t="s">
        <v>212</v>
      </c>
      <c r="N5" s="1285" t="s">
        <v>388</v>
      </c>
      <c r="O5" s="1287">
        <v>41578</v>
      </c>
      <c r="P5" s="1289" t="s">
        <v>128</v>
      </c>
      <c r="Q5" s="1290"/>
      <c r="R5" s="1290"/>
      <c r="S5" s="1291"/>
      <c r="T5" s="1293" t="s">
        <v>129</v>
      </c>
      <c r="U5" s="1294"/>
      <c r="V5" s="1289"/>
      <c r="W5" s="1290" t="s">
        <v>130</v>
      </c>
      <c r="X5" s="1290"/>
      <c r="Y5" s="1293"/>
      <c r="Z5" s="1295" t="s">
        <v>143</v>
      </c>
      <c r="AA5" s="1296"/>
      <c r="AB5" s="1297"/>
      <c r="AC5" s="1295" t="s">
        <v>115</v>
      </c>
      <c r="AD5" s="1296"/>
      <c r="AE5" s="1297"/>
      <c r="AF5" s="1295" t="s">
        <v>144</v>
      </c>
      <c r="AG5" s="1296"/>
      <c r="AH5" s="1297"/>
      <c r="AI5" s="1295" t="s">
        <v>145</v>
      </c>
      <c r="AJ5" s="1296"/>
      <c r="AK5" s="1297"/>
      <c r="AL5" s="1295" t="s">
        <v>147</v>
      </c>
      <c r="AM5" s="1296"/>
      <c r="AN5" s="1297"/>
      <c r="AO5" s="1245" t="s">
        <v>149</v>
      </c>
      <c r="AP5" s="1246"/>
      <c r="AQ5" s="1247"/>
      <c r="AR5" s="1245" t="s">
        <v>150</v>
      </c>
      <c r="AS5" s="1246"/>
      <c r="AT5" s="1247"/>
      <c r="AU5" s="1245" t="s">
        <v>151</v>
      </c>
      <c r="AV5" s="1246"/>
      <c r="AW5" s="1247"/>
      <c r="AX5" s="1245" t="s">
        <v>152</v>
      </c>
      <c r="AY5" s="1246"/>
      <c r="AZ5" s="1247"/>
      <c r="BA5" s="1245" t="s">
        <v>153</v>
      </c>
      <c r="BB5" s="1246"/>
      <c r="BC5" s="1247"/>
      <c r="BD5" s="1245" t="s">
        <v>154</v>
      </c>
      <c r="BE5" s="1246"/>
      <c r="BF5" s="1247"/>
      <c r="BG5" s="1245" t="s">
        <v>148</v>
      </c>
      <c r="BH5" s="1246"/>
      <c r="BI5" s="1247"/>
      <c r="BT5" s="1096" t="s">
        <v>398</v>
      </c>
      <c r="BU5" s="1096" t="s">
        <v>399</v>
      </c>
    </row>
    <row r="6" spans="1:127" s="26" customFormat="1" ht="19.5" customHeight="1" thickBot="1">
      <c r="A6" s="1264"/>
      <c r="B6" s="1266"/>
      <c r="C6" s="1268"/>
      <c r="D6" s="1268"/>
      <c r="E6" s="1270"/>
      <c r="F6" s="1272"/>
      <c r="G6" s="1270"/>
      <c r="H6" s="1274"/>
      <c r="I6" s="1276"/>
      <c r="J6" s="1278"/>
      <c r="K6" s="1280"/>
      <c r="L6" s="1282"/>
      <c r="M6" s="1284"/>
      <c r="N6" s="1286"/>
      <c r="O6" s="1288"/>
      <c r="P6" s="20" t="s">
        <v>131</v>
      </c>
      <c r="Q6" s="21" t="s">
        <v>133</v>
      </c>
      <c r="R6" s="22" t="s">
        <v>131</v>
      </c>
      <c r="S6" s="1292"/>
      <c r="T6" s="22" t="s">
        <v>135</v>
      </c>
      <c r="U6" s="22" t="s">
        <v>132</v>
      </c>
      <c r="V6" s="22" t="s">
        <v>131</v>
      </c>
      <c r="W6" s="22" t="s">
        <v>135</v>
      </c>
      <c r="X6" s="22" t="s">
        <v>132</v>
      </c>
      <c r="Y6" s="23" t="s">
        <v>131</v>
      </c>
      <c r="Z6" s="24" t="s">
        <v>135</v>
      </c>
      <c r="AA6" s="22" t="s">
        <v>132</v>
      </c>
      <c r="AB6" s="25" t="s">
        <v>131</v>
      </c>
      <c r="AC6" s="24" t="s">
        <v>135</v>
      </c>
      <c r="AD6" s="22" t="s">
        <v>132</v>
      </c>
      <c r="AE6" s="25" t="s">
        <v>131</v>
      </c>
      <c r="AF6" s="24" t="s">
        <v>135</v>
      </c>
      <c r="AG6" s="22" t="s">
        <v>132</v>
      </c>
      <c r="AH6" s="25" t="s">
        <v>131</v>
      </c>
      <c r="AI6" s="24" t="s">
        <v>135</v>
      </c>
      <c r="AJ6" s="22" t="s">
        <v>132</v>
      </c>
      <c r="AK6" s="25" t="s">
        <v>131</v>
      </c>
      <c r="AL6" s="24" t="s">
        <v>131</v>
      </c>
      <c r="AM6" s="22" t="s">
        <v>135</v>
      </c>
      <c r="AN6" s="25" t="s">
        <v>132</v>
      </c>
      <c r="AO6" s="24" t="s">
        <v>131</v>
      </c>
      <c r="AP6" s="22" t="s">
        <v>135</v>
      </c>
      <c r="AQ6" s="25" t="s">
        <v>132</v>
      </c>
      <c r="AR6" s="24" t="s">
        <v>131</v>
      </c>
      <c r="AS6" s="22" t="s">
        <v>135</v>
      </c>
      <c r="AT6" s="25" t="s">
        <v>132</v>
      </c>
      <c r="AU6" s="24" t="s">
        <v>131</v>
      </c>
      <c r="AV6" s="22" t="s">
        <v>135</v>
      </c>
      <c r="AW6" s="25" t="s">
        <v>132</v>
      </c>
      <c r="AX6" s="24" t="s">
        <v>131</v>
      </c>
      <c r="AY6" s="22" t="s">
        <v>135</v>
      </c>
      <c r="AZ6" s="25" t="s">
        <v>132</v>
      </c>
      <c r="BA6" s="24" t="s">
        <v>131</v>
      </c>
      <c r="BB6" s="22" t="s">
        <v>135</v>
      </c>
      <c r="BC6" s="25" t="s">
        <v>132</v>
      </c>
      <c r="BD6" s="24" t="s">
        <v>131</v>
      </c>
      <c r="BE6" s="22" t="s">
        <v>135</v>
      </c>
      <c r="BF6" s="25" t="s">
        <v>132</v>
      </c>
      <c r="BG6" s="22" t="s">
        <v>135</v>
      </c>
      <c r="BH6" s="22" t="s">
        <v>132</v>
      </c>
      <c r="BI6" s="22" t="s">
        <v>131</v>
      </c>
      <c r="BT6" s="1097"/>
      <c r="BU6" s="1097"/>
    </row>
    <row r="7" spans="1:127" s="34" customFormat="1" ht="27.75" hidden="1" customHeight="1" thickBot="1">
      <c r="A7" s="1093" t="s">
        <v>102</v>
      </c>
      <c r="B7" s="184"/>
      <c r="C7" s="446"/>
      <c r="D7" s="447" t="s">
        <v>110</v>
      </c>
      <c r="E7" s="448">
        <v>50</v>
      </c>
      <c r="F7" s="448">
        <f>3600/E7*4</f>
        <v>288</v>
      </c>
      <c r="G7" s="449"/>
      <c r="H7" s="450">
        <v>400</v>
      </c>
      <c r="I7" s="451">
        <v>4200</v>
      </c>
      <c r="J7" s="452">
        <v>5000</v>
      </c>
      <c r="K7" s="448">
        <f t="shared" ref="K7:K13" si="0">I7-H7</f>
        <v>3800</v>
      </c>
      <c r="L7" s="453">
        <f t="shared" ref="L7:L13" si="1">((K7*E7)/3600)*-1</f>
        <v>-52.777777777777779</v>
      </c>
      <c r="M7" s="453">
        <f t="shared" ref="M7:M24" si="2">I7/H7</f>
        <v>10.5</v>
      </c>
      <c r="N7" s="463"/>
      <c r="O7" s="454">
        <f>+$O$5+M7</f>
        <v>41588.5</v>
      </c>
      <c r="P7" s="95">
        <f>+$O$5+O7</f>
        <v>83166.5</v>
      </c>
      <c r="Q7" s="28" t="e">
        <f>+$O$5+#REF!</f>
        <v>#REF!</v>
      </c>
      <c r="R7" s="28">
        <f>+$O$5+P7</f>
        <v>124744.5</v>
      </c>
      <c r="S7" s="27"/>
      <c r="T7" s="549">
        <v>3</v>
      </c>
      <c r="U7" s="549">
        <v>4</v>
      </c>
      <c r="V7" s="549"/>
      <c r="W7" s="549"/>
      <c r="X7" s="549"/>
      <c r="Y7" s="29"/>
      <c r="Z7" s="1"/>
      <c r="AA7" s="2"/>
      <c r="AB7" s="3"/>
      <c r="AC7" s="545"/>
      <c r="AD7" s="546"/>
      <c r="AE7" s="547"/>
      <c r="AF7" s="545"/>
      <c r="AG7" s="546"/>
      <c r="AH7" s="547">
        <v>23</v>
      </c>
      <c r="AI7" s="5"/>
      <c r="AJ7" s="11"/>
      <c r="AK7" s="12"/>
      <c r="AL7" s="13"/>
      <c r="AM7" s="11"/>
      <c r="AN7" s="12"/>
      <c r="AO7" s="30"/>
      <c r="AP7" s="31"/>
      <c r="AQ7" s="32"/>
      <c r="AR7" s="30"/>
      <c r="AS7" s="31"/>
      <c r="AT7" s="32"/>
      <c r="AU7" s="30"/>
      <c r="AV7" s="31"/>
      <c r="AW7" s="32"/>
      <c r="AX7" s="30"/>
      <c r="AY7" s="31"/>
      <c r="AZ7" s="32"/>
      <c r="BA7" s="30"/>
      <c r="BB7" s="31"/>
      <c r="BC7" s="32"/>
      <c r="BD7" s="30"/>
      <c r="BE7" s="31"/>
      <c r="BF7" s="32"/>
      <c r="BG7" s="30"/>
      <c r="BH7" s="31"/>
      <c r="BI7" s="32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630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</row>
    <row r="8" spans="1:127" ht="27.75" hidden="1" customHeight="1" thickBot="1">
      <c r="A8" s="1094"/>
      <c r="B8" s="185"/>
      <c r="C8" s="186" t="s">
        <v>45</v>
      </c>
      <c r="D8" s="187" t="s">
        <v>3</v>
      </c>
      <c r="E8" s="94">
        <v>60</v>
      </c>
      <c r="F8" s="100">
        <f>3600/E8*2</f>
        <v>120</v>
      </c>
      <c r="G8" s="100">
        <v>1</v>
      </c>
      <c r="H8" s="101">
        <v>440</v>
      </c>
      <c r="I8" s="203">
        <v>3883</v>
      </c>
      <c r="J8" s="102" t="s">
        <v>210</v>
      </c>
      <c r="K8" s="100">
        <f t="shared" si="0"/>
        <v>3443</v>
      </c>
      <c r="L8" s="103">
        <f t="shared" si="1"/>
        <v>-57.383333333333333</v>
      </c>
      <c r="M8" s="103">
        <f t="shared" si="2"/>
        <v>8.8249999999999993</v>
      </c>
      <c r="N8" s="464"/>
      <c r="O8" s="198">
        <f>+$O$5+M8</f>
        <v>41586.824999999997</v>
      </c>
      <c r="P8" s="35"/>
      <c r="Q8" s="36"/>
      <c r="R8" s="37">
        <v>1</v>
      </c>
      <c r="S8" s="38"/>
      <c r="T8" s="522"/>
      <c r="U8" s="39"/>
      <c r="V8" s="39"/>
      <c r="W8" s="39"/>
      <c r="X8" s="39"/>
      <c r="Y8" s="37">
        <v>1</v>
      </c>
      <c r="Z8" s="503"/>
      <c r="AA8" s="505"/>
      <c r="AB8" s="520"/>
      <c r="AC8" s="480"/>
      <c r="AD8" s="481"/>
      <c r="AE8" s="520"/>
      <c r="AF8" s="480"/>
      <c r="AG8" s="481"/>
      <c r="AH8" s="520"/>
      <c r="AI8" s="507"/>
      <c r="AJ8" s="509"/>
      <c r="AK8" s="511"/>
      <c r="AL8" s="507"/>
      <c r="AM8" s="509"/>
      <c r="AN8" s="511"/>
      <c r="AO8" s="513"/>
      <c r="AP8" s="515"/>
      <c r="AQ8" s="517"/>
      <c r="AR8" s="513"/>
      <c r="AS8" s="515"/>
      <c r="AT8" s="517"/>
      <c r="AU8" s="513"/>
      <c r="AV8" s="515"/>
      <c r="AW8" s="517"/>
      <c r="AX8" s="513"/>
      <c r="AY8" s="515"/>
      <c r="AZ8" s="517"/>
      <c r="BA8" s="513"/>
      <c r="BB8" s="515"/>
      <c r="BC8" s="517"/>
      <c r="BD8" s="513"/>
      <c r="BE8" s="515"/>
      <c r="BF8" s="517"/>
      <c r="BG8" s="513"/>
      <c r="BH8" s="515"/>
      <c r="BI8" s="517"/>
      <c r="BP8" s="273">
        <v>11375</v>
      </c>
      <c r="BT8" s="631"/>
    </row>
    <row r="9" spans="1:127" ht="27.75" hidden="1" customHeight="1" thickBot="1">
      <c r="A9" s="1094"/>
      <c r="B9" s="188"/>
      <c r="C9" s="189" t="s">
        <v>46</v>
      </c>
      <c r="D9" s="190" t="s">
        <v>4</v>
      </c>
      <c r="E9" s="98">
        <v>60</v>
      </c>
      <c r="F9" s="88">
        <f>3600/E9</f>
        <v>60</v>
      </c>
      <c r="G9" s="88">
        <v>1</v>
      </c>
      <c r="H9" s="89">
        <v>360</v>
      </c>
      <c r="I9" s="204">
        <v>3983</v>
      </c>
      <c r="J9" s="99" t="s">
        <v>210</v>
      </c>
      <c r="K9" s="88">
        <f t="shared" si="0"/>
        <v>3623</v>
      </c>
      <c r="L9" s="90">
        <f t="shared" si="1"/>
        <v>-60.383333333333333</v>
      </c>
      <c r="M9" s="90">
        <f t="shared" si="2"/>
        <v>11.063888888888888</v>
      </c>
      <c r="N9" s="465"/>
      <c r="O9" s="199">
        <v>41485</v>
      </c>
      <c r="P9" s="35"/>
      <c r="Q9" s="36"/>
      <c r="R9" s="40"/>
      <c r="S9" s="41"/>
      <c r="T9" s="1085"/>
      <c r="U9" s="1085">
        <v>1</v>
      </c>
      <c r="V9" s="39">
        <v>1</v>
      </c>
      <c r="W9" s="39">
        <v>1</v>
      </c>
      <c r="X9" s="39">
        <v>1</v>
      </c>
      <c r="Y9" s="1083"/>
      <c r="Z9" s="1119"/>
      <c r="AA9" s="1117"/>
      <c r="AB9" s="1125"/>
      <c r="AC9" s="1119"/>
      <c r="AD9" s="1117"/>
      <c r="AE9" s="1125"/>
      <c r="AF9" s="1119"/>
      <c r="AG9" s="1117"/>
      <c r="AH9" s="1125"/>
      <c r="AI9" s="1114"/>
      <c r="AJ9" s="1111"/>
      <c r="AK9" s="1122">
        <v>2</v>
      </c>
      <c r="AL9" s="1114"/>
      <c r="AM9" s="1111"/>
      <c r="AN9" s="1127"/>
      <c r="AO9" s="1130"/>
      <c r="AP9" s="1133"/>
      <c r="AQ9" s="1136"/>
      <c r="AR9" s="1130"/>
      <c r="AS9" s="1133"/>
      <c r="AT9" s="1136"/>
      <c r="AU9" s="1130"/>
      <c r="AV9" s="1133"/>
      <c r="AW9" s="1136"/>
      <c r="AX9" s="1130"/>
      <c r="AY9" s="1133"/>
      <c r="AZ9" s="1136"/>
      <c r="BA9" s="1130"/>
      <c r="BB9" s="1133"/>
      <c r="BC9" s="1136"/>
      <c r="BD9" s="1130"/>
      <c r="BE9" s="1133"/>
      <c r="BF9" s="1136"/>
      <c r="BG9" s="1130"/>
      <c r="BH9" s="1133"/>
      <c r="BI9" s="1136"/>
      <c r="BT9" s="631"/>
    </row>
    <row r="10" spans="1:127" ht="27.75" hidden="1" customHeight="1" thickBot="1">
      <c r="A10" s="1094"/>
      <c r="B10" s="188"/>
      <c r="C10" s="189" t="s">
        <v>47</v>
      </c>
      <c r="D10" s="191" t="s">
        <v>5</v>
      </c>
      <c r="E10" s="97">
        <v>60</v>
      </c>
      <c r="F10" s="73">
        <f>3600/E10</f>
        <v>60</v>
      </c>
      <c r="G10" s="73">
        <v>1</v>
      </c>
      <c r="H10" s="74">
        <v>360</v>
      </c>
      <c r="I10" s="205">
        <v>4463</v>
      </c>
      <c r="J10" s="96" t="s">
        <v>210</v>
      </c>
      <c r="K10" s="73">
        <f t="shared" si="0"/>
        <v>4103</v>
      </c>
      <c r="L10" s="75">
        <f t="shared" si="1"/>
        <v>-68.38333333333334</v>
      </c>
      <c r="M10" s="75">
        <f t="shared" si="2"/>
        <v>12.397222222222222</v>
      </c>
      <c r="N10" s="466"/>
      <c r="O10" s="200">
        <v>41485</v>
      </c>
      <c r="P10" s="35"/>
      <c r="Q10" s="36"/>
      <c r="R10" s="40"/>
      <c r="S10" s="42"/>
      <c r="T10" s="1086"/>
      <c r="U10" s="1086">
        <v>1</v>
      </c>
      <c r="V10" s="39">
        <v>1</v>
      </c>
      <c r="W10" s="39">
        <v>1</v>
      </c>
      <c r="X10" s="39">
        <v>1</v>
      </c>
      <c r="Y10" s="1084"/>
      <c r="Z10" s="1120"/>
      <c r="AA10" s="1118"/>
      <c r="AB10" s="1126"/>
      <c r="AC10" s="1120"/>
      <c r="AD10" s="1118"/>
      <c r="AE10" s="1126"/>
      <c r="AF10" s="1120"/>
      <c r="AG10" s="1118"/>
      <c r="AH10" s="1126"/>
      <c r="AI10" s="1116"/>
      <c r="AJ10" s="1113"/>
      <c r="AK10" s="1124"/>
      <c r="AL10" s="1116"/>
      <c r="AM10" s="1113"/>
      <c r="AN10" s="1129"/>
      <c r="AO10" s="1132"/>
      <c r="AP10" s="1135"/>
      <c r="AQ10" s="1138"/>
      <c r="AR10" s="1132"/>
      <c r="AS10" s="1135"/>
      <c r="AT10" s="1138"/>
      <c r="AU10" s="1132"/>
      <c r="AV10" s="1135"/>
      <c r="AW10" s="1138"/>
      <c r="AX10" s="1132"/>
      <c r="AY10" s="1135"/>
      <c r="AZ10" s="1138"/>
      <c r="BA10" s="1132"/>
      <c r="BB10" s="1135"/>
      <c r="BC10" s="1138"/>
      <c r="BD10" s="1132"/>
      <c r="BE10" s="1135"/>
      <c r="BF10" s="1138"/>
      <c r="BG10" s="1132"/>
      <c r="BH10" s="1135"/>
      <c r="BI10" s="1138"/>
      <c r="BT10" s="631"/>
    </row>
    <row r="11" spans="1:127" ht="27.75" hidden="1" customHeight="1" thickBot="1">
      <c r="A11" s="1094"/>
      <c r="B11" s="188"/>
      <c r="C11" s="189" t="s">
        <v>48</v>
      </c>
      <c r="D11" s="191" t="s">
        <v>6</v>
      </c>
      <c r="E11" s="97">
        <v>60</v>
      </c>
      <c r="F11" s="73">
        <f>3600/E11</f>
        <v>60</v>
      </c>
      <c r="G11" s="73">
        <v>1</v>
      </c>
      <c r="H11" s="74">
        <v>0</v>
      </c>
      <c r="I11" s="205">
        <v>3980</v>
      </c>
      <c r="J11" s="96" t="s">
        <v>210</v>
      </c>
      <c r="K11" s="73">
        <f t="shared" si="0"/>
        <v>3980</v>
      </c>
      <c r="L11" s="75">
        <f t="shared" si="1"/>
        <v>-66.333333333333329</v>
      </c>
      <c r="M11" s="75" t="e">
        <f t="shared" si="2"/>
        <v>#DIV/0!</v>
      </c>
      <c r="N11" s="466"/>
      <c r="O11" s="200">
        <v>41488</v>
      </c>
      <c r="P11" s="35"/>
      <c r="Q11" s="36"/>
      <c r="R11" s="40"/>
      <c r="S11" s="39"/>
      <c r="T11" s="1085"/>
      <c r="U11" s="1085"/>
      <c r="V11" s="1085"/>
      <c r="W11" s="1085"/>
      <c r="X11" s="1085"/>
      <c r="Y11" s="1083"/>
      <c r="Z11" s="1119"/>
      <c r="AA11" s="1117">
        <v>19</v>
      </c>
      <c r="AB11" s="1122"/>
      <c r="AC11" s="1162"/>
      <c r="AD11" s="1170"/>
      <c r="AE11" s="1122"/>
      <c r="AF11" s="1162"/>
      <c r="AG11" s="1170"/>
      <c r="AH11" s="1122"/>
      <c r="AI11" s="1114"/>
      <c r="AJ11" s="1111"/>
      <c r="AK11" s="1127"/>
      <c r="AL11" s="1114"/>
      <c r="AM11" s="1111"/>
      <c r="AN11" s="1127"/>
      <c r="AO11" s="1130"/>
      <c r="AP11" s="1133"/>
      <c r="AQ11" s="1136"/>
      <c r="AR11" s="1130"/>
      <c r="AS11" s="1133"/>
      <c r="AT11" s="1136"/>
      <c r="AU11" s="1130"/>
      <c r="AV11" s="1133"/>
      <c r="AW11" s="1136"/>
      <c r="AX11" s="1114"/>
      <c r="AY11" s="1133"/>
      <c r="AZ11" s="1136"/>
      <c r="BA11" s="1130"/>
      <c r="BB11" s="1133"/>
      <c r="BC11" s="1136"/>
      <c r="BD11" s="1130"/>
      <c r="BE11" s="1133"/>
      <c r="BF11" s="1136"/>
      <c r="BG11" s="1130"/>
      <c r="BH11" s="1133"/>
      <c r="BI11" s="1136"/>
      <c r="BT11" s="631"/>
    </row>
    <row r="12" spans="1:127" ht="27.75" hidden="1" customHeight="1" thickBot="1">
      <c r="A12" s="1095"/>
      <c r="B12" s="188"/>
      <c r="C12" s="189" t="s">
        <v>49</v>
      </c>
      <c r="D12" s="191" t="s">
        <v>7</v>
      </c>
      <c r="E12" s="97">
        <v>60</v>
      </c>
      <c r="F12" s="73">
        <f>3600/E12</f>
        <v>60</v>
      </c>
      <c r="G12" s="73">
        <v>1</v>
      </c>
      <c r="H12" s="74">
        <v>360</v>
      </c>
      <c r="I12" s="205">
        <v>3920</v>
      </c>
      <c r="J12" s="96" t="s">
        <v>210</v>
      </c>
      <c r="K12" s="73">
        <f t="shared" si="0"/>
        <v>3560</v>
      </c>
      <c r="L12" s="75">
        <f t="shared" si="1"/>
        <v>-59.333333333333336</v>
      </c>
      <c r="M12" s="75">
        <f t="shared" si="2"/>
        <v>10.888888888888889</v>
      </c>
      <c r="N12" s="466"/>
      <c r="O12" s="200">
        <v>41488</v>
      </c>
      <c r="P12" s="43"/>
      <c r="Q12" s="44"/>
      <c r="R12" s="45"/>
      <c r="S12" s="46"/>
      <c r="T12" s="1205"/>
      <c r="U12" s="1205"/>
      <c r="V12" s="1205"/>
      <c r="W12" s="1205"/>
      <c r="X12" s="1205"/>
      <c r="Y12" s="1242"/>
      <c r="Z12" s="1208"/>
      <c r="AA12" s="1209"/>
      <c r="AB12" s="1224"/>
      <c r="AC12" s="1221"/>
      <c r="AD12" s="1222"/>
      <c r="AE12" s="1224"/>
      <c r="AF12" s="1221"/>
      <c r="AG12" s="1222"/>
      <c r="AH12" s="1224"/>
      <c r="AI12" s="1241"/>
      <c r="AJ12" s="1243"/>
      <c r="AK12" s="1244"/>
      <c r="AL12" s="1241"/>
      <c r="AM12" s="1243"/>
      <c r="AN12" s="1244"/>
      <c r="AO12" s="1240"/>
      <c r="AP12" s="1233"/>
      <c r="AQ12" s="1234"/>
      <c r="AR12" s="1240"/>
      <c r="AS12" s="1233"/>
      <c r="AT12" s="1234"/>
      <c r="AU12" s="1240"/>
      <c r="AV12" s="1233"/>
      <c r="AW12" s="1234"/>
      <c r="AX12" s="1241"/>
      <c r="AY12" s="1233"/>
      <c r="AZ12" s="1234"/>
      <c r="BA12" s="1240"/>
      <c r="BB12" s="1233"/>
      <c r="BC12" s="1234"/>
      <c r="BD12" s="1240"/>
      <c r="BE12" s="1233"/>
      <c r="BF12" s="1234"/>
      <c r="BG12" s="1240"/>
      <c r="BH12" s="1233"/>
      <c r="BI12" s="1234"/>
      <c r="BT12" s="631"/>
    </row>
    <row r="13" spans="1:127" ht="27.75" hidden="1" customHeight="1" thickBot="1">
      <c r="A13" s="192" t="s">
        <v>103</v>
      </c>
      <c r="B13" s="193"/>
      <c r="C13" s="194" t="s">
        <v>50</v>
      </c>
      <c r="D13" s="195" t="s">
        <v>112</v>
      </c>
      <c r="E13" s="77">
        <v>63</v>
      </c>
      <c r="F13" s="183">
        <f>3600/E13*2</f>
        <v>114.28571428571429</v>
      </c>
      <c r="G13" s="183">
        <v>1</v>
      </c>
      <c r="H13" s="76">
        <f>165+110+110</f>
        <v>385</v>
      </c>
      <c r="I13" s="202"/>
      <c r="J13" s="104" t="s">
        <v>210</v>
      </c>
      <c r="K13" s="183">
        <f t="shared" si="0"/>
        <v>-385</v>
      </c>
      <c r="L13" s="78">
        <f t="shared" si="1"/>
        <v>6.7374999999999998</v>
      </c>
      <c r="M13" s="78">
        <f t="shared" si="2"/>
        <v>0</v>
      </c>
      <c r="N13" s="467"/>
      <c r="O13" s="197">
        <f t="shared" ref="O13:O29" si="3">+$O$5+M13</f>
        <v>41578</v>
      </c>
      <c r="P13" s="47"/>
      <c r="Q13" s="48"/>
      <c r="R13" s="49"/>
      <c r="S13" s="50"/>
      <c r="T13" s="50"/>
      <c r="U13" s="50"/>
      <c r="V13" s="50"/>
      <c r="W13" s="50"/>
      <c r="X13" s="50"/>
      <c r="Y13" s="49"/>
      <c r="Z13" s="545"/>
      <c r="AA13" s="546"/>
      <c r="AB13" s="547"/>
      <c r="AC13" s="545"/>
      <c r="AD13" s="6">
        <v>14</v>
      </c>
      <c r="AE13" s="7"/>
      <c r="AF13" s="5"/>
      <c r="AG13" s="6"/>
      <c r="AH13" s="547"/>
      <c r="AI13" s="545"/>
      <c r="AJ13" s="546"/>
      <c r="AK13" s="547"/>
      <c r="AL13" s="545"/>
      <c r="AM13" s="546"/>
      <c r="AN13" s="547"/>
      <c r="AO13" s="548"/>
      <c r="AP13" s="549"/>
      <c r="AQ13" s="550"/>
      <c r="AR13" s="548"/>
      <c r="AS13" s="549"/>
      <c r="AT13" s="550"/>
      <c r="AU13" s="548"/>
      <c r="AV13" s="549"/>
      <c r="AW13" s="550"/>
      <c r="AX13" s="548"/>
      <c r="AY13" s="549"/>
      <c r="AZ13" s="550"/>
      <c r="BA13" s="548"/>
      <c r="BB13" s="549"/>
      <c r="BC13" s="550"/>
      <c r="BD13" s="548"/>
      <c r="BE13" s="549"/>
      <c r="BF13" s="550"/>
      <c r="BG13" s="548"/>
      <c r="BH13" s="549"/>
      <c r="BI13" s="550"/>
      <c r="BT13" s="631"/>
    </row>
    <row r="14" spans="1:127" ht="30.75" thickBot="1">
      <c r="A14" s="1235" t="s">
        <v>309</v>
      </c>
      <c r="B14" s="1238" t="s">
        <v>274</v>
      </c>
      <c r="C14" s="360" t="s">
        <v>84</v>
      </c>
      <c r="D14" s="404" t="s">
        <v>342</v>
      </c>
      <c r="E14" s="361">
        <v>52</v>
      </c>
      <c r="F14" s="361">
        <f>(3600/E14)*2</f>
        <v>138.46153846153845</v>
      </c>
      <c r="G14" s="362">
        <v>1</v>
      </c>
      <c r="H14" s="369">
        <f>BY19</f>
        <v>100</v>
      </c>
      <c r="I14" s="637">
        <v>0</v>
      </c>
      <c r="J14" s="364">
        <v>935</v>
      </c>
      <c r="K14" s="362">
        <v>2</v>
      </c>
      <c r="L14" s="365">
        <f>((H14*E14)/3600)/K14</f>
        <v>0.72222222222222221</v>
      </c>
      <c r="M14" s="365">
        <f t="shared" si="2"/>
        <v>0</v>
      </c>
      <c r="N14" s="468">
        <f>M14*2</f>
        <v>0</v>
      </c>
      <c r="O14" s="366">
        <f t="shared" si="3"/>
        <v>41578</v>
      </c>
      <c r="P14" s="35"/>
      <c r="Q14" s="36"/>
      <c r="R14" s="40"/>
      <c r="S14" s="41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6"/>
      <c r="BE14" s="16"/>
      <c r="BF14" s="16"/>
      <c r="BG14" s="16"/>
      <c r="BH14" s="16"/>
      <c r="BI14" s="16"/>
      <c r="BT14" s="1101">
        <v>2</v>
      </c>
      <c r="BU14" s="1098">
        <f>L14+L16+L18+L19+L21+BT14</f>
        <v>11.396888888888888</v>
      </c>
    </row>
    <row r="15" spans="1:127" ht="40.5" customHeight="1" thickBot="1">
      <c r="A15" s="1236"/>
      <c r="B15" s="1239"/>
      <c r="C15" s="367" t="s">
        <v>85</v>
      </c>
      <c r="D15" s="405" t="s">
        <v>343</v>
      </c>
      <c r="E15" s="368">
        <v>52</v>
      </c>
      <c r="F15" s="361">
        <f>(3600/E15)*2</f>
        <v>138.46153846153845</v>
      </c>
      <c r="G15" s="369">
        <v>1</v>
      </c>
      <c r="H15" s="369">
        <f>BY19</f>
        <v>100</v>
      </c>
      <c r="I15" s="459">
        <v>0</v>
      </c>
      <c r="J15" s="541">
        <v>935</v>
      </c>
      <c r="K15" s="369">
        <v>2</v>
      </c>
      <c r="L15" s="365">
        <f>((H15*E15)/3600)/K15</f>
        <v>0.72222222222222221</v>
      </c>
      <c r="M15" s="372">
        <f t="shared" si="2"/>
        <v>0</v>
      </c>
      <c r="N15" s="468">
        <f>M15*2</f>
        <v>0</v>
      </c>
      <c r="O15" s="373">
        <f t="shared" si="3"/>
        <v>41578</v>
      </c>
      <c r="P15" s="35"/>
      <c r="Q15" s="36"/>
      <c r="R15" s="40"/>
      <c r="S15" s="42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6"/>
      <c r="BE15" s="16"/>
      <c r="BF15" s="16"/>
      <c r="BG15" s="16"/>
      <c r="BH15" s="16"/>
      <c r="BI15" s="16"/>
      <c r="BT15" s="1102"/>
      <c r="BU15" s="1099"/>
    </row>
    <row r="16" spans="1:127" ht="39.75" customHeight="1" thickBot="1">
      <c r="A16" s="1236"/>
      <c r="B16" s="1108" t="s">
        <v>265</v>
      </c>
      <c r="C16" s="367" t="s">
        <v>70</v>
      </c>
      <c r="D16" s="406" t="s">
        <v>344</v>
      </c>
      <c r="E16" s="368">
        <v>46.4</v>
      </c>
      <c r="F16" s="369">
        <f t="shared" ref="F16:F34" si="4">3600/E16</f>
        <v>77.58620689655173</v>
      </c>
      <c r="G16" s="369">
        <v>1</v>
      </c>
      <c r="H16" s="369">
        <f>0.8*BY17</f>
        <v>240</v>
      </c>
      <c r="I16" s="459">
        <v>0</v>
      </c>
      <c r="J16" s="541">
        <v>1200</v>
      </c>
      <c r="K16" s="369">
        <v>1</v>
      </c>
      <c r="L16" s="365">
        <f>((H16*E16)/3600)/K16</f>
        <v>3.0933333333333333</v>
      </c>
      <c r="M16" s="372">
        <f t="shared" si="2"/>
        <v>0</v>
      </c>
      <c r="N16" s="469">
        <f>M16*1.5</f>
        <v>0</v>
      </c>
      <c r="O16" s="373">
        <f t="shared" si="3"/>
        <v>41578</v>
      </c>
      <c r="P16" s="35"/>
      <c r="Q16" s="36"/>
      <c r="R16" s="40"/>
      <c r="S16" s="41"/>
      <c r="T16" s="1085"/>
      <c r="U16" s="1085"/>
      <c r="V16" s="1085"/>
      <c r="W16" s="60">
        <v>1</v>
      </c>
      <c r="X16" s="60">
        <v>1</v>
      </c>
      <c r="Y16" s="1083">
        <v>1</v>
      </c>
      <c r="Z16" s="1162"/>
      <c r="AA16" s="1117"/>
      <c r="AB16" s="1125"/>
      <c r="AC16" s="1119"/>
      <c r="AD16" s="1117"/>
      <c r="AE16" s="1125"/>
      <c r="AF16" s="1119"/>
      <c r="AG16" s="1117"/>
      <c r="AH16" s="1125"/>
      <c r="AI16" s="1114"/>
      <c r="AJ16" s="1111"/>
      <c r="AK16" s="1127"/>
      <c r="AL16" s="1114"/>
      <c r="AM16" s="1111"/>
      <c r="AN16" s="1127"/>
      <c r="AO16" s="1130"/>
      <c r="AP16" s="1133"/>
      <c r="AQ16" s="1136"/>
      <c r="AR16" s="1130"/>
      <c r="AS16" s="1133"/>
      <c r="AT16" s="1136"/>
      <c r="AU16" s="1130"/>
      <c r="AV16" s="1133"/>
      <c r="AW16" s="1136"/>
      <c r="AX16" s="1130"/>
      <c r="AY16" s="1133"/>
      <c r="AZ16" s="1136"/>
      <c r="BA16" s="1130"/>
      <c r="BB16" s="1133"/>
      <c r="BC16" s="1136"/>
      <c r="BD16" s="1130"/>
      <c r="BE16" s="1133"/>
      <c r="BF16" s="1136"/>
      <c r="BG16" s="1130"/>
      <c r="BH16" s="1133"/>
      <c r="BI16" s="1136"/>
      <c r="BP16" s="270">
        <v>285</v>
      </c>
      <c r="BT16" s="1102"/>
      <c r="BU16" s="1099"/>
      <c r="BV16" s="1254" t="s">
        <v>383</v>
      </c>
      <c r="BW16" s="1255"/>
      <c r="BX16" s="1256"/>
      <c r="BY16" s="456">
        <v>450</v>
      </c>
    </row>
    <row r="17" spans="1:77" ht="43.5" customHeight="1" thickBot="1">
      <c r="A17" s="1236"/>
      <c r="B17" s="1110"/>
      <c r="C17" s="367" t="s">
        <v>71</v>
      </c>
      <c r="D17" s="406" t="s">
        <v>345</v>
      </c>
      <c r="E17" s="368">
        <v>46.4</v>
      </c>
      <c r="F17" s="369">
        <f t="shared" si="4"/>
        <v>77.58620689655173</v>
      </c>
      <c r="G17" s="369">
        <v>1</v>
      </c>
      <c r="H17" s="369">
        <f>H16</f>
        <v>240</v>
      </c>
      <c r="I17" s="459">
        <v>0</v>
      </c>
      <c r="J17" s="541">
        <v>1200</v>
      </c>
      <c r="K17" s="369">
        <v>1</v>
      </c>
      <c r="L17" s="365">
        <f>((H17*E17)/3600)/K17</f>
        <v>3.0933333333333333</v>
      </c>
      <c r="M17" s="372">
        <f t="shared" si="2"/>
        <v>0</v>
      </c>
      <c r="N17" s="469">
        <f>M17*1.5</f>
        <v>0</v>
      </c>
      <c r="O17" s="373">
        <f t="shared" si="3"/>
        <v>41578</v>
      </c>
      <c r="P17" s="35"/>
      <c r="Q17" s="36"/>
      <c r="R17" s="40"/>
      <c r="S17" s="42"/>
      <c r="T17" s="1086"/>
      <c r="U17" s="1086"/>
      <c r="V17" s="1086"/>
      <c r="W17" s="65">
        <v>1</v>
      </c>
      <c r="X17" s="65">
        <v>1</v>
      </c>
      <c r="Y17" s="1084">
        <v>1</v>
      </c>
      <c r="Z17" s="1164"/>
      <c r="AA17" s="1118"/>
      <c r="AB17" s="1126"/>
      <c r="AC17" s="1120"/>
      <c r="AD17" s="1118"/>
      <c r="AE17" s="1126"/>
      <c r="AF17" s="1120"/>
      <c r="AG17" s="1118"/>
      <c r="AH17" s="1126"/>
      <c r="AI17" s="1116"/>
      <c r="AJ17" s="1113"/>
      <c r="AK17" s="1129"/>
      <c r="AL17" s="1116"/>
      <c r="AM17" s="1113"/>
      <c r="AN17" s="1129"/>
      <c r="AO17" s="1132"/>
      <c r="AP17" s="1135"/>
      <c r="AQ17" s="1138"/>
      <c r="AR17" s="1132"/>
      <c r="AS17" s="1135"/>
      <c r="AT17" s="1138"/>
      <c r="AU17" s="1132"/>
      <c r="AV17" s="1135"/>
      <c r="AW17" s="1138"/>
      <c r="AX17" s="1132"/>
      <c r="AY17" s="1135"/>
      <c r="AZ17" s="1138"/>
      <c r="BA17" s="1132"/>
      <c r="BB17" s="1135"/>
      <c r="BC17" s="1138"/>
      <c r="BD17" s="1132"/>
      <c r="BE17" s="1135"/>
      <c r="BF17" s="1138"/>
      <c r="BG17" s="1132"/>
      <c r="BH17" s="1135"/>
      <c r="BI17" s="1138"/>
      <c r="BP17" s="270">
        <v>285</v>
      </c>
      <c r="BT17" s="1102"/>
      <c r="BU17" s="1099"/>
      <c r="BV17" s="1257" t="s">
        <v>384</v>
      </c>
      <c r="BW17" s="1258"/>
      <c r="BX17" s="1259"/>
      <c r="BY17" s="457">
        <v>300</v>
      </c>
    </row>
    <row r="18" spans="1:77" ht="37.5" customHeight="1" thickBot="1">
      <c r="A18" s="1236"/>
      <c r="B18" s="539" t="s">
        <v>269</v>
      </c>
      <c r="C18" s="367" t="s">
        <v>77</v>
      </c>
      <c r="D18" s="405" t="s">
        <v>346</v>
      </c>
      <c r="E18" s="369">
        <v>47</v>
      </c>
      <c r="F18" s="369">
        <f t="shared" si="4"/>
        <v>76.59574468085107</v>
      </c>
      <c r="G18" s="369">
        <v>1</v>
      </c>
      <c r="H18" s="369">
        <v>144</v>
      </c>
      <c r="I18" s="459">
        <v>0</v>
      </c>
      <c r="J18" s="541" t="s">
        <v>210</v>
      </c>
      <c r="K18" s="369">
        <v>1</v>
      </c>
      <c r="L18" s="365">
        <f t="shared" ref="L18:L78" si="5">((H18*E18)/3600)</f>
        <v>1.88</v>
      </c>
      <c r="M18" s="372">
        <f t="shared" si="2"/>
        <v>0</v>
      </c>
      <c r="N18" s="469">
        <f>M18</f>
        <v>0</v>
      </c>
      <c r="O18" s="373">
        <f t="shared" si="3"/>
        <v>41578</v>
      </c>
      <c r="P18" s="35"/>
      <c r="Q18" s="36"/>
      <c r="R18" s="37">
        <v>1</v>
      </c>
      <c r="S18" s="37"/>
      <c r="T18" s="64">
        <v>1</v>
      </c>
      <c r="U18" s="39"/>
      <c r="V18" s="39"/>
      <c r="W18" s="39"/>
      <c r="X18" s="39"/>
      <c r="Y18" s="40"/>
      <c r="Z18" s="480"/>
      <c r="AA18" s="481"/>
      <c r="AB18" s="520"/>
      <c r="AC18" s="480"/>
      <c r="AD18" s="481"/>
      <c r="AE18" s="520"/>
      <c r="AF18" s="480"/>
      <c r="AG18" s="481"/>
      <c r="AH18" s="520"/>
      <c r="AI18" s="480"/>
      <c r="AJ18" s="481"/>
      <c r="AK18" s="520"/>
      <c r="AL18" s="480"/>
      <c r="AM18" s="481"/>
      <c r="AN18" s="520"/>
      <c r="AO18" s="521"/>
      <c r="AP18" s="522"/>
      <c r="AQ18" s="523"/>
      <c r="AR18" s="521"/>
      <c r="AS18" s="522"/>
      <c r="AT18" s="523"/>
      <c r="AU18" s="521"/>
      <c r="AV18" s="522"/>
      <c r="AW18" s="523"/>
      <c r="AX18" s="521"/>
      <c r="AY18" s="522"/>
      <c r="AZ18" s="523"/>
      <c r="BA18" s="521"/>
      <c r="BB18" s="522"/>
      <c r="BC18" s="523"/>
      <c r="BD18" s="521"/>
      <c r="BE18" s="522"/>
      <c r="BF18" s="523"/>
      <c r="BG18" s="521"/>
      <c r="BH18" s="522"/>
      <c r="BI18" s="523"/>
      <c r="BT18" s="1102"/>
      <c r="BU18" s="1099"/>
      <c r="BV18" s="1257" t="s">
        <v>385</v>
      </c>
      <c r="BW18" s="1258"/>
      <c r="BX18" s="1259"/>
      <c r="BY18" s="457">
        <v>200</v>
      </c>
    </row>
    <row r="19" spans="1:77" ht="37.5" customHeight="1" thickBot="1">
      <c r="A19" s="1236"/>
      <c r="B19" s="1232" t="s">
        <v>268</v>
      </c>
      <c r="C19" s="367" t="s">
        <v>75</v>
      </c>
      <c r="D19" s="406" t="s">
        <v>347</v>
      </c>
      <c r="E19" s="368">
        <v>49.3</v>
      </c>
      <c r="F19" s="369">
        <f t="shared" si="4"/>
        <v>73.022312373225162</v>
      </c>
      <c r="G19" s="369">
        <v>1</v>
      </c>
      <c r="H19" s="369">
        <f>0.8*BY19</f>
        <v>80</v>
      </c>
      <c r="I19" s="459">
        <v>0</v>
      </c>
      <c r="J19" s="541">
        <v>544</v>
      </c>
      <c r="K19" s="369">
        <v>1</v>
      </c>
      <c r="L19" s="365">
        <f t="shared" si="5"/>
        <v>1.0955555555555556</v>
      </c>
      <c r="M19" s="372">
        <f t="shared" si="2"/>
        <v>0</v>
      </c>
      <c r="N19" s="469">
        <f>M19*1.5</f>
        <v>0</v>
      </c>
      <c r="O19" s="373">
        <f t="shared" si="3"/>
        <v>41578</v>
      </c>
      <c r="P19" s="35"/>
      <c r="Q19" s="36"/>
      <c r="R19" s="40"/>
      <c r="S19" s="41"/>
      <c r="T19" s="1085"/>
      <c r="U19" s="1085"/>
      <c r="V19" s="1085"/>
      <c r="W19" s="1085"/>
      <c r="X19" s="1085"/>
      <c r="Y19" s="1083"/>
      <c r="Z19" s="1119"/>
      <c r="AA19" s="1117"/>
      <c r="AB19" s="1125"/>
      <c r="AC19" s="1119"/>
      <c r="AD19" s="1117"/>
      <c r="AE19" s="1125"/>
      <c r="AF19" s="1119"/>
      <c r="AG19" s="1117"/>
      <c r="AH19" s="1125"/>
      <c r="AI19" s="1114"/>
      <c r="AJ19" s="1111">
        <v>20</v>
      </c>
      <c r="AK19" s="1122"/>
      <c r="AL19" s="1114"/>
      <c r="AM19" s="1111"/>
      <c r="AN19" s="1127"/>
      <c r="AO19" s="1130"/>
      <c r="AP19" s="1133"/>
      <c r="AQ19" s="1136"/>
      <c r="AR19" s="1130"/>
      <c r="AS19" s="1133"/>
      <c r="AT19" s="1136"/>
      <c r="AU19" s="1130"/>
      <c r="AV19" s="1133"/>
      <c r="AW19" s="1136"/>
      <c r="AX19" s="1130"/>
      <c r="AY19" s="1133"/>
      <c r="AZ19" s="1136"/>
      <c r="BA19" s="1130"/>
      <c r="BB19" s="1133"/>
      <c r="BC19" s="1136"/>
      <c r="BD19" s="1130"/>
      <c r="BE19" s="1133"/>
      <c r="BF19" s="1136"/>
      <c r="BG19" s="1130"/>
      <c r="BH19" s="1133"/>
      <c r="BI19" s="1136"/>
      <c r="BP19" s="271">
        <v>179</v>
      </c>
      <c r="BT19" s="1102"/>
      <c r="BU19" s="1099"/>
      <c r="BV19" s="1260" t="s">
        <v>386</v>
      </c>
      <c r="BW19" s="1261"/>
      <c r="BX19" s="1262"/>
      <c r="BY19" s="458">
        <v>100</v>
      </c>
    </row>
    <row r="20" spans="1:77" ht="36.75" customHeight="1" thickBot="1">
      <c r="A20" s="1236"/>
      <c r="B20" s="1232"/>
      <c r="C20" s="367" t="s">
        <v>76</v>
      </c>
      <c r="D20" s="406" t="s">
        <v>348</v>
      </c>
      <c r="E20" s="368">
        <v>49.3</v>
      </c>
      <c r="F20" s="369">
        <f t="shared" si="4"/>
        <v>73.022312373225162</v>
      </c>
      <c r="G20" s="369">
        <v>1</v>
      </c>
      <c r="H20" s="369">
        <f>H19</f>
        <v>80</v>
      </c>
      <c r="I20" s="459">
        <v>0</v>
      </c>
      <c r="J20" s="541">
        <v>544</v>
      </c>
      <c r="K20" s="369">
        <v>1</v>
      </c>
      <c r="L20" s="365">
        <f t="shared" si="5"/>
        <v>1.0955555555555556</v>
      </c>
      <c r="M20" s="372">
        <f t="shared" si="2"/>
        <v>0</v>
      </c>
      <c r="N20" s="469">
        <f>M20*1.5</f>
        <v>0</v>
      </c>
      <c r="O20" s="373">
        <f t="shared" si="3"/>
        <v>41578</v>
      </c>
      <c r="P20" s="35"/>
      <c r="Q20" s="36"/>
      <c r="R20" s="40"/>
      <c r="S20" s="42"/>
      <c r="T20" s="1086"/>
      <c r="U20" s="1086"/>
      <c r="V20" s="1086"/>
      <c r="W20" s="1086"/>
      <c r="X20" s="1086"/>
      <c r="Y20" s="1084"/>
      <c r="Z20" s="1120"/>
      <c r="AA20" s="1118"/>
      <c r="AB20" s="1126"/>
      <c r="AC20" s="1120"/>
      <c r="AD20" s="1118"/>
      <c r="AE20" s="1126"/>
      <c r="AF20" s="1120"/>
      <c r="AG20" s="1118"/>
      <c r="AH20" s="1126"/>
      <c r="AI20" s="1116"/>
      <c r="AJ20" s="1113"/>
      <c r="AK20" s="1124"/>
      <c r="AL20" s="1116"/>
      <c r="AM20" s="1113"/>
      <c r="AN20" s="1129"/>
      <c r="AO20" s="1132"/>
      <c r="AP20" s="1135"/>
      <c r="AQ20" s="1138"/>
      <c r="AR20" s="1132"/>
      <c r="AS20" s="1135"/>
      <c r="AT20" s="1138"/>
      <c r="AU20" s="1132"/>
      <c r="AV20" s="1135"/>
      <c r="AW20" s="1138"/>
      <c r="AX20" s="1132"/>
      <c r="AY20" s="1135"/>
      <c r="AZ20" s="1138"/>
      <c r="BA20" s="1132"/>
      <c r="BB20" s="1135"/>
      <c r="BC20" s="1138"/>
      <c r="BD20" s="1132"/>
      <c r="BE20" s="1135"/>
      <c r="BF20" s="1138"/>
      <c r="BG20" s="1132"/>
      <c r="BH20" s="1135"/>
      <c r="BI20" s="1138"/>
      <c r="BT20" s="1102"/>
      <c r="BU20" s="1099"/>
    </row>
    <row r="21" spans="1:77" ht="56.25" thickBot="1">
      <c r="A21" s="1237"/>
      <c r="B21" s="540" t="s">
        <v>263</v>
      </c>
      <c r="C21" s="377" t="s">
        <v>86</v>
      </c>
      <c r="D21" s="407" t="s">
        <v>111</v>
      </c>
      <c r="E21" s="378">
        <v>53.3</v>
      </c>
      <c r="F21" s="378">
        <f t="shared" si="4"/>
        <v>67.542213883677306</v>
      </c>
      <c r="G21" s="378">
        <v>1</v>
      </c>
      <c r="H21" s="369">
        <f>96+80</f>
        <v>176</v>
      </c>
      <c r="I21" s="460">
        <v>0</v>
      </c>
      <c r="J21" s="542" t="s">
        <v>210</v>
      </c>
      <c r="K21" s="378">
        <v>1</v>
      </c>
      <c r="L21" s="365">
        <f t="shared" si="5"/>
        <v>2.6057777777777775</v>
      </c>
      <c r="M21" s="381">
        <f t="shared" si="2"/>
        <v>0</v>
      </c>
      <c r="N21" s="470">
        <f>M21</f>
        <v>0</v>
      </c>
      <c r="O21" s="382">
        <f t="shared" si="3"/>
        <v>41578</v>
      </c>
      <c r="P21" s="47"/>
      <c r="Q21" s="48"/>
      <c r="R21" s="49"/>
      <c r="S21" s="49"/>
      <c r="T21" s="50"/>
      <c r="U21" s="50"/>
      <c r="V21" s="50"/>
      <c r="W21" s="50"/>
      <c r="X21" s="50"/>
      <c r="Y21" s="49"/>
      <c r="Z21" s="545"/>
      <c r="AA21" s="546"/>
      <c r="AB21" s="547"/>
      <c r="AC21" s="545"/>
      <c r="AD21" s="546"/>
      <c r="AE21" s="547"/>
      <c r="AF21" s="545"/>
      <c r="AG21" s="546"/>
      <c r="AH21" s="547"/>
      <c r="AI21" s="13"/>
      <c r="AJ21" s="11"/>
      <c r="AK21" s="12"/>
      <c r="AL21" s="13"/>
      <c r="AM21" s="11"/>
      <c r="AN21" s="12"/>
      <c r="AO21" s="30"/>
      <c r="AP21" s="31"/>
      <c r="AQ21" s="32"/>
      <c r="AR21" s="30"/>
      <c r="AS21" s="31"/>
      <c r="AT21" s="32"/>
      <c r="AU21" s="30"/>
      <c r="AV21" s="31"/>
      <c r="AW21" s="32"/>
      <c r="AX21" s="30"/>
      <c r="AY21" s="31"/>
      <c r="AZ21" s="32"/>
      <c r="BA21" s="30"/>
      <c r="BB21" s="31"/>
      <c r="BC21" s="32"/>
      <c r="BD21" s="30"/>
      <c r="BE21" s="31"/>
      <c r="BF21" s="32"/>
      <c r="BG21" s="30"/>
      <c r="BH21" s="31"/>
      <c r="BI21" s="32"/>
      <c r="BT21" s="1103"/>
      <c r="BU21" s="1100"/>
    </row>
    <row r="22" spans="1:77" ht="30.75" customHeight="1" thickBot="1">
      <c r="A22" s="1225" t="s">
        <v>310</v>
      </c>
      <c r="B22" s="1228" t="s">
        <v>254</v>
      </c>
      <c r="C22" s="297" t="s">
        <v>51</v>
      </c>
      <c r="D22" s="408" t="s">
        <v>349</v>
      </c>
      <c r="E22" s="274">
        <v>46.6</v>
      </c>
      <c r="F22" s="275">
        <f t="shared" si="4"/>
        <v>77.253218884120173</v>
      </c>
      <c r="G22" s="275">
        <v>1</v>
      </c>
      <c r="H22" s="282">
        <f>BY17*0.8</f>
        <v>240</v>
      </c>
      <c r="I22" s="637">
        <v>0</v>
      </c>
      <c r="J22" s="277">
        <v>625</v>
      </c>
      <c r="K22" s="275">
        <v>1</v>
      </c>
      <c r="L22" s="365">
        <f t="shared" si="5"/>
        <v>3.1066666666666665</v>
      </c>
      <c r="M22" s="278">
        <f t="shared" si="2"/>
        <v>0</v>
      </c>
      <c r="N22" s="471">
        <f>M22*2</f>
        <v>0</v>
      </c>
      <c r="O22" s="279">
        <f t="shared" si="3"/>
        <v>41578</v>
      </c>
      <c r="P22" s="35"/>
      <c r="Q22" s="36"/>
      <c r="R22" s="40"/>
      <c r="S22" s="39"/>
      <c r="T22" s="1088"/>
      <c r="U22" s="1088"/>
      <c r="V22" s="1088"/>
      <c r="W22" s="1088"/>
      <c r="X22" s="1088"/>
      <c r="Y22" s="1090"/>
      <c r="Z22" s="1148"/>
      <c r="AA22" s="1144">
        <v>18</v>
      </c>
      <c r="AB22" s="1229"/>
      <c r="AC22" s="1230"/>
      <c r="AD22" s="1144"/>
      <c r="AE22" s="1146"/>
      <c r="AF22" s="1148"/>
      <c r="AG22" s="1144"/>
      <c r="AH22" s="1146"/>
      <c r="AI22" s="1148"/>
      <c r="AJ22" s="1144"/>
      <c r="AK22" s="1231">
        <v>22</v>
      </c>
      <c r="AL22" s="1148"/>
      <c r="AM22" s="1144"/>
      <c r="AN22" s="1146"/>
      <c r="AO22" s="1156"/>
      <c r="AP22" s="1158"/>
      <c r="AQ22" s="1154"/>
      <c r="AR22" s="1188"/>
      <c r="AS22" s="1189"/>
      <c r="AT22" s="1185"/>
      <c r="AU22" s="1188"/>
      <c r="AV22" s="1189"/>
      <c r="AW22" s="1185"/>
      <c r="AX22" s="1188"/>
      <c r="AY22" s="1189"/>
      <c r="AZ22" s="1185"/>
      <c r="BA22" s="1188"/>
      <c r="BB22" s="1189"/>
      <c r="BC22" s="1185"/>
      <c r="BD22" s="1188"/>
      <c r="BE22" s="1189"/>
      <c r="BF22" s="1185"/>
      <c r="BG22" s="1188"/>
      <c r="BH22" s="1189"/>
      <c r="BI22" s="1185"/>
      <c r="BP22" s="272">
        <v>1372</v>
      </c>
      <c r="BT22" s="1101">
        <v>2</v>
      </c>
      <c r="BU22" s="1098">
        <f>L22+L24+L27+L29+L36+BT22</f>
        <v>15.473888888888887</v>
      </c>
    </row>
    <row r="23" spans="1:77" ht="34.5" customHeight="1" thickBot="1">
      <c r="A23" s="1226"/>
      <c r="B23" s="1203"/>
      <c r="C23" s="298" t="s">
        <v>52</v>
      </c>
      <c r="D23" s="409" t="s">
        <v>350</v>
      </c>
      <c r="E23" s="281">
        <v>46.6</v>
      </c>
      <c r="F23" s="282">
        <f t="shared" si="4"/>
        <v>77.253218884120173</v>
      </c>
      <c r="G23" s="282">
        <v>1</v>
      </c>
      <c r="H23" s="282">
        <f>BY17*0.8</f>
        <v>240</v>
      </c>
      <c r="I23" s="459">
        <v>0</v>
      </c>
      <c r="J23" s="284">
        <v>625</v>
      </c>
      <c r="K23" s="282">
        <v>1</v>
      </c>
      <c r="L23" s="365">
        <f t="shared" si="5"/>
        <v>3.1066666666666665</v>
      </c>
      <c r="M23" s="285">
        <f t="shared" si="2"/>
        <v>0</v>
      </c>
      <c r="N23" s="472">
        <f>M23*2</f>
        <v>0</v>
      </c>
      <c r="O23" s="286">
        <f t="shared" si="3"/>
        <v>41578</v>
      </c>
      <c r="P23" s="35"/>
      <c r="Q23" s="36"/>
      <c r="R23" s="40"/>
      <c r="S23" s="39"/>
      <c r="T23" s="1088"/>
      <c r="U23" s="1088"/>
      <c r="V23" s="1088"/>
      <c r="W23" s="1088"/>
      <c r="X23" s="1088"/>
      <c r="Y23" s="1090"/>
      <c r="Z23" s="1148"/>
      <c r="AA23" s="1144"/>
      <c r="AB23" s="1229"/>
      <c r="AC23" s="1230"/>
      <c r="AD23" s="1144"/>
      <c r="AE23" s="1146"/>
      <c r="AF23" s="1148"/>
      <c r="AG23" s="1144"/>
      <c r="AH23" s="1146"/>
      <c r="AI23" s="1148"/>
      <c r="AJ23" s="1144"/>
      <c r="AK23" s="1231"/>
      <c r="AL23" s="1148"/>
      <c r="AM23" s="1144"/>
      <c r="AN23" s="1146"/>
      <c r="AO23" s="1156"/>
      <c r="AP23" s="1158"/>
      <c r="AQ23" s="1154"/>
      <c r="AR23" s="1140"/>
      <c r="AS23" s="1142"/>
      <c r="AT23" s="1150"/>
      <c r="AU23" s="1140"/>
      <c r="AV23" s="1142"/>
      <c r="AW23" s="1150"/>
      <c r="AX23" s="1140"/>
      <c r="AY23" s="1142"/>
      <c r="AZ23" s="1150"/>
      <c r="BA23" s="1140"/>
      <c r="BB23" s="1142"/>
      <c r="BC23" s="1150"/>
      <c r="BD23" s="1140"/>
      <c r="BE23" s="1142"/>
      <c r="BF23" s="1150"/>
      <c r="BG23" s="1140"/>
      <c r="BH23" s="1142"/>
      <c r="BI23" s="1150"/>
      <c r="BP23" s="270">
        <v>981</v>
      </c>
      <c r="BT23" s="1102"/>
      <c r="BU23" s="1099"/>
    </row>
    <row r="24" spans="1:77" ht="34.5" customHeight="1" thickBot="1">
      <c r="A24" s="1226"/>
      <c r="B24" s="1186" t="s">
        <v>255</v>
      </c>
      <c r="C24" s="280" t="s">
        <v>53</v>
      </c>
      <c r="D24" s="409" t="s">
        <v>10</v>
      </c>
      <c r="E24" s="281">
        <v>42</v>
      </c>
      <c r="F24" s="282">
        <f t="shared" si="4"/>
        <v>85.714285714285708</v>
      </c>
      <c r="G24" s="282">
        <v>1</v>
      </c>
      <c r="H24" s="282">
        <f>BY17</f>
        <v>300</v>
      </c>
      <c r="I24" s="459">
        <v>0</v>
      </c>
      <c r="J24" s="284">
        <v>1504</v>
      </c>
      <c r="K24" s="282">
        <v>1</v>
      </c>
      <c r="L24" s="365">
        <f t="shared" si="5"/>
        <v>3.5</v>
      </c>
      <c r="M24" s="285">
        <f t="shared" si="2"/>
        <v>0</v>
      </c>
      <c r="N24" s="472">
        <f>M24*1.5</f>
        <v>0</v>
      </c>
      <c r="O24" s="286">
        <f t="shared" si="3"/>
        <v>41578</v>
      </c>
      <c r="P24" s="35"/>
      <c r="Q24" s="36"/>
      <c r="R24" s="40"/>
      <c r="S24" s="39"/>
      <c r="T24" s="39"/>
      <c r="U24" s="39"/>
      <c r="V24" s="39"/>
      <c r="W24" s="39"/>
      <c r="X24" s="39"/>
      <c r="Y24" s="40"/>
      <c r="Z24" s="1119"/>
      <c r="AA24" s="1117"/>
      <c r="AB24" s="1125"/>
      <c r="AC24" s="1119"/>
      <c r="AD24" s="1117"/>
      <c r="AE24" s="1125"/>
      <c r="AF24" s="1119"/>
      <c r="AG24" s="1117"/>
      <c r="AH24" s="1125"/>
      <c r="AI24" s="1119"/>
      <c r="AJ24" s="1117"/>
      <c r="AK24" s="1125"/>
      <c r="AL24" s="1119"/>
      <c r="AM24" s="1117"/>
      <c r="AN24" s="1125"/>
      <c r="AO24" s="1188"/>
      <c r="AP24" s="1117"/>
      <c r="AQ24" s="1185"/>
      <c r="AR24" s="1188"/>
      <c r="AS24" s="1189"/>
      <c r="AT24" s="1185"/>
      <c r="AU24" s="1188"/>
      <c r="AV24" s="1189"/>
      <c r="AW24" s="1185"/>
      <c r="AX24" s="1188"/>
      <c r="AY24" s="1189"/>
      <c r="AZ24" s="1185"/>
      <c r="BA24" s="1188"/>
      <c r="BB24" s="1189"/>
      <c r="BC24" s="1185"/>
      <c r="BD24" s="1188"/>
      <c r="BE24" s="1189"/>
      <c r="BF24" s="1185"/>
      <c r="BG24" s="1188"/>
      <c r="BH24" s="1189"/>
      <c r="BI24" s="1185"/>
      <c r="BP24" s="270">
        <v>1075</v>
      </c>
      <c r="BT24" s="1102"/>
      <c r="BU24" s="1099"/>
    </row>
    <row r="25" spans="1:77" ht="39.75" customHeight="1" thickBot="1">
      <c r="A25" s="1226"/>
      <c r="B25" s="1203"/>
      <c r="C25" s="280" t="s">
        <v>54</v>
      </c>
      <c r="D25" s="409" t="s">
        <v>11</v>
      </c>
      <c r="E25" s="281">
        <v>42</v>
      </c>
      <c r="F25" s="282">
        <f t="shared" si="4"/>
        <v>85.714285714285708</v>
      </c>
      <c r="G25" s="282">
        <v>1</v>
      </c>
      <c r="H25" s="282">
        <f>BY17</f>
        <v>300</v>
      </c>
      <c r="I25" s="459">
        <v>0</v>
      </c>
      <c r="J25" s="284">
        <v>1504</v>
      </c>
      <c r="K25" s="282">
        <v>1</v>
      </c>
      <c r="L25" s="365">
        <f t="shared" si="5"/>
        <v>3.5</v>
      </c>
      <c r="M25" s="285">
        <f>I25/H24</f>
        <v>0</v>
      </c>
      <c r="N25" s="472">
        <f>M25*1.5</f>
        <v>0</v>
      </c>
      <c r="O25" s="286">
        <f t="shared" si="3"/>
        <v>41578</v>
      </c>
      <c r="P25" s="35"/>
      <c r="Q25" s="36"/>
      <c r="R25" s="40"/>
      <c r="S25" s="39"/>
      <c r="T25" s="39"/>
      <c r="U25" s="39"/>
      <c r="V25" s="39"/>
      <c r="W25" s="39"/>
      <c r="X25" s="39"/>
      <c r="Y25" s="40"/>
      <c r="Z25" s="1121"/>
      <c r="AA25" s="1152"/>
      <c r="AB25" s="1151"/>
      <c r="AC25" s="1121"/>
      <c r="AD25" s="1152"/>
      <c r="AE25" s="1151"/>
      <c r="AF25" s="1121"/>
      <c r="AG25" s="1152"/>
      <c r="AH25" s="1151"/>
      <c r="AI25" s="1121"/>
      <c r="AJ25" s="1152"/>
      <c r="AK25" s="1151"/>
      <c r="AL25" s="1121"/>
      <c r="AM25" s="1152"/>
      <c r="AN25" s="1151"/>
      <c r="AO25" s="1199"/>
      <c r="AP25" s="1152"/>
      <c r="AQ25" s="1197"/>
      <c r="AR25" s="1199"/>
      <c r="AS25" s="1201"/>
      <c r="AT25" s="1197"/>
      <c r="AU25" s="1199"/>
      <c r="AV25" s="1201"/>
      <c r="AW25" s="1197"/>
      <c r="AX25" s="1199"/>
      <c r="AY25" s="1201"/>
      <c r="AZ25" s="1197"/>
      <c r="BA25" s="1199"/>
      <c r="BB25" s="1201"/>
      <c r="BC25" s="1197"/>
      <c r="BD25" s="1199"/>
      <c r="BE25" s="1201"/>
      <c r="BF25" s="1197"/>
      <c r="BG25" s="1199"/>
      <c r="BH25" s="1201"/>
      <c r="BI25" s="1197"/>
      <c r="BP25" s="271">
        <v>859</v>
      </c>
      <c r="BT25" s="1102"/>
      <c r="BU25" s="1099"/>
    </row>
    <row r="26" spans="1:77" ht="35.25" customHeight="1" thickBot="1">
      <c r="A26" s="1226"/>
      <c r="B26" s="1203"/>
      <c r="C26" s="280" t="s">
        <v>55</v>
      </c>
      <c r="D26" s="409" t="s">
        <v>380</v>
      </c>
      <c r="E26" s="281">
        <v>42</v>
      </c>
      <c r="F26" s="282">
        <f t="shared" si="4"/>
        <v>85.714285714285708</v>
      </c>
      <c r="G26" s="282">
        <v>1</v>
      </c>
      <c r="H26" s="282">
        <f>BY17</f>
        <v>300</v>
      </c>
      <c r="I26" s="459">
        <v>0</v>
      </c>
      <c r="J26" s="284">
        <v>1504</v>
      </c>
      <c r="K26" s="282">
        <v>1</v>
      </c>
      <c r="L26" s="365">
        <f t="shared" si="5"/>
        <v>3.5</v>
      </c>
      <c r="M26" s="285">
        <f>I26/H24</f>
        <v>0</v>
      </c>
      <c r="N26" s="472">
        <f>M26*1.5</f>
        <v>0</v>
      </c>
      <c r="O26" s="286">
        <f t="shared" si="3"/>
        <v>41578</v>
      </c>
      <c r="P26" s="35"/>
      <c r="Q26" s="36"/>
      <c r="R26" s="40"/>
      <c r="S26" s="39"/>
      <c r="T26" s="39"/>
      <c r="U26" s="39"/>
      <c r="V26" s="39"/>
      <c r="W26" s="39"/>
      <c r="X26" s="39"/>
      <c r="Y26" s="40"/>
      <c r="Z26" s="1120"/>
      <c r="AA26" s="1118"/>
      <c r="AB26" s="1126"/>
      <c r="AC26" s="1120"/>
      <c r="AD26" s="1118"/>
      <c r="AE26" s="1126"/>
      <c r="AF26" s="1120"/>
      <c r="AG26" s="1118"/>
      <c r="AH26" s="1126"/>
      <c r="AI26" s="1120"/>
      <c r="AJ26" s="1118"/>
      <c r="AK26" s="1126"/>
      <c r="AL26" s="1120"/>
      <c r="AM26" s="1118"/>
      <c r="AN26" s="1126"/>
      <c r="AO26" s="1140"/>
      <c r="AP26" s="1118"/>
      <c r="AQ26" s="1150"/>
      <c r="AR26" s="1140"/>
      <c r="AS26" s="1142"/>
      <c r="AT26" s="1150"/>
      <c r="AU26" s="1140"/>
      <c r="AV26" s="1142"/>
      <c r="AW26" s="1150"/>
      <c r="AX26" s="1140"/>
      <c r="AY26" s="1142"/>
      <c r="AZ26" s="1150"/>
      <c r="BA26" s="1140"/>
      <c r="BB26" s="1142"/>
      <c r="BC26" s="1150"/>
      <c r="BD26" s="1140"/>
      <c r="BE26" s="1142"/>
      <c r="BF26" s="1150"/>
      <c r="BG26" s="1140"/>
      <c r="BH26" s="1142"/>
      <c r="BI26" s="1150"/>
      <c r="BP26" s="270">
        <v>1371</v>
      </c>
      <c r="BT26" s="1102"/>
      <c r="BU26" s="1099"/>
    </row>
    <row r="27" spans="1:77" ht="39.75" customHeight="1" thickBot="1">
      <c r="A27" s="1226"/>
      <c r="B27" s="1186" t="s">
        <v>262</v>
      </c>
      <c r="C27" s="280" t="s">
        <v>67</v>
      </c>
      <c r="D27" s="409" t="s">
        <v>351</v>
      </c>
      <c r="E27" s="281">
        <v>57</v>
      </c>
      <c r="F27" s="282">
        <f>3600/E27*2</f>
        <v>126.31578947368421</v>
      </c>
      <c r="G27" s="282">
        <v>1</v>
      </c>
      <c r="H27" s="282">
        <f>BY17</f>
        <v>300</v>
      </c>
      <c r="I27" s="459">
        <v>0</v>
      </c>
      <c r="J27" s="284">
        <f>65*25</f>
        <v>1625</v>
      </c>
      <c r="K27" s="282">
        <v>1</v>
      </c>
      <c r="L27" s="365">
        <f t="shared" si="5"/>
        <v>4.75</v>
      </c>
      <c r="M27" s="285">
        <f>I27/H27</f>
        <v>0</v>
      </c>
      <c r="N27" s="472">
        <f>M27*2</f>
        <v>0</v>
      </c>
      <c r="O27" s="286">
        <f t="shared" si="3"/>
        <v>41578</v>
      </c>
      <c r="P27" s="35"/>
      <c r="Q27" s="36"/>
      <c r="R27" s="37">
        <v>1</v>
      </c>
      <c r="S27" s="61"/>
      <c r="T27" s="1085">
        <v>1</v>
      </c>
      <c r="U27" s="1085"/>
      <c r="V27" s="1085"/>
      <c r="W27" s="1085"/>
      <c r="X27" s="1085"/>
      <c r="Y27" s="1195">
        <v>1</v>
      </c>
      <c r="Z27" s="1162"/>
      <c r="AA27" s="1170"/>
      <c r="AB27" s="1125"/>
      <c r="AC27" s="1119"/>
      <c r="AD27" s="1117"/>
      <c r="AE27" s="1125"/>
      <c r="AF27" s="1119"/>
      <c r="AG27" s="1117"/>
      <c r="AH27" s="1223">
        <v>0</v>
      </c>
      <c r="AI27" s="1119"/>
      <c r="AJ27" s="1170">
        <v>16</v>
      </c>
      <c r="AK27" s="1122"/>
      <c r="AL27" s="1119"/>
      <c r="AM27" s="1117"/>
      <c r="AN27" s="1125"/>
      <c r="AO27" s="1188"/>
      <c r="AP27" s="1189"/>
      <c r="AQ27" s="1185"/>
      <c r="AR27" s="1188"/>
      <c r="AS27" s="1189"/>
      <c r="AT27" s="1185"/>
      <c r="AU27" s="1188"/>
      <c r="AV27" s="1189"/>
      <c r="AW27" s="1185"/>
      <c r="AX27" s="1188"/>
      <c r="AY27" s="1189"/>
      <c r="AZ27" s="1185"/>
      <c r="BA27" s="1188"/>
      <c r="BB27" s="1189"/>
      <c r="BC27" s="1185"/>
      <c r="BD27" s="1188"/>
      <c r="BE27" s="1189"/>
      <c r="BF27" s="1185"/>
      <c r="BG27" s="1188"/>
      <c r="BH27" s="1189"/>
      <c r="BI27" s="1185"/>
      <c r="BP27" s="270">
        <v>7889</v>
      </c>
      <c r="BT27" s="1102"/>
      <c r="BU27" s="1099"/>
    </row>
    <row r="28" spans="1:77" ht="37.5" customHeight="1" thickBot="1">
      <c r="A28" s="1226"/>
      <c r="B28" s="1186"/>
      <c r="C28" s="298" t="s">
        <v>68</v>
      </c>
      <c r="D28" s="409" t="s">
        <v>352</v>
      </c>
      <c r="E28" s="282">
        <v>57</v>
      </c>
      <c r="F28" s="282">
        <f>3600/E28*2</f>
        <v>126.31578947368421</v>
      </c>
      <c r="G28" s="282">
        <v>1</v>
      </c>
      <c r="H28" s="282">
        <f>BY17</f>
        <v>300</v>
      </c>
      <c r="I28" s="459">
        <v>0</v>
      </c>
      <c r="J28" s="284">
        <f>65*25</f>
        <v>1625</v>
      </c>
      <c r="K28" s="282">
        <v>1</v>
      </c>
      <c r="L28" s="365">
        <f t="shared" si="5"/>
        <v>4.75</v>
      </c>
      <c r="M28" s="285">
        <f>I28/H28</f>
        <v>0</v>
      </c>
      <c r="N28" s="472">
        <f>M28*2</f>
        <v>0</v>
      </c>
      <c r="O28" s="286">
        <f t="shared" si="3"/>
        <v>41578</v>
      </c>
      <c r="P28" s="43"/>
      <c r="Q28" s="44"/>
      <c r="R28" s="62">
        <v>1</v>
      </c>
      <c r="S28" s="63"/>
      <c r="T28" s="1205">
        <v>1</v>
      </c>
      <c r="U28" s="1205"/>
      <c r="V28" s="1205"/>
      <c r="W28" s="1205"/>
      <c r="X28" s="1205"/>
      <c r="Y28" s="1207">
        <v>1</v>
      </c>
      <c r="Z28" s="1221"/>
      <c r="AA28" s="1222"/>
      <c r="AB28" s="1210"/>
      <c r="AC28" s="1208"/>
      <c r="AD28" s="1209"/>
      <c r="AE28" s="1210"/>
      <c r="AF28" s="1208"/>
      <c r="AG28" s="1209"/>
      <c r="AH28" s="1210"/>
      <c r="AI28" s="1208"/>
      <c r="AJ28" s="1222"/>
      <c r="AK28" s="1224"/>
      <c r="AL28" s="1208"/>
      <c r="AM28" s="1209"/>
      <c r="AN28" s="1210"/>
      <c r="AO28" s="1200"/>
      <c r="AP28" s="1202"/>
      <c r="AQ28" s="1198"/>
      <c r="AR28" s="1200"/>
      <c r="AS28" s="1202"/>
      <c r="AT28" s="1198"/>
      <c r="AU28" s="1200"/>
      <c r="AV28" s="1202"/>
      <c r="AW28" s="1198"/>
      <c r="AX28" s="1200"/>
      <c r="AY28" s="1202"/>
      <c r="AZ28" s="1198"/>
      <c r="BA28" s="1200"/>
      <c r="BB28" s="1202"/>
      <c r="BC28" s="1198"/>
      <c r="BD28" s="1200"/>
      <c r="BE28" s="1202"/>
      <c r="BF28" s="1198"/>
      <c r="BG28" s="1200"/>
      <c r="BH28" s="1202"/>
      <c r="BI28" s="1198"/>
      <c r="BP28" s="271">
        <v>6480</v>
      </c>
      <c r="BT28" s="1102"/>
      <c r="BU28" s="1099"/>
    </row>
    <row r="29" spans="1:77" ht="36.75" customHeight="1" thickBot="1">
      <c r="A29" s="1226"/>
      <c r="B29" s="288" t="s">
        <v>256</v>
      </c>
      <c r="C29" s="280" t="s">
        <v>56</v>
      </c>
      <c r="D29" s="409" t="s">
        <v>353</v>
      </c>
      <c r="E29" s="282">
        <v>48.9</v>
      </c>
      <c r="F29" s="282">
        <f t="shared" si="4"/>
        <v>73.619631901840492</v>
      </c>
      <c r="G29" s="282">
        <v>1</v>
      </c>
      <c r="H29" s="282">
        <f>0.4*BY18</f>
        <v>80</v>
      </c>
      <c r="I29" s="459">
        <v>0</v>
      </c>
      <c r="J29" s="284">
        <v>1419</v>
      </c>
      <c r="K29" s="282">
        <v>1</v>
      </c>
      <c r="L29" s="365">
        <f t="shared" si="5"/>
        <v>1.0866666666666667</v>
      </c>
      <c r="M29" s="285">
        <f>I29/H29</f>
        <v>0</v>
      </c>
      <c r="N29" s="472">
        <f>M29*1.5</f>
        <v>0</v>
      </c>
      <c r="O29" s="286">
        <f t="shared" si="3"/>
        <v>41578</v>
      </c>
      <c r="P29" s="35"/>
      <c r="Q29" s="36"/>
      <c r="R29" s="40"/>
      <c r="S29" s="39"/>
      <c r="T29" s="39"/>
      <c r="U29" s="39"/>
      <c r="V29" s="39"/>
      <c r="W29" s="39"/>
      <c r="X29" s="39"/>
      <c r="Y29" s="40"/>
      <c r="Z29" s="480"/>
      <c r="AA29" s="481"/>
      <c r="AB29" s="520"/>
      <c r="AC29" s="480"/>
      <c r="AD29" s="481"/>
      <c r="AE29" s="520"/>
      <c r="AF29" s="480"/>
      <c r="AG29" s="481"/>
      <c r="AH29" s="520"/>
      <c r="AI29" s="480"/>
      <c r="AJ29" s="481"/>
      <c r="AK29" s="520"/>
      <c r="AL29" s="480"/>
      <c r="AM29" s="481" t="s">
        <v>155</v>
      </c>
      <c r="AN29" s="520"/>
      <c r="AO29" s="521"/>
      <c r="AP29" s="522"/>
      <c r="AQ29" s="523"/>
      <c r="AR29" s="521"/>
      <c r="AS29" s="522"/>
      <c r="AT29" s="523"/>
      <c r="AU29" s="521"/>
      <c r="AV29" s="522"/>
      <c r="AW29" s="523"/>
      <c r="AX29" s="521"/>
      <c r="AY29" s="522"/>
      <c r="AZ29" s="523"/>
      <c r="BA29" s="521"/>
      <c r="BB29" s="522"/>
      <c r="BC29" s="523"/>
      <c r="BD29" s="521"/>
      <c r="BE29" s="522"/>
      <c r="BF29" s="523"/>
      <c r="BG29" s="521"/>
      <c r="BH29" s="522"/>
      <c r="BI29" s="523"/>
      <c r="BT29" s="1102"/>
      <c r="BU29" s="1099"/>
    </row>
    <row r="30" spans="1:77" ht="30" hidden="1" customHeight="1">
      <c r="A30" s="1226"/>
      <c r="B30" s="288"/>
      <c r="C30" s="280" t="s">
        <v>57</v>
      </c>
      <c r="D30" s="409" t="s">
        <v>14</v>
      </c>
      <c r="E30" s="299"/>
      <c r="F30" s="287"/>
      <c r="G30" s="287"/>
      <c r="H30" s="287"/>
      <c r="I30" s="638"/>
      <c r="J30" s="301"/>
      <c r="K30" s="287"/>
      <c r="L30" s="365">
        <f t="shared" si="5"/>
        <v>0</v>
      </c>
      <c r="M30" s="287"/>
      <c r="N30" s="473"/>
      <c r="O30" s="302"/>
      <c r="P30" s="35"/>
      <c r="Q30" s="36"/>
      <c r="R30" s="40"/>
      <c r="S30" s="39"/>
      <c r="T30" s="39"/>
      <c r="U30" s="39"/>
      <c r="V30" s="39"/>
      <c r="W30" s="39"/>
      <c r="X30" s="39"/>
      <c r="Y30" s="40"/>
      <c r="Z30" s="480"/>
      <c r="AA30" s="481"/>
      <c r="AB30" s="520"/>
      <c r="AC30" s="480"/>
      <c r="AD30" s="481"/>
      <c r="AE30" s="520"/>
      <c r="AF30" s="480"/>
      <c r="AG30" s="481"/>
      <c r="AH30" s="501">
        <v>22</v>
      </c>
      <c r="AI30" s="503"/>
      <c r="AJ30" s="505"/>
      <c r="AK30" s="8"/>
      <c r="AL30" s="480"/>
      <c r="AM30" s="481"/>
      <c r="AN30" s="520"/>
      <c r="AO30" s="521"/>
      <c r="AP30" s="522"/>
      <c r="AQ30" s="523"/>
      <c r="AR30" s="521"/>
      <c r="AS30" s="522"/>
      <c r="AT30" s="523"/>
      <c r="AU30" s="521"/>
      <c r="AV30" s="522"/>
      <c r="AW30" s="523"/>
      <c r="AX30" s="521"/>
      <c r="AY30" s="522"/>
      <c r="AZ30" s="523"/>
      <c r="BA30" s="521"/>
      <c r="BB30" s="522"/>
      <c r="BC30" s="523"/>
      <c r="BD30" s="521"/>
      <c r="BE30" s="522"/>
      <c r="BF30" s="523"/>
      <c r="BG30" s="521"/>
      <c r="BH30" s="522"/>
      <c r="BI30" s="523"/>
      <c r="BT30" s="1102"/>
      <c r="BU30" s="1099"/>
    </row>
    <row r="31" spans="1:77" ht="30" hidden="1" customHeight="1">
      <c r="A31" s="1226"/>
      <c r="B31" s="288"/>
      <c r="C31" s="298" t="s">
        <v>61</v>
      </c>
      <c r="D31" s="409" t="s">
        <v>18</v>
      </c>
      <c r="E31" s="299"/>
      <c r="F31" s="287"/>
      <c r="G31" s="287"/>
      <c r="H31" s="287"/>
      <c r="I31" s="638"/>
      <c r="J31" s="301"/>
      <c r="K31" s="287"/>
      <c r="L31" s="365">
        <f t="shared" si="5"/>
        <v>0</v>
      </c>
      <c r="M31" s="287"/>
      <c r="N31" s="473"/>
      <c r="O31" s="302"/>
      <c r="P31" s="35"/>
      <c r="Q31" s="36"/>
      <c r="R31" s="40"/>
      <c r="S31" s="39"/>
      <c r="T31" s="39"/>
      <c r="U31" s="39"/>
      <c r="V31" s="39"/>
      <c r="W31" s="39"/>
      <c r="X31" s="39"/>
      <c r="Y31" s="40"/>
      <c r="Z31" s="480"/>
      <c r="AA31" s="481"/>
      <c r="AB31" s="520"/>
      <c r="AC31" s="480"/>
      <c r="AD31" s="481"/>
      <c r="AE31" s="520"/>
      <c r="AF31" s="480"/>
      <c r="AG31" s="481"/>
      <c r="AH31" s="520"/>
      <c r="AI31" s="480"/>
      <c r="AJ31" s="481"/>
      <c r="AK31" s="520"/>
      <c r="AL31" s="480"/>
      <c r="AM31" s="481"/>
      <c r="AN31" s="520"/>
      <c r="AO31" s="521"/>
      <c r="AP31" s="522"/>
      <c r="AQ31" s="523"/>
      <c r="AR31" s="521"/>
      <c r="AS31" s="522"/>
      <c r="AT31" s="523"/>
      <c r="AU31" s="521"/>
      <c r="AV31" s="522"/>
      <c r="AW31" s="523"/>
      <c r="AX31" s="521"/>
      <c r="AY31" s="522"/>
      <c r="AZ31" s="523"/>
      <c r="BA31" s="521"/>
      <c r="BB31" s="522"/>
      <c r="BC31" s="523"/>
      <c r="BD31" s="521"/>
      <c r="BE31" s="522"/>
      <c r="BF31" s="523"/>
      <c r="BG31" s="521"/>
      <c r="BH31" s="522"/>
      <c r="BI31" s="523"/>
      <c r="BT31" s="1102"/>
      <c r="BU31" s="1099"/>
    </row>
    <row r="32" spans="1:77" ht="30" hidden="1" customHeight="1">
      <c r="A32" s="1226"/>
      <c r="B32" s="288"/>
      <c r="C32" s="298" t="s">
        <v>62</v>
      </c>
      <c r="D32" s="409" t="s">
        <v>19</v>
      </c>
      <c r="E32" s="299"/>
      <c r="F32" s="287"/>
      <c r="G32" s="287"/>
      <c r="H32" s="287"/>
      <c r="I32" s="638"/>
      <c r="J32" s="301"/>
      <c r="K32" s="287"/>
      <c r="L32" s="365">
        <f t="shared" si="5"/>
        <v>0</v>
      </c>
      <c r="M32" s="287"/>
      <c r="N32" s="473"/>
      <c r="O32" s="302"/>
      <c r="P32" s="35"/>
      <c r="Q32" s="36"/>
      <c r="R32" s="40"/>
      <c r="S32" s="39"/>
      <c r="T32" s="39"/>
      <c r="U32" s="39"/>
      <c r="V32" s="39"/>
      <c r="W32" s="39"/>
      <c r="X32" s="39"/>
      <c r="Y32" s="40"/>
      <c r="Z32" s="503"/>
      <c r="AA32" s="505"/>
      <c r="AB32" s="520"/>
      <c r="AC32" s="480"/>
      <c r="AD32" s="481"/>
      <c r="AE32" s="520"/>
      <c r="AF32" s="480"/>
      <c r="AG32" s="481"/>
      <c r="AH32" s="520"/>
      <c r="AI32" s="480"/>
      <c r="AJ32" s="481"/>
      <c r="AK32" s="520"/>
      <c r="AL32" s="480"/>
      <c r="AM32" s="481"/>
      <c r="AN32" s="520"/>
      <c r="AO32" s="521"/>
      <c r="AP32" s="522"/>
      <c r="AQ32" s="523"/>
      <c r="AR32" s="521"/>
      <c r="AS32" s="522"/>
      <c r="AT32" s="523"/>
      <c r="AU32" s="521"/>
      <c r="AV32" s="522"/>
      <c r="AW32" s="523"/>
      <c r="AX32" s="521"/>
      <c r="AY32" s="522"/>
      <c r="AZ32" s="523"/>
      <c r="BA32" s="521"/>
      <c r="BB32" s="522"/>
      <c r="BC32" s="523"/>
      <c r="BD32" s="521"/>
      <c r="BE32" s="522"/>
      <c r="BF32" s="523"/>
      <c r="BG32" s="521"/>
      <c r="BH32" s="522"/>
      <c r="BI32" s="523"/>
      <c r="BT32" s="1102"/>
      <c r="BU32" s="1099"/>
    </row>
    <row r="33" spans="1:73" ht="30.75" hidden="1" customHeight="1" thickBot="1">
      <c r="A33" s="1226"/>
      <c r="B33" s="288"/>
      <c r="C33" s="280" t="s">
        <v>60</v>
      </c>
      <c r="D33" s="409" t="s">
        <v>17</v>
      </c>
      <c r="E33" s="299"/>
      <c r="F33" s="287"/>
      <c r="G33" s="287"/>
      <c r="H33" s="287"/>
      <c r="I33" s="638"/>
      <c r="J33" s="301"/>
      <c r="K33" s="287"/>
      <c r="L33" s="365">
        <f t="shared" si="5"/>
        <v>0</v>
      </c>
      <c r="M33" s="287"/>
      <c r="N33" s="473"/>
      <c r="O33" s="302"/>
      <c r="P33" s="43"/>
      <c r="Q33" s="44"/>
      <c r="R33" s="45"/>
      <c r="S33" s="46"/>
      <c r="T33" s="46"/>
      <c r="U33" s="46"/>
      <c r="V33" s="46"/>
      <c r="W33" s="46"/>
      <c r="X33" s="46"/>
      <c r="Y33" s="45"/>
      <c r="Z33" s="500"/>
      <c r="AA33" s="10"/>
      <c r="AB33" s="9"/>
      <c r="AC33" s="500"/>
      <c r="AD33" s="10"/>
      <c r="AE33" s="9"/>
      <c r="AF33" s="500"/>
      <c r="AG33" s="10"/>
      <c r="AH33" s="9"/>
      <c r="AI33" s="500"/>
      <c r="AJ33" s="10"/>
      <c r="AK33" s="9"/>
      <c r="AL33" s="500"/>
      <c r="AM33" s="10"/>
      <c r="AN33" s="9"/>
      <c r="AO33" s="51"/>
      <c r="AP33" s="52"/>
      <c r="AQ33" s="53"/>
      <c r="AR33" s="51"/>
      <c r="AS33" s="52"/>
      <c r="AT33" s="53"/>
      <c r="AU33" s="51"/>
      <c r="AV33" s="52"/>
      <c r="AW33" s="53"/>
      <c r="AX33" s="51"/>
      <c r="AY33" s="52"/>
      <c r="AZ33" s="53"/>
      <c r="BA33" s="51"/>
      <c r="BB33" s="52"/>
      <c r="BC33" s="53"/>
      <c r="BD33" s="51"/>
      <c r="BE33" s="52"/>
      <c r="BF33" s="53"/>
      <c r="BG33" s="51"/>
      <c r="BH33" s="52"/>
      <c r="BI33" s="53"/>
      <c r="BT33" s="1102"/>
      <c r="BU33" s="1099"/>
    </row>
    <row r="34" spans="1:73" ht="30" hidden="1" customHeight="1">
      <c r="A34" s="1226"/>
      <c r="B34" s="288"/>
      <c r="C34" s="280" t="s">
        <v>57</v>
      </c>
      <c r="D34" s="409" t="s">
        <v>14</v>
      </c>
      <c r="E34" s="282">
        <v>53</v>
      </c>
      <c r="F34" s="282">
        <f t="shared" si="4"/>
        <v>67.924528301886795</v>
      </c>
      <c r="G34" s="282">
        <v>1</v>
      </c>
      <c r="H34" s="282">
        <f>162*2</f>
        <v>324</v>
      </c>
      <c r="I34" s="459">
        <f>324+3622</f>
        <v>3946</v>
      </c>
      <c r="J34" s="284" t="s">
        <v>210</v>
      </c>
      <c r="K34" s="282">
        <f>I34-H34</f>
        <v>3622</v>
      </c>
      <c r="L34" s="365">
        <f t="shared" si="5"/>
        <v>4.7699999999999996</v>
      </c>
      <c r="M34" s="285">
        <f>I34/H34</f>
        <v>12.179012345679013</v>
      </c>
      <c r="N34" s="472"/>
      <c r="O34" s="286">
        <f>+$O$5+M34</f>
        <v>41590.179012345681</v>
      </c>
      <c r="P34" s="47"/>
      <c r="Q34" s="48"/>
      <c r="R34" s="49"/>
      <c r="S34" s="50"/>
      <c r="T34" s="50"/>
      <c r="U34" s="50"/>
      <c r="V34" s="50"/>
      <c r="W34" s="50"/>
      <c r="X34" s="50"/>
      <c r="Y34" s="49"/>
      <c r="Z34" s="545"/>
      <c r="AA34" s="546"/>
      <c r="AB34" s="547"/>
      <c r="AC34" s="545"/>
      <c r="AD34" s="546"/>
      <c r="AE34" s="547"/>
      <c r="AF34" s="545"/>
      <c r="AG34" s="546"/>
      <c r="AH34" s="547"/>
      <c r="AI34" s="13"/>
      <c r="AJ34" s="11"/>
      <c r="AK34" s="12"/>
      <c r="AL34" s="13"/>
      <c r="AM34" s="11"/>
      <c r="AN34" s="12"/>
      <c r="AO34" s="30"/>
      <c r="AP34" s="31"/>
      <c r="AQ34" s="32"/>
      <c r="AR34" s="30"/>
      <c r="AS34" s="31"/>
      <c r="AT34" s="32"/>
      <c r="AU34" s="30"/>
      <c r="AV34" s="31"/>
      <c r="AW34" s="32"/>
      <c r="AX34" s="30"/>
      <c r="AY34" s="31"/>
      <c r="AZ34" s="32"/>
      <c r="BA34" s="30"/>
      <c r="BB34" s="31"/>
      <c r="BC34" s="32"/>
      <c r="BD34" s="30"/>
      <c r="BE34" s="31"/>
      <c r="BF34" s="32"/>
      <c r="BG34" s="30"/>
      <c r="BH34" s="31"/>
      <c r="BI34" s="32"/>
      <c r="BP34" s="14">
        <v>973</v>
      </c>
      <c r="BT34" s="1102"/>
      <c r="BU34" s="1099"/>
    </row>
    <row r="35" spans="1:73" ht="30" hidden="1" customHeight="1">
      <c r="A35" s="1226"/>
      <c r="B35" s="288"/>
      <c r="C35" s="280" t="s">
        <v>60</v>
      </c>
      <c r="D35" s="409" t="s">
        <v>17</v>
      </c>
      <c r="E35" s="282">
        <v>48</v>
      </c>
      <c r="F35" s="282">
        <f>3600/E35</f>
        <v>75</v>
      </c>
      <c r="G35" s="282">
        <v>1</v>
      </c>
      <c r="H35" s="282">
        <f>192+216</f>
        <v>408</v>
      </c>
      <c r="I35" s="459">
        <f>1367+70+21+50+75+400+430+415+580+586+720+691+784+696</f>
        <v>6885</v>
      </c>
      <c r="J35" s="284" t="s">
        <v>210</v>
      </c>
      <c r="K35" s="282">
        <f>I35-H35</f>
        <v>6477</v>
      </c>
      <c r="L35" s="365">
        <f t="shared" si="5"/>
        <v>5.44</v>
      </c>
      <c r="M35" s="285">
        <f>I35/H35</f>
        <v>16.875</v>
      </c>
      <c r="N35" s="472"/>
      <c r="O35" s="286">
        <f>+$O$5+M35</f>
        <v>41594.875</v>
      </c>
      <c r="P35" s="35"/>
      <c r="Q35" s="36"/>
      <c r="R35" s="40"/>
      <c r="S35" s="39"/>
      <c r="T35" s="39"/>
      <c r="U35" s="39"/>
      <c r="V35" s="39"/>
      <c r="W35" s="39"/>
      <c r="X35" s="39"/>
      <c r="Y35" s="40"/>
      <c r="Z35" s="480"/>
      <c r="AA35" s="481"/>
      <c r="AB35" s="520"/>
      <c r="AC35" s="480"/>
      <c r="AD35" s="481"/>
      <c r="AE35" s="520"/>
      <c r="AF35" s="480"/>
      <c r="AG35" s="481"/>
      <c r="AH35" s="520"/>
      <c r="AI35" s="507"/>
      <c r="AJ35" s="509"/>
      <c r="AK35" s="511"/>
      <c r="AL35" s="507"/>
      <c r="AM35" s="509"/>
      <c r="AN35" s="511"/>
      <c r="AO35" s="513"/>
      <c r="AP35" s="515"/>
      <c r="AQ35" s="517"/>
      <c r="AR35" s="513"/>
      <c r="AS35" s="515"/>
      <c r="AT35" s="517"/>
      <c r="AU35" s="513"/>
      <c r="AV35" s="515"/>
      <c r="AW35" s="517"/>
      <c r="AX35" s="513"/>
      <c r="AY35" s="515"/>
      <c r="AZ35" s="517"/>
      <c r="BA35" s="513"/>
      <c r="BB35" s="515"/>
      <c r="BC35" s="517"/>
      <c r="BD35" s="513"/>
      <c r="BE35" s="515"/>
      <c r="BF35" s="517"/>
      <c r="BG35" s="513"/>
      <c r="BH35" s="515"/>
      <c r="BI35" s="517"/>
      <c r="BJ35" s="33"/>
      <c r="BP35" s="270">
        <v>4787</v>
      </c>
      <c r="BT35" s="1102"/>
      <c r="BU35" s="1099"/>
    </row>
    <row r="36" spans="1:73" ht="33.75" customHeight="1" thickBot="1">
      <c r="A36" s="1227"/>
      <c r="B36" s="289" t="s">
        <v>258</v>
      </c>
      <c r="C36" s="290" t="s">
        <v>61</v>
      </c>
      <c r="D36" s="410" t="s">
        <v>354</v>
      </c>
      <c r="E36" s="292">
        <v>53</v>
      </c>
      <c r="F36" s="292">
        <f>3600/E36*2</f>
        <v>135.84905660377359</v>
      </c>
      <c r="G36" s="292">
        <v>1</v>
      </c>
      <c r="H36" s="282">
        <v>70</v>
      </c>
      <c r="I36" s="460">
        <v>0</v>
      </c>
      <c r="J36" s="294">
        <v>700</v>
      </c>
      <c r="K36" s="292">
        <v>1</v>
      </c>
      <c r="L36" s="365">
        <f t="shared" si="5"/>
        <v>1.0305555555555554</v>
      </c>
      <c r="M36" s="295">
        <f>I36/H36</f>
        <v>0</v>
      </c>
      <c r="N36" s="474">
        <f>M36*2</f>
        <v>0</v>
      </c>
      <c r="O36" s="296">
        <f>+$O$5+M36</f>
        <v>41578</v>
      </c>
      <c r="P36" s="35"/>
      <c r="Q36" s="54"/>
      <c r="R36" s="55"/>
      <c r="S36" s="39"/>
      <c r="T36" s="39"/>
      <c r="U36" s="39"/>
      <c r="V36" s="39"/>
      <c r="W36" s="39"/>
      <c r="X36" s="39"/>
      <c r="Y36" s="40"/>
      <c r="Z36" s="480"/>
      <c r="AA36" s="481"/>
      <c r="AB36" s="520"/>
      <c r="AC36" s="480"/>
      <c r="AD36" s="481"/>
      <c r="AE36" s="520">
        <v>2</v>
      </c>
      <c r="AF36" s="503">
        <v>10</v>
      </c>
      <c r="AG36" s="505"/>
      <c r="AH36" s="501"/>
      <c r="AI36" s="507"/>
      <c r="AJ36" s="509"/>
      <c r="AK36" s="511"/>
      <c r="AL36" s="507"/>
      <c r="AM36" s="509"/>
      <c r="AN36" s="511"/>
      <c r="AO36" s="513"/>
      <c r="AP36" s="515"/>
      <c r="AQ36" s="517"/>
      <c r="AR36" s="513"/>
      <c r="AS36" s="515"/>
      <c r="AT36" s="517"/>
      <c r="AU36" s="513"/>
      <c r="AV36" s="515"/>
      <c r="AW36" s="517"/>
      <c r="AX36" s="513"/>
      <c r="AY36" s="515"/>
      <c r="AZ36" s="517"/>
      <c r="BA36" s="513"/>
      <c r="BB36" s="515"/>
      <c r="BC36" s="517"/>
      <c r="BD36" s="513"/>
      <c r="BE36" s="515"/>
      <c r="BF36" s="517"/>
      <c r="BG36" s="513"/>
      <c r="BH36" s="515"/>
      <c r="BI36" s="517"/>
      <c r="BJ36" s="33"/>
      <c r="BP36" s="270">
        <v>2426</v>
      </c>
      <c r="BT36" s="1103"/>
      <c r="BU36" s="1100"/>
    </row>
    <row r="37" spans="1:73" ht="30.75" hidden="1" customHeight="1" thickBot="1">
      <c r="A37" s="426"/>
      <c r="B37" s="303"/>
      <c r="C37" s="304" t="s">
        <v>62</v>
      </c>
      <c r="D37" s="411" t="s">
        <v>19</v>
      </c>
      <c r="E37" s="306">
        <v>60</v>
      </c>
      <c r="F37" s="306">
        <f>3600/E37</f>
        <v>60</v>
      </c>
      <c r="G37" s="306">
        <v>1</v>
      </c>
      <c r="H37" s="282">
        <v>200</v>
      </c>
      <c r="I37" s="639">
        <v>7540</v>
      </c>
      <c r="J37" s="308" t="s">
        <v>210</v>
      </c>
      <c r="K37" s="306">
        <f>I37-H37</f>
        <v>7340</v>
      </c>
      <c r="L37" s="365">
        <f t="shared" si="5"/>
        <v>3.3333333333333335</v>
      </c>
      <c r="M37" s="309">
        <f>I37/H37</f>
        <v>37.700000000000003</v>
      </c>
      <c r="N37" s="475"/>
      <c r="O37" s="310">
        <f>+$O$5+M37</f>
        <v>41615.699999999997</v>
      </c>
      <c r="P37" s="43"/>
      <c r="Q37" s="44"/>
      <c r="R37" s="56"/>
      <c r="S37" s="39"/>
      <c r="T37" s="39"/>
      <c r="U37" s="39"/>
      <c r="V37" s="39"/>
      <c r="W37" s="39"/>
      <c r="X37" s="39"/>
      <c r="Y37" s="40"/>
      <c r="Z37" s="480"/>
      <c r="AA37" s="481"/>
      <c r="AB37" s="520"/>
      <c r="AC37" s="480"/>
      <c r="AD37" s="481"/>
      <c r="AE37" s="520"/>
      <c r="AF37" s="480"/>
      <c r="AG37" s="481"/>
      <c r="AH37" s="520"/>
      <c r="AI37" s="507"/>
      <c r="AJ37" s="509"/>
      <c r="AK37" s="511"/>
      <c r="AL37" s="507"/>
      <c r="AM37" s="509"/>
      <c r="AN37" s="511"/>
      <c r="AO37" s="513"/>
      <c r="AP37" s="515"/>
      <c r="AQ37" s="517"/>
      <c r="AR37" s="513"/>
      <c r="AS37" s="515"/>
      <c r="AT37" s="517"/>
      <c r="AU37" s="513"/>
      <c r="AV37" s="515"/>
      <c r="AW37" s="517"/>
      <c r="AX37" s="513"/>
      <c r="AY37" s="515"/>
      <c r="AZ37" s="517"/>
      <c r="BA37" s="513"/>
      <c r="BB37" s="515"/>
      <c r="BC37" s="517"/>
      <c r="BD37" s="513"/>
      <c r="BE37" s="515"/>
      <c r="BF37" s="517"/>
      <c r="BG37" s="513"/>
      <c r="BH37" s="515"/>
      <c r="BI37" s="517"/>
      <c r="BJ37" s="33"/>
      <c r="BT37" s="838"/>
      <c r="BU37" s="838"/>
    </row>
    <row r="38" spans="1:73" ht="30.75" hidden="1" customHeight="1" thickBot="1">
      <c r="A38" s="427"/>
      <c r="B38" s="288"/>
      <c r="C38" s="298" t="s">
        <v>51</v>
      </c>
      <c r="D38" s="409" t="s">
        <v>8</v>
      </c>
      <c r="E38" s="299"/>
      <c r="F38" s="287"/>
      <c r="G38" s="287"/>
      <c r="H38" s="287"/>
      <c r="I38" s="638"/>
      <c r="J38" s="301"/>
      <c r="K38" s="287"/>
      <c r="L38" s="365">
        <f t="shared" si="5"/>
        <v>0</v>
      </c>
      <c r="M38" s="287"/>
      <c r="N38" s="473"/>
      <c r="O38" s="302"/>
      <c r="P38" s="57"/>
      <c r="Q38" s="58"/>
      <c r="R38" s="59"/>
      <c r="S38" s="39"/>
      <c r="T38" s="1085"/>
      <c r="U38" s="1085"/>
      <c r="V38" s="1085"/>
      <c r="W38" s="1085"/>
      <c r="X38" s="1085"/>
      <c r="Y38" s="1083"/>
      <c r="Z38" s="1119"/>
      <c r="AA38" s="1117"/>
      <c r="AB38" s="1125"/>
      <c r="AC38" s="1119"/>
      <c r="AD38" s="1117"/>
      <c r="AE38" s="1125"/>
      <c r="AF38" s="1119"/>
      <c r="AG38" s="1117"/>
      <c r="AH38" s="1125"/>
      <c r="AI38" s="1114"/>
      <c r="AJ38" s="1111"/>
      <c r="AK38" s="1127">
        <v>4</v>
      </c>
      <c r="AL38" s="1114"/>
      <c r="AM38" s="1111"/>
      <c r="AN38" s="1127"/>
      <c r="AO38" s="1130"/>
      <c r="AP38" s="1133"/>
      <c r="AQ38" s="1136"/>
      <c r="AR38" s="1130"/>
      <c r="AS38" s="1133"/>
      <c r="AT38" s="1136"/>
      <c r="AU38" s="1130"/>
      <c r="AV38" s="1133"/>
      <c r="AW38" s="1136"/>
      <c r="AX38" s="1130"/>
      <c r="AY38" s="1133"/>
      <c r="AZ38" s="1136"/>
      <c r="BA38" s="1130"/>
      <c r="BB38" s="1133"/>
      <c r="BC38" s="1136"/>
      <c r="BD38" s="1130"/>
      <c r="BE38" s="1133"/>
      <c r="BF38" s="1136"/>
      <c r="BG38" s="1130"/>
      <c r="BH38" s="1133"/>
      <c r="BI38" s="1136"/>
      <c r="BJ38" s="33"/>
      <c r="BT38" s="838"/>
      <c r="BU38" s="838"/>
    </row>
    <row r="39" spans="1:73" ht="30.75" hidden="1" customHeight="1" thickBot="1">
      <c r="A39" s="427"/>
      <c r="B39" s="288"/>
      <c r="C39" s="298" t="s">
        <v>52</v>
      </c>
      <c r="D39" s="409" t="s">
        <v>9</v>
      </c>
      <c r="E39" s="299"/>
      <c r="F39" s="287"/>
      <c r="G39" s="287"/>
      <c r="H39" s="287"/>
      <c r="I39" s="638"/>
      <c r="J39" s="301"/>
      <c r="K39" s="287"/>
      <c r="L39" s="365">
        <f t="shared" si="5"/>
        <v>0</v>
      </c>
      <c r="M39" s="287"/>
      <c r="N39" s="473"/>
      <c r="O39" s="302"/>
      <c r="P39" s="57"/>
      <c r="Q39" s="58"/>
      <c r="R39" s="59"/>
      <c r="S39" s="39"/>
      <c r="T39" s="1086"/>
      <c r="U39" s="1086"/>
      <c r="V39" s="1086"/>
      <c r="W39" s="1086"/>
      <c r="X39" s="1086"/>
      <c r="Y39" s="1084"/>
      <c r="Z39" s="1120"/>
      <c r="AA39" s="1118"/>
      <c r="AB39" s="1126"/>
      <c r="AC39" s="1120"/>
      <c r="AD39" s="1118"/>
      <c r="AE39" s="1126"/>
      <c r="AF39" s="1120"/>
      <c r="AG39" s="1118"/>
      <c r="AH39" s="1126"/>
      <c r="AI39" s="1116"/>
      <c r="AJ39" s="1113"/>
      <c r="AK39" s="1129"/>
      <c r="AL39" s="1116"/>
      <c r="AM39" s="1113"/>
      <c r="AN39" s="1129"/>
      <c r="AO39" s="1132"/>
      <c r="AP39" s="1135"/>
      <c r="AQ39" s="1138"/>
      <c r="AR39" s="1132"/>
      <c r="AS39" s="1135"/>
      <c r="AT39" s="1138"/>
      <c r="AU39" s="1132"/>
      <c r="AV39" s="1135"/>
      <c r="AW39" s="1138"/>
      <c r="AX39" s="1132"/>
      <c r="AY39" s="1135"/>
      <c r="AZ39" s="1138"/>
      <c r="BA39" s="1132"/>
      <c r="BB39" s="1135"/>
      <c r="BC39" s="1138"/>
      <c r="BD39" s="1132"/>
      <c r="BE39" s="1135"/>
      <c r="BF39" s="1138"/>
      <c r="BG39" s="1132"/>
      <c r="BH39" s="1135"/>
      <c r="BI39" s="1138"/>
      <c r="BJ39" s="33"/>
      <c r="BT39" s="838"/>
      <c r="BU39" s="838"/>
    </row>
    <row r="40" spans="1:73" ht="30.75" hidden="1" customHeight="1" thickBot="1">
      <c r="A40" s="427"/>
      <c r="B40" s="288"/>
      <c r="C40" s="280" t="s">
        <v>53</v>
      </c>
      <c r="D40" s="409" t="s">
        <v>10</v>
      </c>
      <c r="E40" s="299"/>
      <c r="F40" s="287"/>
      <c r="G40" s="287"/>
      <c r="H40" s="287"/>
      <c r="I40" s="638"/>
      <c r="J40" s="301"/>
      <c r="K40" s="287"/>
      <c r="L40" s="365">
        <f t="shared" si="5"/>
        <v>0</v>
      </c>
      <c r="M40" s="287"/>
      <c r="N40" s="473"/>
      <c r="O40" s="302"/>
      <c r="P40" s="57"/>
      <c r="Q40" s="58"/>
      <c r="R40" s="59"/>
      <c r="S40" s="39"/>
      <c r="T40" s="39"/>
      <c r="U40" s="39"/>
      <c r="V40" s="39"/>
      <c r="W40" s="39"/>
      <c r="X40" s="39"/>
      <c r="Y40" s="40"/>
      <c r="Z40" s="1119"/>
      <c r="AA40" s="1170">
        <v>15</v>
      </c>
      <c r="AB40" s="1122"/>
      <c r="AC40" s="1162"/>
      <c r="AD40" s="1117"/>
      <c r="AE40" s="1125"/>
      <c r="AF40" s="1119"/>
      <c r="AG40" s="1117"/>
      <c r="AH40" s="1125">
        <v>3</v>
      </c>
      <c r="AI40" s="1162"/>
      <c r="AJ40" s="1170"/>
      <c r="AK40" s="1122"/>
      <c r="AL40" s="1114"/>
      <c r="AM40" s="1111"/>
      <c r="AN40" s="1127"/>
      <c r="AO40" s="1130"/>
      <c r="AP40" s="1133"/>
      <c r="AQ40" s="1136"/>
      <c r="AR40" s="494"/>
      <c r="AS40" s="496"/>
      <c r="AT40" s="498"/>
      <c r="AU40" s="494"/>
      <c r="AV40" s="496"/>
      <c r="AW40" s="498"/>
      <c r="AX40" s="494"/>
      <c r="AY40" s="496"/>
      <c r="AZ40" s="498"/>
      <c r="BA40" s="494"/>
      <c r="BB40" s="496"/>
      <c r="BC40" s="498"/>
      <c r="BD40" s="494"/>
      <c r="BE40" s="496"/>
      <c r="BF40" s="498"/>
      <c r="BG40" s="494"/>
      <c r="BH40" s="496"/>
      <c r="BI40" s="498"/>
      <c r="BJ40" s="33"/>
      <c r="BT40" s="838"/>
      <c r="BU40" s="838"/>
    </row>
    <row r="41" spans="1:73" ht="30.75" hidden="1" customHeight="1" thickBot="1">
      <c r="A41" s="427"/>
      <c r="B41" s="288"/>
      <c r="C41" s="280" t="s">
        <v>54</v>
      </c>
      <c r="D41" s="409" t="s">
        <v>11</v>
      </c>
      <c r="E41" s="299"/>
      <c r="F41" s="287"/>
      <c r="G41" s="287"/>
      <c r="H41" s="287"/>
      <c r="I41" s="638"/>
      <c r="J41" s="301"/>
      <c r="K41" s="287"/>
      <c r="L41" s="365">
        <f t="shared" si="5"/>
        <v>0</v>
      </c>
      <c r="M41" s="287"/>
      <c r="N41" s="473"/>
      <c r="O41" s="302"/>
      <c r="P41" s="57"/>
      <c r="Q41" s="58"/>
      <c r="R41" s="59"/>
      <c r="S41" s="39"/>
      <c r="T41" s="39"/>
      <c r="U41" s="39"/>
      <c r="V41" s="39"/>
      <c r="W41" s="39"/>
      <c r="X41" s="39"/>
      <c r="Y41" s="40"/>
      <c r="Z41" s="1121"/>
      <c r="AA41" s="1220"/>
      <c r="AB41" s="1123"/>
      <c r="AC41" s="1163"/>
      <c r="AD41" s="1152"/>
      <c r="AE41" s="1151"/>
      <c r="AF41" s="1121"/>
      <c r="AG41" s="1152"/>
      <c r="AH41" s="1151"/>
      <c r="AI41" s="1163"/>
      <c r="AJ41" s="1220"/>
      <c r="AK41" s="1123"/>
      <c r="AL41" s="1115"/>
      <c r="AM41" s="1112"/>
      <c r="AN41" s="1128"/>
      <c r="AO41" s="1131"/>
      <c r="AP41" s="1134"/>
      <c r="AQ41" s="1137"/>
      <c r="AR41" s="536"/>
      <c r="AS41" s="537"/>
      <c r="AT41" s="538"/>
      <c r="AU41" s="536"/>
      <c r="AV41" s="537"/>
      <c r="AW41" s="538"/>
      <c r="AX41" s="536"/>
      <c r="AY41" s="537"/>
      <c r="AZ41" s="538"/>
      <c r="BA41" s="536"/>
      <c r="BB41" s="537"/>
      <c r="BC41" s="538"/>
      <c r="BD41" s="536"/>
      <c r="BE41" s="537"/>
      <c r="BF41" s="538"/>
      <c r="BG41" s="536"/>
      <c r="BH41" s="537"/>
      <c r="BI41" s="538"/>
      <c r="BT41" s="838"/>
      <c r="BU41" s="838"/>
    </row>
    <row r="42" spans="1:73" ht="30.75" hidden="1" customHeight="1" thickBot="1">
      <c r="A42" s="427"/>
      <c r="B42" s="288"/>
      <c r="C42" s="280" t="s">
        <v>55</v>
      </c>
      <c r="D42" s="409" t="s">
        <v>12</v>
      </c>
      <c r="E42" s="299"/>
      <c r="F42" s="287"/>
      <c r="G42" s="287"/>
      <c r="H42" s="287"/>
      <c r="I42" s="638"/>
      <c r="J42" s="301"/>
      <c r="K42" s="287"/>
      <c r="L42" s="365">
        <f t="shared" si="5"/>
        <v>0</v>
      </c>
      <c r="M42" s="287"/>
      <c r="N42" s="473"/>
      <c r="O42" s="302"/>
      <c r="P42" s="57"/>
      <c r="Q42" s="58"/>
      <c r="R42" s="59"/>
      <c r="S42" s="60"/>
      <c r="T42" s="60"/>
      <c r="U42" s="60"/>
      <c r="V42" s="60"/>
      <c r="W42" s="60"/>
      <c r="X42" s="60"/>
      <c r="Y42" s="41"/>
      <c r="Z42" s="1120"/>
      <c r="AA42" s="1171"/>
      <c r="AB42" s="1124"/>
      <c r="AC42" s="1164"/>
      <c r="AD42" s="1118"/>
      <c r="AE42" s="1126"/>
      <c r="AF42" s="1120"/>
      <c r="AG42" s="1118"/>
      <c r="AH42" s="1126"/>
      <c r="AI42" s="1164"/>
      <c r="AJ42" s="1171"/>
      <c r="AK42" s="1124"/>
      <c r="AL42" s="1116"/>
      <c r="AM42" s="1113"/>
      <c r="AN42" s="1129"/>
      <c r="AO42" s="1132"/>
      <c r="AP42" s="1135"/>
      <c r="AQ42" s="1138"/>
      <c r="AR42" s="536"/>
      <c r="AS42" s="537"/>
      <c r="AT42" s="538"/>
      <c r="AU42" s="536"/>
      <c r="AV42" s="537"/>
      <c r="AW42" s="538"/>
      <c r="AX42" s="536"/>
      <c r="AY42" s="537"/>
      <c r="AZ42" s="538"/>
      <c r="BA42" s="536"/>
      <c r="BB42" s="537"/>
      <c r="BC42" s="538"/>
      <c r="BD42" s="536"/>
      <c r="BE42" s="537"/>
      <c r="BF42" s="538"/>
      <c r="BG42" s="536"/>
      <c r="BH42" s="537"/>
      <c r="BI42" s="538"/>
      <c r="BT42" s="838"/>
      <c r="BU42" s="838"/>
    </row>
    <row r="43" spans="1:73" ht="30.75" hidden="1" customHeight="1" thickBot="1">
      <c r="A43" s="427"/>
      <c r="B43" s="288"/>
      <c r="C43" s="280" t="s">
        <v>65</v>
      </c>
      <c r="D43" s="409" t="s">
        <v>109</v>
      </c>
      <c r="E43" s="299"/>
      <c r="F43" s="287"/>
      <c r="G43" s="287"/>
      <c r="H43" s="287"/>
      <c r="I43" s="638"/>
      <c r="J43" s="301"/>
      <c r="K43" s="287"/>
      <c r="L43" s="365">
        <f t="shared" si="5"/>
        <v>0</v>
      </c>
      <c r="M43" s="287"/>
      <c r="N43" s="473"/>
      <c r="O43" s="302"/>
      <c r="P43" s="35"/>
      <c r="Q43" s="36"/>
      <c r="R43" s="39"/>
      <c r="S43" s="39"/>
      <c r="T43" s="39"/>
      <c r="U43" s="39"/>
      <c r="V43" s="39"/>
      <c r="W43" s="39"/>
      <c r="X43" s="39"/>
      <c r="Y43" s="40"/>
      <c r="Z43" s="480"/>
      <c r="AA43" s="481"/>
      <c r="AB43" s="520"/>
      <c r="AC43" s="480"/>
      <c r="AD43" s="481"/>
      <c r="AE43" s="520"/>
      <c r="AF43" s="480"/>
      <c r="AG43" s="481"/>
      <c r="AH43" s="520"/>
      <c r="AI43" s="507"/>
      <c r="AJ43" s="509"/>
      <c r="AK43" s="511"/>
      <c r="AL43" s="507"/>
      <c r="AM43" s="509"/>
      <c r="AN43" s="511"/>
      <c r="AO43" s="513"/>
      <c r="AP43" s="515"/>
      <c r="AQ43" s="517"/>
      <c r="AR43" s="513"/>
      <c r="AS43" s="515"/>
      <c r="AT43" s="517"/>
      <c r="AU43" s="513"/>
      <c r="AV43" s="515"/>
      <c r="AW43" s="517"/>
      <c r="AX43" s="513"/>
      <c r="AY43" s="515"/>
      <c r="AZ43" s="517"/>
      <c r="BA43" s="513"/>
      <c r="BB43" s="515"/>
      <c r="BC43" s="517"/>
      <c r="BD43" s="513"/>
      <c r="BE43" s="515"/>
      <c r="BF43" s="517"/>
      <c r="BG43" s="513"/>
      <c r="BH43" s="515"/>
      <c r="BI43" s="517"/>
      <c r="BT43" s="838"/>
      <c r="BU43" s="838"/>
    </row>
    <row r="44" spans="1:73" ht="56.25" hidden="1" customHeight="1" thickBot="1">
      <c r="A44" s="428"/>
      <c r="B44" s="311"/>
      <c r="C44" s="312" t="s">
        <v>56</v>
      </c>
      <c r="D44" s="412" t="s">
        <v>13</v>
      </c>
      <c r="E44" s="314"/>
      <c r="F44" s="313"/>
      <c r="G44" s="313"/>
      <c r="H44" s="287"/>
      <c r="I44" s="640"/>
      <c r="J44" s="316"/>
      <c r="K44" s="313"/>
      <c r="L44" s="365">
        <f t="shared" si="5"/>
        <v>0</v>
      </c>
      <c r="M44" s="313"/>
      <c r="N44" s="476"/>
      <c r="O44" s="318"/>
      <c r="P44" s="43"/>
      <c r="Q44" s="44"/>
      <c r="R44" s="46"/>
      <c r="S44" s="46"/>
      <c r="T44" s="46"/>
      <c r="U44" s="46"/>
      <c r="V44" s="46"/>
      <c r="W44" s="46"/>
      <c r="X44" s="46"/>
      <c r="Y44" s="45"/>
      <c r="Z44" s="500"/>
      <c r="AA44" s="10"/>
      <c r="AB44" s="9"/>
      <c r="AC44" s="500">
        <v>10</v>
      </c>
      <c r="AD44" s="506"/>
      <c r="AE44" s="502"/>
      <c r="AF44" s="500"/>
      <c r="AG44" s="10"/>
      <c r="AH44" s="9"/>
      <c r="AI44" s="508"/>
      <c r="AJ44" s="510"/>
      <c r="AK44" s="512"/>
      <c r="AL44" s="508"/>
      <c r="AM44" s="510"/>
      <c r="AN44" s="512"/>
      <c r="AO44" s="514"/>
      <c r="AP44" s="516"/>
      <c r="AQ44" s="518"/>
      <c r="AR44" s="514"/>
      <c r="AS44" s="516"/>
      <c r="AT44" s="518"/>
      <c r="AU44" s="514"/>
      <c r="AV44" s="516"/>
      <c r="AW44" s="518"/>
      <c r="AX44" s="514"/>
      <c r="AY44" s="516"/>
      <c r="AZ44" s="518"/>
      <c r="BA44" s="514"/>
      <c r="BB44" s="516"/>
      <c r="BC44" s="518"/>
      <c r="BD44" s="514"/>
      <c r="BE44" s="516"/>
      <c r="BF44" s="518"/>
      <c r="BG44" s="514"/>
      <c r="BH44" s="516"/>
      <c r="BI44" s="518"/>
      <c r="BT44" s="838"/>
      <c r="BU44" s="838"/>
    </row>
    <row r="45" spans="1:73" ht="34.5" customHeight="1" thickBot="1">
      <c r="A45" s="1159" t="s">
        <v>106</v>
      </c>
      <c r="B45" s="519" t="s">
        <v>278</v>
      </c>
      <c r="C45" s="360" t="s">
        <v>88</v>
      </c>
      <c r="D45" s="413" t="s">
        <v>355</v>
      </c>
      <c r="E45" s="361">
        <v>58.9</v>
      </c>
      <c r="F45" s="362">
        <f>3600/E45</f>
        <v>61.120543293718171</v>
      </c>
      <c r="G45" s="362"/>
      <c r="H45" s="369">
        <f>BY19</f>
        <v>100</v>
      </c>
      <c r="I45" s="637">
        <v>0</v>
      </c>
      <c r="J45" s="395">
        <v>300</v>
      </c>
      <c r="K45" s="362">
        <v>1</v>
      </c>
      <c r="L45" s="365">
        <f t="shared" si="5"/>
        <v>1.6361111111111111</v>
      </c>
      <c r="M45" s="365">
        <f t="shared" ref="M45:M98" si="6">I45/H45</f>
        <v>0</v>
      </c>
      <c r="N45" s="468">
        <f>M45*1.5</f>
        <v>0</v>
      </c>
      <c r="O45" s="366">
        <f>+$O$5+M45</f>
        <v>41578</v>
      </c>
      <c r="P45" s="35"/>
      <c r="Q45" s="36"/>
      <c r="R45" s="40"/>
      <c r="S45" s="40"/>
      <c r="T45" s="39"/>
      <c r="U45" s="39"/>
      <c r="V45" s="39"/>
      <c r="W45" s="39"/>
      <c r="X45" s="39"/>
      <c r="Y45" s="40"/>
      <c r="Z45" s="480"/>
      <c r="AA45" s="481"/>
      <c r="AB45" s="520"/>
      <c r="AC45" s="480">
        <v>11</v>
      </c>
      <c r="AD45" s="505"/>
      <c r="AE45" s="501"/>
      <c r="AF45" s="480">
        <v>12</v>
      </c>
      <c r="AG45" s="505"/>
      <c r="AH45" s="520"/>
      <c r="AI45" s="507"/>
      <c r="AJ45" s="509"/>
      <c r="AK45" s="511"/>
      <c r="AL45" s="515"/>
      <c r="AM45" s="515"/>
      <c r="AN45" s="515"/>
      <c r="AO45" s="515"/>
      <c r="AP45" s="515"/>
      <c r="AQ45" s="515"/>
      <c r="AR45" s="513"/>
      <c r="AS45" s="515"/>
      <c r="AT45" s="517"/>
      <c r="AU45" s="513"/>
      <c r="AV45" s="515"/>
      <c r="AW45" s="517"/>
      <c r="AX45" s="513"/>
      <c r="AY45" s="515"/>
      <c r="AZ45" s="517"/>
      <c r="BA45" s="513"/>
      <c r="BB45" s="515"/>
      <c r="BC45" s="517"/>
      <c r="BD45" s="513"/>
      <c r="BE45" s="515"/>
      <c r="BF45" s="517"/>
      <c r="BG45" s="513"/>
      <c r="BH45" s="515"/>
      <c r="BI45" s="517"/>
      <c r="BT45" s="1101">
        <v>3</v>
      </c>
      <c r="BU45" s="1098">
        <f>L45+L46+L48+L49+L51+L60+L61+L62+L63+BT45</f>
        <v>19.782777777777778</v>
      </c>
    </row>
    <row r="46" spans="1:73" ht="33" customHeight="1" thickBot="1">
      <c r="A46" s="1160"/>
      <c r="B46" s="1108" t="s">
        <v>280</v>
      </c>
      <c r="C46" s="384" t="s">
        <v>92</v>
      </c>
      <c r="D46" s="406" t="s">
        <v>356</v>
      </c>
      <c r="E46" s="368">
        <v>60.8</v>
      </c>
      <c r="F46" s="369">
        <f t="shared" ref="F46:F51" si="7">3600/E46</f>
        <v>59.21052631578948</v>
      </c>
      <c r="G46" s="369">
        <v>1</v>
      </c>
      <c r="H46" s="369">
        <f>BY17</f>
        <v>300</v>
      </c>
      <c r="I46" s="459">
        <v>0</v>
      </c>
      <c r="J46" s="541">
        <f>18*13*2</f>
        <v>468</v>
      </c>
      <c r="K46" s="369">
        <v>1</v>
      </c>
      <c r="L46" s="365">
        <f t="shared" si="5"/>
        <v>5.0666666666666664</v>
      </c>
      <c r="M46" s="372">
        <f t="shared" si="6"/>
        <v>0</v>
      </c>
      <c r="N46" s="469">
        <f t="shared" ref="N46:N51" si="8">M46*2</f>
        <v>0</v>
      </c>
      <c r="O46" s="373">
        <f t="shared" ref="O46:O115" si="9">+$O$5+M46</f>
        <v>41578</v>
      </c>
      <c r="P46" s="35"/>
      <c r="Q46" s="36"/>
      <c r="R46" s="40"/>
      <c r="S46" s="40"/>
      <c r="T46" s="39"/>
      <c r="U46" s="64">
        <v>1</v>
      </c>
      <c r="V46" s="64">
        <v>1</v>
      </c>
      <c r="W46" s="64">
        <v>1</v>
      </c>
      <c r="X46" s="39"/>
      <c r="Y46" s="40"/>
      <c r="Z46" s="1119"/>
      <c r="AA46" s="1117"/>
      <c r="AB46" s="1125"/>
      <c r="AC46" s="1119"/>
      <c r="AD46" s="1117">
        <v>16</v>
      </c>
      <c r="AE46" s="70"/>
      <c r="AF46" s="1122"/>
      <c r="AG46" s="1117">
        <v>20</v>
      </c>
      <c r="AH46" s="1122"/>
      <c r="AI46" s="1119"/>
      <c r="AJ46" s="1117"/>
      <c r="AK46" s="1125"/>
      <c r="AL46" s="1119"/>
      <c r="AM46" s="1117"/>
      <c r="AN46" s="1125"/>
      <c r="AO46" s="1188"/>
      <c r="AP46" s="1189"/>
      <c r="AQ46" s="1185"/>
      <c r="AR46" s="1188"/>
      <c r="AS46" s="1189"/>
      <c r="AT46" s="1185"/>
      <c r="AU46" s="1188"/>
      <c r="AV46" s="1189"/>
      <c r="AW46" s="1185"/>
      <c r="AX46" s="1188"/>
      <c r="AY46" s="1189"/>
      <c r="AZ46" s="1185"/>
      <c r="BA46" s="1188"/>
      <c r="BB46" s="1189"/>
      <c r="BC46" s="1185"/>
      <c r="BD46" s="1188"/>
      <c r="BE46" s="1189"/>
      <c r="BF46" s="1185"/>
      <c r="BG46" s="1188"/>
      <c r="BH46" s="1189"/>
      <c r="BI46" s="1185"/>
      <c r="BT46" s="1102"/>
      <c r="BU46" s="1099"/>
    </row>
    <row r="47" spans="1:73" ht="33.75" customHeight="1" thickBot="1">
      <c r="A47" s="1160"/>
      <c r="B47" s="1109"/>
      <c r="C47" s="384" t="s">
        <v>94</v>
      </c>
      <c r="D47" s="406" t="s">
        <v>357</v>
      </c>
      <c r="E47" s="368">
        <v>60.8</v>
      </c>
      <c r="F47" s="369">
        <f t="shared" si="7"/>
        <v>59.21052631578948</v>
      </c>
      <c r="G47" s="369">
        <v>1</v>
      </c>
      <c r="H47" s="369">
        <f>H46+H48</f>
        <v>320</v>
      </c>
      <c r="I47" s="459">
        <v>0</v>
      </c>
      <c r="J47" s="541">
        <v>468</v>
      </c>
      <c r="K47" s="369">
        <v>1</v>
      </c>
      <c r="L47" s="365">
        <f t="shared" si="5"/>
        <v>5.4044444444444446</v>
      </c>
      <c r="M47" s="372">
        <f t="shared" si="6"/>
        <v>0</v>
      </c>
      <c r="N47" s="469">
        <f t="shared" si="8"/>
        <v>0</v>
      </c>
      <c r="O47" s="373">
        <f t="shared" si="9"/>
        <v>41578</v>
      </c>
      <c r="P47" s="35"/>
      <c r="Q47" s="36"/>
      <c r="R47" s="40"/>
      <c r="S47" s="40"/>
      <c r="T47" s="39"/>
      <c r="U47" s="39"/>
      <c r="V47" s="39"/>
      <c r="W47" s="39"/>
      <c r="X47" s="39"/>
      <c r="Y47" s="40"/>
      <c r="Z47" s="1120"/>
      <c r="AA47" s="1118"/>
      <c r="AB47" s="1126"/>
      <c r="AC47" s="1120"/>
      <c r="AD47" s="1118"/>
      <c r="AE47" s="70"/>
      <c r="AF47" s="1124"/>
      <c r="AG47" s="1118"/>
      <c r="AH47" s="1124"/>
      <c r="AI47" s="1120"/>
      <c r="AJ47" s="1118"/>
      <c r="AK47" s="1126"/>
      <c r="AL47" s="1120"/>
      <c r="AM47" s="1118"/>
      <c r="AN47" s="1126"/>
      <c r="AO47" s="1140"/>
      <c r="AP47" s="1142"/>
      <c r="AQ47" s="1150"/>
      <c r="AR47" s="1140"/>
      <c r="AS47" s="1142"/>
      <c r="AT47" s="1150"/>
      <c r="AU47" s="1140"/>
      <c r="AV47" s="1142"/>
      <c r="AW47" s="1150"/>
      <c r="AX47" s="1140"/>
      <c r="AY47" s="1142"/>
      <c r="AZ47" s="1150"/>
      <c r="BA47" s="1140"/>
      <c r="BB47" s="1142"/>
      <c r="BC47" s="1150"/>
      <c r="BD47" s="1140"/>
      <c r="BE47" s="1142"/>
      <c r="BF47" s="1150"/>
      <c r="BG47" s="1140"/>
      <c r="BH47" s="1142"/>
      <c r="BI47" s="1150"/>
      <c r="BT47" s="1102"/>
      <c r="BU47" s="1099"/>
    </row>
    <row r="48" spans="1:73" ht="37.5" customHeight="1" thickBot="1">
      <c r="A48" s="1160"/>
      <c r="B48" s="1110"/>
      <c r="C48" s="384" t="s">
        <v>93</v>
      </c>
      <c r="D48" s="406" t="s">
        <v>358</v>
      </c>
      <c r="E48" s="368">
        <v>60.8</v>
      </c>
      <c r="F48" s="369">
        <f t="shared" si="7"/>
        <v>59.21052631578948</v>
      </c>
      <c r="G48" s="369">
        <v>1</v>
      </c>
      <c r="H48" s="369">
        <v>20</v>
      </c>
      <c r="I48" s="459">
        <v>0</v>
      </c>
      <c r="J48" s="541">
        <v>234</v>
      </c>
      <c r="K48" s="369">
        <v>1</v>
      </c>
      <c r="L48" s="365">
        <f t="shared" si="5"/>
        <v>0.33777777777777779</v>
      </c>
      <c r="M48" s="372">
        <f t="shared" si="6"/>
        <v>0</v>
      </c>
      <c r="N48" s="469">
        <f t="shared" si="8"/>
        <v>0</v>
      </c>
      <c r="O48" s="373">
        <f t="shared" si="9"/>
        <v>41578</v>
      </c>
      <c r="P48" s="35"/>
      <c r="Q48" s="36"/>
      <c r="R48" s="40"/>
      <c r="S48" s="40"/>
      <c r="T48" s="39"/>
      <c r="U48" s="39"/>
      <c r="V48" s="39"/>
      <c r="W48" s="39"/>
      <c r="X48" s="39"/>
      <c r="Y48" s="40"/>
      <c r="Z48" s="480"/>
      <c r="AA48" s="481"/>
      <c r="AB48" s="520"/>
      <c r="AC48" s="480"/>
      <c r="AD48" s="481"/>
      <c r="AE48" s="520"/>
      <c r="AF48" s="480"/>
      <c r="AG48" s="481"/>
      <c r="AH48" s="520"/>
      <c r="AI48" s="480"/>
      <c r="AJ48" s="481"/>
      <c r="AK48" s="520"/>
      <c r="AL48" s="480"/>
      <c r="AM48" s="481"/>
      <c r="AN48" s="520"/>
      <c r="AO48" s="521"/>
      <c r="AP48" s="522"/>
      <c r="AQ48" s="523"/>
      <c r="AR48" s="521"/>
      <c r="AS48" s="522"/>
      <c r="AT48" s="523"/>
      <c r="AU48" s="521"/>
      <c r="AV48" s="522"/>
      <c r="AW48" s="523"/>
      <c r="AX48" s="521"/>
      <c r="AY48" s="522"/>
      <c r="AZ48" s="523"/>
      <c r="BA48" s="521"/>
      <c r="BB48" s="522"/>
      <c r="BC48" s="523"/>
      <c r="BD48" s="521"/>
      <c r="BE48" s="522"/>
      <c r="BF48" s="523"/>
      <c r="BG48" s="521"/>
      <c r="BH48" s="522"/>
      <c r="BI48" s="523"/>
      <c r="BR48" s="163"/>
      <c r="BT48" s="1102"/>
      <c r="BU48" s="1099"/>
    </row>
    <row r="49" spans="1:73" ht="35.25" customHeight="1" thickBot="1">
      <c r="A49" s="1160"/>
      <c r="B49" s="1108" t="s">
        <v>281</v>
      </c>
      <c r="C49" s="384" t="s">
        <v>95</v>
      </c>
      <c r="D49" s="406" t="s">
        <v>359</v>
      </c>
      <c r="E49" s="368">
        <v>62.7</v>
      </c>
      <c r="F49" s="369">
        <f t="shared" si="7"/>
        <v>57.41626794258373</v>
      </c>
      <c r="G49" s="369">
        <v>1</v>
      </c>
      <c r="H49" s="369">
        <f>BY17</f>
        <v>300</v>
      </c>
      <c r="I49" s="459">
        <v>0</v>
      </c>
      <c r="J49" s="541">
        <v>468</v>
      </c>
      <c r="K49" s="369">
        <v>1</v>
      </c>
      <c r="L49" s="365">
        <f t="shared" si="5"/>
        <v>5.2249999999999996</v>
      </c>
      <c r="M49" s="372">
        <f t="shared" si="6"/>
        <v>0</v>
      </c>
      <c r="N49" s="469">
        <f t="shared" si="8"/>
        <v>0</v>
      </c>
      <c r="O49" s="373">
        <f t="shared" si="9"/>
        <v>41578</v>
      </c>
      <c r="P49" s="35"/>
      <c r="Q49" s="36"/>
      <c r="R49" s="37">
        <v>1</v>
      </c>
      <c r="S49" s="37"/>
      <c r="T49" s="64">
        <v>1</v>
      </c>
      <c r="U49" s="39"/>
      <c r="V49" s="39"/>
      <c r="W49" s="39"/>
      <c r="X49" s="64">
        <v>1</v>
      </c>
      <c r="Y49" s="37">
        <v>1</v>
      </c>
      <c r="Z49" s="1119"/>
      <c r="AA49" s="1117"/>
      <c r="AB49" s="1125"/>
      <c r="AC49" s="1119"/>
      <c r="AD49" s="1117"/>
      <c r="AE49" s="1125"/>
      <c r="AF49" s="1119">
        <v>4</v>
      </c>
      <c r="AG49" s="1170"/>
      <c r="AH49" s="1125"/>
      <c r="AI49" s="1119"/>
      <c r="AJ49" s="1117"/>
      <c r="AK49" s="1125"/>
      <c r="AL49" s="1119"/>
      <c r="AM49" s="1117"/>
      <c r="AN49" s="1125"/>
      <c r="AO49" s="1188"/>
      <c r="AP49" s="1189"/>
      <c r="AQ49" s="1185"/>
      <c r="AR49" s="1188"/>
      <c r="AS49" s="1189"/>
      <c r="AT49" s="1185"/>
      <c r="AU49" s="1188"/>
      <c r="AV49" s="1189"/>
      <c r="AW49" s="1185"/>
      <c r="AX49" s="1188"/>
      <c r="AY49" s="1189"/>
      <c r="AZ49" s="1185"/>
      <c r="BA49" s="1188"/>
      <c r="BB49" s="1189"/>
      <c r="BC49" s="1185"/>
      <c r="BD49" s="1188"/>
      <c r="BE49" s="1189"/>
      <c r="BF49" s="1185"/>
      <c r="BG49" s="1188"/>
      <c r="BH49" s="1189"/>
      <c r="BI49" s="1185"/>
      <c r="BT49" s="1102"/>
      <c r="BU49" s="1099"/>
    </row>
    <row r="50" spans="1:73" ht="31.5" customHeight="1" thickBot="1">
      <c r="A50" s="1160"/>
      <c r="B50" s="1109"/>
      <c r="C50" s="384" t="s">
        <v>97</v>
      </c>
      <c r="D50" s="406" t="s">
        <v>360</v>
      </c>
      <c r="E50" s="368">
        <v>62.7</v>
      </c>
      <c r="F50" s="369">
        <f t="shared" si="7"/>
        <v>57.41626794258373</v>
      </c>
      <c r="G50" s="369">
        <v>1</v>
      </c>
      <c r="H50" s="369">
        <f>H49+H51</f>
        <v>320</v>
      </c>
      <c r="I50" s="459">
        <v>0</v>
      </c>
      <c r="J50" s="541">
        <v>468</v>
      </c>
      <c r="K50" s="369">
        <v>1</v>
      </c>
      <c r="L50" s="365">
        <f t="shared" si="5"/>
        <v>5.5733333333333333</v>
      </c>
      <c r="M50" s="372">
        <f t="shared" si="6"/>
        <v>0</v>
      </c>
      <c r="N50" s="469">
        <f t="shared" si="8"/>
        <v>0</v>
      </c>
      <c r="O50" s="373">
        <f t="shared" si="9"/>
        <v>41578</v>
      </c>
      <c r="P50" s="35"/>
      <c r="Q50" s="36"/>
      <c r="R50" s="40"/>
      <c r="S50" s="40"/>
      <c r="T50" s="39"/>
      <c r="U50" s="39"/>
      <c r="V50" s="39"/>
      <c r="W50" s="39"/>
      <c r="X50" s="39"/>
      <c r="Y50" s="40"/>
      <c r="Z50" s="1120"/>
      <c r="AA50" s="1118"/>
      <c r="AB50" s="1126"/>
      <c r="AC50" s="1120"/>
      <c r="AD50" s="1118"/>
      <c r="AE50" s="1126"/>
      <c r="AF50" s="1120"/>
      <c r="AG50" s="1171"/>
      <c r="AH50" s="1126"/>
      <c r="AI50" s="1120"/>
      <c r="AJ50" s="1118"/>
      <c r="AK50" s="1126"/>
      <c r="AL50" s="1120"/>
      <c r="AM50" s="1118"/>
      <c r="AN50" s="1126"/>
      <c r="AO50" s="1140"/>
      <c r="AP50" s="1142"/>
      <c r="AQ50" s="1150"/>
      <c r="AR50" s="1140"/>
      <c r="AS50" s="1142"/>
      <c r="AT50" s="1150"/>
      <c r="AU50" s="1140"/>
      <c r="AV50" s="1142"/>
      <c r="AW50" s="1150"/>
      <c r="AX50" s="1140"/>
      <c r="AY50" s="1142"/>
      <c r="AZ50" s="1150"/>
      <c r="BA50" s="1140"/>
      <c r="BB50" s="1142"/>
      <c r="BC50" s="1150"/>
      <c r="BD50" s="1140"/>
      <c r="BE50" s="1142"/>
      <c r="BF50" s="1150"/>
      <c r="BG50" s="1140"/>
      <c r="BH50" s="1142"/>
      <c r="BI50" s="1150"/>
      <c r="BT50" s="1102"/>
      <c r="BU50" s="1099"/>
    </row>
    <row r="51" spans="1:73" ht="32.25" customHeight="1" thickBot="1">
      <c r="A51" s="1160"/>
      <c r="B51" s="1110"/>
      <c r="C51" s="384" t="s">
        <v>96</v>
      </c>
      <c r="D51" s="406" t="s">
        <v>361</v>
      </c>
      <c r="E51" s="368">
        <v>62.7</v>
      </c>
      <c r="F51" s="369">
        <f t="shared" si="7"/>
        <v>57.41626794258373</v>
      </c>
      <c r="G51" s="369">
        <v>1</v>
      </c>
      <c r="H51" s="369">
        <v>20</v>
      </c>
      <c r="I51" s="459">
        <v>0</v>
      </c>
      <c r="J51" s="541">
        <v>234</v>
      </c>
      <c r="K51" s="369">
        <v>1</v>
      </c>
      <c r="L51" s="365">
        <f t="shared" si="5"/>
        <v>0.34833333333333333</v>
      </c>
      <c r="M51" s="372">
        <f t="shared" si="6"/>
        <v>0</v>
      </c>
      <c r="N51" s="469">
        <f t="shared" si="8"/>
        <v>0</v>
      </c>
      <c r="O51" s="373">
        <f t="shared" si="9"/>
        <v>41578</v>
      </c>
      <c r="P51" s="35"/>
      <c r="Q51" s="36"/>
      <c r="R51" s="40"/>
      <c r="S51" s="40"/>
      <c r="T51" s="39"/>
      <c r="U51" s="39"/>
      <c r="V51" s="39"/>
      <c r="W51" s="39"/>
      <c r="X51" s="39"/>
      <c r="Y51" s="40"/>
      <c r="Z51" s="503">
        <v>6</v>
      </c>
      <c r="AA51" s="481"/>
      <c r="AB51" s="520"/>
      <c r="AC51" s="480"/>
      <c r="AD51" s="481"/>
      <c r="AE51" s="520"/>
      <c r="AF51" s="480"/>
      <c r="AG51" s="481"/>
      <c r="AH51" s="520"/>
      <c r="AI51" s="480"/>
      <c r="AJ51" s="481"/>
      <c r="AK51" s="520"/>
      <c r="AL51" s="480"/>
      <c r="AM51" s="481"/>
      <c r="AN51" s="520"/>
      <c r="AO51" s="521"/>
      <c r="AP51" s="522"/>
      <c r="AQ51" s="523"/>
      <c r="AR51" s="521"/>
      <c r="AS51" s="522"/>
      <c r="AT51" s="523"/>
      <c r="AU51" s="521"/>
      <c r="AV51" s="522"/>
      <c r="AW51" s="523"/>
      <c r="AX51" s="521"/>
      <c r="AY51" s="522"/>
      <c r="AZ51" s="523"/>
      <c r="BA51" s="521"/>
      <c r="BB51" s="522"/>
      <c r="BC51" s="523"/>
      <c r="BD51" s="521"/>
      <c r="BE51" s="522"/>
      <c r="BF51" s="523"/>
      <c r="BG51" s="521"/>
      <c r="BH51" s="522"/>
      <c r="BI51" s="523"/>
      <c r="BT51" s="1102"/>
      <c r="BU51" s="1099"/>
    </row>
    <row r="52" spans="1:73" ht="30.75" hidden="1" customHeight="1" thickBot="1">
      <c r="A52" s="1160"/>
      <c r="B52" s="539"/>
      <c r="C52" s="385" t="s">
        <v>98</v>
      </c>
      <c r="D52" s="406" t="s">
        <v>41</v>
      </c>
      <c r="E52" s="386"/>
      <c r="F52" s="374"/>
      <c r="G52" s="374"/>
      <c r="H52" s="374"/>
      <c r="I52" s="638"/>
      <c r="J52" s="388"/>
      <c r="K52" s="374"/>
      <c r="L52" s="365">
        <f t="shared" si="5"/>
        <v>0</v>
      </c>
      <c r="M52" s="372" t="e">
        <f t="shared" si="6"/>
        <v>#DIV/0!</v>
      </c>
      <c r="N52" s="469"/>
      <c r="O52" s="373" t="e">
        <f t="shared" si="9"/>
        <v>#DIV/0!</v>
      </c>
      <c r="P52" s="35"/>
      <c r="Q52" s="36"/>
      <c r="R52" s="40"/>
      <c r="S52" s="40"/>
      <c r="T52" s="39"/>
      <c r="U52" s="39"/>
      <c r="V52" s="39"/>
      <c r="W52" s="39"/>
      <c r="X52" s="39"/>
      <c r="Y52" s="40"/>
      <c r="Z52" s="480">
        <v>12</v>
      </c>
      <c r="AA52" s="505"/>
      <c r="AB52" s="501"/>
      <c r="AC52" s="480"/>
      <c r="AD52" s="481"/>
      <c r="AE52" s="520"/>
      <c r="AF52" s="480"/>
      <c r="AG52" s="481"/>
      <c r="AH52" s="520"/>
      <c r="AI52" s="480"/>
      <c r="AJ52" s="481"/>
      <c r="AK52" s="520"/>
      <c r="AL52" s="480"/>
      <c r="AM52" s="481"/>
      <c r="AN52" s="520"/>
      <c r="AO52" s="521"/>
      <c r="AP52" s="522"/>
      <c r="AQ52" s="523"/>
      <c r="AR52" s="521"/>
      <c r="AS52" s="522"/>
      <c r="AT52" s="523"/>
      <c r="AU52" s="521"/>
      <c r="AV52" s="522"/>
      <c r="AW52" s="523"/>
      <c r="AX52" s="521"/>
      <c r="AY52" s="522"/>
      <c r="AZ52" s="523"/>
      <c r="BA52" s="521"/>
      <c r="BB52" s="522"/>
      <c r="BC52" s="523"/>
      <c r="BD52" s="521"/>
      <c r="BE52" s="522"/>
      <c r="BF52" s="523"/>
      <c r="BG52" s="521"/>
      <c r="BH52" s="522"/>
      <c r="BI52" s="523"/>
      <c r="BT52" s="1102"/>
      <c r="BU52" s="1099"/>
    </row>
    <row r="53" spans="1:73" ht="30.75" hidden="1" customHeight="1" thickBot="1">
      <c r="A53" s="1160"/>
      <c r="B53" s="539"/>
      <c r="C53" s="385" t="s">
        <v>99</v>
      </c>
      <c r="D53" s="406" t="s">
        <v>42</v>
      </c>
      <c r="E53" s="386"/>
      <c r="F53" s="374"/>
      <c r="G53" s="374"/>
      <c r="H53" s="374"/>
      <c r="I53" s="638"/>
      <c r="J53" s="388"/>
      <c r="K53" s="374"/>
      <c r="L53" s="365">
        <f t="shared" si="5"/>
        <v>0</v>
      </c>
      <c r="M53" s="372" t="e">
        <f t="shared" si="6"/>
        <v>#DIV/0!</v>
      </c>
      <c r="N53" s="469"/>
      <c r="O53" s="373" t="e">
        <f t="shared" si="9"/>
        <v>#DIV/0!</v>
      </c>
      <c r="P53" s="35"/>
      <c r="Q53" s="36"/>
      <c r="R53" s="40"/>
      <c r="S53" s="40"/>
      <c r="T53" s="39"/>
      <c r="U53" s="39"/>
      <c r="V53" s="39"/>
      <c r="W53" s="39"/>
      <c r="X53" s="39"/>
      <c r="Y53" s="40"/>
      <c r="Z53" s="480"/>
      <c r="AA53" s="481"/>
      <c r="AB53" s="520"/>
      <c r="AC53" s="480"/>
      <c r="AD53" s="481"/>
      <c r="AE53" s="520"/>
      <c r="AF53" s="480"/>
      <c r="AG53" s="481"/>
      <c r="AH53" s="520"/>
      <c r="AI53" s="480"/>
      <c r="AJ53" s="481"/>
      <c r="AK53" s="520"/>
      <c r="AL53" s="480"/>
      <c r="AM53" s="481"/>
      <c r="AN53" s="520"/>
      <c r="AO53" s="521"/>
      <c r="AP53" s="522"/>
      <c r="AQ53" s="523"/>
      <c r="AR53" s="521"/>
      <c r="AS53" s="522"/>
      <c r="AT53" s="523"/>
      <c r="AU53" s="521"/>
      <c r="AV53" s="522"/>
      <c r="AW53" s="523"/>
      <c r="AX53" s="521"/>
      <c r="AY53" s="522"/>
      <c r="AZ53" s="523"/>
      <c r="BA53" s="521"/>
      <c r="BB53" s="522"/>
      <c r="BC53" s="523"/>
      <c r="BD53" s="521"/>
      <c r="BE53" s="522"/>
      <c r="BF53" s="523"/>
      <c r="BG53" s="521"/>
      <c r="BH53" s="522"/>
      <c r="BI53" s="523"/>
      <c r="BT53" s="1102"/>
      <c r="BU53" s="1099"/>
    </row>
    <row r="54" spans="1:73" ht="30.75" hidden="1" customHeight="1" thickBot="1">
      <c r="A54" s="1160"/>
      <c r="B54" s="539"/>
      <c r="C54" s="385" t="s">
        <v>100</v>
      </c>
      <c r="D54" s="406" t="s">
        <v>43</v>
      </c>
      <c r="E54" s="386"/>
      <c r="F54" s="374"/>
      <c r="G54" s="374"/>
      <c r="H54" s="374"/>
      <c r="I54" s="638"/>
      <c r="J54" s="388"/>
      <c r="K54" s="374"/>
      <c r="L54" s="365">
        <f t="shared" si="5"/>
        <v>0</v>
      </c>
      <c r="M54" s="372" t="e">
        <f t="shared" si="6"/>
        <v>#DIV/0!</v>
      </c>
      <c r="N54" s="469"/>
      <c r="O54" s="373" t="e">
        <f t="shared" si="9"/>
        <v>#DIV/0!</v>
      </c>
      <c r="P54" s="35"/>
      <c r="Q54" s="36"/>
      <c r="R54" s="40"/>
      <c r="S54" s="40"/>
      <c r="T54" s="39"/>
      <c r="U54" s="39"/>
      <c r="V54" s="39"/>
      <c r="W54" s="39"/>
      <c r="X54" s="39"/>
      <c r="Y54" s="40"/>
      <c r="Z54" s="480"/>
      <c r="AA54" s="481"/>
      <c r="AB54" s="4">
        <v>0</v>
      </c>
      <c r="AC54" s="503"/>
      <c r="AD54" s="505"/>
      <c r="AE54" s="520"/>
      <c r="AF54" s="480"/>
      <c r="AG54" s="481"/>
      <c r="AH54" s="520"/>
      <c r="AI54" s="480"/>
      <c r="AJ54" s="481"/>
      <c r="AK54" s="520"/>
      <c r="AL54" s="480"/>
      <c r="AM54" s="481"/>
      <c r="AN54" s="520"/>
      <c r="AO54" s="521"/>
      <c r="AP54" s="522"/>
      <c r="AQ54" s="523"/>
      <c r="AR54" s="521"/>
      <c r="AS54" s="522"/>
      <c r="AT54" s="523"/>
      <c r="AU54" s="521"/>
      <c r="AV54" s="522"/>
      <c r="AW54" s="523"/>
      <c r="AX54" s="521"/>
      <c r="AY54" s="522"/>
      <c r="AZ54" s="523"/>
      <c r="BA54" s="521"/>
      <c r="BB54" s="522"/>
      <c r="BC54" s="523"/>
      <c r="BD54" s="521"/>
      <c r="BE54" s="522"/>
      <c r="BF54" s="523"/>
      <c r="BG54" s="521"/>
      <c r="BH54" s="522"/>
      <c r="BI54" s="523"/>
      <c r="BT54" s="1102"/>
      <c r="BU54" s="1099"/>
    </row>
    <row r="55" spans="1:73" ht="30.75" hidden="1" customHeight="1" thickBot="1">
      <c r="A55" s="1160"/>
      <c r="B55" s="539"/>
      <c r="C55" s="385" t="s">
        <v>101</v>
      </c>
      <c r="D55" s="406" t="s">
        <v>44</v>
      </c>
      <c r="E55" s="386"/>
      <c r="F55" s="374"/>
      <c r="G55" s="374"/>
      <c r="H55" s="374"/>
      <c r="I55" s="638"/>
      <c r="J55" s="388"/>
      <c r="K55" s="374"/>
      <c r="L55" s="365">
        <f t="shared" si="5"/>
        <v>0</v>
      </c>
      <c r="M55" s="372" t="e">
        <f t="shared" si="6"/>
        <v>#DIV/0!</v>
      </c>
      <c r="N55" s="469"/>
      <c r="O55" s="373" t="e">
        <f t="shared" si="9"/>
        <v>#DIV/0!</v>
      </c>
      <c r="P55" s="43"/>
      <c r="Q55" s="44"/>
      <c r="R55" s="45"/>
      <c r="S55" s="45"/>
      <c r="T55" s="46"/>
      <c r="U55" s="46"/>
      <c r="V55" s="46"/>
      <c r="W55" s="46"/>
      <c r="X55" s="46"/>
      <c r="Y55" s="45"/>
      <c r="Z55" s="500"/>
      <c r="AA55" s="10"/>
      <c r="AB55" s="9"/>
      <c r="AC55" s="500"/>
      <c r="AD55" s="10"/>
      <c r="AE55" s="9"/>
      <c r="AF55" s="500"/>
      <c r="AG55" s="10"/>
      <c r="AH55" s="9"/>
      <c r="AI55" s="500"/>
      <c r="AJ55" s="10"/>
      <c r="AK55" s="9"/>
      <c r="AL55" s="500"/>
      <c r="AM55" s="10"/>
      <c r="AN55" s="9"/>
      <c r="AO55" s="51"/>
      <c r="AP55" s="52"/>
      <c r="AQ55" s="53"/>
      <c r="AR55" s="51"/>
      <c r="AS55" s="52"/>
      <c r="AT55" s="53"/>
      <c r="AU55" s="51"/>
      <c r="AV55" s="52"/>
      <c r="AW55" s="53"/>
      <c r="AX55" s="51"/>
      <c r="AY55" s="52"/>
      <c r="AZ55" s="53"/>
      <c r="BA55" s="51"/>
      <c r="BB55" s="52"/>
      <c r="BC55" s="53"/>
      <c r="BD55" s="51"/>
      <c r="BE55" s="52"/>
      <c r="BF55" s="53"/>
      <c r="BG55" s="51"/>
      <c r="BH55" s="52"/>
      <c r="BI55" s="53"/>
      <c r="BT55" s="1102"/>
      <c r="BU55" s="1099"/>
    </row>
    <row r="56" spans="1:73" ht="30.75" hidden="1" customHeight="1" thickBot="1">
      <c r="A56" s="1160"/>
      <c r="B56" s="644" t="s">
        <v>282</v>
      </c>
      <c r="C56" s="384" t="s">
        <v>98</v>
      </c>
      <c r="D56" s="406" t="s">
        <v>41</v>
      </c>
      <c r="E56" s="368">
        <v>69</v>
      </c>
      <c r="F56" s="369">
        <f t="shared" ref="F56:F63" si="10">3600/E56</f>
        <v>52.173913043478258</v>
      </c>
      <c r="G56" s="369">
        <v>1</v>
      </c>
      <c r="H56" s="369">
        <v>180</v>
      </c>
      <c r="I56" s="459">
        <v>10</v>
      </c>
      <c r="J56" s="541">
        <v>468</v>
      </c>
      <c r="K56" s="369">
        <f>I56-H56</f>
        <v>-170</v>
      </c>
      <c r="L56" s="365">
        <f t="shared" si="5"/>
        <v>3.45</v>
      </c>
      <c r="M56" s="372">
        <f t="shared" si="6"/>
        <v>5.5555555555555552E-2</v>
      </c>
      <c r="N56" s="469"/>
      <c r="O56" s="373">
        <f t="shared" si="9"/>
        <v>41578.055555555555</v>
      </c>
      <c r="P56" s="47"/>
      <c r="Q56" s="48"/>
      <c r="R56" s="49"/>
      <c r="S56" s="49"/>
      <c r="T56" s="50"/>
      <c r="U56" s="50"/>
      <c r="V56" s="50"/>
      <c r="W56" s="68"/>
      <c r="X56" s="68">
        <v>1</v>
      </c>
      <c r="Y56" s="67">
        <v>1</v>
      </c>
      <c r="Z56" s="545"/>
      <c r="AA56" s="546"/>
      <c r="AB56" s="547"/>
      <c r="AC56" s="545"/>
      <c r="AD56" s="546"/>
      <c r="AE56" s="547"/>
      <c r="AF56" s="545"/>
      <c r="AG56" s="546"/>
      <c r="AH56" s="547"/>
      <c r="AI56" s="13"/>
      <c r="AJ56" s="11"/>
      <c r="AK56" s="12"/>
      <c r="AL56" s="13"/>
      <c r="AM56" s="11"/>
      <c r="AN56" s="12"/>
      <c r="AO56" s="30"/>
      <c r="AP56" s="31"/>
      <c r="AQ56" s="32"/>
      <c r="AR56" s="30"/>
      <c r="AS56" s="31"/>
      <c r="AT56" s="32"/>
      <c r="AU56" s="30"/>
      <c r="AV56" s="31"/>
      <c r="AW56" s="32"/>
      <c r="AX56" s="30"/>
      <c r="AY56" s="31"/>
      <c r="AZ56" s="32"/>
      <c r="BA56" s="30"/>
      <c r="BB56" s="31"/>
      <c r="BC56" s="32"/>
      <c r="BD56" s="30"/>
      <c r="BE56" s="31"/>
      <c r="BF56" s="32"/>
      <c r="BG56" s="30"/>
      <c r="BH56" s="31"/>
      <c r="BI56" s="32"/>
      <c r="BT56" s="1102"/>
      <c r="BU56" s="1099"/>
    </row>
    <row r="57" spans="1:73" ht="30.75" hidden="1" customHeight="1" thickBot="1">
      <c r="A57" s="1160"/>
      <c r="B57" s="645"/>
      <c r="C57" s="384" t="s">
        <v>99</v>
      </c>
      <c r="D57" s="406" t="s">
        <v>42</v>
      </c>
      <c r="E57" s="368">
        <v>69</v>
      </c>
      <c r="F57" s="369">
        <f t="shared" si="10"/>
        <v>52.173913043478258</v>
      </c>
      <c r="G57" s="369">
        <v>1</v>
      </c>
      <c r="H57" s="369">
        <v>6</v>
      </c>
      <c r="I57" s="459">
        <v>426</v>
      </c>
      <c r="J57" s="541">
        <v>234</v>
      </c>
      <c r="K57" s="369">
        <f>I57-H57</f>
        <v>420</v>
      </c>
      <c r="L57" s="365">
        <f t="shared" si="5"/>
        <v>0.115</v>
      </c>
      <c r="M57" s="372">
        <f t="shared" si="6"/>
        <v>71</v>
      </c>
      <c r="N57" s="469"/>
      <c r="O57" s="373">
        <f t="shared" si="9"/>
        <v>41649</v>
      </c>
      <c r="P57" s="35"/>
      <c r="Q57" s="36"/>
      <c r="R57" s="40"/>
      <c r="S57" s="40"/>
      <c r="T57" s="39"/>
      <c r="U57" s="39"/>
      <c r="V57" s="39"/>
      <c r="W57" s="64">
        <v>1</v>
      </c>
      <c r="X57" s="39"/>
      <c r="Y57" s="40"/>
      <c r="Z57" s="480"/>
      <c r="AA57" s="481"/>
      <c r="AB57" s="520"/>
      <c r="AC57" s="480"/>
      <c r="AD57" s="481"/>
      <c r="AE57" s="520"/>
      <c r="AF57" s="480"/>
      <c r="AG57" s="481"/>
      <c r="AH57" s="520"/>
      <c r="AI57" s="507"/>
      <c r="AJ57" s="509"/>
      <c r="AK57" s="511"/>
      <c r="AL57" s="507"/>
      <c r="AM57" s="509"/>
      <c r="AN57" s="511"/>
      <c r="AO57" s="513"/>
      <c r="AP57" s="515"/>
      <c r="AQ57" s="517"/>
      <c r="AR57" s="513"/>
      <c r="AS57" s="515"/>
      <c r="AT57" s="517"/>
      <c r="AU57" s="513"/>
      <c r="AV57" s="515"/>
      <c r="AW57" s="517"/>
      <c r="AX57" s="513"/>
      <c r="AY57" s="515"/>
      <c r="AZ57" s="517"/>
      <c r="BA57" s="513"/>
      <c r="BB57" s="515"/>
      <c r="BC57" s="517"/>
      <c r="BD57" s="513"/>
      <c r="BE57" s="515"/>
      <c r="BF57" s="517"/>
      <c r="BG57" s="513"/>
      <c r="BH57" s="515"/>
      <c r="BI57" s="517"/>
      <c r="BT57" s="1102"/>
      <c r="BU57" s="1099"/>
    </row>
    <row r="58" spans="1:73" ht="30.75" hidden="1" customHeight="1" thickBot="1">
      <c r="A58" s="1160"/>
      <c r="B58" s="644" t="s">
        <v>283</v>
      </c>
      <c r="C58" s="384" t="s">
        <v>100</v>
      </c>
      <c r="D58" s="406" t="s">
        <v>43</v>
      </c>
      <c r="E58" s="368">
        <v>65</v>
      </c>
      <c r="F58" s="369">
        <f t="shared" si="10"/>
        <v>55.384615384615387</v>
      </c>
      <c r="G58" s="369">
        <v>1</v>
      </c>
      <c r="H58" s="369">
        <v>180</v>
      </c>
      <c r="I58" s="459">
        <v>180</v>
      </c>
      <c r="J58" s="541">
        <v>468</v>
      </c>
      <c r="K58" s="369">
        <f>I58-H58</f>
        <v>0</v>
      </c>
      <c r="L58" s="365">
        <f t="shared" si="5"/>
        <v>3.25</v>
      </c>
      <c r="M58" s="372">
        <f t="shared" si="6"/>
        <v>1</v>
      </c>
      <c r="N58" s="469"/>
      <c r="O58" s="373">
        <f t="shared" si="9"/>
        <v>41579</v>
      </c>
      <c r="P58" s="35"/>
      <c r="Q58" s="36"/>
      <c r="R58" s="40"/>
      <c r="S58" s="40"/>
      <c r="T58" s="64"/>
      <c r="U58" s="64">
        <v>1</v>
      </c>
      <c r="V58" s="64">
        <v>1</v>
      </c>
      <c r="W58" s="39"/>
      <c r="X58" s="39"/>
      <c r="Y58" s="40"/>
      <c r="Z58" s="480"/>
      <c r="AA58" s="481"/>
      <c r="AB58" s="520"/>
      <c r="AC58" s="480"/>
      <c r="AD58" s="481"/>
      <c r="AE58" s="520"/>
      <c r="AF58" s="480"/>
      <c r="AG58" s="481"/>
      <c r="AH58" s="520"/>
      <c r="AI58" s="507"/>
      <c r="AJ58" s="509"/>
      <c r="AK58" s="511"/>
      <c r="AL58" s="507"/>
      <c r="AM58" s="509"/>
      <c r="AN58" s="511"/>
      <c r="AO58" s="513"/>
      <c r="AP58" s="515"/>
      <c r="AQ58" s="517"/>
      <c r="AR58" s="513"/>
      <c r="AS58" s="515"/>
      <c r="AT58" s="517"/>
      <c r="AU58" s="513"/>
      <c r="AV58" s="515"/>
      <c r="AW58" s="517"/>
      <c r="AX58" s="513"/>
      <c r="AY58" s="515"/>
      <c r="AZ58" s="517"/>
      <c r="BA58" s="513"/>
      <c r="BB58" s="515"/>
      <c r="BC58" s="517"/>
      <c r="BD58" s="513"/>
      <c r="BE58" s="515"/>
      <c r="BF58" s="517"/>
      <c r="BG58" s="513"/>
      <c r="BH58" s="515"/>
      <c r="BI58" s="517"/>
      <c r="BT58" s="1102"/>
      <c r="BU58" s="1099"/>
    </row>
    <row r="59" spans="1:73" ht="30.75" hidden="1" customHeight="1" thickBot="1">
      <c r="A59" s="1160"/>
      <c r="B59" s="646"/>
      <c r="C59" s="377" t="s">
        <v>101</v>
      </c>
      <c r="D59" s="407" t="s">
        <v>44</v>
      </c>
      <c r="E59" s="389">
        <v>65</v>
      </c>
      <c r="F59" s="378">
        <f t="shared" si="10"/>
        <v>55.384615384615387</v>
      </c>
      <c r="G59" s="378">
        <v>1</v>
      </c>
      <c r="H59" s="369">
        <v>4</v>
      </c>
      <c r="I59" s="460">
        <v>10</v>
      </c>
      <c r="J59" s="542">
        <v>234</v>
      </c>
      <c r="K59" s="378">
        <f>I59-H59</f>
        <v>6</v>
      </c>
      <c r="L59" s="365">
        <f t="shared" si="5"/>
        <v>7.2222222222222215E-2</v>
      </c>
      <c r="M59" s="381">
        <f t="shared" si="6"/>
        <v>2.5</v>
      </c>
      <c r="N59" s="470"/>
      <c r="O59" s="382">
        <f t="shared" si="9"/>
        <v>41580.5</v>
      </c>
      <c r="P59" s="35"/>
      <c r="Q59" s="36"/>
      <c r="R59" s="40"/>
      <c r="S59" s="40"/>
      <c r="T59" s="64">
        <v>1</v>
      </c>
      <c r="U59" s="39"/>
      <c r="V59" s="39"/>
      <c r="W59" s="39"/>
      <c r="X59" s="39"/>
      <c r="Y59" s="40"/>
      <c r="Z59" s="480"/>
      <c r="AA59" s="481"/>
      <c r="AB59" s="520"/>
      <c r="AC59" s="480"/>
      <c r="AD59" s="481"/>
      <c r="AE59" s="520"/>
      <c r="AF59" s="480"/>
      <c r="AG59" s="481"/>
      <c r="AH59" s="520"/>
      <c r="AI59" s="507"/>
      <c r="AJ59" s="509"/>
      <c r="AK59" s="511"/>
      <c r="AL59" s="507"/>
      <c r="AM59" s="509"/>
      <c r="AN59" s="511"/>
      <c r="AO59" s="513"/>
      <c r="AP59" s="515"/>
      <c r="AQ59" s="517"/>
      <c r="AR59" s="513"/>
      <c r="AS59" s="515"/>
      <c r="AT59" s="517"/>
      <c r="AU59" s="513"/>
      <c r="AV59" s="515"/>
      <c r="AW59" s="517"/>
      <c r="AX59" s="513"/>
      <c r="AY59" s="515"/>
      <c r="AZ59" s="517"/>
      <c r="BA59" s="513"/>
      <c r="BB59" s="515"/>
      <c r="BC59" s="517"/>
      <c r="BD59" s="513"/>
      <c r="BE59" s="515"/>
      <c r="BF59" s="517"/>
      <c r="BG59" s="513"/>
      <c r="BH59" s="515"/>
      <c r="BI59" s="517"/>
      <c r="BT59" s="1102"/>
      <c r="BU59" s="1099"/>
    </row>
    <row r="60" spans="1:73" ht="39.75" customHeight="1" thickBot="1">
      <c r="A60" s="1160"/>
      <c r="B60" s="1104" t="s">
        <v>282</v>
      </c>
      <c r="C60" s="384" t="s">
        <v>98</v>
      </c>
      <c r="D60" s="406" t="s">
        <v>370</v>
      </c>
      <c r="E60" s="368">
        <v>69</v>
      </c>
      <c r="F60" s="369">
        <f t="shared" si="10"/>
        <v>52.173913043478258</v>
      </c>
      <c r="G60" s="369">
        <v>1</v>
      </c>
      <c r="H60" s="369">
        <v>108</v>
      </c>
      <c r="I60" s="641">
        <v>0</v>
      </c>
      <c r="J60" s="541">
        <v>468</v>
      </c>
      <c r="K60" s="369">
        <v>1</v>
      </c>
      <c r="L60" s="365">
        <f t="shared" si="5"/>
        <v>2.0699999999999998</v>
      </c>
      <c r="M60" s="372">
        <f t="shared" si="6"/>
        <v>0</v>
      </c>
      <c r="N60" s="469">
        <f>M60*2</f>
        <v>0</v>
      </c>
      <c r="O60" s="373">
        <f t="shared" si="9"/>
        <v>41578</v>
      </c>
      <c r="P60" s="47"/>
      <c r="Q60" s="48"/>
      <c r="R60" s="49"/>
      <c r="S60" s="49"/>
      <c r="T60" s="50"/>
      <c r="U60" s="50"/>
      <c r="V60" s="50"/>
      <c r="W60" s="68"/>
      <c r="X60" s="68">
        <v>1</v>
      </c>
      <c r="Y60" s="67">
        <v>1</v>
      </c>
      <c r="Z60" s="545"/>
      <c r="AA60" s="546"/>
      <c r="AB60" s="547"/>
      <c r="AC60" s="545"/>
      <c r="AD60" s="546"/>
      <c r="AE60" s="547"/>
      <c r="AF60" s="545"/>
      <c r="AG60" s="546"/>
      <c r="AH60" s="547"/>
      <c r="AI60" s="13"/>
      <c r="AJ60" s="11"/>
      <c r="AK60" s="12"/>
      <c r="AL60" s="13"/>
      <c r="AM60" s="11"/>
      <c r="AN60" s="12"/>
      <c r="AO60" s="30"/>
      <c r="AP60" s="31"/>
      <c r="AQ60" s="32"/>
      <c r="AR60" s="30"/>
      <c r="AS60" s="31"/>
      <c r="AT60" s="32"/>
      <c r="AU60" s="30"/>
      <c r="AV60" s="31"/>
      <c r="AW60" s="32"/>
      <c r="AX60" s="30"/>
      <c r="AY60" s="31"/>
      <c r="AZ60" s="32"/>
      <c r="BA60" s="30"/>
      <c r="BB60" s="31"/>
      <c r="BC60" s="32"/>
      <c r="BD60" s="30"/>
      <c r="BE60" s="31"/>
      <c r="BF60" s="32"/>
      <c r="BG60" s="30"/>
      <c r="BH60" s="31"/>
      <c r="BI60" s="32"/>
      <c r="BT60" s="1102"/>
      <c r="BU60" s="1099"/>
    </row>
    <row r="61" spans="1:73" ht="36.75" customHeight="1" thickBot="1">
      <c r="A61" s="1160"/>
      <c r="B61" s="1105"/>
      <c r="C61" s="384" t="s">
        <v>99</v>
      </c>
      <c r="D61" s="406" t="s">
        <v>371</v>
      </c>
      <c r="E61" s="368">
        <v>69</v>
      </c>
      <c r="F61" s="369">
        <f t="shared" si="10"/>
        <v>52.173913043478258</v>
      </c>
      <c r="G61" s="369">
        <v>1</v>
      </c>
      <c r="H61" s="369">
        <v>4</v>
      </c>
      <c r="I61" s="641">
        <v>0</v>
      </c>
      <c r="J61" s="541">
        <v>234</v>
      </c>
      <c r="K61" s="369">
        <v>1</v>
      </c>
      <c r="L61" s="365">
        <f t="shared" si="5"/>
        <v>7.6666666666666661E-2</v>
      </c>
      <c r="M61" s="372">
        <f t="shared" si="6"/>
        <v>0</v>
      </c>
      <c r="N61" s="469">
        <f>M61*2</f>
        <v>0</v>
      </c>
      <c r="O61" s="373">
        <f t="shared" si="9"/>
        <v>41578</v>
      </c>
      <c r="P61" s="35"/>
      <c r="Q61" s="36"/>
      <c r="R61" s="40"/>
      <c r="S61" s="40"/>
      <c r="T61" s="39"/>
      <c r="U61" s="39"/>
      <c r="V61" s="39"/>
      <c r="W61" s="64">
        <v>1</v>
      </c>
      <c r="X61" s="39"/>
      <c r="Y61" s="40"/>
      <c r="Z61" s="480"/>
      <c r="AA61" s="481"/>
      <c r="AB61" s="520"/>
      <c r="AC61" s="480"/>
      <c r="AD61" s="481"/>
      <c r="AE61" s="520"/>
      <c r="AF61" s="480"/>
      <c r="AG61" s="481"/>
      <c r="AH61" s="520"/>
      <c r="AI61" s="507"/>
      <c r="AJ61" s="509"/>
      <c r="AK61" s="511"/>
      <c r="AL61" s="507"/>
      <c r="AM61" s="509"/>
      <c r="AN61" s="511"/>
      <c r="AO61" s="513"/>
      <c r="AP61" s="515"/>
      <c r="AQ61" s="517"/>
      <c r="AR61" s="513"/>
      <c r="AS61" s="515"/>
      <c r="AT61" s="517"/>
      <c r="AU61" s="513"/>
      <c r="AV61" s="515"/>
      <c r="AW61" s="517"/>
      <c r="AX61" s="513"/>
      <c r="AY61" s="515"/>
      <c r="AZ61" s="517"/>
      <c r="BA61" s="513"/>
      <c r="BB61" s="515"/>
      <c r="BC61" s="517"/>
      <c r="BD61" s="513"/>
      <c r="BE61" s="515"/>
      <c r="BF61" s="517"/>
      <c r="BG61" s="513"/>
      <c r="BH61" s="515"/>
      <c r="BI61" s="517"/>
      <c r="BT61" s="1102"/>
      <c r="BU61" s="1099"/>
    </row>
    <row r="62" spans="1:73" ht="35.25" customHeight="1" thickBot="1">
      <c r="A62" s="1160"/>
      <c r="B62" s="1106" t="s">
        <v>283</v>
      </c>
      <c r="C62" s="384" t="s">
        <v>100</v>
      </c>
      <c r="D62" s="406" t="s">
        <v>372</v>
      </c>
      <c r="E62" s="368">
        <v>65</v>
      </c>
      <c r="F62" s="369">
        <f t="shared" si="10"/>
        <v>55.384615384615387</v>
      </c>
      <c r="G62" s="369">
        <v>1</v>
      </c>
      <c r="H62" s="369">
        <v>108</v>
      </c>
      <c r="I62" s="641">
        <v>0</v>
      </c>
      <c r="J62" s="541">
        <v>468</v>
      </c>
      <c r="K62" s="369">
        <v>1</v>
      </c>
      <c r="L62" s="365">
        <f t="shared" si="5"/>
        <v>1.95</v>
      </c>
      <c r="M62" s="372">
        <f t="shared" si="6"/>
        <v>0</v>
      </c>
      <c r="N62" s="469">
        <f>M62*2</f>
        <v>0</v>
      </c>
      <c r="O62" s="373">
        <f t="shared" si="9"/>
        <v>41578</v>
      </c>
      <c r="P62" s="35"/>
      <c r="Q62" s="36"/>
      <c r="R62" s="40"/>
      <c r="S62" s="40"/>
      <c r="T62" s="64"/>
      <c r="U62" s="64">
        <v>1</v>
      </c>
      <c r="V62" s="64">
        <v>1</v>
      </c>
      <c r="W62" s="39"/>
      <c r="X62" s="39"/>
      <c r="Y62" s="40"/>
      <c r="Z62" s="480"/>
      <c r="AA62" s="481"/>
      <c r="AB62" s="520"/>
      <c r="AC62" s="480"/>
      <c r="AD62" s="481"/>
      <c r="AE62" s="520"/>
      <c r="AF62" s="480"/>
      <c r="AG62" s="481"/>
      <c r="AH62" s="520"/>
      <c r="AI62" s="507"/>
      <c r="AJ62" s="509"/>
      <c r="AK62" s="511"/>
      <c r="AL62" s="507"/>
      <c r="AM62" s="509"/>
      <c r="AN62" s="511"/>
      <c r="AO62" s="513"/>
      <c r="AP62" s="515"/>
      <c r="AQ62" s="517"/>
      <c r="AR62" s="513"/>
      <c r="AS62" s="515"/>
      <c r="AT62" s="517"/>
      <c r="AU62" s="513"/>
      <c r="AV62" s="515"/>
      <c r="AW62" s="517"/>
      <c r="AX62" s="513"/>
      <c r="AY62" s="515"/>
      <c r="AZ62" s="517"/>
      <c r="BA62" s="513"/>
      <c r="BB62" s="515"/>
      <c r="BC62" s="517"/>
      <c r="BD62" s="513"/>
      <c r="BE62" s="515"/>
      <c r="BF62" s="517"/>
      <c r="BG62" s="513"/>
      <c r="BH62" s="515"/>
      <c r="BI62" s="517"/>
      <c r="BT62" s="1102"/>
      <c r="BU62" s="1099"/>
    </row>
    <row r="63" spans="1:73" ht="37.5" customHeight="1" thickBot="1">
      <c r="A63" s="1161"/>
      <c r="B63" s="1107"/>
      <c r="C63" s="384" t="s">
        <v>101</v>
      </c>
      <c r="D63" s="406" t="s">
        <v>373</v>
      </c>
      <c r="E63" s="632">
        <v>65</v>
      </c>
      <c r="F63" s="633">
        <f t="shared" si="10"/>
        <v>55.384615384615387</v>
      </c>
      <c r="G63" s="633">
        <v>1</v>
      </c>
      <c r="H63" s="369">
        <v>4</v>
      </c>
      <c r="I63" s="642">
        <v>0</v>
      </c>
      <c r="J63" s="634">
        <v>234</v>
      </c>
      <c r="K63" s="633">
        <v>1</v>
      </c>
      <c r="L63" s="365">
        <f t="shared" si="5"/>
        <v>7.2222222222222215E-2</v>
      </c>
      <c r="M63" s="635">
        <f t="shared" si="6"/>
        <v>0</v>
      </c>
      <c r="N63" s="469">
        <f>M63*2</f>
        <v>0</v>
      </c>
      <c r="O63" s="636">
        <f t="shared" si="9"/>
        <v>41578</v>
      </c>
      <c r="P63" s="35"/>
      <c r="Q63" s="36"/>
      <c r="R63" s="40"/>
      <c r="S63" s="40"/>
      <c r="T63" s="64">
        <v>1</v>
      </c>
      <c r="U63" s="39"/>
      <c r="V63" s="39"/>
      <c r="W63" s="39"/>
      <c r="X63" s="39"/>
      <c r="Y63" s="40"/>
      <c r="Z63" s="480"/>
      <c r="AA63" s="481"/>
      <c r="AB63" s="520"/>
      <c r="AC63" s="480"/>
      <c r="AD63" s="481"/>
      <c r="AE63" s="520"/>
      <c r="AF63" s="480"/>
      <c r="AG63" s="481"/>
      <c r="AH63" s="520"/>
      <c r="AI63" s="507"/>
      <c r="AJ63" s="509"/>
      <c r="AK63" s="511"/>
      <c r="AL63" s="507"/>
      <c r="AM63" s="509"/>
      <c r="AN63" s="511"/>
      <c r="AO63" s="513"/>
      <c r="AP63" s="515"/>
      <c r="AQ63" s="517"/>
      <c r="AR63" s="513"/>
      <c r="AS63" s="515"/>
      <c r="AT63" s="517"/>
      <c r="AU63" s="513"/>
      <c r="AV63" s="515"/>
      <c r="AW63" s="517"/>
      <c r="AX63" s="513"/>
      <c r="AY63" s="515"/>
      <c r="AZ63" s="517"/>
      <c r="BA63" s="513"/>
      <c r="BB63" s="515"/>
      <c r="BC63" s="517"/>
      <c r="BD63" s="513"/>
      <c r="BE63" s="515"/>
      <c r="BF63" s="517"/>
      <c r="BG63" s="513"/>
      <c r="BH63" s="515"/>
      <c r="BI63" s="517"/>
      <c r="BT63" s="1103"/>
      <c r="BU63" s="1100"/>
    </row>
    <row r="64" spans="1:73" ht="33" customHeight="1" thickBot="1">
      <c r="A64" s="1190" t="s">
        <v>326</v>
      </c>
      <c r="B64" s="321" t="s">
        <v>264</v>
      </c>
      <c r="C64" s="322" t="s">
        <v>69</v>
      </c>
      <c r="D64" s="408" t="s">
        <v>362</v>
      </c>
      <c r="E64" s="274">
        <v>50</v>
      </c>
      <c r="F64" s="275">
        <f t="shared" ref="F64:F69" si="11">3600/E64</f>
        <v>72</v>
      </c>
      <c r="G64" s="275">
        <v>1</v>
      </c>
      <c r="H64" s="282">
        <f>BY17</f>
        <v>300</v>
      </c>
      <c r="I64" s="637">
        <v>0</v>
      </c>
      <c r="J64" s="277">
        <v>1488</v>
      </c>
      <c r="K64" s="275">
        <v>1</v>
      </c>
      <c r="L64" s="365">
        <f t="shared" si="5"/>
        <v>4.166666666666667</v>
      </c>
      <c r="M64" s="278">
        <f t="shared" si="6"/>
        <v>0</v>
      </c>
      <c r="N64" s="471">
        <f>M64*1.5</f>
        <v>0</v>
      </c>
      <c r="O64" s="279">
        <f t="shared" si="9"/>
        <v>41578</v>
      </c>
      <c r="P64" s="35"/>
      <c r="Q64" s="36"/>
      <c r="R64" s="37">
        <v>1</v>
      </c>
      <c r="S64" s="37"/>
      <c r="T64" s="64">
        <v>1</v>
      </c>
      <c r="U64" s="64">
        <v>1</v>
      </c>
      <c r="V64" s="39"/>
      <c r="W64" s="39"/>
      <c r="X64" s="39"/>
      <c r="Y64" s="40"/>
      <c r="Z64" s="480"/>
      <c r="AA64" s="481"/>
      <c r="AB64" s="520">
        <v>5</v>
      </c>
      <c r="AC64" s="503"/>
      <c r="AD64" s="505"/>
      <c r="AE64" s="501"/>
      <c r="AF64" s="503"/>
      <c r="AG64" s="505"/>
      <c r="AH64" s="501"/>
      <c r="AI64" s="503"/>
      <c r="AJ64" s="505"/>
      <c r="AK64" s="511"/>
      <c r="AL64" s="507"/>
      <c r="AM64" s="509"/>
      <c r="AN64" s="511"/>
      <c r="AO64" s="513"/>
      <c r="AP64" s="515"/>
      <c r="AQ64" s="517"/>
      <c r="AR64" s="513"/>
      <c r="AS64" s="515"/>
      <c r="AT64" s="517"/>
      <c r="AU64" s="513"/>
      <c r="AV64" s="515"/>
      <c r="AW64" s="517"/>
      <c r="AX64" s="513"/>
      <c r="AY64" s="515"/>
      <c r="AZ64" s="517"/>
      <c r="BA64" s="513"/>
      <c r="BB64" s="515"/>
      <c r="BC64" s="517"/>
      <c r="BD64" s="513"/>
      <c r="BE64" s="515"/>
      <c r="BF64" s="517"/>
      <c r="BG64" s="513"/>
      <c r="BH64" s="515"/>
      <c r="BI64" s="517"/>
      <c r="BP64" s="270">
        <v>4188</v>
      </c>
      <c r="BT64" s="1101">
        <v>2</v>
      </c>
      <c r="BU64" s="1098">
        <f>L64+L65+L67+L82+L84+BT64</f>
        <v>21.583333333333336</v>
      </c>
    </row>
    <row r="65" spans="1:73" ht="43.5" customHeight="1" thickBot="1">
      <c r="A65" s="1191"/>
      <c r="B65" s="1193" t="s">
        <v>266</v>
      </c>
      <c r="C65" s="298" t="s">
        <v>72</v>
      </c>
      <c r="D65" s="409" t="s">
        <v>363</v>
      </c>
      <c r="E65" s="281">
        <v>48</v>
      </c>
      <c r="F65" s="282">
        <f t="shared" si="11"/>
        <v>75</v>
      </c>
      <c r="G65" s="282">
        <v>1</v>
      </c>
      <c r="H65" s="282">
        <f>BY18</f>
        <v>200</v>
      </c>
      <c r="I65" s="459">
        <v>0</v>
      </c>
      <c r="J65" s="284">
        <v>520</v>
      </c>
      <c r="K65" s="282">
        <v>1</v>
      </c>
      <c r="L65" s="365">
        <f t="shared" si="5"/>
        <v>2.6666666666666665</v>
      </c>
      <c r="M65" s="285">
        <f t="shared" si="6"/>
        <v>0</v>
      </c>
      <c r="N65" s="471">
        <f>M65*1.5</f>
        <v>0</v>
      </c>
      <c r="O65" s="286">
        <f t="shared" si="9"/>
        <v>41578</v>
      </c>
      <c r="P65" s="35"/>
      <c r="Q65" s="36"/>
      <c r="R65" s="40"/>
      <c r="S65" s="41"/>
      <c r="T65" s="1085"/>
      <c r="U65" s="1085"/>
      <c r="V65" s="1085"/>
      <c r="W65" s="1085"/>
      <c r="X65" s="1085"/>
      <c r="Y65" s="1083"/>
      <c r="Z65" s="1119">
        <v>10</v>
      </c>
      <c r="AA65" s="1170"/>
      <c r="AB65" s="1122"/>
      <c r="AC65" s="1119"/>
      <c r="AD65" s="1117"/>
      <c r="AE65" s="1125"/>
      <c r="AF65" s="1119"/>
      <c r="AG65" s="1117"/>
      <c r="AH65" s="1125"/>
      <c r="AI65" s="1114"/>
      <c r="AJ65" s="1111"/>
      <c r="AK65" s="1127"/>
      <c r="AL65" s="1114"/>
      <c r="AM65" s="1111"/>
      <c r="AN65" s="1127"/>
      <c r="AO65" s="1130"/>
      <c r="AP65" s="1133"/>
      <c r="AQ65" s="1136"/>
      <c r="AR65" s="1130"/>
      <c r="AS65" s="1133"/>
      <c r="AT65" s="1136"/>
      <c r="AU65" s="1130"/>
      <c r="AV65" s="1133"/>
      <c r="AW65" s="1136"/>
      <c r="AX65" s="1130"/>
      <c r="AY65" s="1133"/>
      <c r="AZ65" s="1136"/>
      <c r="BA65" s="1130"/>
      <c r="BB65" s="1133"/>
      <c r="BC65" s="1136"/>
      <c r="BD65" s="1130"/>
      <c r="BE65" s="1133"/>
      <c r="BF65" s="1136"/>
      <c r="BG65" s="1130"/>
      <c r="BH65" s="1133"/>
      <c r="BI65" s="1136"/>
      <c r="BT65" s="1102"/>
      <c r="BU65" s="1099"/>
    </row>
    <row r="66" spans="1:73" ht="42" customHeight="1" thickBot="1">
      <c r="A66" s="1191"/>
      <c r="B66" s="1193"/>
      <c r="C66" s="298" t="s">
        <v>73</v>
      </c>
      <c r="D66" s="409" t="s">
        <v>364</v>
      </c>
      <c r="E66" s="281">
        <v>48</v>
      </c>
      <c r="F66" s="282">
        <f t="shared" si="11"/>
        <v>75</v>
      </c>
      <c r="G66" s="282">
        <v>1</v>
      </c>
      <c r="H66" s="282">
        <f>BY18</f>
        <v>200</v>
      </c>
      <c r="I66" s="459">
        <v>0</v>
      </c>
      <c r="J66" s="284">
        <v>520</v>
      </c>
      <c r="K66" s="282">
        <v>1</v>
      </c>
      <c r="L66" s="365">
        <f t="shared" si="5"/>
        <v>2.6666666666666665</v>
      </c>
      <c r="M66" s="285">
        <f t="shared" si="6"/>
        <v>0</v>
      </c>
      <c r="N66" s="471">
        <f>M66*1.5</f>
        <v>0</v>
      </c>
      <c r="O66" s="286">
        <f t="shared" si="9"/>
        <v>41578</v>
      </c>
      <c r="P66" s="35"/>
      <c r="Q66" s="36"/>
      <c r="R66" s="40"/>
      <c r="S66" s="42"/>
      <c r="T66" s="1086"/>
      <c r="U66" s="1086"/>
      <c r="V66" s="1086"/>
      <c r="W66" s="1086"/>
      <c r="X66" s="1086"/>
      <c r="Y66" s="1084"/>
      <c r="Z66" s="1120"/>
      <c r="AA66" s="1171"/>
      <c r="AB66" s="1124"/>
      <c r="AC66" s="1120"/>
      <c r="AD66" s="1118"/>
      <c r="AE66" s="1126"/>
      <c r="AF66" s="1120"/>
      <c r="AG66" s="1118"/>
      <c r="AH66" s="1126"/>
      <c r="AI66" s="1116"/>
      <c r="AJ66" s="1113"/>
      <c r="AK66" s="1129"/>
      <c r="AL66" s="1116"/>
      <c r="AM66" s="1113"/>
      <c r="AN66" s="1129"/>
      <c r="AO66" s="1132"/>
      <c r="AP66" s="1135"/>
      <c r="AQ66" s="1138"/>
      <c r="AR66" s="1132"/>
      <c r="AS66" s="1135"/>
      <c r="AT66" s="1138"/>
      <c r="AU66" s="1132"/>
      <c r="AV66" s="1135"/>
      <c r="AW66" s="1138"/>
      <c r="AX66" s="1132"/>
      <c r="AY66" s="1135"/>
      <c r="AZ66" s="1138"/>
      <c r="BA66" s="1132"/>
      <c r="BB66" s="1135"/>
      <c r="BC66" s="1138"/>
      <c r="BD66" s="1132"/>
      <c r="BE66" s="1135"/>
      <c r="BF66" s="1138"/>
      <c r="BG66" s="1132"/>
      <c r="BH66" s="1135"/>
      <c r="BI66" s="1138"/>
      <c r="BT66" s="1102"/>
      <c r="BU66" s="1099"/>
    </row>
    <row r="67" spans="1:73" ht="33" customHeight="1" thickBot="1">
      <c r="A67" s="1191"/>
      <c r="B67" s="323" t="s">
        <v>267</v>
      </c>
      <c r="C67" s="280" t="s">
        <v>74</v>
      </c>
      <c r="D67" s="409" t="s">
        <v>365</v>
      </c>
      <c r="E67" s="282">
        <v>49</v>
      </c>
      <c r="F67" s="282">
        <f t="shared" si="11"/>
        <v>73.469387755102048</v>
      </c>
      <c r="G67" s="282">
        <v>1</v>
      </c>
      <c r="H67" s="282">
        <f>0.3*BY17</f>
        <v>90</v>
      </c>
      <c r="I67" s="459">
        <v>0</v>
      </c>
      <c r="J67" s="284">
        <v>438</v>
      </c>
      <c r="K67" s="282">
        <v>1</v>
      </c>
      <c r="L67" s="365">
        <f t="shared" si="5"/>
        <v>1.2250000000000001</v>
      </c>
      <c r="M67" s="285">
        <f t="shared" si="6"/>
        <v>0</v>
      </c>
      <c r="N67" s="471">
        <f>M67*1.5</f>
        <v>0</v>
      </c>
      <c r="O67" s="286">
        <f t="shared" si="9"/>
        <v>41578</v>
      </c>
      <c r="P67" s="35"/>
      <c r="Q67" s="36"/>
      <c r="R67" s="40"/>
      <c r="S67" s="40"/>
      <c r="T67" s="39"/>
      <c r="U67" s="39"/>
      <c r="V67" s="64">
        <v>1</v>
      </c>
      <c r="W67" s="39"/>
      <c r="X67" s="39"/>
      <c r="Y67" s="40"/>
      <c r="Z67" s="480"/>
      <c r="AA67" s="481"/>
      <c r="AB67" s="520"/>
      <c r="AC67" s="480"/>
      <c r="AD67" s="481"/>
      <c r="AE67" s="520"/>
      <c r="AF67" s="480"/>
      <c r="AG67" s="481"/>
      <c r="AH67" s="520"/>
      <c r="AI67" s="507"/>
      <c r="AJ67" s="509"/>
      <c r="AK67" s="511"/>
      <c r="AL67" s="507"/>
      <c r="AM67" s="509"/>
      <c r="AN67" s="511"/>
      <c r="AO67" s="513"/>
      <c r="AP67" s="515"/>
      <c r="AQ67" s="517"/>
      <c r="AR67" s="513"/>
      <c r="AS67" s="515"/>
      <c r="AT67" s="517"/>
      <c r="AU67" s="513"/>
      <c r="AV67" s="515"/>
      <c r="AW67" s="517"/>
      <c r="AX67" s="513"/>
      <c r="AY67" s="515"/>
      <c r="AZ67" s="517"/>
      <c r="BA67" s="513"/>
      <c r="BB67" s="515"/>
      <c r="BC67" s="517"/>
      <c r="BD67" s="513"/>
      <c r="BE67" s="515"/>
      <c r="BF67" s="517"/>
      <c r="BG67" s="513"/>
      <c r="BH67" s="515"/>
      <c r="BI67" s="517"/>
      <c r="BP67" s="270">
        <v>236</v>
      </c>
      <c r="BT67" s="1102"/>
      <c r="BU67" s="1099"/>
    </row>
    <row r="68" spans="1:73" ht="30" hidden="1" customHeight="1">
      <c r="A68" s="1191"/>
      <c r="B68" s="1193" t="s">
        <v>268</v>
      </c>
      <c r="C68" s="280" t="s">
        <v>75</v>
      </c>
      <c r="D68" s="409" t="s">
        <v>24</v>
      </c>
      <c r="E68" s="281">
        <v>49.3</v>
      </c>
      <c r="F68" s="282">
        <f t="shared" si="11"/>
        <v>73.022312373225162</v>
      </c>
      <c r="G68" s="282">
        <v>1</v>
      </c>
      <c r="H68" s="282">
        <v>200</v>
      </c>
      <c r="I68" s="459">
        <v>565</v>
      </c>
      <c r="J68" s="284">
        <v>544</v>
      </c>
      <c r="K68" s="282">
        <f t="shared" ref="K68:K80" si="12">I68-H68</f>
        <v>365</v>
      </c>
      <c r="L68" s="365">
        <f t="shared" si="5"/>
        <v>2.7388888888888889</v>
      </c>
      <c r="M68" s="285">
        <f t="shared" si="6"/>
        <v>2.8250000000000002</v>
      </c>
      <c r="N68" s="472"/>
      <c r="O68" s="286">
        <f t="shared" si="9"/>
        <v>41580.824999999997</v>
      </c>
      <c r="P68" s="35"/>
      <c r="Q68" s="36"/>
      <c r="R68" s="40"/>
      <c r="S68" s="41"/>
      <c r="T68" s="1085"/>
      <c r="U68" s="1085"/>
      <c r="V68" s="1085"/>
      <c r="W68" s="1085"/>
      <c r="X68" s="1085"/>
      <c r="Y68" s="1083"/>
      <c r="Z68" s="1119"/>
      <c r="AA68" s="1117"/>
      <c r="AB68" s="1125"/>
      <c r="AC68" s="1119"/>
      <c r="AD68" s="1117"/>
      <c r="AE68" s="1125"/>
      <c r="AF68" s="1119"/>
      <c r="AG68" s="1117"/>
      <c r="AH68" s="1125"/>
      <c r="AI68" s="1114"/>
      <c r="AJ68" s="1111">
        <v>20</v>
      </c>
      <c r="AK68" s="1122"/>
      <c r="AL68" s="1114"/>
      <c r="AM68" s="1111"/>
      <c r="AN68" s="1127"/>
      <c r="AO68" s="1130"/>
      <c r="AP68" s="1133"/>
      <c r="AQ68" s="1136"/>
      <c r="AR68" s="1130"/>
      <c r="AS68" s="1133"/>
      <c r="AT68" s="1136"/>
      <c r="AU68" s="1130"/>
      <c r="AV68" s="1133"/>
      <c r="AW68" s="1136"/>
      <c r="AX68" s="1130"/>
      <c r="AY68" s="1133"/>
      <c r="AZ68" s="1136"/>
      <c r="BA68" s="1130"/>
      <c r="BB68" s="1133"/>
      <c r="BC68" s="1136"/>
      <c r="BD68" s="1130"/>
      <c r="BE68" s="1133"/>
      <c r="BF68" s="1136"/>
      <c r="BG68" s="1130"/>
      <c r="BH68" s="1133"/>
      <c r="BI68" s="1136"/>
      <c r="BP68" s="271">
        <v>179</v>
      </c>
      <c r="BT68" s="1102"/>
      <c r="BU68" s="1099"/>
    </row>
    <row r="69" spans="1:73" ht="30" hidden="1" customHeight="1">
      <c r="A69" s="1191"/>
      <c r="B69" s="1193"/>
      <c r="C69" s="280" t="s">
        <v>76</v>
      </c>
      <c r="D69" s="409" t="s">
        <v>25</v>
      </c>
      <c r="E69" s="281">
        <v>49.3</v>
      </c>
      <c r="F69" s="282">
        <f t="shared" si="11"/>
        <v>73.022312373225162</v>
      </c>
      <c r="G69" s="282">
        <v>1</v>
      </c>
      <c r="H69" s="282">
        <v>200</v>
      </c>
      <c r="I69" s="459">
        <v>565</v>
      </c>
      <c r="J69" s="284">
        <v>544</v>
      </c>
      <c r="K69" s="282">
        <f t="shared" si="12"/>
        <v>365</v>
      </c>
      <c r="L69" s="365">
        <f t="shared" si="5"/>
        <v>2.7388888888888889</v>
      </c>
      <c r="M69" s="285">
        <f t="shared" si="6"/>
        <v>2.8250000000000002</v>
      </c>
      <c r="N69" s="472"/>
      <c r="O69" s="286">
        <f t="shared" si="9"/>
        <v>41580.824999999997</v>
      </c>
      <c r="P69" s="35"/>
      <c r="Q69" s="36"/>
      <c r="R69" s="40"/>
      <c r="S69" s="42"/>
      <c r="T69" s="1086"/>
      <c r="U69" s="1086"/>
      <c r="V69" s="1086"/>
      <c r="W69" s="1086"/>
      <c r="X69" s="1086"/>
      <c r="Y69" s="1084"/>
      <c r="Z69" s="1120"/>
      <c r="AA69" s="1118"/>
      <c r="AB69" s="1126"/>
      <c r="AC69" s="1120"/>
      <c r="AD69" s="1118"/>
      <c r="AE69" s="1126"/>
      <c r="AF69" s="1120"/>
      <c r="AG69" s="1118"/>
      <c r="AH69" s="1126"/>
      <c r="AI69" s="1116"/>
      <c r="AJ69" s="1113"/>
      <c r="AK69" s="1124"/>
      <c r="AL69" s="1116"/>
      <c r="AM69" s="1113"/>
      <c r="AN69" s="1129"/>
      <c r="AO69" s="1132"/>
      <c r="AP69" s="1135"/>
      <c r="AQ69" s="1138"/>
      <c r="AR69" s="1132"/>
      <c r="AS69" s="1135"/>
      <c r="AT69" s="1138"/>
      <c r="AU69" s="1132"/>
      <c r="AV69" s="1135"/>
      <c r="AW69" s="1138"/>
      <c r="AX69" s="1132"/>
      <c r="AY69" s="1135"/>
      <c r="AZ69" s="1138"/>
      <c r="BA69" s="1132"/>
      <c r="BB69" s="1135"/>
      <c r="BC69" s="1138"/>
      <c r="BD69" s="1132"/>
      <c r="BE69" s="1135"/>
      <c r="BF69" s="1138"/>
      <c r="BG69" s="1132"/>
      <c r="BH69" s="1135"/>
      <c r="BI69" s="1138"/>
      <c r="BT69" s="1102"/>
      <c r="BU69" s="1099"/>
    </row>
    <row r="70" spans="1:73" ht="30" hidden="1" customHeight="1">
      <c r="A70" s="1191"/>
      <c r="B70" s="323"/>
      <c r="C70" s="324" t="s">
        <v>58</v>
      </c>
      <c r="D70" s="409" t="s">
        <v>15</v>
      </c>
      <c r="E70" s="299"/>
      <c r="F70" s="287"/>
      <c r="G70" s="287"/>
      <c r="H70" s="287"/>
      <c r="I70" s="638"/>
      <c r="J70" s="301"/>
      <c r="K70" s="282">
        <f t="shared" si="12"/>
        <v>0</v>
      </c>
      <c r="L70" s="365">
        <f t="shared" si="5"/>
        <v>0</v>
      </c>
      <c r="M70" s="285" t="e">
        <f t="shared" si="6"/>
        <v>#DIV/0!</v>
      </c>
      <c r="N70" s="472"/>
      <c r="O70" s="286" t="e">
        <f t="shared" si="9"/>
        <v>#DIV/0!</v>
      </c>
      <c r="P70" s="35"/>
      <c r="Q70" s="36"/>
      <c r="R70" s="40"/>
      <c r="S70" s="41"/>
      <c r="T70" s="60"/>
      <c r="U70" s="60"/>
      <c r="V70" s="60"/>
      <c r="W70" s="60"/>
      <c r="X70" s="60"/>
      <c r="Y70" s="41"/>
      <c r="Z70" s="484"/>
      <c r="AA70" s="486"/>
      <c r="AB70" s="482"/>
      <c r="AC70" s="484"/>
      <c r="AD70" s="486"/>
      <c r="AE70" s="482"/>
      <c r="AF70" s="484"/>
      <c r="AG70" s="486"/>
      <c r="AH70" s="482"/>
      <c r="AI70" s="488"/>
      <c r="AJ70" s="490"/>
      <c r="AK70" s="492"/>
      <c r="AL70" s="488"/>
      <c r="AM70" s="490"/>
      <c r="AN70" s="492"/>
      <c r="AO70" s="494"/>
      <c r="AP70" s="496"/>
      <c r="AQ70" s="498"/>
      <c r="AR70" s="494"/>
      <c r="AS70" s="496"/>
      <c r="AT70" s="498"/>
      <c r="AU70" s="494"/>
      <c r="AV70" s="496"/>
      <c r="AW70" s="498"/>
      <c r="AX70" s="494"/>
      <c r="AY70" s="496"/>
      <c r="AZ70" s="498"/>
      <c r="BA70" s="494"/>
      <c r="BB70" s="496"/>
      <c r="BC70" s="498"/>
      <c r="BD70" s="494"/>
      <c r="BE70" s="496"/>
      <c r="BF70" s="498"/>
      <c r="BG70" s="494"/>
      <c r="BH70" s="496"/>
      <c r="BI70" s="498"/>
      <c r="BT70" s="1102"/>
      <c r="BU70" s="1099"/>
    </row>
    <row r="71" spans="1:73" ht="30" hidden="1" customHeight="1">
      <c r="A71" s="1191"/>
      <c r="B71" s="323"/>
      <c r="C71" s="324" t="s">
        <v>59</v>
      </c>
      <c r="D71" s="409" t="s">
        <v>16</v>
      </c>
      <c r="E71" s="299"/>
      <c r="F71" s="287"/>
      <c r="G71" s="287"/>
      <c r="H71" s="287"/>
      <c r="I71" s="638"/>
      <c r="J71" s="301"/>
      <c r="K71" s="282">
        <f t="shared" si="12"/>
        <v>0</v>
      </c>
      <c r="L71" s="365">
        <f t="shared" si="5"/>
        <v>0</v>
      </c>
      <c r="M71" s="285" t="e">
        <f t="shared" si="6"/>
        <v>#DIV/0!</v>
      </c>
      <c r="N71" s="472"/>
      <c r="O71" s="286" t="e">
        <f t="shared" si="9"/>
        <v>#DIV/0!</v>
      </c>
      <c r="P71" s="35"/>
      <c r="Q71" s="36"/>
      <c r="R71" s="40"/>
      <c r="S71" s="59"/>
      <c r="T71" s="66"/>
      <c r="U71" s="66"/>
      <c r="V71" s="66"/>
      <c r="W71" s="66"/>
      <c r="X71" s="66"/>
      <c r="Y71" s="59"/>
      <c r="Z71" s="525"/>
      <c r="AA71" s="526"/>
      <c r="AB71" s="527"/>
      <c r="AC71" s="525"/>
      <c r="AD71" s="526"/>
      <c r="AE71" s="527"/>
      <c r="AF71" s="525"/>
      <c r="AG71" s="526"/>
      <c r="AH71" s="527"/>
      <c r="AI71" s="533"/>
      <c r="AJ71" s="534"/>
      <c r="AK71" s="535"/>
      <c r="AL71" s="533"/>
      <c r="AM71" s="534"/>
      <c r="AN71" s="535"/>
      <c r="AO71" s="536"/>
      <c r="AP71" s="537"/>
      <c r="AQ71" s="538"/>
      <c r="AR71" s="536"/>
      <c r="AS71" s="537"/>
      <c r="AT71" s="538"/>
      <c r="AU71" s="536"/>
      <c r="AV71" s="537"/>
      <c r="AW71" s="538"/>
      <c r="AX71" s="536"/>
      <c r="AY71" s="537"/>
      <c r="AZ71" s="538"/>
      <c r="BA71" s="536"/>
      <c r="BB71" s="537"/>
      <c r="BC71" s="538"/>
      <c r="BD71" s="536"/>
      <c r="BE71" s="537"/>
      <c r="BF71" s="538"/>
      <c r="BG71" s="536"/>
      <c r="BH71" s="537"/>
      <c r="BI71" s="538"/>
      <c r="BT71" s="1102"/>
      <c r="BU71" s="1099"/>
    </row>
    <row r="72" spans="1:73" ht="30" hidden="1" customHeight="1">
      <c r="A72" s="1191"/>
      <c r="B72" s="323"/>
      <c r="C72" s="324" t="s">
        <v>64</v>
      </c>
      <c r="D72" s="409" t="s">
        <v>114</v>
      </c>
      <c r="E72" s="299"/>
      <c r="F72" s="287"/>
      <c r="G72" s="287"/>
      <c r="H72" s="287"/>
      <c r="I72" s="638"/>
      <c r="J72" s="301"/>
      <c r="K72" s="282">
        <f t="shared" si="12"/>
        <v>0</v>
      </c>
      <c r="L72" s="365">
        <f t="shared" si="5"/>
        <v>0</v>
      </c>
      <c r="M72" s="285" t="e">
        <f t="shared" si="6"/>
        <v>#DIV/0!</v>
      </c>
      <c r="N72" s="472"/>
      <c r="O72" s="286" t="e">
        <f t="shared" si="9"/>
        <v>#DIV/0!</v>
      </c>
      <c r="P72" s="35"/>
      <c r="Q72" s="36"/>
      <c r="R72" s="40"/>
      <c r="S72" s="42"/>
      <c r="T72" s="65"/>
      <c r="U72" s="65"/>
      <c r="V72" s="65"/>
      <c r="W72" s="65"/>
      <c r="X72" s="65"/>
      <c r="Y72" s="42"/>
      <c r="Z72" s="485"/>
      <c r="AA72" s="487"/>
      <c r="AB72" s="483"/>
      <c r="AC72" s="485"/>
      <c r="AD72" s="487"/>
      <c r="AE72" s="483"/>
      <c r="AF72" s="485"/>
      <c r="AG72" s="487"/>
      <c r="AH72" s="483"/>
      <c r="AI72" s="489"/>
      <c r="AJ72" s="491"/>
      <c r="AK72" s="493"/>
      <c r="AL72" s="489"/>
      <c r="AM72" s="491"/>
      <c r="AN72" s="493"/>
      <c r="AO72" s="495"/>
      <c r="AP72" s="497"/>
      <c r="AQ72" s="499"/>
      <c r="AR72" s="495"/>
      <c r="AS72" s="497"/>
      <c r="AT72" s="499"/>
      <c r="AU72" s="495"/>
      <c r="AV72" s="497"/>
      <c r="AW72" s="499"/>
      <c r="AX72" s="495"/>
      <c r="AY72" s="497"/>
      <c r="AZ72" s="499"/>
      <c r="BA72" s="495"/>
      <c r="BB72" s="497"/>
      <c r="BC72" s="499"/>
      <c r="BD72" s="495"/>
      <c r="BE72" s="497"/>
      <c r="BF72" s="499"/>
      <c r="BG72" s="495"/>
      <c r="BH72" s="497"/>
      <c r="BI72" s="499"/>
      <c r="BT72" s="1102"/>
      <c r="BU72" s="1099"/>
    </row>
    <row r="73" spans="1:73" ht="30" hidden="1" customHeight="1">
      <c r="A73" s="1191"/>
      <c r="B73" s="323"/>
      <c r="C73" s="298" t="s">
        <v>77</v>
      </c>
      <c r="D73" s="409" t="s">
        <v>26</v>
      </c>
      <c r="E73" s="299"/>
      <c r="F73" s="287"/>
      <c r="G73" s="287"/>
      <c r="H73" s="287"/>
      <c r="I73" s="638"/>
      <c r="J73" s="301"/>
      <c r="K73" s="282">
        <f t="shared" si="12"/>
        <v>0</v>
      </c>
      <c r="L73" s="365">
        <f t="shared" si="5"/>
        <v>0</v>
      </c>
      <c r="M73" s="285" t="e">
        <f t="shared" si="6"/>
        <v>#DIV/0!</v>
      </c>
      <c r="N73" s="472"/>
      <c r="O73" s="286" t="e">
        <f t="shared" si="9"/>
        <v>#DIV/0!</v>
      </c>
      <c r="P73" s="35"/>
      <c r="Q73" s="36"/>
      <c r="R73" s="40"/>
      <c r="S73" s="40"/>
      <c r="T73" s="39"/>
      <c r="U73" s="39"/>
      <c r="V73" s="39"/>
      <c r="W73" s="39"/>
      <c r="X73" s="39"/>
      <c r="Y73" s="40"/>
      <c r="Z73" s="480"/>
      <c r="AA73" s="481"/>
      <c r="AB73" s="520"/>
      <c r="AC73" s="480"/>
      <c r="AD73" s="481"/>
      <c r="AE73" s="520"/>
      <c r="AF73" s="480"/>
      <c r="AG73" s="481"/>
      <c r="AH73" s="520"/>
      <c r="AI73" s="507"/>
      <c r="AJ73" s="509"/>
      <c r="AK73" s="511"/>
      <c r="AL73" s="507"/>
      <c r="AM73" s="509"/>
      <c r="AN73" s="511"/>
      <c r="AO73" s="513"/>
      <c r="AP73" s="515"/>
      <c r="AQ73" s="517"/>
      <c r="AR73" s="513"/>
      <c r="AS73" s="515"/>
      <c r="AT73" s="517"/>
      <c r="AU73" s="513"/>
      <c r="AV73" s="515"/>
      <c r="AW73" s="517"/>
      <c r="AX73" s="513"/>
      <c r="AY73" s="515"/>
      <c r="AZ73" s="517"/>
      <c r="BA73" s="513"/>
      <c r="BB73" s="515"/>
      <c r="BC73" s="517"/>
      <c r="BD73" s="513"/>
      <c r="BE73" s="515"/>
      <c r="BF73" s="517"/>
      <c r="BG73" s="513"/>
      <c r="BH73" s="515"/>
      <c r="BI73" s="517"/>
      <c r="BT73" s="1102"/>
      <c r="BU73" s="1099"/>
    </row>
    <row r="74" spans="1:73" ht="30" hidden="1" customHeight="1">
      <c r="A74" s="1191"/>
      <c r="B74" s="323"/>
      <c r="C74" s="298" t="s">
        <v>79</v>
      </c>
      <c r="D74" s="409" t="s">
        <v>27</v>
      </c>
      <c r="E74" s="299"/>
      <c r="F74" s="287"/>
      <c r="G74" s="287"/>
      <c r="H74" s="287"/>
      <c r="I74" s="638"/>
      <c r="J74" s="301"/>
      <c r="K74" s="282">
        <f t="shared" si="12"/>
        <v>0</v>
      </c>
      <c r="L74" s="365">
        <f t="shared" si="5"/>
        <v>0</v>
      </c>
      <c r="M74" s="285" t="e">
        <f t="shared" si="6"/>
        <v>#DIV/0!</v>
      </c>
      <c r="N74" s="472"/>
      <c r="O74" s="286" t="e">
        <f t="shared" si="9"/>
        <v>#DIV/0!</v>
      </c>
      <c r="P74" s="35"/>
      <c r="Q74" s="36"/>
      <c r="R74" s="40"/>
      <c r="S74" s="40"/>
      <c r="T74" s="39"/>
      <c r="U74" s="39"/>
      <c r="V74" s="39"/>
      <c r="W74" s="39"/>
      <c r="X74" s="39"/>
      <c r="Y74" s="40"/>
      <c r="Z74" s="480"/>
      <c r="AA74" s="481"/>
      <c r="AB74" s="520"/>
      <c r="AC74" s="480"/>
      <c r="AD74" s="481"/>
      <c r="AE74" s="520"/>
      <c r="AF74" s="480"/>
      <c r="AG74" s="481"/>
      <c r="AH74" s="520"/>
      <c r="AI74" s="507"/>
      <c r="AJ74" s="509"/>
      <c r="AK74" s="511"/>
      <c r="AL74" s="507"/>
      <c r="AM74" s="509"/>
      <c r="AN74" s="511"/>
      <c r="AO74" s="513"/>
      <c r="AP74" s="515"/>
      <c r="AQ74" s="517"/>
      <c r="AR74" s="513"/>
      <c r="AS74" s="515"/>
      <c r="AT74" s="517"/>
      <c r="AU74" s="513"/>
      <c r="AV74" s="515"/>
      <c r="AW74" s="517"/>
      <c r="AX74" s="513"/>
      <c r="AY74" s="515"/>
      <c r="AZ74" s="517"/>
      <c r="BA74" s="513"/>
      <c r="BB74" s="515"/>
      <c r="BC74" s="517"/>
      <c r="BD74" s="513"/>
      <c r="BE74" s="515"/>
      <c r="BF74" s="517"/>
      <c r="BG74" s="513"/>
      <c r="BH74" s="515"/>
      <c r="BI74" s="517"/>
      <c r="BT74" s="1102"/>
      <c r="BU74" s="1099"/>
    </row>
    <row r="75" spans="1:73" ht="30" hidden="1" customHeight="1">
      <c r="A75" s="1191"/>
      <c r="B75" s="323"/>
      <c r="C75" s="298" t="s">
        <v>82</v>
      </c>
      <c r="D75" s="409" t="s">
        <v>29</v>
      </c>
      <c r="E75" s="299"/>
      <c r="F75" s="287"/>
      <c r="G75" s="287"/>
      <c r="H75" s="287"/>
      <c r="I75" s="638"/>
      <c r="J75" s="301"/>
      <c r="K75" s="282">
        <f t="shared" si="12"/>
        <v>0</v>
      </c>
      <c r="L75" s="365">
        <f t="shared" si="5"/>
        <v>0</v>
      </c>
      <c r="M75" s="285" t="e">
        <f t="shared" si="6"/>
        <v>#DIV/0!</v>
      </c>
      <c r="N75" s="472"/>
      <c r="O75" s="286" t="e">
        <f t="shared" si="9"/>
        <v>#DIV/0!</v>
      </c>
      <c r="P75" s="35"/>
      <c r="Q75" s="36"/>
      <c r="R75" s="40"/>
      <c r="S75" s="41"/>
      <c r="T75" s="1085"/>
      <c r="U75" s="1085"/>
      <c r="V75" s="1085"/>
      <c r="W75" s="1085"/>
      <c r="X75" s="1085"/>
      <c r="Y75" s="1083"/>
      <c r="Z75" s="1119"/>
      <c r="AA75" s="1117"/>
      <c r="AB75" s="1125"/>
      <c r="AC75" s="1119"/>
      <c r="AD75" s="1117"/>
      <c r="AE75" s="1125"/>
      <c r="AF75" s="1119"/>
      <c r="AG75" s="1117"/>
      <c r="AH75" s="1125"/>
      <c r="AI75" s="1114"/>
      <c r="AJ75" s="1111"/>
      <c r="AK75" s="1127"/>
      <c r="AL75" s="1114"/>
      <c r="AM75" s="1111"/>
      <c r="AN75" s="1127"/>
      <c r="AO75" s="1130"/>
      <c r="AP75" s="1133"/>
      <c r="AQ75" s="1136"/>
      <c r="AR75" s="1130"/>
      <c r="AS75" s="1133"/>
      <c r="AT75" s="1136"/>
      <c r="AU75" s="1130"/>
      <c r="AV75" s="1133"/>
      <c r="AW75" s="1136"/>
      <c r="AX75" s="1130"/>
      <c r="AY75" s="1133"/>
      <c r="AZ75" s="1136"/>
      <c r="BA75" s="1130"/>
      <c r="BB75" s="1133"/>
      <c r="BC75" s="1136"/>
      <c r="BD75" s="1130"/>
      <c r="BE75" s="1133"/>
      <c r="BF75" s="1136"/>
      <c r="BG75" s="1130"/>
      <c r="BH75" s="1133"/>
      <c r="BI75" s="1136"/>
      <c r="BT75" s="1102"/>
      <c r="BU75" s="1099"/>
    </row>
    <row r="76" spans="1:73" ht="30" hidden="1" customHeight="1">
      <c r="A76" s="1191"/>
      <c r="B76" s="323"/>
      <c r="C76" s="298" t="s">
        <v>83</v>
      </c>
      <c r="D76" s="409" t="s">
        <v>30</v>
      </c>
      <c r="E76" s="299"/>
      <c r="F76" s="287"/>
      <c r="G76" s="287"/>
      <c r="H76" s="287"/>
      <c r="I76" s="638"/>
      <c r="J76" s="301"/>
      <c r="K76" s="282">
        <f t="shared" si="12"/>
        <v>0</v>
      </c>
      <c r="L76" s="365">
        <f t="shared" si="5"/>
        <v>0</v>
      </c>
      <c r="M76" s="285" t="e">
        <f t="shared" si="6"/>
        <v>#DIV/0!</v>
      </c>
      <c r="N76" s="472"/>
      <c r="O76" s="286" t="e">
        <f t="shared" si="9"/>
        <v>#DIV/0!</v>
      </c>
      <c r="P76" s="35"/>
      <c r="Q76" s="36"/>
      <c r="R76" s="40"/>
      <c r="S76" s="42"/>
      <c r="T76" s="1086"/>
      <c r="U76" s="1086"/>
      <c r="V76" s="1086"/>
      <c r="W76" s="1086"/>
      <c r="X76" s="1086"/>
      <c r="Y76" s="1084"/>
      <c r="Z76" s="1120"/>
      <c r="AA76" s="1118"/>
      <c r="AB76" s="1126"/>
      <c r="AC76" s="1120"/>
      <c r="AD76" s="1118"/>
      <c r="AE76" s="1126"/>
      <c r="AF76" s="1120"/>
      <c r="AG76" s="1118"/>
      <c r="AH76" s="1126"/>
      <c r="AI76" s="1116"/>
      <c r="AJ76" s="1113"/>
      <c r="AK76" s="1129"/>
      <c r="AL76" s="1116"/>
      <c r="AM76" s="1113"/>
      <c r="AN76" s="1129"/>
      <c r="AO76" s="1132"/>
      <c r="AP76" s="1135"/>
      <c r="AQ76" s="1138"/>
      <c r="AR76" s="1132"/>
      <c r="AS76" s="1135"/>
      <c r="AT76" s="1138"/>
      <c r="AU76" s="1132"/>
      <c r="AV76" s="1135"/>
      <c r="AW76" s="1138"/>
      <c r="AX76" s="1132"/>
      <c r="AY76" s="1135"/>
      <c r="AZ76" s="1138"/>
      <c r="BA76" s="1132"/>
      <c r="BB76" s="1135"/>
      <c r="BC76" s="1138"/>
      <c r="BD76" s="1132"/>
      <c r="BE76" s="1135"/>
      <c r="BF76" s="1138"/>
      <c r="BG76" s="1132"/>
      <c r="BH76" s="1135"/>
      <c r="BI76" s="1138"/>
      <c r="BT76" s="1102"/>
      <c r="BU76" s="1099"/>
    </row>
    <row r="77" spans="1:73" ht="30" hidden="1" customHeight="1">
      <c r="A77" s="1191"/>
      <c r="B77" s="323"/>
      <c r="C77" s="298" t="s">
        <v>84</v>
      </c>
      <c r="D77" s="409" t="s">
        <v>31</v>
      </c>
      <c r="E77" s="299"/>
      <c r="F77" s="287"/>
      <c r="G77" s="287"/>
      <c r="H77" s="287"/>
      <c r="I77" s="638"/>
      <c r="J77" s="301"/>
      <c r="K77" s="282">
        <f t="shared" si="12"/>
        <v>0</v>
      </c>
      <c r="L77" s="365">
        <f t="shared" si="5"/>
        <v>0</v>
      </c>
      <c r="M77" s="285" t="e">
        <f t="shared" si="6"/>
        <v>#DIV/0!</v>
      </c>
      <c r="N77" s="472"/>
      <c r="O77" s="286" t="e">
        <f t="shared" si="9"/>
        <v>#DIV/0!</v>
      </c>
      <c r="P77" s="35"/>
      <c r="Q77" s="36"/>
      <c r="R77" s="40"/>
      <c r="S77" s="41"/>
      <c r="T77" s="1085"/>
      <c r="U77" s="1085"/>
      <c r="V77" s="1085"/>
      <c r="W77" s="1085"/>
      <c r="X77" s="1085"/>
      <c r="Y77" s="1083"/>
      <c r="Z77" s="1119"/>
      <c r="AA77" s="1117"/>
      <c r="AB77" s="1125"/>
      <c r="AC77" s="1119"/>
      <c r="AD77" s="1117"/>
      <c r="AE77" s="1125"/>
      <c r="AF77" s="1119"/>
      <c r="AG77" s="1117"/>
      <c r="AH77" s="1125"/>
      <c r="AI77" s="1114"/>
      <c r="AJ77" s="1111"/>
      <c r="AK77" s="1127"/>
      <c r="AL77" s="1114"/>
      <c r="AM77" s="1111"/>
      <c r="AN77" s="1127"/>
      <c r="AO77" s="1130"/>
      <c r="AP77" s="1133"/>
      <c r="AQ77" s="1136"/>
      <c r="AR77" s="1130"/>
      <c r="AS77" s="1133"/>
      <c r="AT77" s="1136"/>
      <c r="AU77" s="1130"/>
      <c r="AV77" s="1133"/>
      <c r="AW77" s="1136"/>
      <c r="AX77" s="1130"/>
      <c r="AY77" s="1133"/>
      <c r="AZ77" s="1136"/>
      <c r="BA77" s="1130"/>
      <c r="BB77" s="1133"/>
      <c r="BC77" s="1136"/>
      <c r="BD77" s="1130"/>
      <c r="BE77" s="1133"/>
      <c r="BF77" s="1136"/>
      <c r="BG77" s="1130"/>
      <c r="BH77" s="1133"/>
      <c r="BI77" s="1136"/>
      <c r="BT77" s="1102"/>
      <c r="BU77" s="1099"/>
    </row>
    <row r="78" spans="1:73" ht="30" hidden="1" customHeight="1">
      <c r="A78" s="1191"/>
      <c r="B78" s="323"/>
      <c r="C78" s="298" t="s">
        <v>85</v>
      </c>
      <c r="D78" s="409" t="s">
        <v>32</v>
      </c>
      <c r="E78" s="299"/>
      <c r="F78" s="287"/>
      <c r="G78" s="287"/>
      <c r="H78" s="287"/>
      <c r="I78" s="638"/>
      <c r="J78" s="301"/>
      <c r="K78" s="282">
        <f t="shared" si="12"/>
        <v>0</v>
      </c>
      <c r="L78" s="365">
        <f t="shared" si="5"/>
        <v>0</v>
      </c>
      <c r="M78" s="285" t="e">
        <f t="shared" si="6"/>
        <v>#DIV/0!</v>
      </c>
      <c r="N78" s="472"/>
      <c r="O78" s="286" t="e">
        <f t="shared" si="9"/>
        <v>#DIV/0!</v>
      </c>
      <c r="P78" s="35"/>
      <c r="Q78" s="36"/>
      <c r="R78" s="40"/>
      <c r="S78" s="42"/>
      <c r="T78" s="1086"/>
      <c r="U78" s="1086"/>
      <c r="V78" s="1086"/>
      <c r="W78" s="1086"/>
      <c r="X78" s="1086"/>
      <c r="Y78" s="1084"/>
      <c r="Z78" s="1120"/>
      <c r="AA78" s="1118"/>
      <c r="AB78" s="1126"/>
      <c r="AC78" s="1120"/>
      <c r="AD78" s="1118"/>
      <c r="AE78" s="1126"/>
      <c r="AF78" s="1120"/>
      <c r="AG78" s="1118"/>
      <c r="AH78" s="1126"/>
      <c r="AI78" s="1116"/>
      <c r="AJ78" s="1113"/>
      <c r="AK78" s="1129"/>
      <c r="AL78" s="1116"/>
      <c r="AM78" s="1113"/>
      <c r="AN78" s="1129"/>
      <c r="AO78" s="1132"/>
      <c r="AP78" s="1135"/>
      <c r="AQ78" s="1138"/>
      <c r="AR78" s="1132"/>
      <c r="AS78" s="1135"/>
      <c r="AT78" s="1138"/>
      <c r="AU78" s="1132"/>
      <c r="AV78" s="1135"/>
      <c r="AW78" s="1138"/>
      <c r="AX78" s="1132"/>
      <c r="AY78" s="1135"/>
      <c r="AZ78" s="1138"/>
      <c r="BA78" s="1132"/>
      <c r="BB78" s="1135"/>
      <c r="BC78" s="1138"/>
      <c r="BD78" s="1132"/>
      <c r="BE78" s="1135"/>
      <c r="BF78" s="1138"/>
      <c r="BG78" s="1132"/>
      <c r="BH78" s="1135"/>
      <c r="BI78" s="1138"/>
      <c r="BT78" s="1102"/>
      <c r="BU78" s="1099"/>
    </row>
    <row r="79" spans="1:73" ht="30" hidden="1" customHeight="1">
      <c r="A79" s="1191"/>
      <c r="B79" s="323"/>
      <c r="C79" s="280" t="s">
        <v>65</v>
      </c>
      <c r="D79" s="409" t="s">
        <v>109</v>
      </c>
      <c r="E79" s="299"/>
      <c r="F79" s="287"/>
      <c r="G79" s="287"/>
      <c r="H79" s="287"/>
      <c r="I79" s="638"/>
      <c r="J79" s="301"/>
      <c r="K79" s="282">
        <f t="shared" si="12"/>
        <v>0</v>
      </c>
      <c r="L79" s="365">
        <f t="shared" ref="L79:L142" si="13">((H79*E79)/3600)</f>
        <v>0</v>
      </c>
      <c r="M79" s="285" t="e">
        <f t="shared" si="6"/>
        <v>#DIV/0!</v>
      </c>
      <c r="N79" s="472"/>
      <c r="O79" s="286" t="e">
        <f t="shared" si="9"/>
        <v>#DIV/0!</v>
      </c>
      <c r="P79" s="35"/>
      <c r="Q79" s="36"/>
      <c r="R79" s="40"/>
      <c r="S79" s="40"/>
      <c r="T79" s="39"/>
      <c r="U79" s="39"/>
      <c r="V79" s="39"/>
      <c r="W79" s="39"/>
      <c r="X79" s="39"/>
      <c r="Y79" s="40"/>
      <c r="Z79" s="480"/>
      <c r="AA79" s="481"/>
      <c r="AB79" s="520"/>
      <c r="AC79" s="480"/>
      <c r="AD79" s="481"/>
      <c r="AE79" s="520"/>
      <c r="AF79" s="480"/>
      <c r="AG79" s="481"/>
      <c r="AH79" s="520"/>
      <c r="AI79" s="507"/>
      <c r="AJ79" s="509"/>
      <c r="AK79" s="511"/>
      <c r="AL79" s="507"/>
      <c r="AM79" s="509"/>
      <c r="AN79" s="511"/>
      <c r="AO79" s="513"/>
      <c r="AP79" s="515"/>
      <c r="AQ79" s="517"/>
      <c r="AR79" s="513"/>
      <c r="AS79" s="515"/>
      <c r="AT79" s="517"/>
      <c r="AU79" s="513"/>
      <c r="AV79" s="515"/>
      <c r="AW79" s="517"/>
      <c r="AX79" s="513"/>
      <c r="AY79" s="515"/>
      <c r="AZ79" s="517"/>
      <c r="BA79" s="513"/>
      <c r="BB79" s="515"/>
      <c r="BC79" s="517"/>
      <c r="BD79" s="513"/>
      <c r="BE79" s="515"/>
      <c r="BF79" s="517"/>
      <c r="BG79" s="513"/>
      <c r="BH79" s="515"/>
      <c r="BI79" s="517"/>
      <c r="BT79" s="1102"/>
      <c r="BU79" s="1099"/>
    </row>
    <row r="80" spans="1:73" ht="30" hidden="1" customHeight="1">
      <c r="A80" s="1191"/>
      <c r="B80" s="323"/>
      <c r="C80" s="280" t="s">
        <v>66</v>
      </c>
      <c r="D80" s="409" t="s">
        <v>20</v>
      </c>
      <c r="E80" s="299"/>
      <c r="F80" s="287"/>
      <c r="G80" s="287"/>
      <c r="H80" s="287"/>
      <c r="I80" s="638"/>
      <c r="J80" s="301"/>
      <c r="K80" s="282">
        <f t="shared" si="12"/>
        <v>0</v>
      </c>
      <c r="L80" s="365">
        <f t="shared" si="13"/>
        <v>0</v>
      </c>
      <c r="M80" s="285" t="e">
        <f t="shared" si="6"/>
        <v>#DIV/0!</v>
      </c>
      <c r="N80" s="472"/>
      <c r="O80" s="286" t="e">
        <f t="shared" si="9"/>
        <v>#DIV/0!</v>
      </c>
      <c r="P80" s="35"/>
      <c r="Q80" s="36"/>
      <c r="R80" s="40"/>
      <c r="S80" s="40"/>
      <c r="T80" s="39"/>
      <c r="U80" s="39"/>
      <c r="V80" s="39"/>
      <c r="W80" s="39"/>
      <c r="X80" s="39"/>
      <c r="Y80" s="40"/>
      <c r="Z80" s="480"/>
      <c r="AA80" s="481"/>
      <c r="AB80" s="520"/>
      <c r="AC80" s="480"/>
      <c r="AD80" s="481"/>
      <c r="AE80" s="520"/>
      <c r="AF80" s="480"/>
      <c r="AG80" s="481"/>
      <c r="AH80" s="520"/>
      <c r="AI80" s="507"/>
      <c r="AJ80" s="509"/>
      <c r="AK80" s="511"/>
      <c r="AL80" s="507"/>
      <c r="AM80" s="509"/>
      <c r="AN80" s="511"/>
      <c r="AO80" s="513"/>
      <c r="AP80" s="515"/>
      <c r="AQ80" s="517"/>
      <c r="AR80" s="513"/>
      <c r="AS80" s="515"/>
      <c r="AT80" s="517"/>
      <c r="AU80" s="513"/>
      <c r="AV80" s="515"/>
      <c r="AW80" s="517"/>
      <c r="AX80" s="513"/>
      <c r="AY80" s="515"/>
      <c r="AZ80" s="517"/>
      <c r="BA80" s="513"/>
      <c r="BB80" s="515"/>
      <c r="BC80" s="517"/>
      <c r="BD80" s="513"/>
      <c r="BE80" s="515"/>
      <c r="BF80" s="517"/>
      <c r="BG80" s="513"/>
      <c r="BH80" s="515"/>
      <c r="BI80" s="517"/>
      <c r="BT80" s="1102"/>
      <c r="BU80" s="1099"/>
    </row>
    <row r="81" spans="1:73" ht="34.5" customHeight="1" thickBot="1">
      <c r="A81" s="1191"/>
      <c r="B81" s="1194" t="s">
        <v>339</v>
      </c>
      <c r="C81" s="298" t="s">
        <v>334</v>
      </c>
      <c r="D81" s="409" t="s">
        <v>244</v>
      </c>
      <c r="E81" s="282">
        <v>57.7</v>
      </c>
      <c r="F81" s="282">
        <f t="shared" ref="F81:F97" si="14">3600/E81</f>
        <v>62.391681109185441</v>
      </c>
      <c r="G81" s="287"/>
      <c r="H81" s="281">
        <v>0</v>
      </c>
      <c r="I81" s="459">
        <v>0</v>
      </c>
      <c r="J81" s="1218">
        <v>720</v>
      </c>
      <c r="K81" s="282">
        <v>1</v>
      </c>
      <c r="L81" s="365">
        <f t="shared" si="13"/>
        <v>0</v>
      </c>
      <c r="M81" s="285" t="e">
        <f t="shared" si="6"/>
        <v>#DIV/0!</v>
      </c>
      <c r="N81" s="472" t="e">
        <f>2.5*M81</f>
        <v>#DIV/0!</v>
      </c>
      <c r="O81" s="286" t="e">
        <f>+$O$5+M81</f>
        <v>#DIV/0!</v>
      </c>
      <c r="P81" s="57"/>
      <c r="Q81" s="58"/>
      <c r="R81" s="59"/>
      <c r="S81" s="59"/>
      <c r="T81" s="66"/>
      <c r="U81" s="66"/>
      <c r="V81" s="66"/>
      <c r="W81" s="66"/>
      <c r="X81" s="66"/>
      <c r="Y81" s="59"/>
      <c r="Z81" s="532"/>
      <c r="AA81" s="531"/>
      <c r="AB81" s="527"/>
      <c r="AC81" s="525"/>
      <c r="AD81" s="526"/>
      <c r="AE81" s="527"/>
      <c r="AF81" s="525"/>
      <c r="AG81" s="531"/>
      <c r="AH81" s="527"/>
      <c r="AI81" s="525"/>
      <c r="AJ81" s="526"/>
      <c r="AK81" s="527"/>
      <c r="AL81" s="84"/>
      <c r="AM81" s="486"/>
      <c r="AN81" s="85"/>
      <c r="AO81" s="86"/>
      <c r="AP81" s="524"/>
      <c r="AQ81" s="87"/>
      <c r="AR81" s="528"/>
      <c r="AS81" s="530"/>
      <c r="AT81" s="529"/>
      <c r="AU81" s="528"/>
      <c r="AV81" s="530"/>
      <c r="AW81" s="529"/>
      <c r="AX81" s="528"/>
      <c r="AY81" s="530"/>
      <c r="AZ81" s="529"/>
      <c r="BA81" s="528"/>
      <c r="BB81" s="530"/>
      <c r="BC81" s="529"/>
      <c r="BD81" s="528"/>
      <c r="BE81" s="530"/>
      <c r="BF81" s="529"/>
      <c r="BG81" s="528"/>
      <c r="BH81" s="530"/>
      <c r="BI81" s="529"/>
      <c r="BT81" s="1102"/>
      <c r="BU81" s="1099"/>
    </row>
    <row r="82" spans="1:73" ht="42" customHeight="1" thickBot="1">
      <c r="A82" s="1191"/>
      <c r="B82" s="1217"/>
      <c r="C82" s="280" t="s">
        <v>333</v>
      </c>
      <c r="D82" s="414" t="s">
        <v>241</v>
      </c>
      <c r="E82" s="281">
        <v>57.7</v>
      </c>
      <c r="F82" s="282">
        <f t="shared" si="14"/>
        <v>62.391681109185441</v>
      </c>
      <c r="G82" s="287"/>
      <c r="H82" s="281">
        <v>450</v>
      </c>
      <c r="I82" s="459">
        <v>0</v>
      </c>
      <c r="J82" s="1218"/>
      <c r="K82" s="282">
        <v>1</v>
      </c>
      <c r="L82" s="365">
        <f t="shared" si="13"/>
        <v>7.2125000000000004</v>
      </c>
      <c r="M82" s="285">
        <f t="shared" si="6"/>
        <v>0</v>
      </c>
      <c r="N82" s="472">
        <f>2.5*M82</f>
        <v>0</v>
      </c>
      <c r="O82" s="286">
        <f>+$O$5+M82</f>
        <v>41578</v>
      </c>
      <c r="P82" s="57"/>
      <c r="Q82" s="58"/>
      <c r="R82" s="59"/>
      <c r="S82" s="59"/>
      <c r="T82" s="66"/>
      <c r="U82" s="66"/>
      <c r="V82" s="66"/>
      <c r="W82" s="66"/>
      <c r="X82" s="66"/>
      <c r="Y82" s="59"/>
      <c r="Z82" s="532"/>
      <c r="AA82" s="531"/>
      <c r="AB82" s="527"/>
      <c r="AC82" s="525"/>
      <c r="AD82" s="526"/>
      <c r="AE82" s="527"/>
      <c r="AF82" s="525"/>
      <c r="AG82" s="531"/>
      <c r="AH82" s="527"/>
      <c r="AI82" s="525"/>
      <c r="AJ82" s="526"/>
      <c r="AK82" s="527"/>
      <c r="AL82" s="84"/>
      <c r="AM82" s="486"/>
      <c r="AN82" s="85"/>
      <c r="AO82" s="86"/>
      <c r="AP82" s="524"/>
      <c r="AQ82" s="87"/>
      <c r="AR82" s="528"/>
      <c r="AS82" s="530"/>
      <c r="AT82" s="529"/>
      <c r="AU82" s="528"/>
      <c r="AV82" s="530"/>
      <c r="AW82" s="529"/>
      <c r="AX82" s="528"/>
      <c r="AY82" s="530"/>
      <c r="AZ82" s="529"/>
      <c r="BA82" s="528"/>
      <c r="BB82" s="530"/>
      <c r="BC82" s="529"/>
      <c r="BD82" s="528"/>
      <c r="BE82" s="530"/>
      <c r="BF82" s="529"/>
      <c r="BG82" s="528"/>
      <c r="BH82" s="530"/>
      <c r="BI82" s="529"/>
      <c r="BT82" s="1102"/>
      <c r="BU82" s="1099"/>
    </row>
    <row r="83" spans="1:73" ht="35.25" customHeight="1" thickBot="1">
      <c r="A83" s="1191"/>
      <c r="B83" s="1217"/>
      <c r="C83" s="312" t="s">
        <v>335</v>
      </c>
      <c r="D83" s="415" t="s">
        <v>245</v>
      </c>
      <c r="E83" s="325">
        <v>57.7</v>
      </c>
      <c r="F83" s="326">
        <f t="shared" si="14"/>
        <v>62.391681109185441</v>
      </c>
      <c r="G83" s="313"/>
      <c r="H83" s="281">
        <v>0</v>
      </c>
      <c r="I83" s="462">
        <v>0</v>
      </c>
      <c r="J83" s="1219"/>
      <c r="K83" s="326">
        <v>1</v>
      </c>
      <c r="L83" s="365">
        <f t="shared" si="13"/>
        <v>0</v>
      </c>
      <c r="M83" s="317" t="e">
        <f t="shared" si="6"/>
        <v>#DIV/0!</v>
      </c>
      <c r="N83" s="472" t="e">
        <f>2.5*M83</f>
        <v>#DIV/0!</v>
      </c>
      <c r="O83" s="328" t="e">
        <f>+$O$5+M83</f>
        <v>#DIV/0!</v>
      </c>
      <c r="P83" s="57"/>
      <c r="Q83" s="58"/>
      <c r="R83" s="59"/>
      <c r="S83" s="59"/>
      <c r="T83" s="66"/>
      <c r="U83" s="66"/>
      <c r="V83" s="66"/>
      <c r="W83" s="66"/>
      <c r="X83" s="66"/>
      <c r="Y83" s="59"/>
      <c r="Z83" s="532"/>
      <c r="AA83" s="531"/>
      <c r="AB83" s="527"/>
      <c r="AC83" s="525"/>
      <c r="AD83" s="526"/>
      <c r="AE83" s="527"/>
      <c r="AF83" s="525"/>
      <c r="AG83" s="531"/>
      <c r="AH83" s="527"/>
      <c r="AI83" s="525"/>
      <c r="AJ83" s="526"/>
      <c r="AK83" s="527"/>
      <c r="AL83" s="84"/>
      <c r="AM83" s="486"/>
      <c r="AN83" s="85"/>
      <c r="AO83" s="86"/>
      <c r="AP83" s="524"/>
      <c r="AQ83" s="87"/>
      <c r="AR83" s="528"/>
      <c r="AS83" s="530"/>
      <c r="AT83" s="529"/>
      <c r="AU83" s="528"/>
      <c r="AV83" s="530"/>
      <c r="AW83" s="529"/>
      <c r="AX83" s="528"/>
      <c r="AY83" s="530"/>
      <c r="AZ83" s="529"/>
      <c r="BA83" s="528"/>
      <c r="BB83" s="530"/>
      <c r="BC83" s="529"/>
      <c r="BD83" s="528"/>
      <c r="BE83" s="530"/>
      <c r="BF83" s="529"/>
      <c r="BG83" s="528"/>
      <c r="BH83" s="530"/>
      <c r="BI83" s="529"/>
      <c r="BT83" s="1102"/>
      <c r="BU83" s="1099"/>
    </row>
    <row r="84" spans="1:73" ht="35.25" customHeight="1" thickBot="1">
      <c r="A84" s="1192"/>
      <c r="B84" s="329" t="s">
        <v>340</v>
      </c>
      <c r="C84" s="290" t="s">
        <v>331</v>
      </c>
      <c r="D84" s="410" t="s">
        <v>239</v>
      </c>
      <c r="E84" s="320">
        <v>34.5</v>
      </c>
      <c r="F84" s="320">
        <f t="shared" si="14"/>
        <v>104.34782608695652</v>
      </c>
      <c r="G84" s="291"/>
      <c r="H84" s="282">
        <f>BY16</f>
        <v>450</v>
      </c>
      <c r="I84" s="460">
        <v>0</v>
      </c>
      <c r="J84" s="294">
        <v>1800</v>
      </c>
      <c r="K84" s="292">
        <v>1</v>
      </c>
      <c r="L84" s="365">
        <f t="shared" si="13"/>
        <v>4.3125</v>
      </c>
      <c r="M84" s="295">
        <f t="shared" si="6"/>
        <v>0</v>
      </c>
      <c r="N84" s="472">
        <f>2.5*M84</f>
        <v>0</v>
      </c>
      <c r="O84" s="296">
        <f t="shared" si="9"/>
        <v>41578</v>
      </c>
      <c r="P84" s="57"/>
      <c r="Q84" s="58"/>
      <c r="R84" s="59"/>
      <c r="S84" s="59"/>
      <c r="T84" s="66"/>
      <c r="U84" s="66"/>
      <c r="V84" s="66"/>
      <c r="W84" s="66"/>
      <c r="X84" s="66"/>
      <c r="Y84" s="59"/>
      <c r="Z84" s="532"/>
      <c r="AA84" s="531"/>
      <c r="AB84" s="527"/>
      <c r="AC84" s="525"/>
      <c r="AD84" s="526"/>
      <c r="AE84" s="527"/>
      <c r="AF84" s="525"/>
      <c r="AG84" s="531"/>
      <c r="AH84" s="527"/>
      <c r="AI84" s="525"/>
      <c r="AJ84" s="526"/>
      <c r="AK84" s="527"/>
      <c r="AL84" s="84"/>
      <c r="AM84" s="486"/>
      <c r="AN84" s="85"/>
      <c r="AO84" s="86"/>
      <c r="AP84" s="524"/>
      <c r="AQ84" s="87"/>
      <c r="AR84" s="528"/>
      <c r="AS84" s="530"/>
      <c r="AT84" s="529"/>
      <c r="AU84" s="528"/>
      <c r="AV84" s="530"/>
      <c r="AW84" s="529"/>
      <c r="AX84" s="528"/>
      <c r="AY84" s="530"/>
      <c r="AZ84" s="529"/>
      <c r="BA84" s="528"/>
      <c r="BB84" s="530"/>
      <c r="BC84" s="529"/>
      <c r="BD84" s="528"/>
      <c r="BE84" s="530"/>
      <c r="BF84" s="529"/>
      <c r="BG84" s="528"/>
      <c r="BH84" s="530"/>
      <c r="BI84" s="529"/>
      <c r="BT84" s="1103"/>
      <c r="BU84" s="1100"/>
    </row>
    <row r="85" spans="1:73" ht="33" customHeight="1" thickBot="1">
      <c r="A85" s="1214" t="s">
        <v>236</v>
      </c>
      <c r="B85" s="544" t="s">
        <v>277</v>
      </c>
      <c r="C85" s="391" t="s">
        <v>87</v>
      </c>
      <c r="D85" s="416" t="s">
        <v>382</v>
      </c>
      <c r="E85" s="392">
        <v>64.7</v>
      </c>
      <c r="F85" s="393">
        <f t="shared" si="14"/>
        <v>55.641421947449764</v>
      </c>
      <c r="G85" s="393"/>
      <c r="H85" s="369">
        <f>BY17</f>
        <v>300</v>
      </c>
      <c r="I85" s="639">
        <v>0</v>
      </c>
      <c r="J85" s="395">
        <v>770</v>
      </c>
      <c r="K85" s="393">
        <v>1</v>
      </c>
      <c r="L85" s="365">
        <f t="shared" si="13"/>
        <v>5.3916666666666666</v>
      </c>
      <c r="M85" s="396">
        <f t="shared" si="6"/>
        <v>0</v>
      </c>
      <c r="N85" s="477">
        <f>M85*1.5</f>
        <v>0</v>
      </c>
      <c r="O85" s="397">
        <f t="shared" si="9"/>
        <v>41578</v>
      </c>
      <c r="P85" s="47"/>
      <c r="Q85" s="48"/>
      <c r="R85" s="67">
        <v>1</v>
      </c>
      <c r="S85" s="67"/>
      <c r="T85" s="68">
        <v>1</v>
      </c>
      <c r="U85" s="68">
        <v>1</v>
      </c>
      <c r="V85" s="50"/>
      <c r="W85" s="50"/>
      <c r="X85" s="50"/>
      <c r="Y85" s="49"/>
      <c r="Z85" s="545">
        <v>13</v>
      </c>
      <c r="AA85" s="6"/>
      <c r="AB85" s="7"/>
      <c r="AC85" s="5"/>
      <c r="AD85" s="546"/>
      <c r="AE85" s="547"/>
      <c r="AF85" s="545"/>
      <c r="AG85" s="546">
        <v>20</v>
      </c>
      <c r="AH85" s="7"/>
      <c r="AI85" s="5"/>
      <c r="AJ85" s="6"/>
      <c r="AK85" s="7"/>
      <c r="AL85" s="515"/>
      <c r="AM85" s="515"/>
      <c r="AN85" s="515"/>
      <c r="AO85" s="515"/>
      <c r="AP85" s="515"/>
      <c r="AQ85" s="515"/>
      <c r="AR85" s="30"/>
      <c r="AS85" s="31"/>
      <c r="AT85" s="32"/>
      <c r="AU85" s="30"/>
      <c r="AV85" s="31"/>
      <c r="AW85" s="32"/>
      <c r="AX85" s="30"/>
      <c r="AY85" s="31"/>
      <c r="AZ85" s="32"/>
      <c r="BA85" s="30"/>
      <c r="BB85" s="31"/>
      <c r="BC85" s="32"/>
      <c r="BD85" s="30"/>
      <c r="BE85" s="31"/>
      <c r="BF85" s="32"/>
      <c r="BG85" s="30"/>
      <c r="BH85" s="31"/>
      <c r="BI85" s="32"/>
      <c r="BT85" s="1101">
        <v>3</v>
      </c>
      <c r="BU85" s="1098">
        <f>L85+L86+L98+L99+L100+BT85</f>
        <v>20.766666666666666</v>
      </c>
    </row>
    <row r="86" spans="1:73" ht="36" customHeight="1" thickBot="1">
      <c r="A86" s="1214"/>
      <c r="B86" s="543" t="s">
        <v>279</v>
      </c>
      <c r="C86" s="367" t="s">
        <v>89</v>
      </c>
      <c r="D86" s="406" t="s">
        <v>366</v>
      </c>
      <c r="E86" s="369">
        <v>67.5</v>
      </c>
      <c r="F86" s="369">
        <f t="shared" si="14"/>
        <v>53.333333333333336</v>
      </c>
      <c r="G86" s="369">
        <v>1</v>
      </c>
      <c r="H86" s="369">
        <f>BY18</f>
        <v>200</v>
      </c>
      <c r="I86" s="459">
        <v>0</v>
      </c>
      <c r="J86" s="395">
        <v>700</v>
      </c>
      <c r="K86" s="369">
        <v>1</v>
      </c>
      <c r="L86" s="365">
        <f t="shared" si="13"/>
        <v>3.75</v>
      </c>
      <c r="M86" s="372">
        <f t="shared" si="6"/>
        <v>0</v>
      </c>
      <c r="N86" s="477">
        <f>M86*1.5</f>
        <v>0</v>
      </c>
      <c r="O86" s="373">
        <f t="shared" si="9"/>
        <v>41578</v>
      </c>
      <c r="P86" s="35"/>
      <c r="Q86" s="36"/>
      <c r="R86" s="40"/>
      <c r="S86" s="40"/>
      <c r="T86" s="39"/>
      <c r="U86" s="39"/>
      <c r="V86" s="64">
        <v>1</v>
      </c>
      <c r="W86" s="64">
        <v>1</v>
      </c>
      <c r="X86" s="39"/>
      <c r="Y86" s="40"/>
      <c r="Z86" s="480"/>
      <c r="AA86" s="481"/>
      <c r="AB86" s="520"/>
      <c r="AC86" s="480"/>
      <c r="AD86" s="481"/>
      <c r="AE86" s="520"/>
      <c r="AF86" s="480"/>
      <c r="AG86" s="481"/>
      <c r="AH86" s="520"/>
      <c r="AI86" s="507"/>
      <c r="AJ86" s="509"/>
      <c r="AK86" s="511">
        <v>3</v>
      </c>
      <c r="AL86" s="515"/>
      <c r="AM86" s="515"/>
      <c r="AN86" s="515"/>
      <c r="AO86" s="515"/>
      <c r="AP86" s="515"/>
      <c r="AQ86" s="515"/>
      <c r="AR86" s="513"/>
      <c r="AS86" s="515"/>
      <c r="AT86" s="517"/>
      <c r="AU86" s="513"/>
      <c r="AV86" s="515"/>
      <c r="AW86" s="517"/>
      <c r="AX86" s="513"/>
      <c r="AY86" s="515"/>
      <c r="AZ86" s="517"/>
      <c r="BA86" s="513"/>
      <c r="BB86" s="515"/>
      <c r="BC86" s="517"/>
      <c r="BD86" s="513"/>
      <c r="BE86" s="515"/>
      <c r="BF86" s="517"/>
      <c r="BG86" s="513"/>
      <c r="BH86" s="515"/>
      <c r="BI86" s="517"/>
      <c r="BT86" s="1102"/>
      <c r="BU86" s="1099"/>
    </row>
    <row r="87" spans="1:73" ht="55.5" hidden="1" customHeight="1">
      <c r="A87" s="1214"/>
      <c r="B87" s="543"/>
      <c r="C87" s="384" t="s">
        <v>86</v>
      </c>
      <c r="D87" s="406" t="s">
        <v>111</v>
      </c>
      <c r="E87" s="386"/>
      <c r="F87" s="369" t="e">
        <f t="shared" si="14"/>
        <v>#DIV/0!</v>
      </c>
      <c r="G87" s="374"/>
      <c r="H87" s="374"/>
      <c r="I87" s="459"/>
      <c r="J87" s="388"/>
      <c r="K87" s="369">
        <f t="shared" ref="K87:K97" si="15">I87-H87</f>
        <v>0</v>
      </c>
      <c r="L87" s="365">
        <f t="shared" si="13"/>
        <v>0</v>
      </c>
      <c r="M87" s="372" t="e">
        <f t="shared" si="6"/>
        <v>#DIV/0!</v>
      </c>
      <c r="N87" s="469"/>
      <c r="O87" s="373" t="e">
        <f t="shared" si="9"/>
        <v>#DIV/0!</v>
      </c>
      <c r="P87" s="35"/>
      <c r="Q87" s="36"/>
      <c r="R87" s="40"/>
      <c r="S87" s="40"/>
      <c r="T87" s="39"/>
      <c r="U87" s="39"/>
      <c r="V87" s="64"/>
      <c r="W87" s="64"/>
      <c r="X87" s="39"/>
      <c r="Y87" s="40"/>
      <c r="Z87" s="480"/>
      <c r="AA87" s="481"/>
      <c r="AB87" s="520"/>
      <c r="AC87" s="480"/>
      <c r="AD87" s="481"/>
      <c r="AE87" s="520" t="s">
        <v>146</v>
      </c>
      <c r="AF87" s="503"/>
      <c r="AG87" s="481"/>
      <c r="AH87" s="520"/>
      <c r="AI87" s="507"/>
      <c r="AJ87" s="509"/>
      <c r="AK87" s="511"/>
      <c r="AL87" s="515"/>
      <c r="AM87" s="515"/>
      <c r="AN87" s="515"/>
      <c r="AO87" s="515"/>
      <c r="AP87" s="515"/>
      <c r="AQ87" s="515"/>
      <c r="AR87" s="513"/>
      <c r="AS87" s="515"/>
      <c r="AT87" s="517"/>
      <c r="AU87" s="513"/>
      <c r="AV87" s="515"/>
      <c r="AW87" s="517"/>
      <c r="AX87" s="513"/>
      <c r="AY87" s="515"/>
      <c r="AZ87" s="517"/>
      <c r="BA87" s="513"/>
      <c r="BB87" s="515"/>
      <c r="BC87" s="517"/>
      <c r="BD87" s="513"/>
      <c r="BE87" s="515"/>
      <c r="BF87" s="517"/>
      <c r="BG87" s="513"/>
      <c r="BH87" s="515"/>
      <c r="BI87" s="517"/>
      <c r="BT87" s="1102"/>
      <c r="BU87" s="1099"/>
    </row>
    <row r="88" spans="1:73" ht="30" hidden="1" customHeight="1">
      <c r="A88" s="1214"/>
      <c r="B88" s="543"/>
      <c r="C88" s="385" t="s">
        <v>92</v>
      </c>
      <c r="D88" s="406" t="s">
        <v>35</v>
      </c>
      <c r="E88" s="386"/>
      <c r="F88" s="369" t="e">
        <f t="shared" si="14"/>
        <v>#DIV/0!</v>
      </c>
      <c r="G88" s="374"/>
      <c r="H88" s="374"/>
      <c r="I88" s="459"/>
      <c r="J88" s="388"/>
      <c r="K88" s="369">
        <f t="shared" si="15"/>
        <v>0</v>
      </c>
      <c r="L88" s="365">
        <f t="shared" si="13"/>
        <v>0</v>
      </c>
      <c r="M88" s="372" t="e">
        <f t="shared" si="6"/>
        <v>#DIV/0!</v>
      </c>
      <c r="N88" s="469"/>
      <c r="O88" s="373" t="e">
        <f t="shared" si="9"/>
        <v>#DIV/0!</v>
      </c>
      <c r="P88" s="35"/>
      <c r="Q88" s="36"/>
      <c r="R88" s="40"/>
      <c r="S88" s="40"/>
      <c r="T88" s="39"/>
      <c r="U88" s="39"/>
      <c r="V88" s="64"/>
      <c r="W88" s="64"/>
      <c r="X88" s="39"/>
      <c r="Y88" s="40"/>
      <c r="Z88" s="1119"/>
      <c r="AA88" s="1117"/>
      <c r="AB88" s="1125"/>
      <c r="AC88" s="1119"/>
      <c r="AD88" s="1117"/>
      <c r="AE88" s="1125"/>
      <c r="AF88" s="1119"/>
      <c r="AG88" s="1117"/>
      <c r="AH88" s="1125"/>
      <c r="AI88" s="1114"/>
      <c r="AJ88" s="1111"/>
      <c r="AK88" s="1127"/>
      <c r="AL88" s="515"/>
      <c r="AM88" s="515"/>
      <c r="AN88" s="515"/>
      <c r="AO88" s="515"/>
      <c r="AP88" s="515"/>
      <c r="AQ88" s="515"/>
      <c r="AR88" s="1130"/>
      <c r="AS88" s="1133"/>
      <c r="AT88" s="1136"/>
      <c r="AU88" s="1130"/>
      <c r="AV88" s="1133"/>
      <c r="AW88" s="1136"/>
      <c r="AX88" s="1130"/>
      <c r="AY88" s="1133"/>
      <c r="AZ88" s="1136"/>
      <c r="BA88" s="1130"/>
      <c r="BB88" s="1133"/>
      <c r="BC88" s="1136"/>
      <c r="BD88" s="1130"/>
      <c r="BE88" s="1133"/>
      <c r="BF88" s="1136"/>
      <c r="BG88" s="1130"/>
      <c r="BH88" s="1133"/>
      <c r="BI88" s="1136"/>
      <c r="BT88" s="1102"/>
      <c r="BU88" s="1099"/>
    </row>
    <row r="89" spans="1:73" ht="30" hidden="1" customHeight="1">
      <c r="A89" s="1214"/>
      <c r="B89" s="543"/>
      <c r="C89" s="385" t="s">
        <v>94</v>
      </c>
      <c r="D89" s="406" t="s">
        <v>37</v>
      </c>
      <c r="E89" s="386"/>
      <c r="F89" s="369" t="e">
        <f t="shared" si="14"/>
        <v>#DIV/0!</v>
      </c>
      <c r="G89" s="374"/>
      <c r="H89" s="374"/>
      <c r="I89" s="459"/>
      <c r="J89" s="388"/>
      <c r="K89" s="369">
        <f t="shared" si="15"/>
        <v>0</v>
      </c>
      <c r="L89" s="365">
        <f t="shared" si="13"/>
        <v>0</v>
      </c>
      <c r="M89" s="372" t="e">
        <f t="shared" si="6"/>
        <v>#DIV/0!</v>
      </c>
      <c r="N89" s="469"/>
      <c r="O89" s="373" t="e">
        <f t="shared" si="9"/>
        <v>#DIV/0!</v>
      </c>
      <c r="P89" s="35"/>
      <c r="Q89" s="36"/>
      <c r="R89" s="40"/>
      <c r="S89" s="40"/>
      <c r="T89" s="39"/>
      <c r="U89" s="39"/>
      <c r="V89" s="64"/>
      <c r="W89" s="64"/>
      <c r="X89" s="39"/>
      <c r="Y89" s="40"/>
      <c r="Z89" s="1120"/>
      <c r="AA89" s="1118"/>
      <c r="AB89" s="1126"/>
      <c r="AC89" s="1120"/>
      <c r="AD89" s="1118"/>
      <c r="AE89" s="1126"/>
      <c r="AF89" s="1120"/>
      <c r="AG89" s="1118"/>
      <c r="AH89" s="1126"/>
      <c r="AI89" s="1116"/>
      <c r="AJ89" s="1113"/>
      <c r="AK89" s="1129"/>
      <c r="AL89" s="515"/>
      <c r="AM89" s="515"/>
      <c r="AN89" s="515"/>
      <c r="AO89" s="515"/>
      <c r="AP89" s="515"/>
      <c r="AQ89" s="515"/>
      <c r="AR89" s="1132"/>
      <c r="AS89" s="1135"/>
      <c r="AT89" s="1138"/>
      <c r="AU89" s="1132"/>
      <c r="AV89" s="1135"/>
      <c r="AW89" s="1138"/>
      <c r="AX89" s="1132"/>
      <c r="AY89" s="1135"/>
      <c r="AZ89" s="1138"/>
      <c r="BA89" s="1132"/>
      <c r="BB89" s="1135"/>
      <c r="BC89" s="1138"/>
      <c r="BD89" s="1132"/>
      <c r="BE89" s="1135"/>
      <c r="BF89" s="1138"/>
      <c r="BG89" s="1132"/>
      <c r="BH89" s="1135"/>
      <c r="BI89" s="1138"/>
      <c r="BT89" s="1102"/>
      <c r="BU89" s="1099"/>
    </row>
    <row r="90" spans="1:73" ht="30" hidden="1" customHeight="1">
      <c r="A90" s="1214"/>
      <c r="B90" s="543"/>
      <c r="C90" s="385" t="s">
        <v>93</v>
      </c>
      <c r="D90" s="406" t="s">
        <v>36</v>
      </c>
      <c r="E90" s="386"/>
      <c r="F90" s="369" t="e">
        <f t="shared" si="14"/>
        <v>#DIV/0!</v>
      </c>
      <c r="G90" s="374"/>
      <c r="H90" s="374"/>
      <c r="I90" s="459"/>
      <c r="J90" s="388"/>
      <c r="K90" s="369">
        <f t="shared" si="15"/>
        <v>0</v>
      </c>
      <c r="L90" s="365">
        <f t="shared" si="13"/>
        <v>0</v>
      </c>
      <c r="M90" s="372" t="e">
        <f t="shared" si="6"/>
        <v>#DIV/0!</v>
      </c>
      <c r="N90" s="469"/>
      <c r="O90" s="373" t="e">
        <f t="shared" si="9"/>
        <v>#DIV/0!</v>
      </c>
      <c r="P90" s="35"/>
      <c r="Q90" s="36"/>
      <c r="R90" s="40"/>
      <c r="S90" s="40"/>
      <c r="T90" s="39"/>
      <c r="U90" s="39"/>
      <c r="V90" s="64"/>
      <c r="W90" s="64"/>
      <c r="X90" s="39"/>
      <c r="Y90" s="40"/>
      <c r="Z90" s="503">
        <v>6</v>
      </c>
      <c r="AA90" s="481"/>
      <c r="AB90" s="520"/>
      <c r="AC90" s="480"/>
      <c r="AD90" s="481"/>
      <c r="AE90" s="520"/>
      <c r="AF90" s="480"/>
      <c r="AG90" s="481"/>
      <c r="AH90" s="520"/>
      <c r="AI90" s="507"/>
      <c r="AJ90" s="509"/>
      <c r="AK90" s="511"/>
      <c r="AL90" s="515"/>
      <c r="AM90" s="515"/>
      <c r="AN90" s="515"/>
      <c r="AO90" s="515"/>
      <c r="AP90" s="515"/>
      <c r="AQ90" s="515"/>
      <c r="AR90" s="513"/>
      <c r="AS90" s="515"/>
      <c r="AT90" s="517"/>
      <c r="AU90" s="513"/>
      <c r="AV90" s="515"/>
      <c r="AW90" s="517"/>
      <c r="AX90" s="513"/>
      <c r="AY90" s="515"/>
      <c r="AZ90" s="517"/>
      <c r="BA90" s="513"/>
      <c r="BB90" s="515"/>
      <c r="BC90" s="517"/>
      <c r="BD90" s="513"/>
      <c r="BE90" s="515"/>
      <c r="BF90" s="517"/>
      <c r="BG90" s="513"/>
      <c r="BH90" s="515"/>
      <c r="BI90" s="517"/>
      <c r="BT90" s="1102"/>
      <c r="BU90" s="1099"/>
    </row>
    <row r="91" spans="1:73" ht="30" hidden="1" customHeight="1">
      <c r="A91" s="1214"/>
      <c r="B91" s="543"/>
      <c r="C91" s="385" t="s">
        <v>95</v>
      </c>
      <c r="D91" s="406" t="s">
        <v>38</v>
      </c>
      <c r="E91" s="386"/>
      <c r="F91" s="369" t="e">
        <f t="shared" si="14"/>
        <v>#DIV/0!</v>
      </c>
      <c r="G91" s="374"/>
      <c r="H91" s="374"/>
      <c r="I91" s="459"/>
      <c r="J91" s="388"/>
      <c r="K91" s="369">
        <f t="shared" si="15"/>
        <v>0</v>
      </c>
      <c r="L91" s="365">
        <f t="shared" si="13"/>
        <v>0</v>
      </c>
      <c r="M91" s="372" t="e">
        <f t="shared" si="6"/>
        <v>#DIV/0!</v>
      </c>
      <c r="N91" s="469"/>
      <c r="O91" s="373" t="e">
        <f t="shared" si="9"/>
        <v>#DIV/0!</v>
      </c>
      <c r="P91" s="35"/>
      <c r="Q91" s="36"/>
      <c r="R91" s="40"/>
      <c r="S91" s="40"/>
      <c r="T91" s="39"/>
      <c r="U91" s="39"/>
      <c r="V91" s="64"/>
      <c r="W91" s="64"/>
      <c r="X91" s="39"/>
      <c r="Y91" s="40"/>
      <c r="Z91" s="1119"/>
      <c r="AA91" s="1117"/>
      <c r="AB91" s="1125"/>
      <c r="AC91" s="1119"/>
      <c r="AD91" s="1117"/>
      <c r="AE91" s="1125"/>
      <c r="AF91" s="1119"/>
      <c r="AG91" s="1117"/>
      <c r="AH91" s="1125"/>
      <c r="AI91" s="1114"/>
      <c r="AJ91" s="1111"/>
      <c r="AK91" s="1127"/>
      <c r="AL91" s="515"/>
      <c r="AM91" s="515"/>
      <c r="AN91" s="515"/>
      <c r="AO91" s="515"/>
      <c r="AP91" s="515"/>
      <c r="AQ91" s="515"/>
      <c r="AR91" s="1130"/>
      <c r="AS91" s="1133"/>
      <c r="AT91" s="1136"/>
      <c r="AU91" s="1130"/>
      <c r="AV91" s="1133"/>
      <c r="AW91" s="1136"/>
      <c r="AX91" s="1130"/>
      <c r="AY91" s="1133"/>
      <c r="AZ91" s="1136"/>
      <c r="BA91" s="1130"/>
      <c r="BB91" s="1133"/>
      <c r="BC91" s="1136"/>
      <c r="BD91" s="1130"/>
      <c r="BE91" s="1133"/>
      <c r="BF91" s="1136"/>
      <c r="BG91" s="1130"/>
      <c r="BH91" s="1133"/>
      <c r="BI91" s="1136"/>
      <c r="BT91" s="1102"/>
      <c r="BU91" s="1099"/>
    </row>
    <row r="92" spans="1:73" ht="30" hidden="1" customHeight="1">
      <c r="A92" s="1214"/>
      <c r="B92" s="543"/>
      <c r="C92" s="385" t="s">
        <v>97</v>
      </c>
      <c r="D92" s="406" t="s">
        <v>40</v>
      </c>
      <c r="E92" s="386"/>
      <c r="F92" s="369" t="e">
        <f t="shared" si="14"/>
        <v>#DIV/0!</v>
      </c>
      <c r="G92" s="374"/>
      <c r="H92" s="374"/>
      <c r="I92" s="459"/>
      <c r="J92" s="388"/>
      <c r="K92" s="369">
        <f t="shared" si="15"/>
        <v>0</v>
      </c>
      <c r="L92" s="365">
        <f t="shared" si="13"/>
        <v>0</v>
      </c>
      <c r="M92" s="372" t="e">
        <f t="shared" si="6"/>
        <v>#DIV/0!</v>
      </c>
      <c r="N92" s="469"/>
      <c r="O92" s="373" t="e">
        <f t="shared" si="9"/>
        <v>#DIV/0!</v>
      </c>
      <c r="P92" s="35"/>
      <c r="Q92" s="36"/>
      <c r="R92" s="40"/>
      <c r="S92" s="40"/>
      <c r="T92" s="39"/>
      <c r="U92" s="39"/>
      <c r="V92" s="64"/>
      <c r="W92" s="64"/>
      <c r="X92" s="39"/>
      <c r="Y92" s="40"/>
      <c r="Z92" s="1120"/>
      <c r="AA92" s="1118"/>
      <c r="AB92" s="1126"/>
      <c r="AC92" s="1120"/>
      <c r="AD92" s="1118"/>
      <c r="AE92" s="1126"/>
      <c r="AF92" s="1120"/>
      <c r="AG92" s="1118"/>
      <c r="AH92" s="1126"/>
      <c r="AI92" s="1116"/>
      <c r="AJ92" s="1113"/>
      <c r="AK92" s="1129"/>
      <c r="AL92" s="515"/>
      <c r="AM92" s="515"/>
      <c r="AN92" s="515"/>
      <c r="AO92" s="515"/>
      <c r="AP92" s="515"/>
      <c r="AQ92" s="515"/>
      <c r="AR92" s="1132"/>
      <c r="AS92" s="1135"/>
      <c r="AT92" s="1138"/>
      <c r="AU92" s="1132"/>
      <c r="AV92" s="1135"/>
      <c r="AW92" s="1138"/>
      <c r="AX92" s="1132"/>
      <c r="AY92" s="1135"/>
      <c r="AZ92" s="1138"/>
      <c r="BA92" s="1132"/>
      <c r="BB92" s="1135"/>
      <c r="BC92" s="1138"/>
      <c r="BD92" s="1132"/>
      <c r="BE92" s="1135"/>
      <c r="BF92" s="1138"/>
      <c r="BG92" s="1132"/>
      <c r="BH92" s="1135"/>
      <c r="BI92" s="1138"/>
      <c r="BT92" s="1102"/>
      <c r="BU92" s="1099"/>
    </row>
    <row r="93" spans="1:73" ht="30" hidden="1" customHeight="1">
      <c r="A93" s="1214"/>
      <c r="B93" s="543"/>
      <c r="C93" s="385" t="s">
        <v>96</v>
      </c>
      <c r="D93" s="406" t="s">
        <v>39</v>
      </c>
      <c r="E93" s="386"/>
      <c r="F93" s="369" t="e">
        <f t="shared" si="14"/>
        <v>#DIV/0!</v>
      </c>
      <c r="G93" s="374"/>
      <c r="H93" s="374"/>
      <c r="I93" s="459"/>
      <c r="J93" s="388"/>
      <c r="K93" s="369">
        <f t="shared" si="15"/>
        <v>0</v>
      </c>
      <c r="L93" s="365">
        <f t="shared" si="13"/>
        <v>0</v>
      </c>
      <c r="M93" s="372" t="e">
        <f t="shared" si="6"/>
        <v>#DIV/0!</v>
      </c>
      <c r="N93" s="469"/>
      <c r="O93" s="373" t="e">
        <f t="shared" si="9"/>
        <v>#DIV/0!</v>
      </c>
      <c r="P93" s="35"/>
      <c r="Q93" s="36"/>
      <c r="R93" s="40"/>
      <c r="S93" s="40"/>
      <c r="T93" s="39"/>
      <c r="U93" s="39"/>
      <c r="V93" s="64"/>
      <c r="W93" s="64"/>
      <c r="X93" s="39"/>
      <c r="Y93" s="40"/>
      <c r="Z93" s="480"/>
      <c r="AA93" s="481"/>
      <c r="AB93" s="520"/>
      <c r="AC93" s="480"/>
      <c r="AD93" s="481"/>
      <c r="AE93" s="520"/>
      <c r="AF93" s="480"/>
      <c r="AG93" s="481"/>
      <c r="AH93" s="520"/>
      <c r="AI93" s="507"/>
      <c r="AJ93" s="509"/>
      <c r="AK93" s="511"/>
      <c r="AL93" s="515"/>
      <c r="AM93" s="515"/>
      <c r="AN93" s="515"/>
      <c r="AO93" s="515"/>
      <c r="AP93" s="515"/>
      <c r="AQ93" s="515"/>
      <c r="AR93" s="513"/>
      <c r="AS93" s="515"/>
      <c r="AT93" s="517"/>
      <c r="AU93" s="513"/>
      <c r="AV93" s="515"/>
      <c r="AW93" s="517"/>
      <c r="AX93" s="513"/>
      <c r="AY93" s="515"/>
      <c r="AZ93" s="517"/>
      <c r="BA93" s="513"/>
      <c r="BB93" s="515"/>
      <c r="BC93" s="517"/>
      <c r="BD93" s="513"/>
      <c r="BE93" s="515"/>
      <c r="BF93" s="517"/>
      <c r="BG93" s="513"/>
      <c r="BH93" s="515"/>
      <c r="BI93" s="517"/>
      <c r="BT93" s="1102"/>
      <c r="BU93" s="1099"/>
    </row>
    <row r="94" spans="1:73" ht="30" hidden="1" customHeight="1">
      <c r="A94" s="1214"/>
      <c r="B94" s="543"/>
      <c r="C94" s="384" t="s">
        <v>98</v>
      </c>
      <c r="D94" s="406" t="s">
        <v>41</v>
      </c>
      <c r="E94" s="386"/>
      <c r="F94" s="369" t="e">
        <f t="shared" si="14"/>
        <v>#DIV/0!</v>
      </c>
      <c r="G94" s="374"/>
      <c r="H94" s="374"/>
      <c r="I94" s="459"/>
      <c r="J94" s="388"/>
      <c r="K94" s="369">
        <f t="shared" si="15"/>
        <v>0</v>
      </c>
      <c r="L94" s="365">
        <f t="shared" si="13"/>
        <v>0</v>
      </c>
      <c r="M94" s="372" t="e">
        <f t="shared" si="6"/>
        <v>#DIV/0!</v>
      </c>
      <c r="N94" s="469"/>
      <c r="O94" s="373" t="e">
        <f t="shared" si="9"/>
        <v>#DIV/0!</v>
      </c>
      <c r="P94" s="35"/>
      <c r="Q94" s="36"/>
      <c r="R94" s="40"/>
      <c r="S94" s="40"/>
      <c r="T94" s="39"/>
      <c r="U94" s="39"/>
      <c r="V94" s="64"/>
      <c r="W94" s="64"/>
      <c r="X94" s="39"/>
      <c r="Y94" s="40"/>
      <c r="Z94" s="480"/>
      <c r="AA94" s="481"/>
      <c r="AB94" s="520"/>
      <c r="AC94" s="480"/>
      <c r="AD94" s="481"/>
      <c r="AE94" s="520"/>
      <c r="AF94" s="480"/>
      <c r="AG94" s="481"/>
      <c r="AH94" s="520"/>
      <c r="AI94" s="507"/>
      <c r="AJ94" s="509"/>
      <c r="AK94" s="511"/>
      <c r="AL94" s="515"/>
      <c r="AM94" s="515"/>
      <c r="AN94" s="515"/>
      <c r="AO94" s="515"/>
      <c r="AP94" s="515"/>
      <c r="AQ94" s="515"/>
      <c r="AR94" s="513"/>
      <c r="AS94" s="515"/>
      <c r="AT94" s="517"/>
      <c r="AU94" s="513"/>
      <c r="AV94" s="515"/>
      <c r="AW94" s="517"/>
      <c r="AX94" s="513"/>
      <c r="AY94" s="515"/>
      <c r="AZ94" s="517"/>
      <c r="BA94" s="513"/>
      <c r="BB94" s="515"/>
      <c r="BC94" s="517"/>
      <c r="BD94" s="513"/>
      <c r="BE94" s="515"/>
      <c r="BF94" s="517"/>
      <c r="BG94" s="513"/>
      <c r="BH94" s="515"/>
      <c r="BI94" s="517"/>
      <c r="BT94" s="1102"/>
      <c r="BU94" s="1099"/>
    </row>
    <row r="95" spans="1:73" ht="30" hidden="1" customHeight="1">
      <c r="A95" s="1214"/>
      <c r="B95" s="543"/>
      <c r="C95" s="384" t="s">
        <v>99</v>
      </c>
      <c r="D95" s="406" t="s">
        <v>42</v>
      </c>
      <c r="E95" s="386"/>
      <c r="F95" s="369" t="e">
        <f t="shared" si="14"/>
        <v>#DIV/0!</v>
      </c>
      <c r="G95" s="374"/>
      <c r="H95" s="374"/>
      <c r="I95" s="459"/>
      <c r="J95" s="388"/>
      <c r="K95" s="369">
        <f t="shared" si="15"/>
        <v>0</v>
      </c>
      <c r="L95" s="365">
        <f t="shared" si="13"/>
        <v>0</v>
      </c>
      <c r="M95" s="372" t="e">
        <f t="shared" si="6"/>
        <v>#DIV/0!</v>
      </c>
      <c r="N95" s="469"/>
      <c r="O95" s="373" t="e">
        <f t="shared" si="9"/>
        <v>#DIV/0!</v>
      </c>
      <c r="P95" s="35"/>
      <c r="Q95" s="36"/>
      <c r="R95" s="40"/>
      <c r="S95" s="40"/>
      <c r="T95" s="39"/>
      <c r="U95" s="39"/>
      <c r="V95" s="64"/>
      <c r="W95" s="64"/>
      <c r="X95" s="39"/>
      <c r="Y95" s="40"/>
      <c r="Z95" s="480"/>
      <c r="AA95" s="481"/>
      <c r="AB95" s="520"/>
      <c r="AC95" s="480"/>
      <c r="AD95" s="481"/>
      <c r="AE95" s="520"/>
      <c r="AF95" s="480"/>
      <c r="AG95" s="481"/>
      <c r="AH95" s="520"/>
      <c r="AI95" s="507"/>
      <c r="AJ95" s="509"/>
      <c r="AK95" s="511"/>
      <c r="AL95" s="515"/>
      <c r="AM95" s="515"/>
      <c r="AN95" s="515"/>
      <c r="AO95" s="515"/>
      <c r="AP95" s="515"/>
      <c r="AQ95" s="515"/>
      <c r="AR95" s="513"/>
      <c r="AS95" s="515"/>
      <c r="AT95" s="517"/>
      <c r="AU95" s="513"/>
      <c r="AV95" s="515"/>
      <c r="AW95" s="517"/>
      <c r="AX95" s="513"/>
      <c r="AY95" s="515"/>
      <c r="AZ95" s="517"/>
      <c r="BA95" s="513"/>
      <c r="BB95" s="515"/>
      <c r="BC95" s="517"/>
      <c r="BD95" s="513"/>
      <c r="BE95" s="515"/>
      <c r="BF95" s="517"/>
      <c r="BG95" s="513"/>
      <c r="BH95" s="515"/>
      <c r="BI95" s="517"/>
      <c r="BT95" s="1102"/>
      <c r="BU95" s="1099"/>
    </row>
    <row r="96" spans="1:73" ht="30" hidden="1" customHeight="1">
      <c r="A96" s="1214"/>
      <c r="B96" s="543"/>
      <c r="C96" s="384" t="s">
        <v>100</v>
      </c>
      <c r="D96" s="406" t="s">
        <v>43</v>
      </c>
      <c r="E96" s="386"/>
      <c r="F96" s="369" t="e">
        <f t="shared" si="14"/>
        <v>#DIV/0!</v>
      </c>
      <c r="G96" s="374"/>
      <c r="H96" s="374"/>
      <c r="I96" s="459"/>
      <c r="J96" s="388"/>
      <c r="K96" s="369">
        <f t="shared" si="15"/>
        <v>0</v>
      </c>
      <c r="L96" s="365">
        <f t="shared" si="13"/>
        <v>0</v>
      </c>
      <c r="M96" s="372" t="e">
        <f t="shared" si="6"/>
        <v>#DIV/0!</v>
      </c>
      <c r="N96" s="469"/>
      <c r="O96" s="373" t="e">
        <f t="shared" si="9"/>
        <v>#DIV/0!</v>
      </c>
      <c r="P96" s="35"/>
      <c r="Q96" s="36"/>
      <c r="R96" s="40"/>
      <c r="S96" s="40"/>
      <c r="T96" s="39"/>
      <c r="U96" s="39"/>
      <c r="V96" s="64"/>
      <c r="W96" s="64"/>
      <c r="X96" s="39"/>
      <c r="Y96" s="40"/>
      <c r="Z96" s="480"/>
      <c r="AA96" s="481"/>
      <c r="AB96" s="520"/>
      <c r="AC96" s="480"/>
      <c r="AD96" s="481"/>
      <c r="AE96" s="520"/>
      <c r="AF96" s="480"/>
      <c r="AG96" s="481"/>
      <c r="AH96" s="520"/>
      <c r="AI96" s="507"/>
      <c r="AJ96" s="509"/>
      <c r="AK96" s="511"/>
      <c r="AL96" s="515"/>
      <c r="AM96" s="515"/>
      <c r="AN96" s="515"/>
      <c r="AO96" s="515"/>
      <c r="AP96" s="515"/>
      <c r="AQ96" s="515"/>
      <c r="AR96" s="513"/>
      <c r="AS96" s="515"/>
      <c r="AT96" s="517"/>
      <c r="AU96" s="513"/>
      <c r="AV96" s="515"/>
      <c r="AW96" s="517"/>
      <c r="AX96" s="513"/>
      <c r="AY96" s="515"/>
      <c r="AZ96" s="517"/>
      <c r="BA96" s="513"/>
      <c r="BB96" s="515"/>
      <c r="BC96" s="517"/>
      <c r="BD96" s="513"/>
      <c r="BE96" s="515"/>
      <c r="BF96" s="517"/>
      <c r="BG96" s="513"/>
      <c r="BH96" s="515"/>
      <c r="BI96" s="517"/>
      <c r="BT96" s="1102"/>
      <c r="BU96" s="1099"/>
    </row>
    <row r="97" spans="1:73" ht="30.75" hidden="1" customHeight="1" thickBot="1">
      <c r="A97" s="1214"/>
      <c r="B97" s="543"/>
      <c r="C97" s="384" t="s">
        <v>101</v>
      </c>
      <c r="D97" s="406" t="s">
        <v>44</v>
      </c>
      <c r="E97" s="386"/>
      <c r="F97" s="369" t="e">
        <f t="shared" si="14"/>
        <v>#DIV/0!</v>
      </c>
      <c r="G97" s="374"/>
      <c r="H97" s="374"/>
      <c r="I97" s="459"/>
      <c r="J97" s="388"/>
      <c r="K97" s="369">
        <f t="shared" si="15"/>
        <v>0</v>
      </c>
      <c r="L97" s="365">
        <f t="shared" si="13"/>
        <v>0</v>
      </c>
      <c r="M97" s="372" t="e">
        <f t="shared" si="6"/>
        <v>#DIV/0!</v>
      </c>
      <c r="N97" s="469"/>
      <c r="O97" s="373" t="e">
        <f t="shared" si="9"/>
        <v>#DIV/0!</v>
      </c>
      <c r="P97" s="43"/>
      <c r="Q97" s="44"/>
      <c r="R97" s="45"/>
      <c r="S97" s="45"/>
      <c r="T97" s="46"/>
      <c r="U97" s="46"/>
      <c r="V97" s="69"/>
      <c r="W97" s="69"/>
      <c r="X97" s="46"/>
      <c r="Y97" s="45"/>
      <c r="Z97" s="500"/>
      <c r="AA97" s="10"/>
      <c r="AB97" s="9"/>
      <c r="AC97" s="500"/>
      <c r="AD97" s="10"/>
      <c r="AE97" s="9"/>
      <c r="AF97" s="500"/>
      <c r="AG97" s="10"/>
      <c r="AH97" s="9"/>
      <c r="AI97" s="508"/>
      <c r="AJ97" s="510"/>
      <c r="AK97" s="512"/>
      <c r="AL97" s="515"/>
      <c r="AM97" s="515"/>
      <c r="AN97" s="515"/>
      <c r="AO97" s="515"/>
      <c r="AP97" s="515"/>
      <c r="AQ97" s="515"/>
      <c r="AR97" s="514"/>
      <c r="AS97" s="516"/>
      <c r="AT97" s="518"/>
      <c r="AU97" s="514"/>
      <c r="AV97" s="516"/>
      <c r="AW97" s="518"/>
      <c r="AX97" s="514"/>
      <c r="AY97" s="516"/>
      <c r="AZ97" s="518"/>
      <c r="BA97" s="514"/>
      <c r="BB97" s="516"/>
      <c r="BC97" s="518"/>
      <c r="BD97" s="514"/>
      <c r="BE97" s="516"/>
      <c r="BF97" s="518"/>
      <c r="BG97" s="514"/>
      <c r="BH97" s="516"/>
      <c r="BI97" s="518"/>
      <c r="BT97" s="1102"/>
      <c r="BU97" s="1099"/>
    </row>
    <row r="98" spans="1:73" ht="41.25" customHeight="1" thickBot="1">
      <c r="A98" s="1214"/>
      <c r="B98" s="1165" t="s">
        <v>341</v>
      </c>
      <c r="C98" s="399" t="s">
        <v>328</v>
      </c>
      <c r="D98" s="417" t="s">
        <v>243</v>
      </c>
      <c r="E98" s="369">
        <f>68.86</f>
        <v>68.86</v>
      </c>
      <c r="F98" s="369">
        <v>50</v>
      </c>
      <c r="G98" s="400"/>
      <c r="H98" s="369">
        <v>0</v>
      </c>
      <c r="I98" s="459">
        <v>0</v>
      </c>
      <c r="J98" s="1168">
        <v>917</v>
      </c>
      <c r="K98" s="369">
        <v>1</v>
      </c>
      <c r="L98" s="365">
        <f t="shared" si="13"/>
        <v>0</v>
      </c>
      <c r="M98" s="372" t="e">
        <f t="shared" si="6"/>
        <v>#DIV/0!</v>
      </c>
      <c r="N98" s="469" t="e">
        <f>M98*2.5</f>
        <v>#DIV/0!</v>
      </c>
      <c r="O98" s="373" t="e">
        <f t="shared" si="9"/>
        <v>#DIV/0!</v>
      </c>
      <c r="P98" s="57"/>
      <c r="Q98" s="58"/>
      <c r="R98" s="59"/>
      <c r="S98" s="59"/>
      <c r="T98" s="66"/>
      <c r="U98" s="66"/>
      <c r="V98" s="91"/>
      <c r="W98" s="91"/>
      <c r="X98" s="66"/>
      <c r="Y98" s="59"/>
      <c r="Z98" s="525"/>
      <c r="AA98" s="526"/>
      <c r="AB98" s="527"/>
      <c r="AC98" s="525"/>
      <c r="AD98" s="526"/>
      <c r="AE98" s="527"/>
      <c r="AF98" s="525"/>
      <c r="AG98" s="526"/>
      <c r="AH98" s="527"/>
      <c r="AI98" s="533"/>
      <c r="AJ98" s="534"/>
      <c r="AK98" s="535"/>
      <c r="AL98" s="92"/>
      <c r="AM98" s="497"/>
      <c r="AN98" s="93"/>
      <c r="AO98" s="92"/>
      <c r="AP98" s="497"/>
      <c r="AQ98" s="93"/>
      <c r="AR98" s="536"/>
      <c r="AS98" s="537"/>
      <c r="AT98" s="538"/>
      <c r="AU98" s="536"/>
      <c r="AV98" s="537"/>
      <c r="AW98" s="538"/>
      <c r="AX98" s="536"/>
      <c r="AY98" s="537"/>
      <c r="AZ98" s="538"/>
      <c r="BA98" s="536"/>
      <c r="BB98" s="537"/>
      <c r="BC98" s="538"/>
      <c r="BD98" s="536"/>
      <c r="BE98" s="537"/>
      <c r="BF98" s="538"/>
      <c r="BG98" s="536"/>
      <c r="BH98" s="537"/>
      <c r="BI98" s="538"/>
      <c r="BT98" s="1102"/>
      <c r="BU98" s="1099"/>
    </row>
    <row r="99" spans="1:73" ht="41.25" customHeight="1" thickBot="1">
      <c r="A99" s="1214"/>
      <c r="B99" s="1166"/>
      <c r="C99" s="399" t="s">
        <v>327</v>
      </c>
      <c r="D99" s="417" t="s">
        <v>240</v>
      </c>
      <c r="E99" s="369">
        <v>69</v>
      </c>
      <c r="F99" s="369">
        <v>50</v>
      </c>
      <c r="G99" s="400"/>
      <c r="H99" s="369">
        <v>450</v>
      </c>
      <c r="I99" s="459">
        <v>0</v>
      </c>
      <c r="J99" s="1168"/>
      <c r="K99" s="369">
        <v>1</v>
      </c>
      <c r="L99" s="365">
        <f t="shared" si="13"/>
        <v>8.625</v>
      </c>
      <c r="M99" s="372" t="e">
        <f>I98/H98</f>
        <v>#DIV/0!</v>
      </c>
      <c r="N99" s="469" t="e">
        <f>M99*2.5</f>
        <v>#DIV/0!</v>
      </c>
      <c r="O99" s="373" t="e">
        <f t="shared" si="9"/>
        <v>#DIV/0!</v>
      </c>
      <c r="P99" s="57"/>
      <c r="Q99" s="58"/>
      <c r="R99" s="59"/>
      <c r="S99" s="59"/>
      <c r="T99" s="66"/>
      <c r="U99" s="66"/>
      <c r="V99" s="91"/>
      <c r="W99" s="91"/>
      <c r="X99" s="66"/>
      <c r="Y99" s="59"/>
      <c r="Z99" s="525"/>
      <c r="AA99" s="526"/>
      <c r="AB99" s="527"/>
      <c r="AC99" s="525"/>
      <c r="AD99" s="526"/>
      <c r="AE99" s="527"/>
      <c r="AF99" s="525"/>
      <c r="AG99" s="526"/>
      <c r="AH99" s="527"/>
      <c r="AI99" s="533"/>
      <c r="AJ99" s="534"/>
      <c r="AK99" s="535"/>
      <c r="AL99" s="92"/>
      <c r="AM99" s="497"/>
      <c r="AN99" s="93"/>
      <c r="AO99" s="92"/>
      <c r="AP99" s="497"/>
      <c r="AQ99" s="93"/>
      <c r="AR99" s="536"/>
      <c r="AS99" s="537"/>
      <c r="AT99" s="538"/>
      <c r="AU99" s="536"/>
      <c r="AV99" s="537"/>
      <c r="AW99" s="538"/>
      <c r="AX99" s="536"/>
      <c r="AY99" s="537"/>
      <c r="AZ99" s="538"/>
      <c r="BA99" s="536"/>
      <c r="BB99" s="537"/>
      <c r="BC99" s="538"/>
      <c r="BD99" s="536"/>
      <c r="BE99" s="537"/>
      <c r="BF99" s="538"/>
      <c r="BG99" s="536"/>
      <c r="BH99" s="537"/>
      <c r="BI99" s="538"/>
      <c r="BT99" s="1102"/>
      <c r="BU99" s="1099"/>
    </row>
    <row r="100" spans="1:73" ht="42" customHeight="1" thickBot="1">
      <c r="A100" s="1215"/>
      <c r="B100" s="1167"/>
      <c r="C100" s="401" t="s">
        <v>329</v>
      </c>
      <c r="D100" s="418" t="s">
        <v>242</v>
      </c>
      <c r="E100" s="378">
        <v>69</v>
      </c>
      <c r="F100" s="378">
        <f>3600/E100</f>
        <v>52.173913043478258</v>
      </c>
      <c r="G100" s="402"/>
      <c r="H100" s="369">
        <v>0</v>
      </c>
      <c r="I100" s="460">
        <v>0</v>
      </c>
      <c r="J100" s="1169"/>
      <c r="K100" s="378">
        <v>1</v>
      </c>
      <c r="L100" s="365">
        <f t="shared" si="13"/>
        <v>0</v>
      </c>
      <c r="M100" s="372" t="e">
        <f>I100/H98</f>
        <v>#DIV/0!</v>
      </c>
      <c r="N100" s="469" t="e">
        <f>M100*2.5</f>
        <v>#DIV/0!</v>
      </c>
      <c r="O100" s="382" t="e">
        <f t="shared" si="9"/>
        <v>#DIV/0!</v>
      </c>
      <c r="P100" s="57"/>
      <c r="Q100" s="58"/>
      <c r="R100" s="59"/>
      <c r="S100" s="59"/>
      <c r="T100" s="66"/>
      <c r="U100" s="66"/>
      <c r="V100" s="91"/>
      <c r="W100" s="91"/>
      <c r="X100" s="66"/>
      <c r="Y100" s="59"/>
      <c r="Z100" s="525"/>
      <c r="AA100" s="526"/>
      <c r="AB100" s="527"/>
      <c r="AC100" s="525"/>
      <c r="AD100" s="526"/>
      <c r="AE100" s="527"/>
      <c r="AF100" s="525"/>
      <c r="AG100" s="526"/>
      <c r="AH100" s="527"/>
      <c r="AI100" s="533"/>
      <c r="AJ100" s="534"/>
      <c r="AK100" s="535"/>
      <c r="AL100" s="92"/>
      <c r="AM100" s="497"/>
      <c r="AN100" s="93"/>
      <c r="AO100" s="92"/>
      <c r="AP100" s="497"/>
      <c r="AQ100" s="93"/>
      <c r="AR100" s="536"/>
      <c r="AS100" s="537"/>
      <c r="AT100" s="538"/>
      <c r="AU100" s="536"/>
      <c r="AV100" s="537"/>
      <c r="AW100" s="538"/>
      <c r="AX100" s="536"/>
      <c r="AY100" s="537"/>
      <c r="AZ100" s="538"/>
      <c r="BA100" s="536"/>
      <c r="BB100" s="537"/>
      <c r="BC100" s="538"/>
      <c r="BD100" s="536"/>
      <c r="BE100" s="537"/>
      <c r="BF100" s="538"/>
      <c r="BG100" s="536"/>
      <c r="BH100" s="537"/>
      <c r="BI100" s="538"/>
      <c r="BT100" s="1102"/>
      <c r="BU100" s="1100"/>
    </row>
    <row r="101" spans="1:73" ht="30.75" hidden="1" customHeight="1" thickBot="1">
      <c r="A101" s="429" t="s">
        <v>105</v>
      </c>
      <c r="B101" s="332" t="s">
        <v>270</v>
      </c>
      <c r="C101" s="333" t="s">
        <v>77</v>
      </c>
      <c r="D101" s="419" t="s">
        <v>26</v>
      </c>
      <c r="E101" s="334">
        <v>47</v>
      </c>
      <c r="F101" s="334">
        <f t="shared" ref="F101:F119" si="16">3600/E101</f>
        <v>76.59574468085107</v>
      </c>
      <c r="G101" s="335">
        <v>1</v>
      </c>
      <c r="H101" s="282">
        <v>144</v>
      </c>
      <c r="I101" s="643">
        <v>450</v>
      </c>
      <c r="J101" s="336" t="s">
        <v>210</v>
      </c>
      <c r="K101" s="335">
        <f>I101-H101</f>
        <v>306</v>
      </c>
      <c r="L101" s="365">
        <f t="shared" si="13"/>
        <v>1.88</v>
      </c>
      <c r="M101" s="337">
        <f t="shared" ref="M101:M164" si="17">I101/H101</f>
        <v>3.125</v>
      </c>
      <c r="N101" s="478"/>
      <c r="O101" s="338">
        <f t="shared" si="9"/>
        <v>41581.125</v>
      </c>
      <c r="P101" s="35"/>
      <c r="Q101" s="36"/>
      <c r="R101" s="37">
        <v>1</v>
      </c>
      <c r="S101" s="37"/>
      <c r="T101" s="64">
        <v>1</v>
      </c>
      <c r="U101" s="39"/>
      <c r="V101" s="39"/>
      <c r="W101" s="39"/>
      <c r="X101" s="39"/>
      <c r="Y101" s="40"/>
      <c r="Z101" s="480"/>
      <c r="AA101" s="481"/>
      <c r="AB101" s="520"/>
      <c r="AC101" s="480"/>
      <c r="AD101" s="481"/>
      <c r="AE101" s="520"/>
      <c r="AF101" s="480"/>
      <c r="AG101" s="481"/>
      <c r="AH101" s="520"/>
      <c r="AI101" s="480"/>
      <c r="AJ101" s="481"/>
      <c r="AK101" s="520"/>
      <c r="AL101" s="480"/>
      <c r="AM101" s="481"/>
      <c r="AN101" s="520"/>
      <c r="AO101" s="521"/>
      <c r="AP101" s="522"/>
      <c r="AQ101" s="523"/>
      <c r="AR101" s="521"/>
      <c r="AS101" s="522"/>
      <c r="AT101" s="523"/>
      <c r="AU101" s="521"/>
      <c r="AV101" s="522"/>
      <c r="AW101" s="523"/>
      <c r="AX101" s="521"/>
      <c r="AY101" s="522"/>
      <c r="AZ101" s="523"/>
      <c r="BA101" s="521"/>
      <c r="BB101" s="522"/>
      <c r="BC101" s="523"/>
      <c r="BD101" s="521"/>
      <c r="BE101" s="522"/>
      <c r="BF101" s="523"/>
      <c r="BG101" s="521"/>
      <c r="BH101" s="522"/>
      <c r="BI101" s="523"/>
      <c r="BT101" s="838"/>
      <c r="BU101" s="838"/>
    </row>
    <row r="102" spans="1:73" ht="27" customHeight="1" thickBot="1">
      <c r="A102" s="1190" t="s">
        <v>336</v>
      </c>
      <c r="B102" s="321" t="s">
        <v>337</v>
      </c>
      <c r="C102" s="339" t="s">
        <v>330</v>
      </c>
      <c r="D102" s="408" t="s">
        <v>237</v>
      </c>
      <c r="E102" s="275">
        <v>72.5</v>
      </c>
      <c r="F102" s="275">
        <f>3600/E102</f>
        <v>49.655172413793103</v>
      </c>
      <c r="G102" s="319"/>
      <c r="H102" s="282">
        <f>BY16</f>
        <v>450</v>
      </c>
      <c r="I102" s="637">
        <v>0</v>
      </c>
      <c r="J102" s="277">
        <v>1053</v>
      </c>
      <c r="K102" s="275">
        <v>1</v>
      </c>
      <c r="L102" s="365">
        <f t="shared" si="13"/>
        <v>9.0625</v>
      </c>
      <c r="M102" s="278">
        <f t="shared" si="17"/>
        <v>0</v>
      </c>
      <c r="N102" s="471">
        <f>M102*2.5</f>
        <v>0</v>
      </c>
      <c r="O102" s="279">
        <f>+$O$5+M102</f>
        <v>41578</v>
      </c>
      <c r="P102" s="35"/>
      <c r="Q102" s="36"/>
      <c r="R102" s="37"/>
      <c r="S102" s="37"/>
      <c r="T102" s="64"/>
      <c r="U102" s="39"/>
      <c r="V102" s="39"/>
      <c r="W102" s="39"/>
      <c r="X102" s="39"/>
      <c r="Y102" s="40"/>
      <c r="Z102" s="480"/>
      <c r="AA102" s="481"/>
      <c r="AB102" s="520"/>
      <c r="AC102" s="480"/>
      <c r="AD102" s="481"/>
      <c r="AE102" s="520"/>
      <c r="AF102" s="480"/>
      <c r="AG102" s="481"/>
      <c r="AH102" s="520"/>
      <c r="AI102" s="480"/>
      <c r="AJ102" s="481"/>
      <c r="AK102" s="520"/>
      <c r="AL102" s="480"/>
      <c r="AM102" s="481"/>
      <c r="AN102" s="520"/>
      <c r="AO102" s="521"/>
      <c r="AP102" s="522"/>
      <c r="AQ102" s="523"/>
      <c r="AR102" s="521"/>
      <c r="AS102" s="522"/>
      <c r="AT102" s="523"/>
      <c r="AU102" s="521"/>
      <c r="AV102" s="522"/>
      <c r="AW102" s="523"/>
      <c r="AX102" s="521"/>
      <c r="AY102" s="522"/>
      <c r="AZ102" s="523"/>
      <c r="BA102" s="521"/>
      <c r="BB102" s="522"/>
      <c r="BC102" s="523"/>
      <c r="BD102" s="521"/>
      <c r="BE102" s="522"/>
      <c r="BF102" s="523"/>
      <c r="BG102" s="521"/>
      <c r="BH102" s="522"/>
      <c r="BI102" s="523"/>
      <c r="BT102" s="1101">
        <v>2</v>
      </c>
      <c r="BU102" s="1098">
        <f>L102+L103+BT102</f>
        <v>18.5625</v>
      </c>
    </row>
    <row r="103" spans="1:73" ht="34.5" customHeight="1" thickBot="1">
      <c r="A103" s="1192"/>
      <c r="B103" s="694" t="s">
        <v>338</v>
      </c>
      <c r="C103" s="718" t="s">
        <v>332</v>
      </c>
      <c r="D103" s="412" t="s">
        <v>238</v>
      </c>
      <c r="E103" s="326">
        <v>60</v>
      </c>
      <c r="F103" s="326">
        <f>3600/E103</f>
        <v>60</v>
      </c>
      <c r="G103" s="719"/>
      <c r="H103" s="326">
        <f>BY16</f>
        <v>450</v>
      </c>
      <c r="I103" s="462">
        <v>0</v>
      </c>
      <c r="J103" s="327">
        <v>880</v>
      </c>
      <c r="K103" s="326">
        <v>1</v>
      </c>
      <c r="L103" s="365">
        <f t="shared" si="13"/>
        <v>7.5</v>
      </c>
      <c r="M103" s="317">
        <f t="shared" si="17"/>
        <v>0</v>
      </c>
      <c r="N103" s="478">
        <f>M103*2.5</f>
        <v>0</v>
      </c>
      <c r="O103" s="328">
        <f>+$O$5+M103</f>
        <v>41578</v>
      </c>
      <c r="P103" s="720"/>
      <c r="Q103" s="721"/>
      <c r="R103" s="61"/>
      <c r="S103" s="61"/>
      <c r="T103" s="722"/>
      <c r="U103" s="60"/>
      <c r="V103" s="60"/>
      <c r="W103" s="60"/>
      <c r="X103" s="60"/>
      <c r="Y103" s="41"/>
      <c r="Z103" s="676"/>
      <c r="AA103" s="678"/>
      <c r="AB103" s="674"/>
      <c r="AC103" s="676"/>
      <c r="AD103" s="678"/>
      <c r="AE103" s="674"/>
      <c r="AF103" s="676"/>
      <c r="AG103" s="678"/>
      <c r="AH103" s="674"/>
      <c r="AI103" s="676"/>
      <c r="AJ103" s="678"/>
      <c r="AK103" s="674"/>
      <c r="AL103" s="676"/>
      <c r="AM103" s="678"/>
      <c r="AN103" s="674"/>
      <c r="AO103" s="686"/>
      <c r="AP103" s="688"/>
      <c r="AQ103" s="690"/>
      <c r="AR103" s="686"/>
      <c r="AS103" s="688"/>
      <c r="AT103" s="690"/>
      <c r="AU103" s="686"/>
      <c r="AV103" s="688"/>
      <c r="AW103" s="690"/>
      <c r="AX103" s="686"/>
      <c r="AY103" s="688"/>
      <c r="AZ103" s="690"/>
      <c r="BA103" s="686"/>
      <c r="BB103" s="688"/>
      <c r="BC103" s="690"/>
      <c r="BD103" s="686"/>
      <c r="BE103" s="688"/>
      <c r="BF103" s="690"/>
      <c r="BG103" s="686"/>
      <c r="BH103" s="688"/>
      <c r="BI103" s="690"/>
      <c r="BT103" s="1102"/>
      <c r="BU103" s="1099"/>
    </row>
    <row r="104" spans="1:73" ht="36.75" customHeight="1" thickBot="1">
      <c r="A104" s="1213" t="s">
        <v>105</v>
      </c>
      <c r="B104" s="726" t="s">
        <v>270</v>
      </c>
      <c r="C104" s="360" t="s">
        <v>78</v>
      </c>
      <c r="D104" s="404" t="s">
        <v>113</v>
      </c>
      <c r="E104" s="361">
        <v>62</v>
      </c>
      <c r="F104" s="361">
        <f t="shared" si="16"/>
        <v>58.064516129032256</v>
      </c>
      <c r="G104" s="362">
        <v>1</v>
      </c>
      <c r="H104" s="362">
        <f>BY18</f>
        <v>200</v>
      </c>
      <c r="I104" s="637">
        <v>0</v>
      </c>
      <c r="J104" s="364" t="s">
        <v>210</v>
      </c>
      <c r="K104" s="362">
        <v>1</v>
      </c>
      <c r="L104" s="365">
        <f t="shared" si="13"/>
        <v>3.4444444444444446</v>
      </c>
      <c r="M104" s="365">
        <f t="shared" si="17"/>
        <v>0</v>
      </c>
      <c r="N104" s="468">
        <f>M104</f>
        <v>0</v>
      </c>
      <c r="O104" s="366">
        <f t="shared" si="9"/>
        <v>41578</v>
      </c>
      <c r="P104" s="47"/>
      <c r="Q104" s="48"/>
      <c r="R104" s="49"/>
      <c r="S104" s="49"/>
      <c r="T104" s="50"/>
      <c r="U104" s="68">
        <v>1</v>
      </c>
      <c r="V104" s="68">
        <v>1</v>
      </c>
      <c r="W104" s="68">
        <v>1</v>
      </c>
      <c r="X104" s="68">
        <v>1</v>
      </c>
      <c r="Y104" s="67">
        <v>1</v>
      </c>
      <c r="Z104" s="695"/>
      <c r="AA104" s="696"/>
      <c r="AB104" s="697"/>
      <c r="AC104" s="695"/>
      <c r="AD104" s="696"/>
      <c r="AE104" s="697"/>
      <c r="AF104" s="695"/>
      <c r="AG104" s="696"/>
      <c r="AH104" s="697"/>
      <c r="AI104" s="695"/>
      <c r="AJ104" s="696"/>
      <c r="AK104" s="697"/>
      <c r="AL104" s="695"/>
      <c r="AM104" s="696"/>
      <c r="AN104" s="697"/>
      <c r="AO104" s="698"/>
      <c r="AP104" s="699"/>
      <c r="AQ104" s="700"/>
      <c r="AR104" s="698"/>
      <c r="AS104" s="699"/>
      <c r="AT104" s="700"/>
      <c r="AU104" s="698"/>
      <c r="AV104" s="699"/>
      <c r="AW104" s="700"/>
      <c r="AX104" s="698"/>
      <c r="AY104" s="699"/>
      <c r="AZ104" s="700"/>
      <c r="BA104" s="698"/>
      <c r="BB104" s="699"/>
      <c r="BC104" s="700"/>
      <c r="BD104" s="698"/>
      <c r="BE104" s="699"/>
      <c r="BF104" s="700"/>
      <c r="BG104" s="698"/>
      <c r="BH104" s="699"/>
      <c r="BI104" s="700"/>
      <c r="BJ104" s="727"/>
      <c r="BK104" s="727"/>
      <c r="BL104" s="727"/>
      <c r="BM104" s="727"/>
      <c r="BN104" s="727"/>
      <c r="BO104" s="727"/>
      <c r="BP104" s="727"/>
      <c r="BQ104" s="727"/>
      <c r="BR104" s="727"/>
      <c r="BS104" s="727"/>
      <c r="BT104" s="1101">
        <v>2</v>
      </c>
      <c r="BU104" s="1098">
        <f>L104+L105+L106+L108+L112+L113+BT104</f>
        <v>15.173888888888889</v>
      </c>
    </row>
    <row r="105" spans="1:73" ht="42" customHeight="1" thickBot="1">
      <c r="A105" s="1214"/>
      <c r="B105" s="728" t="s">
        <v>271</v>
      </c>
      <c r="C105" s="367" t="s">
        <v>79</v>
      </c>
      <c r="D105" s="405" t="s">
        <v>27</v>
      </c>
      <c r="E105" s="369">
        <v>50.1</v>
      </c>
      <c r="F105" s="369">
        <f t="shared" si="16"/>
        <v>71.856287425149702</v>
      </c>
      <c r="G105" s="369">
        <v>1</v>
      </c>
      <c r="H105" s="369">
        <f>BY18</f>
        <v>200</v>
      </c>
      <c r="I105" s="459">
        <v>0</v>
      </c>
      <c r="J105" s="692">
        <v>800</v>
      </c>
      <c r="K105" s="369">
        <v>1</v>
      </c>
      <c r="L105" s="365">
        <f t="shared" si="13"/>
        <v>2.7833333333333332</v>
      </c>
      <c r="M105" s="372">
        <f t="shared" si="17"/>
        <v>0</v>
      </c>
      <c r="N105" s="469">
        <f>M105*2</f>
        <v>0</v>
      </c>
      <c r="O105" s="373">
        <f t="shared" si="9"/>
        <v>41578</v>
      </c>
      <c r="P105" s="35"/>
      <c r="Q105" s="36"/>
      <c r="R105" s="40"/>
      <c r="S105" s="40"/>
      <c r="T105" s="39"/>
      <c r="U105" s="39"/>
      <c r="V105" s="39"/>
      <c r="W105" s="39"/>
      <c r="X105" s="39"/>
      <c r="Y105" s="40"/>
      <c r="Z105" s="672"/>
      <c r="AA105" s="673">
        <v>17</v>
      </c>
      <c r="AB105" s="680"/>
      <c r="AC105" s="681"/>
      <c r="AD105" s="673"/>
      <c r="AE105" s="682"/>
      <c r="AF105" s="672"/>
      <c r="AG105" s="673"/>
      <c r="AH105" s="682"/>
      <c r="AI105" s="672"/>
      <c r="AJ105" s="673"/>
      <c r="AK105" s="8">
        <v>0</v>
      </c>
      <c r="AL105" s="672"/>
      <c r="AM105" s="673"/>
      <c r="AN105" s="682"/>
      <c r="AO105" s="683"/>
      <c r="AP105" s="684"/>
      <c r="AQ105" s="685"/>
      <c r="AR105" s="683"/>
      <c r="AS105" s="684"/>
      <c r="AT105" s="685"/>
      <c r="AU105" s="683"/>
      <c r="AV105" s="684"/>
      <c r="AW105" s="685"/>
      <c r="AX105" s="683"/>
      <c r="AY105" s="684"/>
      <c r="AZ105" s="685"/>
      <c r="BA105" s="683"/>
      <c r="BB105" s="684"/>
      <c r="BC105" s="685"/>
      <c r="BD105" s="683"/>
      <c r="BE105" s="684"/>
      <c r="BF105" s="685"/>
      <c r="BG105" s="683"/>
      <c r="BH105" s="684"/>
      <c r="BI105" s="685"/>
      <c r="BT105" s="1102"/>
      <c r="BU105" s="1099"/>
    </row>
    <row r="106" spans="1:73" ht="35.25" customHeight="1" thickBot="1">
      <c r="A106" s="1214"/>
      <c r="B106" s="1216" t="s">
        <v>272</v>
      </c>
      <c r="C106" s="367" t="s">
        <v>80</v>
      </c>
      <c r="D106" s="406" t="s">
        <v>367</v>
      </c>
      <c r="E106" s="368">
        <v>51.8</v>
      </c>
      <c r="F106" s="369">
        <f t="shared" si="16"/>
        <v>69.498069498069498</v>
      </c>
      <c r="G106" s="369">
        <v>1</v>
      </c>
      <c r="H106" s="369">
        <v>70</v>
      </c>
      <c r="I106" s="459">
        <v>0</v>
      </c>
      <c r="J106" s="692">
        <v>625</v>
      </c>
      <c r="K106" s="369">
        <v>1</v>
      </c>
      <c r="L106" s="365">
        <f t="shared" si="13"/>
        <v>1.0072222222222222</v>
      </c>
      <c r="M106" s="372">
        <f t="shared" si="17"/>
        <v>0</v>
      </c>
      <c r="N106" s="469">
        <f>M106*2</f>
        <v>0</v>
      </c>
      <c r="O106" s="373">
        <f t="shared" si="9"/>
        <v>41578</v>
      </c>
      <c r="P106" s="35"/>
      <c r="Q106" s="36"/>
      <c r="R106" s="40"/>
      <c r="S106" s="41"/>
      <c r="T106" s="1085"/>
      <c r="U106" s="1085"/>
      <c r="V106" s="1085"/>
      <c r="W106" s="1085"/>
      <c r="X106" s="1085"/>
      <c r="Y106" s="1195"/>
      <c r="Z106" s="1119"/>
      <c r="AA106" s="1117"/>
      <c r="AB106" s="1125"/>
      <c r="AC106" s="1119"/>
      <c r="AD106" s="1117"/>
      <c r="AE106" s="1125"/>
      <c r="AF106" s="1119"/>
      <c r="AG106" s="1117"/>
      <c r="AH106" s="1122">
        <v>22</v>
      </c>
      <c r="AI106" s="1119"/>
      <c r="AJ106" s="1117"/>
      <c r="AK106" s="1125"/>
      <c r="AL106" s="1119"/>
      <c r="AM106" s="1117"/>
      <c r="AN106" s="1125"/>
      <c r="AO106" s="1188"/>
      <c r="AP106" s="1189"/>
      <c r="AQ106" s="1185"/>
      <c r="AR106" s="1188"/>
      <c r="AS106" s="1189"/>
      <c r="AT106" s="1185"/>
      <c r="AU106" s="1188"/>
      <c r="AV106" s="1189"/>
      <c r="AW106" s="1185"/>
      <c r="AX106" s="1188"/>
      <c r="AY106" s="1189"/>
      <c r="AZ106" s="1185"/>
      <c r="BA106" s="1188"/>
      <c r="BB106" s="1189"/>
      <c r="BC106" s="1185"/>
      <c r="BD106" s="1188"/>
      <c r="BE106" s="1189"/>
      <c r="BF106" s="1185"/>
      <c r="BG106" s="1188"/>
      <c r="BH106" s="1189"/>
      <c r="BI106" s="1185"/>
      <c r="BT106" s="1102"/>
      <c r="BU106" s="1099"/>
    </row>
    <row r="107" spans="1:73" ht="31.5" customHeight="1" thickBot="1">
      <c r="A107" s="1214"/>
      <c r="B107" s="1216"/>
      <c r="C107" s="367" t="s">
        <v>81</v>
      </c>
      <c r="D107" s="406" t="s">
        <v>28</v>
      </c>
      <c r="E107" s="368">
        <f>51.8</f>
        <v>51.8</v>
      </c>
      <c r="F107" s="369">
        <f t="shared" si="16"/>
        <v>69.498069498069498</v>
      </c>
      <c r="G107" s="369">
        <v>1</v>
      </c>
      <c r="H107" s="369">
        <v>70</v>
      </c>
      <c r="I107" s="459">
        <v>0</v>
      </c>
      <c r="J107" s="692">
        <v>625</v>
      </c>
      <c r="K107" s="369">
        <v>1</v>
      </c>
      <c r="L107" s="365">
        <f t="shared" si="13"/>
        <v>1.0072222222222222</v>
      </c>
      <c r="M107" s="372">
        <f t="shared" si="17"/>
        <v>0</v>
      </c>
      <c r="N107" s="469">
        <f>M107*2</f>
        <v>0</v>
      </c>
      <c r="O107" s="373">
        <f t="shared" si="9"/>
        <v>41578</v>
      </c>
      <c r="P107" s="35"/>
      <c r="Q107" s="36"/>
      <c r="R107" s="40"/>
      <c r="S107" s="42"/>
      <c r="T107" s="1086"/>
      <c r="U107" s="1086"/>
      <c r="V107" s="1086"/>
      <c r="W107" s="1086"/>
      <c r="X107" s="1086"/>
      <c r="Y107" s="1196"/>
      <c r="Z107" s="1120"/>
      <c r="AA107" s="1118"/>
      <c r="AB107" s="1126"/>
      <c r="AC107" s="1120"/>
      <c r="AD107" s="1118"/>
      <c r="AE107" s="1126"/>
      <c r="AF107" s="1120"/>
      <c r="AG107" s="1118"/>
      <c r="AH107" s="1124"/>
      <c r="AI107" s="1120"/>
      <c r="AJ107" s="1118"/>
      <c r="AK107" s="1126"/>
      <c r="AL107" s="1120"/>
      <c r="AM107" s="1118"/>
      <c r="AN107" s="1126"/>
      <c r="AO107" s="1140"/>
      <c r="AP107" s="1142"/>
      <c r="AQ107" s="1150"/>
      <c r="AR107" s="1140"/>
      <c r="AS107" s="1142"/>
      <c r="AT107" s="1150"/>
      <c r="AU107" s="1140"/>
      <c r="AV107" s="1142"/>
      <c r="AW107" s="1150"/>
      <c r="AX107" s="1140"/>
      <c r="AY107" s="1142"/>
      <c r="AZ107" s="1150"/>
      <c r="BA107" s="1140"/>
      <c r="BB107" s="1142"/>
      <c r="BC107" s="1150"/>
      <c r="BD107" s="1140"/>
      <c r="BE107" s="1142"/>
      <c r="BF107" s="1150"/>
      <c r="BG107" s="1140"/>
      <c r="BH107" s="1142"/>
      <c r="BI107" s="1150"/>
      <c r="BT107" s="1102"/>
      <c r="BU107" s="1099"/>
    </row>
    <row r="108" spans="1:73" ht="39" customHeight="1" thickBot="1">
      <c r="A108" s="1214"/>
      <c r="B108" s="1211" t="s">
        <v>273</v>
      </c>
      <c r="C108" s="384" t="s">
        <v>82</v>
      </c>
      <c r="D108" s="406" t="s">
        <v>29</v>
      </c>
      <c r="E108" s="369">
        <f>51.5</f>
        <v>51.5</v>
      </c>
      <c r="F108" s="369">
        <f t="shared" si="16"/>
        <v>69.902912621359221</v>
      </c>
      <c r="G108" s="369">
        <v>1</v>
      </c>
      <c r="H108" s="369">
        <f>BY19</f>
        <v>100</v>
      </c>
      <c r="I108" s="459">
        <v>0</v>
      </c>
      <c r="J108" s="692">
        <v>496</v>
      </c>
      <c r="K108" s="369">
        <v>1</v>
      </c>
      <c r="L108" s="365">
        <f t="shared" si="13"/>
        <v>1.4305555555555556</v>
      </c>
      <c r="M108" s="372">
        <f t="shared" si="17"/>
        <v>0</v>
      </c>
      <c r="N108" s="469">
        <f>M108*2</f>
        <v>0</v>
      </c>
      <c r="O108" s="373">
        <f t="shared" si="9"/>
        <v>41578</v>
      </c>
      <c r="P108" s="35"/>
      <c r="Q108" s="36"/>
      <c r="R108" s="40"/>
      <c r="S108" s="41"/>
      <c r="T108" s="1085"/>
      <c r="U108" s="1085"/>
      <c r="V108" s="1085"/>
      <c r="W108" s="1085"/>
      <c r="X108" s="1085"/>
      <c r="Y108" s="1195"/>
      <c r="Z108" s="1119"/>
      <c r="AA108" s="1117"/>
      <c r="AB108" s="1125"/>
      <c r="AC108" s="1119"/>
      <c r="AD108" s="1117"/>
      <c r="AE108" s="1125"/>
      <c r="AF108" s="1119"/>
      <c r="AG108" s="1117"/>
      <c r="AH108" s="1125"/>
      <c r="AI108" s="1162"/>
      <c r="AJ108" s="1170"/>
      <c r="AK108" s="1122"/>
      <c r="AL108" s="1119"/>
      <c r="AM108" s="1117"/>
      <c r="AN108" s="1125"/>
      <c r="AO108" s="1188"/>
      <c r="AP108" s="1189"/>
      <c r="AQ108" s="1185"/>
      <c r="AR108" s="1188"/>
      <c r="AS108" s="1189"/>
      <c r="AT108" s="1185"/>
      <c r="AU108" s="1188"/>
      <c r="AV108" s="1189"/>
      <c r="AW108" s="1185"/>
      <c r="AX108" s="1188"/>
      <c r="AY108" s="1189"/>
      <c r="AZ108" s="1185"/>
      <c r="BA108" s="1188"/>
      <c r="BB108" s="1189"/>
      <c r="BC108" s="1185"/>
      <c r="BD108" s="1188"/>
      <c r="BE108" s="1189"/>
      <c r="BF108" s="1185"/>
      <c r="BG108" s="1188"/>
      <c r="BH108" s="1189"/>
      <c r="BI108" s="1185"/>
      <c r="BT108" s="1102"/>
      <c r="BU108" s="1099"/>
    </row>
    <row r="109" spans="1:73" ht="35.25" customHeight="1" thickBot="1">
      <c r="A109" s="1214"/>
      <c r="B109" s="1212"/>
      <c r="C109" s="367" t="s">
        <v>83</v>
      </c>
      <c r="D109" s="405" t="s">
        <v>30</v>
      </c>
      <c r="E109" s="368">
        <v>51.5</v>
      </c>
      <c r="F109" s="368">
        <f t="shared" si="16"/>
        <v>69.902912621359221</v>
      </c>
      <c r="G109" s="369">
        <v>1</v>
      </c>
      <c r="H109" s="369">
        <f>BY19</f>
        <v>100</v>
      </c>
      <c r="I109" s="459">
        <v>0</v>
      </c>
      <c r="J109" s="692">
        <v>496</v>
      </c>
      <c r="K109" s="369">
        <v>1</v>
      </c>
      <c r="L109" s="365">
        <f t="shared" si="13"/>
        <v>1.4305555555555556</v>
      </c>
      <c r="M109" s="372">
        <f t="shared" si="17"/>
        <v>0</v>
      </c>
      <c r="N109" s="469">
        <f>M109*2</f>
        <v>0</v>
      </c>
      <c r="O109" s="373">
        <f t="shared" si="9"/>
        <v>41578</v>
      </c>
      <c r="P109" s="35"/>
      <c r="Q109" s="36"/>
      <c r="R109" s="40"/>
      <c r="S109" s="42"/>
      <c r="T109" s="1086"/>
      <c r="U109" s="1086"/>
      <c r="V109" s="1086"/>
      <c r="W109" s="1086"/>
      <c r="X109" s="1086"/>
      <c r="Y109" s="1196"/>
      <c r="Z109" s="1120"/>
      <c r="AA109" s="1118"/>
      <c r="AB109" s="1126"/>
      <c r="AC109" s="1120"/>
      <c r="AD109" s="1118"/>
      <c r="AE109" s="1126"/>
      <c r="AF109" s="1120"/>
      <c r="AG109" s="1118"/>
      <c r="AH109" s="1126"/>
      <c r="AI109" s="1164"/>
      <c r="AJ109" s="1171"/>
      <c r="AK109" s="1124"/>
      <c r="AL109" s="1120"/>
      <c r="AM109" s="1118"/>
      <c r="AN109" s="1126"/>
      <c r="AO109" s="1140"/>
      <c r="AP109" s="1142"/>
      <c r="AQ109" s="1150"/>
      <c r="AR109" s="1140"/>
      <c r="AS109" s="1142"/>
      <c r="AT109" s="1150"/>
      <c r="AU109" s="1140"/>
      <c r="AV109" s="1142"/>
      <c r="AW109" s="1150"/>
      <c r="AX109" s="1140"/>
      <c r="AY109" s="1142"/>
      <c r="AZ109" s="1150"/>
      <c r="BA109" s="1140"/>
      <c r="BB109" s="1142"/>
      <c r="BC109" s="1150"/>
      <c r="BD109" s="1140"/>
      <c r="BE109" s="1142"/>
      <c r="BF109" s="1150"/>
      <c r="BG109" s="1140"/>
      <c r="BH109" s="1142"/>
      <c r="BI109" s="1150"/>
      <c r="BT109" s="1102"/>
      <c r="BU109" s="1099"/>
    </row>
    <row r="110" spans="1:73" ht="30.75" hidden="1" customHeight="1" thickBot="1">
      <c r="A110" s="1214"/>
      <c r="B110" s="729" t="s">
        <v>274</v>
      </c>
      <c r="C110" s="367" t="s">
        <v>84</v>
      </c>
      <c r="D110" s="405" t="s">
        <v>31</v>
      </c>
      <c r="E110" s="368">
        <v>52</v>
      </c>
      <c r="F110" s="368">
        <f t="shared" si="16"/>
        <v>69.230769230769226</v>
      </c>
      <c r="G110" s="369">
        <v>1</v>
      </c>
      <c r="H110" s="369">
        <v>200</v>
      </c>
      <c r="I110" s="459">
        <v>350</v>
      </c>
      <c r="J110" s="692">
        <v>935</v>
      </c>
      <c r="K110" s="369">
        <f>I110-H110</f>
        <v>150</v>
      </c>
      <c r="L110" s="365">
        <f t="shared" si="13"/>
        <v>2.8888888888888888</v>
      </c>
      <c r="M110" s="372">
        <f t="shared" si="17"/>
        <v>1.75</v>
      </c>
      <c r="N110" s="469"/>
      <c r="O110" s="373">
        <f t="shared" si="9"/>
        <v>41579.75</v>
      </c>
      <c r="P110" s="35"/>
      <c r="Q110" s="36"/>
      <c r="R110" s="40"/>
      <c r="S110" s="41"/>
      <c r="T110" s="1085"/>
      <c r="U110" s="1085"/>
      <c r="V110" s="1085"/>
      <c r="W110" s="1085"/>
      <c r="X110" s="1085"/>
      <c r="Y110" s="1195"/>
      <c r="Z110" s="1119"/>
      <c r="AA110" s="1117"/>
      <c r="AB110" s="1125"/>
      <c r="AC110" s="1119"/>
      <c r="AD110" s="1117"/>
      <c r="AE110" s="1125"/>
      <c r="AF110" s="1119"/>
      <c r="AG110" s="1117"/>
      <c r="AH110" s="1125"/>
      <c r="AI110" s="1119"/>
      <c r="AJ110" s="1117"/>
      <c r="AK110" s="1125"/>
      <c r="AL110" s="1119"/>
      <c r="AM110" s="1117"/>
      <c r="AN110" s="1125"/>
      <c r="AO110" s="1188"/>
      <c r="AP110" s="1189"/>
      <c r="AQ110" s="1185"/>
      <c r="AR110" s="1188"/>
      <c r="AS110" s="1189"/>
      <c r="AT110" s="1185"/>
      <c r="AU110" s="1188"/>
      <c r="AV110" s="1189"/>
      <c r="AW110" s="1185"/>
      <c r="AX110" s="1188"/>
      <c r="AY110" s="1189"/>
      <c r="AZ110" s="1185"/>
      <c r="BA110" s="1188"/>
      <c r="BB110" s="1189"/>
      <c r="BC110" s="1185"/>
      <c r="BD110" s="1188"/>
      <c r="BE110" s="1189"/>
      <c r="BF110" s="1185"/>
      <c r="BG110" s="1188"/>
      <c r="BH110" s="1189"/>
      <c r="BI110" s="1185"/>
      <c r="BT110" s="1102"/>
      <c r="BU110" s="1099"/>
    </row>
    <row r="111" spans="1:73" ht="30.75" hidden="1" customHeight="1" thickBot="1">
      <c r="A111" s="1214"/>
      <c r="B111" s="728"/>
      <c r="C111" s="367" t="s">
        <v>85</v>
      </c>
      <c r="D111" s="405" t="s">
        <v>32</v>
      </c>
      <c r="E111" s="369">
        <v>52</v>
      </c>
      <c r="F111" s="369">
        <f>3600/E111</f>
        <v>69.230769230769226</v>
      </c>
      <c r="G111" s="369">
        <v>1</v>
      </c>
      <c r="H111" s="369">
        <v>200</v>
      </c>
      <c r="I111" s="459">
        <v>330</v>
      </c>
      <c r="J111" s="692">
        <v>935</v>
      </c>
      <c r="K111" s="369">
        <f>I111-H111</f>
        <v>130</v>
      </c>
      <c r="L111" s="365">
        <f t="shared" si="13"/>
        <v>2.8888888888888888</v>
      </c>
      <c r="M111" s="372">
        <f t="shared" si="17"/>
        <v>1.65</v>
      </c>
      <c r="N111" s="469"/>
      <c r="O111" s="373">
        <f t="shared" si="9"/>
        <v>41579.65</v>
      </c>
      <c r="P111" s="35"/>
      <c r="Q111" s="36"/>
      <c r="R111" s="40"/>
      <c r="S111" s="42"/>
      <c r="T111" s="1204"/>
      <c r="U111" s="1204"/>
      <c r="V111" s="1204"/>
      <c r="W111" s="1204"/>
      <c r="X111" s="1204"/>
      <c r="Y111" s="1206"/>
      <c r="Z111" s="1121"/>
      <c r="AA111" s="1152"/>
      <c r="AB111" s="1151"/>
      <c r="AC111" s="1121"/>
      <c r="AD111" s="1152"/>
      <c r="AE111" s="1151"/>
      <c r="AF111" s="1121"/>
      <c r="AG111" s="1152"/>
      <c r="AH111" s="1151"/>
      <c r="AI111" s="1121"/>
      <c r="AJ111" s="1152"/>
      <c r="AK111" s="1151"/>
      <c r="AL111" s="1121"/>
      <c r="AM111" s="1152"/>
      <c r="AN111" s="1151"/>
      <c r="AO111" s="1199"/>
      <c r="AP111" s="1201"/>
      <c r="AQ111" s="1197"/>
      <c r="AR111" s="1199"/>
      <c r="AS111" s="1201"/>
      <c r="AT111" s="1197"/>
      <c r="AU111" s="1199"/>
      <c r="AV111" s="1201"/>
      <c r="AW111" s="1197"/>
      <c r="AX111" s="1199"/>
      <c r="AY111" s="1201"/>
      <c r="AZ111" s="1197"/>
      <c r="BA111" s="1199"/>
      <c r="BB111" s="1201"/>
      <c r="BC111" s="1197"/>
      <c r="BD111" s="1199"/>
      <c r="BE111" s="1201"/>
      <c r="BF111" s="1197"/>
      <c r="BG111" s="1199"/>
      <c r="BH111" s="1201"/>
      <c r="BI111" s="1197"/>
      <c r="BT111" s="1102"/>
      <c r="BU111" s="1099"/>
    </row>
    <row r="112" spans="1:73" ht="40.5" customHeight="1" thickBot="1">
      <c r="A112" s="1214"/>
      <c r="B112" s="728" t="s">
        <v>275</v>
      </c>
      <c r="C112" s="367" t="s">
        <v>90</v>
      </c>
      <c r="D112" s="406" t="s">
        <v>368</v>
      </c>
      <c r="E112" s="368">
        <v>57.2</v>
      </c>
      <c r="F112" s="369">
        <f t="shared" si="16"/>
        <v>62.937062937062933</v>
      </c>
      <c r="G112" s="369">
        <v>1</v>
      </c>
      <c r="H112" s="369">
        <v>150</v>
      </c>
      <c r="I112" s="459">
        <v>0</v>
      </c>
      <c r="J112" s="692" t="s">
        <v>210</v>
      </c>
      <c r="K112" s="369">
        <v>1</v>
      </c>
      <c r="L112" s="365">
        <f t="shared" si="13"/>
        <v>2.3833333333333333</v>
      </c>
      <c r="M112" s="372">
        <f t="shared" si="17"/>
        <v>0</v>
      </c>
      <c r="N112" s="469">
        <f>M112</f>
        <v>0</v>
      </c>
      <c r="O112" s="373">
        <f t="shared" si="9"/>
        <v>41578</v>
      </c>
      <c r="P112" s="47"/>
      <c r="Q112" s="48"/>
      <c r="R112" s="49"/>
      <c r="S112" s="49"/>
      <c r="T112" s="1204"/>
      <c r="U112" s="1204"/>
      <c r="V112" s="1204"/>
      <c r="W112" s="1204"/>
      <c r="X112" s="1204"/>
      <c r="Y112" s="1206"/>
      <c r="Z112" s="1121"/>
      <c r="AA112" s="1152"/>
      <c r="AB112" s="1151"/>
      <c r="AC112" s="1121"/>
      <c r="AD112" s="1152"/>
      <c r="AE112" s="1151"/>
      <c r="AF112" s="1121"/>
      <c r="AG112" s="1152"/>
      <c r="AH112" s="1151"/>
      <c r="AI112" s="1121"/>
      <c r="AJ112" s="1152"/>
      <c r="AK112" s="1151"/>
      <c r="AL112" s="1121"/>
      <c r="AM112" s="1152"/>
      <c r="AN112" s="1151"/>
      <c r="AO112" s="1199"/>
      <c r="AP112" s="1201"/>
      <c r="AQ112" s="1197"/>
      <c r="AR112" s="1199"/>
      <c r="AS112" s="1201"/>
      <c r="AT112" s="1197"/>
      <c r="AU112" s="1199"/>
      <c r="AV112" s="1201"/>
      <c r="AW112" s="1197"/>
      <c r="AX112" s="1199"/>
      <c r="AY112" s="1201"/>
      <c r="AZ112" s="1197"/>
      <c r="BA112" s="1199"/>
      <c r="BB112" s="1201"/>
      <c r="BC112" s="1197"/>
      <c r="BD112" s="1199"/>
      <c r="BE112" s="1201"/>
      <c r="BF112" s="1197"/>
      <c r="BG112" s="1199"/>
      <c r="BH112" s="1201"/>
      <c r="BI112" s="1197"/>
      <c r="BT112" s="1102"/>
      <c r="BU112" s="1099"/>
    </row>
    <row r="113" spans="1:73" ht="41.25" customHeight="1" thickBot="1">
      <c r="A113" s="1215"/>
      <c r="B113" s="730" t="s">
        <v>276</v>
      </c>
      <c r="C113" s="731" t="s">
        <v>91</v>
      </c>
      <c r="D113" s="407" t="s">
        <v>369</v>
      </c>
      <c r="E113" s="389">
        <v>51</v>
      </c>
      <c r="F113" s="378">
        <f t="shared" si="16"/>
        <v>70.588235294117652</v>
      </c>
      <c r="G113" s="378">
        <v>1</v>
      </c>
      <c r="H113" s="378">
        <v>150</v>
      </c>
      <c r="I113" s="460">
        <v>0</v>
      </c>
      <c r="J113" s="693" t="s">
        <v>210</v>
      </c>
      <c r="K113" s="378">
        <v>1</v>
      </c>
      <c r="L113" s="365">
        <f t="shared" si="13"/>
        <v>2.125</v>
      </c>
      <c r="M113" s="381">
        <f t="shared" si="17"/>
        <v>0</v>
      </c>
      <c r="N113" s="470">
        <f>M113</f>
        <v>0</v>
      </c>
      <c r="O113" s="382">
        <f t="shared" si="9"/>
        <v>41578</v>
      </c>
      <c r="P113" s="43"/>
      <c r="Q113" s="44"/>
      <c r="R113" s="45"/>
      <c r="S113" s="45"/>
      <c r="T113" s="1205"/>
      <c r="U113" s="1205"/>
      <c r="V113" s="1205"/>
      <c r="W113" s="1205"/>
      <c r="X113" s="1205"/>
      <c r="Y113" s="1207"/>
      <c r="Z113" s="1208"/>
      <c r="AA113" s="1209"/>
      <c r="AB113" s="1210"/>
      <c r="AC113" s="1208"/>
      <c r="AD113" s="1209"/>
      <c r="AE113" s="1210"/>
      <c r="AF113" s="1208"/>
      <c r="AG113" s="1209"/>
      <c r="AH113" s="1210"/>
      <c r="AI113" s="1208"/>
      <c r="AJ113" s="1209"/>
      <c r="AK113" s="1210"/>
      <c r="AL113" s="1208"/>
      <c r="AM113" s="1209"/>
      <c r="AN113" s="1210"/>
      <c r="AO113" s="1200"/>
      <c r="AP113" s="1202"/>
      <c r="AQ113" s="1198"/>
      <c r="AR113" s="1200"/>
      <c r="AS113" s="1202"/>
      <c r="AT113" s="1198"/>
      <c r="AU113" s="1200"/>
      <c r="AV113" s="1202"/>
      <c r="AW113" s="1198"/>
      <c r="AX113" s="1200"/>
      <c r="AY113" s="1202"/>
      <c r="AZ113" s="1198"/>
      <c r="BA113" s="1200"/>
      <c r="BB113" s="1202"/>
      <c r="BC113" s="1198"/>
      <c r="BD113" s="1200"/>
      <c r="BE113" s="1202"/>
      <c r="BF113" s="1198"/>
      <c r="BG113" s="1200"/>
      <c r="BH113" s="1202"/>
      <c r="BI113" s="1198"/>
      <c r="BJ113" s="71"/>
      <c r="BK113" s="71"/>
      <c r="BL113" s="71"/>
      <c r="BM113" s="71"/>
      <c r="BN113" s="71"/>
      <c r="BO113" s="71"/>
      <c r="BP113" s="71"/>
      <c r="BQ113" s="71"/>
      <c r="BR113" s="71"/>
      <c r="BS113" s="71"/>
      <c r="BT113" s="1103"/>
      <c r="BU113" s="1100"/>
    </row>
    <row r="114" spans="1:73" ht="30.75" hidden="1" customHeight="1" thickBot="1">
      <c r="A114" s="430"/>
      <c r="B114" s="303"/>
      <c r="C114" s="304" t="s">
        <v>69</v>
      </c>
      <c r="D114" s="411" t="s">
        <v>21</v>
      </c>
      <c r="E114" s="306"/>
      <c r="F114" s="306" t="e">
        <f t="shared" si="16"/>
        <v>#DIV/0!</v>
      </c>
      <c r="G114" s="305"/>
      <c r="H114" s="305"/>
      <c r="I114" s="639">
        <v>0</v>
      </c>
      <c r="J114" s="723"/>
      <c r="K114" s="306">
        <f t="shared" ref="K114:K119" si="18">I114-H114</f>
        <v>0</v>
      </c>
      <c r="L114" s="365">
        <f t="shared" si="13"/>
        <v>0</v>
      </c>
      <c r="M114" s="309" t="e">
        <f t="shared" si="17"/>
        <v>#DIV/0!</v>
      </c>
      <c r="N114" s="475"/>
      <c r="O114" s="310" t="e">
        <f t="shared" si="9"/>
        <v>#DIV/0!</v>
      </c>
      <c r="P114" s="724"/>
      <c r="Q114" s="725"/>
      <c r="R114" s="42"/>
      <c r="S114" s="42"/>
      <c r="T114" s="65"/>
      <c r="U114" s="65"/>
      <c r="V114" s="65"/>
      <c r="W114" s="65"/>
      <c r="X114" s="65"/>
      <c r="Y114" s="42"/>
      <c r="Z114" s="677"/>
      <c r="AA114" s="679"/>
      <c r="AB114" s="675"/>
      <c r="AC114" s="677"/>
      <c r="AD114" s="679"/>
      <c r="AE114" s="675"/>
      <c r="AF114" s="677"/>
      <c r="AG114" s="679"/>
      <c r="AH114" s="675"/>
      <c r="AI114" s="677"/>
      <c r="AJ114" s="679"/>
      <c r="AK114" s="675"/>
      <c r="AL114" s="677"/>
      <c r="AM114" s="679"/>
      <c r="AN114" s="675"/>
      <c r="AO114" s="687"/>
      <c r="AP114" s="689"/>
      <c r="AQ114" s="691"/>
      <c r="AR114" s="687"/>
      <c r="AS114" s="689"/>
      <c r="AT114" s="691"/>
      <c r="AU114" s="687"/>
      <c r="AV114" s="689"/>
      <c r="AW114" s="691"/>
      <c r="AX114" s="687"/>
      <c r="AY114" s="689"/>
      <c r="AZ114" s="691"/>
      <c r="BA114" s="687"/>
      <c r="BB114" s="689"/>
      <c r="BC114" s="691"/>
      <c r="BD114" s="687"/>
      <c r="BE114" s="689"/>
      <c r="BF114" s="691"/>
      <c r="BG114" s="687"/>
      <c r="BH114" s="689"/>
      <c r="BI114" s="691"/>
      <c r="BT114" s="838"/>
      <c r="BU114" s="838"/>
    </row>
    <row r="115" spans="1:73" ht="30.75" hidden="1" customHeight="1" thickBot="1">
      <c r="A115" s="430"/>
      <c r="B115" s="1186"/>
      <c r="C115" s="280" t="s">
        <v>75</v>
      </c>
      <c r="D115" s="414" t="s">
        <v>24</v>
      </c>
      <c r="E115" s="281"/>
      <c r="F115" s="282" t="e">
        <f t="shared" si="16"/>
        <v>#DIV/0!</v>
      </c>
      <c r="G115" s="287"/>
      <c r="H115" s="287"/>
      <c r="I115" s="459">
        <v>0</v>
      </c>
      <c r="J115" s="301"/>
      <c r="K115" s="282">
        <f t="shared" si="18"/>
        <v>0</v>
      </c>
      <c r="L115" s="365">
        <f t="shared" si="13"/>
        <v>0</v>
      </c>
      <c r="M115" s="285" t="e">
        <f t="shared" si="17"/>
        <v>#DIV/0!</v>
      </c>
      <c r="N115" s="472"/>
      <c r="O115" s="286" t="e">
        <f t="shared" si="9"/>
        <v>#DIV/0!</v>
      </c>
      <c r="P115" s="35"/>
      <c r="Q115" s="36"/>
      <c r="R115" s="40"/>
      <c r="S115" s="41"/>
      <c r="T115" s="1085"/>
      <c r="U115" s="1085"/>
      <c r="V115" s="1085"/>
      <c r="W115" s="1085"/>
      <c r="X115" s="1085"/>
      <c r="Y115" s="1195"/>
      <c r="Z115" s="1119"/>
      <c r="AA115" s="1117"/>
      <c r="AB115" s="1125"/>
      <c r="AC115" s="1119"/>
      <c r="AD115" s="1117"/>
      <c r="AE115" s="1125"/>
      <c r="AF115" s="1119"/>
      <c r="AG115" s="1117"/>
      <c r="AH115" s="1125"/>
      <c r="AI115" s="1119"/>
      <c r="AJ115" s="1117"/>
      <c r="AK115" s="1125"/>
      <c r="AL115" s="1119"/>
      <c r="AM115" s="1117"/>
      <c r="AN115" s="1125"/>
      <c r="AO115" s="1188"/>
      <c r="AP115" s="1189"/>
      <c r="AQ115" s="1185"/>
      <c r="AR115" s="1188"/>
      <c r="AS115" s="1189"/>
      <c r="AT115" s="1185"/>
      <c r="AU115" s="1188"/>
      <c r="AV115" s="1189"/>
      <c r="AW115" s="1185"/>
      <c r="AX115" s="1188"/>
      <c r="AY115" s="1189"/>
      <c r="AZ115" s="1185"/>
      <c r="BA115" s="1188"/>
      <c r="BB115" s="1189"/>
      <c r="BC115" s="1185"/>
      <c r="BD115" s="1188"/>
      <c r="BE115" s="1189"/>
      <c r="BF115" s="1185"/>
      <c r="BG115" s="1188"/>
      <c r="BH115" s="1189"/>
      <c r="BI115" s="1185"/>
      <c r="BT115" s="838"/>
      <c r="BU115" s="838"/>
    </row>
    <row r="116" spans="1:73" ht="30.75" hidden="1" customHeight="1" thickBot="1">
      <c r="A116" s="430"/>
      <c r="B116" s="1203"/>
      <c r="C116" s="280" t="s">
        <v>76</v>
      </c>
      <c r="D116" s="414" t="s">
        <v>25</v>
      </c>
      <c r="E116" s="281"/>
      <c r="F116" s="282" t="e">
        <f t="shared" si="16"/>
        <v>#DIV/0!</v>
      </c>
      <c r="G116" s="287"/>
      <c r="H116" s="287"/>
      <c r="I116" s="459">
        <v>0</v>
      </c>
      <c r="J116" s="301"/>
      <c r="K116" s="282">
        <f t="shared" si="18"/>
        <v>0</v>
      </c>
      <c r="L116" s="365">
        <f t="shared" si="13"/>
        <v>0</v>
      </c>
      <c r="M116" s="285" t="e">
        <f t="shared" si="17"/>
        <v>#DIV/0!</v>
      </c>
      <c r="N116" s="472"/>
      <c r="O116" s="286" t="e">
        <f t="shared" ref="O116:O179" si="19">+$O$5+M116</f>
        <v>#DIV/0!</v>
      </c>
      <c r="P116" s="35"/>
      <c r="Q116" s="36"/>
      <c r="R116" s="40"/>
      <c r="S116" s="42"/>
      <c r="T116" s="1086"/>
      <c r="U116" s="1086"/>
      <c r="V116" s="1086"/>
      <c r="W116" s="1086"/>
      <c r="X116" s="1086"/>
      <c r="Y116" s="1196"/>
      <c r="Z116" s="1120"/>
      <c r="AA116" s="1118"/>
      <c r="AB116" s="1126"/>
      <c r="AC116" s="1120"/>
      <c r="AD116" s="1118"/>
      <c r="AE116" s="1126"/>
      <c r="AF116" s="1120"/>
      <c r="AG116" s="1118"/>
      <c r="AH116" s="1126"/>
      <c r="AI116" s="1120"/>
      <c r="AJ116" s="1118"/>
      <c r="AK116" s="1126"/>
      <c r="AL116" s="1120"/>
      <c r="AM116" s="1118"/>
      <c r="AN116" s="1126"/>
      <c r="AO116" s="1140"/>
      <c r="AP116" s="1142"/>
      <c r="AQ116" s="1150"/>
      <c r="AR116" s="1140"/>
      <c r="AS116" s="1142"/>
      <c r="AT116" s="1150"/>
      <c r="AU116" s="1140"/>
      <c r="AV116" s="1142"/>
      <c r="AW116" s="1150"/>
      <c r="AX116" s="1140"/>
      <c r="AY116" s="1142"/>
      <c r="AZ116" s="1150"/>
      <c r="BA116" s="1140"/>
      <c r="BB116" s="1142"/>
      <c r="BC116" s="1150"/>
      <c r="BD116" s="1140"/>
      <c r="BE116" s="1142"/>
      <c r="BF116" s="1150"/>
      <c r="BG116" s="1140"/>
      <c r="BH116" s="1142"/>
      <c r="BI116" s="1150"/>
      <c r="BT116" s="838"/>
      <c r="BU116" s="838"/>
    </row>
    <row r="117" spans="1:73" ht="30.75" hidden="1" customHeight="1" thickBot="1">
      <c r="A117" s="430"/>
      <c r="B117" s="288"/>
      <c r="C117" s="280" t="s">
        <v>70</v>
      </c>
      <c r="D117" s="414" t="s">
        <v>22</v>
      </c>
      <c r="E117" s="282"/>
      <c r="F117" s="282" t="e">
        <f t="shared" si="16"/>
        <v>#DIV/0!</v>
      </c>
      <c r="G117" s="287"/>
      <c r="H117" s="287"/>
      <c r="I117" s="459">
        <v>0</v>
      </c>
      <c r="J117" s="301"/>
      <c r="K117" s="282">
        <f t="shared" si="18"/>
        <v>0</v>
      </c>
      <c r="L117" s="365">
        <f t="shared" si="13"/>
        <v>0</v>
      </c>
      <c r="M117" s="285" t="e">
        <f t="shared" si="17"/>
        <v>#DIV/0!</v>
      </c>
      <c r="N117" s="472"/>
      <c r="O117" s="286" t="e">
        <f t="shared" si="19"/>
        <v>#DIV/0!</v>
      </c>
      <c r="P117" s="35"/>
      <c r="Q117" s="36"/>
      <c r="R117" s="40"/>
      <c r="S117" s="41"/>
      <c r="T117" s="1085"/>
      <c r="U117" s="1085"/>
      <c r="V117" s="1085"/>
      <c r="W117" s="1085"/>
      <c r="X117" s="1085"/>
      <c r="Y117" s="1195"/>
      <c r="Z117" s="1119"/>
      <c r="AA117" s="1117"/>
      <c r="AB117" s="1125"/>
      <c r="AC117" s="1119">
        <v>11</v>
      </c>
      <c r="AD117" s="1170"/>
      <c r="AE117" s="1122"/>
      <c r="AF117" s="1119"/>
      <c r="AG117" s="1117"/>
      <c r="AH117" s="1125"/>
      <c r="AI117" s="1119"/>
      <c r="AJ117" s="1117"/>
      <c r="AK117" s="1125"/>
      <c r="AL117" s="1119"/>
      <c r="AM117" s="1117"/>
      <c r="AN117" s="1125"/>
      <c r="AO117" s="1188"/>
      <c r="AP117" s="1189"/>
      <c r="AQ117" s="1185"/>
      <c r="AR117" s="1188"/>
      <c r="AS117" s="1189"/>
      <c r="AT117" s="1185"/>
      <c r="AU117" s="1188"/>
      <c r="AV117" s="1189"/>
      <c r="AW117" s="1185"/>
      <c r="AX117" s="1188"/>
      <c r="AY117" s="1189"/>
      <c r="AZ117" s="1185"/>
      <c r="BA117" s="1188"/>
      <c r="BB117" s="1189"/>
      <c r="BC117" s="1185"/>
      <c r="BD117" s="1188"/>
      <c r="BE117" s="1189"/>
      <c r="BF117" s="1185"/>
      <c r="BG117" s="1188"/>
      <c r="BH117" s="1189"/>
      <c r="BI117" s="1185"/>
      <c r="BT117" s="838"/>
      <c r="BU117" s="838"/>
    </row>
    <row r="118" spans="1:73" ht="30.75" hidden="1" customHeight="1" thickBot="1">
      <c r="A118" s="430"/>
      <c r="B118" s="1186"/>
      <c r="C118" s="280" t="s">
        <v>71</v>
      </c>
      <c r="D118" s="409" t="s">
        <v>23</v>
      </c>
      <c r="E118" s="281"/>
      <c r="F118" s="282" t="e">
        <f t="shared" si="16"/>
        <v>#DIV/0!</v>
      </c>
      <c r="G118" s="287"/>
      <c r="H118" s="287"/>
      <c r="I118" s="459">
        <v>0</v>
      </c>
      <c r="J118" s="301"/>
      <c r="K118" s="282">
        <f t="shared" si="18"/>
        <v>0</v>
      </c>
      <c r="L118" s="365">
        <f t="shared" si="13"/>
        <v>0</v>
      </c>
      <c r="M118" s="285" t="e">
        <f t="shared" si="17"/>
        <v>#DIV/0!</v>
      </c>
      <c r="N118" s="472"/>
      <c r="O118" s="286" t="e">
        <f t="shared" si="19"/>
        <v>#DIV/0!</v>
      </c>
      <c r="P118" s="35"/>
      <c r="Q118" s="36"/>
      <c r="R118" s="40"/>
      <c r="S118" s="42"/>
      <c r="T118" s="1086"/>
      <c r="U118" s="1086"/>
      <c r="V118" s="1086"/>
      <c r="W118" s="1086"/>
      <c r="X118" s="1086"/>
      <c r="Y118" s="1196"/>
      <c r="Z118" s="1120"/>
      <c r="AA118" s="1118"/>
      <c r="AB118" s="1126"/>
      <c r="AC118" s="1120"/>
      <c r="AD118" s="1171"/>
      <c r="AE118" s="1124"/>
      <c r="AF118" s="1120"/>
      <c r="AG118" s="1118"/>
      <c r="AH118" s="1126"/>
      <c r="AI118" s="1120"/>
      <c r="AJ118" s="1118"/>
      <c r="AK118" s="1126"/>
      <c r="AL118" s="1120"/>
      <c r="AM118" s="1118"/>
      <c r="AN118" s="1126"/>
      <c r="AO118" s="1140"/>
      <c r="AP118" s="1142"/>
      <c r="AQ118" s="1150"/>
      <c r="AR118" s="1140"/>
      <c r="AS118" s="1142"/>
      <c r="AT118" s="1150"/>
      <c r="AU118" s="1140"/>
      <c r="AV118" s="1142"/>
      <c r="AW118" s="1150"/>
      <c r="AX118" s="1140"/>
      <c r="AY118" s="1142"/>
      <c r="AZ118" s="1150"/>
      <c r="BA118" s="1140"/>
      <c r="BB118" s="1142"/>
      <c r="BC118" s="1150"/>
      <c r="BD118" s="1140"/>
      <c r="BE118" s="1142"/>
      <c r="BF118" s="1150"/>
      <c r="BG118" s="1140"/>
      <c r="BH118" s="1142"/>
      <c r="BI118" s="1150"/>
      <c r="BT118" s="838"/>
      <c r="BU118" s="838"/>
    </row>
    <row r="119" spans="1:73" ht="30.75" hidden="1" customHeight="1" thickBot="1">
      <c r="A119" s="430"/>
      <c r="B119" s="1186"/>
      <c r="C119" s="280"/>
      <c r="D119" s="409" t="s">
        <v>134</v>
      </c>
      <c r="E119" s="281"/>
      <c r="F119" s="282" t="e">
        <f t="shared" si="16"/>
        <v>#DIV/0!</v>
      </c>
      <c r="G119" s="287"/>
      <c r="H119" s="287"/>
      <c r="I119" s="459">
        <v>0</v>
      </c>
      <c r="J119" s="301"/>
      <c r="K119" s="282">
        <f t="shared" si="18"/>
        <v>0</v>
      </c>
      <c r="L119" s="365">
        <f t="shared" si="13"/>
        <v>0</v>
      </c>
      <c r="M119" s="285" t="e">
        <f t="shared" si="17"/>
        <v>#DIV/0!</v>
      </c>
      <c r="N119" s="472"/>
      <c r="O119" s="286" t="e">
        <f t="shared" si="19"/>
        <v>#DIV/0!</v>
      </c>
      <c r="P119" s="43"/>
      <c r="Q119" s="44"/>
      <c r="R119" s="45"/>
      <c r="S119" s="45"/>
      <c r="T119" s="46"/>
      <c r="U119" s="46"/>
      <c r="V119" s="46"/>
      <c r="W119" s="46"/>
      <c r="X119" s="46"/>
      <c r="Y119" s="45"/>
      <c r="Z119" s="504">
        <v>8</v>
      </c>
      <c r="AA119" s="506"/>
      <c r="AB119" s="9"/>
      <c r="AC119" s="500"/>
      <c r="AD119" s="10"/>
      <c r="AE119" s="9"/>
      <c r="AF119" s="500">
        <v>8</v>
      </c>
      <c r="AG119" s="506"/>
      <c r="AH119" s="9"/>
      <c r="AI119" s="500"/>
      <c r="AJ119" s="10"/>
      <c r="AK119" s="9"/>
      <c r="AL119" s="500"/>
      <c r="AM119" s="10"/>
      <c r="AN119" s="9"/>
      <c r="AO119" s="51"/>
      <c r="AP119" s="52"/>
      <c r="AQ119" s="53"/>
      <c r="AR119" s="51"/>
      <c r="AS119" s="52"/>
      <c r="AT119" s="53"/>
      <c r="AU119" s="51"/>
      <c r="AV119" s="52"/>
      <c r="AW119" s="53"/>
      <c r="AX119" s="51"/>
      <c r="AY119" s="52"/>
      <c r="AZ119" s="53"/>
      <c r="BA119" s="51"/>
      <c r="BB119" s="52"/>
      <c r="BC119" s="53"/>
      <c r="BD119" s="51"/>
      <c r="BE119" s="52"/>
      <c r="BF119" s="53"/>
      <c r="BG119" s="51"/>
      <c r="BH119" s="52"/>
      <c r="BI119" s="53"/>
      <c r="BT119" s="838"/>
      <c r="BU119" s="838"/>
    </row>
    <row r="120" spans="1:73" ht="56.25" hidden="1" customHeight="1" thickBot="1">
      <c r="A120" s="430"/>
      <c r="B120" s="340"/>
      <c r="C120" s="304" t="s">
        <v>90</v>
      </c>
      <c r="D120" s="411" t="s">
        <v>33</v>
      </c>
      <c r="E120" s="341"/>
      <c r="F120" s="305"/>
      <c r="G120" s="305"/>
      <c r="H120" s="287"/>
      <c r="I120" s="459">
        <v>0</v>
      </c>
      <c r="J120" s="343"/>
      <c r="K120" s="308">
        <f t="shared" ref="K120:K183" si="20">I120-H120</f>
        <v>0</v>
      </c>
      <c r="L120" s="365">
        <f t="shared" si="13"/>
        <v>0</v>
      </c>
      <c r="M120" s="309" t="e">
        <f t="shared" si="17"/>
        <v>#DIV/0!</v>
      </c>
      <c r="N120" s="475"/>
      <c r="O120" s="310" t="e">
        <f t="shared" si="19"/>
        <v>#DIV/0!</v>
      </c>
      <c r="T120" s="64"/>
      <c r="U120" s="39"/>
      <c r="V120" s="39"/>
      <c r="W120" s="39"/>
      <c r="X120" s="39"/>
      <c r="Y120" s="40"/>
      <c r="Z120" s="503"/>
      <c r="AA120" s="505"/>
      <c r="AB120" s="501"/>
      <c r="AC120" s="480"/>
      <c r="AD120" s="481"/>
      <c r="AE120" s="520"/>
      <c r="AF120" s="480"/>
      <c r="AG120" s="481"/>
      <c r="AH120" s="520"/>
      <c r="AI120" s="503">
        <v>6</v>
      </c>
      <c r="AJ120" s="505"/>
      <c r="AK120" s="501"/>
      <c r="AL120" s="507"/>
      <c r="AM120" s="509"/>
      <c r="AN120" s="511"/>
      <c r="AO120" s="513"/>
      <c r="AP120" s="515"/>
      <c r="AQ120" s="517"/>
      <c r="AR120" s="513"/>
      <c r="AS120" s="515"/>
      <c r="AT120" s="517"/>
      <c r="AU120" s="513"/>
      <c r="AV120" s="515"/>
      <c r="AW120" s="517"/>
      <c r="AX120" s="513"/>
      <c r="AY120" s="515"/>
      <c r="AZ120" s="517"/>
      <c r="BA120" s="513"/>
      <c r="BB120" s="515"/>
      <c r="BC120" s="517"/>
      <c r="BD120" s="513"/>
      <c r="BE120" s="515"/>
      <c r="BF120" s="517"/>
      <c r="BG120" s="513"/>
      <c r="BH120" s="515"/>
      <c r="BI120" s="517"/>
      <c r="BT120" s="838"/>
      <c r="BU120" s="838"/>
    </row>
    <row r="121" spans="1:73" ht="56.25" hidden="1" customHeight="1" thickBot="1">
      <c r="A121" s="431"/>
      <c r="B121" s="340"/>
      <c r="C121" s="344" t="s">
        <v>91</v>
      </c>
      <c r="D121" s="412" t="s">
        <v>34</v>
      </c>
      <c r="E121" s="314"/>
      <c r="F121" s="313"/>
      <c r="G121" s="313"/>
      <c r="H121" s="287"/>
      <c r="I121" s="459">
        <v>0</v>
      </c>
      <c r="J121" s="345"/>
      <c r="K121" s="284">
        <f t="shared" si="20"/>
        <v>0</v>
      </c>
      <c r="L121" s="365">
        <f t="shared" si="13"/>
        <v>0</v>
      </c>
      <c r="M121" s="285" t="e">
        <f t="shared" si="17"/>
        <v>#DIV/0!</v>
      </c>
      <c r="N121" s="475"/>
      <c r="O121" s="279" t="e">
        <f t="shared" si="19"/>
        <v>#DIV/0!</v>
      </c>
      <c r="P121" s="71"/>
      <c r="Q121" s="71"/>
      <c r="R121" s="72"/>
      <c r="S121" s="72"/>
      <c r="T121" s="69"/>
      <c r="U121" s="46"/>
      <c r="V121" s="46"/>
      <c r="W121" s="46"/>
      <c r="X121" s="46"/>
      <c r="Y121" s="45"/>
      <c r="Z121" s="500"/>
      <c r="AA121" s="10"/>
      <c r="AB121" s="9">
        <v>3</v>
      </c>
      <c r="AC121" s="504"/>
      <c r="AD121" s="506"/>
      <c r="AE121" s="502"/>
      <c r="AF121" s="504"/>
      <c r="AG121" s="506"/>
      <c r="AH121" s="502"/>
      <c r="AI121" s="508"/>
      <c r="AJ121" s="510"/>
      <c r="AK121" s="512"/>
      <c r="AL121" s="508"/>
      <c r="AM121" s="510"/>
      <c r="AN121" s="512"/>
      <c r="AO121" s="514"/>
      <c r="AP121" s="516"/>
      <c r="AQ121" s="518"/>
      <c r="AR121" s="514"/>
      <c r="AS121" s="516"/>
      <c r="AT121" s="518"/>
      <c r="AU121" s="514"/>
      <c r="AV121" s="516"/>
      <c r="AW121" s="518"/>
      <c r="AX121" s="514"/>
      <c r="AY121" s="516"/>
      <c r="AZ121" s="518"/>
      <c r="BA121" s="514"/>
      <c r="BB121" s="516"/>
      <c r="BC121" s="518"/>
      <c r="BD121" s="514"/>
      <c r="BE121" s="516"/>
      <c r="BF121" s="518"/>
      <c r="BG121" s="514"/>
      <c r="BH121" s="516"/>
      <c r="BI121" s="518"/>
      <c r="BT121" s="838"/>
      <c r="BU121" s="838"/>
    </row>
    <row r="122" spans="1:73" s="16" customFormat="1" ht="30.75" hidden="1" customHeight="1" thickBot="1">
      <c r="A122" s="432" t="s">
        <v>156</v>
      </c>
      <c r="B122" s="346"/>
      <c r="C122" s="1179" t="s">
        <v>157</v>
      </c>
      <c r="D122" s="421" t="s">
        <v>158</v>
      </c>
      <c r="E122" s="281">
        <v>39</v>
      </c>
      <c r="F122" s="282">
        <v>92</v>
      </c>
      <c r="G122" s="348"/>
      <c r="H122" s="282">
        <v>364</v>
      </c>
      <c r="I122" s="459">
        <v>0</v>
      </c>
      <c r="J122" s="349"/>
      <c r="K122" s="284">
        <f t="shared" si="20"/>
        <v>-364</v>
      </c>
      <c r="L122" s="365">
        <f t="shared" si="13"/>
        <v>3.9433333333333334</v>
      </c>
      <c r="M122" s="285">
        <f t="shared" si="17"/>
        <v>0</v>
      </c>
      <c r="N122" s="475"/>
      <c r="O122" s="279">
        <f t="shared" si="19"/>
        <v>41578</v>
      </c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T122" s="838"/>
      <c r="BU122" s="838"/>
    </row>
    <row r="123" spans="1:73" s="16" customFormat="1" ht="30.75" hidden="1" customHeight="1" thickBot="1">
      <c r="A123" s="433"/>
      <c r="B123" s="346"/>
      <c r="C123" s="1180"/>
      <c r="D123" s="422" t="s">
        <v>159</v>
      </c>
      <c r="E123" s="281">
        <v>39</v>
      </c>
      <c r="F123" s="282">
        <v>92</v>
      </c>
      <c r="G123" s="350"/>
      <c r="H123" s="282">
        <v>364</v>
      </c>
      <c r="I123" s="459">
        <v>0</v>
      </c>
      <c r="J123" s="349"/>
      <c r="K123" s="284">
        <f t="shared" si="20"/>
        <v>-364</v>
      </c>
      <c r="L123" s="365">
        <f t="shared" si="13"/>
        <v>3.9433333333333334</v>
      </c>
      <c r="M123" s="285">
        <f t="shared" si="17"/>
        <v>0</v>
      </c>
      <c r="N123" s="475"/>
      <c r="O123" s="279">
        <f t="shared" si="19"/>
        <v>41578</v>
      </c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T123" s="838"/>
      <c r="BU123" s="838"/>
    </row>
    <row r="124" spans="1:73" s="16" customFormat="1" ht="30.75" hidden="1" customHeight="1" thickBot="1">
      <c r="A124" s="433"/>
      <c r="B124" s="346"/>
      <c r="C124" s="1179" t="s">
        <v>160</v>
      </c>
      <c r="D124" s="421" t="s">
        <v>161</v>
      </c>
      <c r="E124" s="281">
        <v>34</v>
      </c>
      <c r="F124" s="282">
        <v>106</v>
      </c>
      <c r="G124" s="348"/>
      <c r="H124" s="282">
        <v>448</v>
      </c>
      <c r="I124" s="459">
        <v>0</v>
      </c>
      <c r="J124" s="349"/>
      <c r="K124" s="284">
        <f t="shared" si="20"/>
        <v>-448</v>
      </c>
      <c r="L124" s="365">
        <f t="shared" si="13"/>
        <v>4.2311111111111108</v>
      </c>
      <c r="M124" s="285">
        <f t="shared" si="17"/>
        <v>0</v>
      </c>
      <c r="N124" s="475"/>
      <c r="O124" s="279">
        <f t="shared" si="19"/>
        <v>41578</v>
      </c>
      <c r="R124" s="17"/>
      <c r="S124" s="17"/>
      <c r="T124" s="17"/>
      <c r="U124" s="17"/>
      <c r="V124" s="17"/>
      <c r="W124" s="17"/>
      <c r="X124" s="17"/>
      <c r="Y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T124" s="838"/>
      <c r="BU124" s="838"/>
    </row>
    <row r="125" spans="1:73" s="16" customFormat="1" ht="30.75" hidden="1" customHeight="1" thickBot="1">
      <c r="A125" s="433"/>
      <c r="B125" s="346"/>
      <c r="C125" s="1187"/>
      <c r="D125" s="423" t="s">
        <v>162</v>
      </c>
      <c r="E125" s="281">
        <v>34</v>
      </c>
      <c r="F125" s="282">
        <v>106</v>
      </c>
      <c r="G125" s="351"/>
      <c r="H125" s="282">
        <v>448</v>
      </c>
      <c r="I125" s="459">
        <v>0</v>
      </c>
      <c r="J125" s="349"/>
      <c r="K125" s="284">
        <f t="shared" si="20"/>
        <v>-448</v>
      </c>
      <c r="L125" s="365">
        <f t="shared" si="13"/>
        <v>4.2311111111111108</v>
      </c>
      <c r="M125" s="285">
        <f t="shared" si="17"/>
        <v>0</v>
      </c>
      <c r="N125" s="475"/>
      <c r="O125" s="279">
        <f t="shared" si="19"/>
        <v>41578</v>
      </c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T125" s="838"/>
      <c r="BU125" s="838"/>
    </row>
    <row r="126" spans="1:73" s="16" customFormat="1" ht="30.75" hidden="1" customHeight="1" thickBot="1">
      <c r="A126" s="433"/>
      <c r="B126" s="346"/>
      <c r="C126" s="1187"/>
      <c r="D126" s="423" t="s">
        <v>163</v>
      </c>
      <c r="E126" s="281">
        <v>34</v>
      </c>
      <c r="F126" s="282">
        <v>106</v>
      </c>
      <c r="G126" s="351"/>
      <c r="H126" s="282">
        <v>448</v>
      </c>
      <c r="I126" s="459">
        <v>0</v>
      </c>
      <c r="J126" s="349"/>
      <c r="K126" s="284">
        <f t="shared" si="20"/>
        <v>-448</v>
      </c>
      <c r="L126" s="365">
        <f t="shared" si="13"/>
        <v>4.2311111111111108</v>
      </c>
      <c r="M126" s="285">
        <f t="shared" si="17"/>
        <v>0</v>
      </c>
      <c r="N126" s="475"/>
      <c r="O126" s="279">
        <f t="shared" si="19"/>
        <v>41578</v>
      </c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T126" s="838"/>
      <c r="BU126" s="838"/>
    </row>
    <row r="127" spans="1:73" s="16" customFormat="1" ht="30.75" hidden="1" customHeight="1" thickBot="1">
      <c r="A127" s="433"/>
      <c r="B127" s="346"/>
      <c r="C127" s="1187"/>
      <c r="D127" s="423" t="s">
        <v>164</v>
      </c>
      <c r="E127" s="281">
        <v>34</v>
      </c>
      <c r="F127" s="282">
        <v>106</v>
      </c>
      <c r="G127" s="351"/>
      <c r="H127" s="282">
        <v>448</v>
      </c>
      <c r="I127" s="459">
        <v>0</v>
      </c>
      <c r="J127" s="349"/>
      <c r="K127" s="284">
        <f t="shared" si="20"/>
        <v>-448</v>
      </c>
      <c r="L127" s="365">
        <f t="shared" si="13"/>
        <v>4.2311111111111108</v>
      </c>
      <c r="M127" s="285">
        <f t="shared" si="17"/>
        <v>0</v>
      </c>
      <c r="N127" s="475"/>
      <c r="O127" s="279">
        <f t="shared" si="19"/>
        <v>41578</v>
      </c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T127" s="838"/>
      <c r="BU127" s="838"/>
    </row>
    <row r="128" spans="1:73" s="16" customFormat="1" ht="30.75" hidden="1" customHeight="1" thickBot="1">
      <c r="A128" s="433"/>
      <c r="B128" s="346"/>
      <c r="C128" s="1187"/>
      <c r="D128" s="423" t="s">
        <v>165</v>
      </c>
      <c r="E128" s="281">
        <v>34</v>
      </c>
      <c r="F128" s="282">
        <v>106</v>
      </c>
      <c r="G128" s="351"/>
      <c r="H128" s="282">
        <v>448</v>
      </c>
      <c r="I128" s="459">
        <v>0</v>
      </c>
      <c r="J128" s="349"/>
      <c r="K128" s="284">
        <f t="shared" si="20"/>
        <v>-448</v>
      </c>
      <c r="L128" s="365">
        <f t="shared" si="13"/>
        <v>4.2311111111111108</v>
      </c>
      <c r="M128" s="285">
        <f t="shared" si="17"/>
        <v>0</v>
      </c>
      <c r="N128" s="475"/>
      <c r="O128" s="279">
        <f t="shared" si="19"/>
        <v>41578</v>
      </c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T128" s="838"/>
      <c r="BU128" s="838"/>
    </row>
    <row r="129" spans="1:73" s="16" customFormat="1" ht="30.75" hidden="1" customHeight="1" thickBot="1">
      <c r="A129" s="433"/>
      <c r="B129" s="346"/>
      <c r="C129" s="1187"/>
      <c r="D129" s="423" t="s">
        <v>166</v>
      </c>
      <c r="E129" s="281">
        <v>34</v>
      </c>
      <c r="F129" s="282">
        <v>106</v>
      </c>
      <c r="G129" s="351"/>
      <c r="H129" s="282">
        <v>448</v>
      </c>
      <c r="I129" s="459">
        <v>0</v>
      </c>
      <c r="J129" s="349"/>
      <c r="K129" s="284">
        <f t="shared" si="20"/>
        <v>-448</v>
      </c>
      <c r="L129" s="365">
        <f t="shared" si="13"/>
        <v>4.2311111111111108</v>
      </c>
      <c r="M129" s="285">
        <f t="shared" si="17"/>
        <v>0</v>
      </c>
      <c r="N129" s="475"/>
      <c r="O129" s="279">
        <f t="shared" si="19"/>
        <v>41578</v>
      </c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T129" s="838"/>
      <c r="BU129" s="838"/>
    </row>
    <row r="130" spans="1:73" s="16" customFormat="1" ht="30.75" hidden="1" customHeight="1" thickBot="1">
      <c r="A130" s="433"/>
      <c r="B130" s="346"/>
      <c r="C130" s="1187"/>
      <c r="D130" s="423" t="s">
        <v>167</v>
      </c>
      <c r="E130" s="281">
        <v>34</v>
      </c>
      <c r="F130" s="282">
        <v>106</v>
      </c>
      <c r="G130" s="351"/>
      <c r="H130" s="282">
        <v>448</v>
      </c>
      <c r="I130" s="459">
        <v>0</v>
      </c>
      <c r="J130" s="349"/>
      <c r="K130" s="284">
        <f t="shared" si="20"/>
        <v>-448</v>
      </c>
      <c r="L130" s="365">
        <f t="shared" si="13"/>
        <v>4.2311111111111108</v>
      </c>
      <c r="M130" s="285">
        <f t="shared" si="17"/>
        <v>0</v>
      </c>
      <c r="N130" s="475"/>
      <c r="O130" s="279">
        <f t="shared" si="19"/>
        <v>41578</v>
      </c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T130" s="838"/>
      <c r="BU130" s="838"/>
    </row>
    <row r="131" spans="1:73" s="16" customFormat="1" ht="30.75" hidden="1" customHeight="1" thickBot="1">
      <c r="A131" s="433"/>
      <c r="B131" s="346"/>
      <c r="C131" s="1187"/>
      <c r="D131" s="423" t="s">
        <v>168</v>
      </c>
      <c r="E131" s="281">
        <v>34</v>
      </c>
      <c r="F131" s="282">
        <v>106</v>
      </c>
      <c r="G131" s="351"/>
      <c r="H131" s="282">
        <v>448</v>
      </c>
      <c r="I131" s="459">
        <v>0</v>
      </c>
      <c r="J131" s="349"/>
      <c r="K131" s="284">
        <f t="shared" si="20"/>
        <v>-448</v>
      </c>
      <c r="L131" s="365">
        <f t="shared" si="13"/>
        <v>4.2311111111111108</v>
      </c>
      <c r="M131" s="285">
        <f t="shared" si="17"/>
        <v>0</v>
      </c>
      <c r="N131" s="475"/>
      <c r="O131" s="279">
        <f t="shared" si="19"/>
        <v>41578</v>
      </c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T131" s="838"/>
      <c r="BU131" s="838"/>
    </row>
    <row r="132" spans="1:73" s="16" customFormat="1" ht="30.75" hidden="1" customHeight="1" thickBot="1">
      <c r="A132" s="433"/>
      <c r="B132" s="346"/>
      <c r="C132" s="1187"/>
      <c r="D132" s="423" t="s">
        <v>169</v>
      </c>
      <c r="E132" s="281">
        <v>34</v>
      </c>
      <c r="F132" s="282">
        <v>106</v>
      </c>
      <c r="G132" s="351"/>
      <c r="H132" s="282">
        <v>448</v>
      </c>
      <c r="I132" s="459">
        <v>0</v>
      </c>
      <c r="J132" s="349"/>
      <c r="K132" s="284">
        <f t="shared" si="20"/>
        <v>-448</v>
      </c>
      <c r="L132" s="365">
        <f t="shared" si="13"/>
        <v>4.2311111111111108</v>
      </c>
      <c r="M132" s="285">
        <f t="shared" si="17"/>
        <v>0</v>
      </c>
      <c r="N132" s="475"/>
      <c r="O132" s="279">
        <f t="shared" si="19"/>
        <v>41578</v>
      </c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T132" s="838"/>
      <c r="BU132" s="838"/>
    </row>
    <row r="133" spans="1:73" s="16" customFormat="1" ht="30.75" hidden="1" customHeight="1" thickBot="1">
      <c r="A133" s="433"/>
      <c r="B133" s="346"/>
      <c r="C133" s="1180"/>
      <c r="D133" s="422" t="s">
        <v>170</v>
      </c>
      <c r="E133" s="281">
        <v>34</v>
      </c>
      <c r="F133" s="282">
        <v>106</v>
      </c>
      <c r="G133" s="350"/>
      <c r="H133" s="282">
        <v>448</v>
      </c>
      <c r="I133" s="459">
        <v>0</v>
      </c>
      <c r="J133" s="349"/>
      <c r="K133" s="284">
        <f t="shared" si="20"/>
        <v>-448</v>
      </c>
      <c r="L133" s="365">
        <f t="shared" si="13"/>
        <v>4.2311111111111108</v>
      </c>
      <c r="M133" s="285">
        <f t="shared" si="17"/>
        <v>0</v>
      </c>
      <c r="N133" s="475"/>
      <c r="O133" s="279">
        <f t="shared" si="19"/>
        <v>41578</v>
      </c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T133" s="838"/>
      <c r="BU133" s="838"/>
    </row>
    <row r="134" spans="1:73" s="16" customFormat="1" ht="30.75" hidden="1" customHeight="1" thickBot="1">
      <c r="A134" s="433"/>
      <c r="B134" s="346"/>
      <c r="C134" s="1179" t="s">
        <v>171</v>
      </c>
      <c r="D134" s="421" t="s">
        <v>172</v>
      </c>
      <c r="E134" s="281">
        <v>34</v>
      </c>
      <c r="F134" s="282">
        <v>106</v>
      </c>
      <c r="G134" s="348"/>
      <c r="H134" s="282">
        <v>448</v>
      </c>
      <c r="I134" s="459">
        <v>0</v>
      </c>
      <c r="J134" s="349"/>
      <c r="K134" s="284">
        <f t="shared" si="20"/>
        <v>-448</v>
      </c>
      <c r="L134" s="365">
        <f t="shared" si="13"/>
        <v>4.2311111111111108</v>
      </c>
      <c r="M134" s="285">
        <f t="shared" si="17"/>
        <v>0</v>
      </c>
      <c r="N134" s="475"/>
      <c r="O134" s="279">
        <f t="shared" si="19"/>
        <v>41578</v>
      </c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T134" s="838"/>
      <c r="BU134" s="838"/>
    </row>
    <row r="135" spans="1:73" s="16" customFormat="1" ht="30.75" hidden="1" customHeight="1" thickBot="1">
      <c r="A135" s="433"/>
      <c r="B135" s="346"/>
      <c r="C135" s="1187"/>
      <c r="D135" s="423" t="s">
        <v>173</v>
      </c>
      <c r="E135" s="281">
        <v>34</v>
      </c>
      <c r="F135" s="282">
        <v>106</v>
      </c>
      <c r="G135" s="351"/>
      <c r="H135" s="282">
        <v>448</v>
      </c>
      <c r="I135" s="459">
        <v>0</v>
      </c>
      <c r="J135" s="349"/>
      <c r="K135" s="284">
        <f t="shared" si="20"/>
        <v>-448</v>
      </c>
      <c r="L135" s="365">
        <f t="shared" si="13"/>
        <v>4.2311111111111108</v>
      </c>
      <c r="M135" s="285">
        <f t="shared" si="17"/>
        <v>0</v>
      </c>
      <c r="N135" s="475"/>
      <c r="O135" s="279">
        <f t="shared" si="19"/>
        <v>41578</v>
      </c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T135" s="838"/>
      <c r="BU135" s="838"/>
    </row>
    <row r="136" spans="1:73" s="16" customFormat="1" ht="30.75" hidden="1" customHeight="1" thickBot="1">
      <c r="A136" s="433"/>
      <c r="B136" s="346"/>
      <c r="C136" s="1187"/>
      <c r="D136" s="423" t="s">
        <v>174</v>
      </c>
      <c r="E136" s="281">
        <v>34</v>
      </c>
      <c r="F136" s="282">
        <v>106</v>
      </c>
      <c r="G136" s="351"/>
      <c r="H136" s="282">
        <v>448</v>
      </c>
      <c r="I136" s="459">
        <v>0</v>
      </c>
      <c r="J136" s="349"/>
      <c r="K136" s="284">
        <f t="shared" si="20"/>
        <v>-448</v>
      </c>
      <c r="L136" s="365">
        <f t="shared" si="13"/>
        <v>4.2311111111111108</v>
      </c>
      <c r="M136" s="285">
        <f t="shared" si="17"/>
        <v>0</v>
      </c>
      <c r="N136" s="475"/>
      <c r="O136" s="279">
        <f t="shared" si="19"/>
        <v>41578</v>
      </c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T136" s="838"/>
      <c r="BU136" s="838"/>
    </row>
    <row r="137" spans="1:73" s="16" customFormat="1" ht="30.75" hidden="1" customHeight="1" thickBot="1">
      <c r="A137" s="433"/>
      <c r="B137" s="346"/>
      <c r="C137" s="1187"/>
      <c r="D137" s="423" t="s">
        <v>175</v>
      </c>
      <c r="E137" s="281">
        <v>34</v>
      </c>
      <c r="F137" s="282">
        <v>106</v>
      </c>
      <c r="G137" s="351"/>
      <c r="H137" s="282">
        <v>448</v>
      </c>
      <c r="I137" s="459">
        <v>0</v>
      </c>
      <c r="J137" s="349"/>
      <c r="K137" s="284">
        <f t="shared" si="20"/>
        <v>-448</v>
      </c>
      <c r="L137" s="365">
        <f t="shared" si="13"/>
        <v>4.2311111111111108</v>
      </c>
      <c r="M137" s="285">
        <f t="shared" si="17"/>
        <v>0</v>
      </c>
      <c r="N137" s="475"/>
      <c r="O137" s="279">
        <f t="shared" si="19"/>
        <v>41578</v>
      </c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T137" s="838"/>
      <c r="BU137" s="838"/>
    </row>
    <row r="138" spans="1:73" s="16" customFormat="1" ht="30.75" hidden="1" customHeight="1" thickBot="1">
      <c r="A138" s="433"/>
      <c r="B138" s="346"/>
      <c r="C138" s="1187"/>
      <c r="D138" s="423" t="s">
        <v>176</v>
      </c>
      <c r="E138" s="281">
        <v>34</v>
      </c>
      <c r="F138" s="282">
        <v>106</v>
      </c>
      <c r="G138" s="351"/>
      <c r="H138" s="282">
        <v>448</v>
      </c>
      <c r="I138" s="459">
        <v>0</v>
      </c>
      <c r="J138" s="349"/>
      <c r="K138" s="284">
        <f t="shared" si="20"/>
        <v>-448</v>
      </c>
      <c r="L138" s="365">
        <f t="shared" si="13"/>
        <v>4.2311111111111108</v>
      </c>
      <c r="M138" s="285">
        <f t="shared" si="17"/>
        <v>0</v>
      </c>
      <c r="N138" s="475"/>
      <c r="O138" s="279">
        <f t="shared" si="19"/>
        <v>41578</v>
      </c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T138" s="838"/>
      <c r="BU138" s="838"/>
    </row>
    <row r="139" spans="1:73" s="16" customFormat="1" ht="30.75" hidden="1" customHeight="1" thickBot="1">
      <c r="A139" s="433"/>
      <c r="B139" s="346"/>
      <c r="C139" s="1187"/>
      <c r="D139" s="423" t="s">
        <v>177</v>
      </c>
      <c r="E139" s="281">
        <v>34</v>
      </c>
      <c r="F139" s="282">
        <v>106</v>
      </c>
      <c r="G139" s="351"/>
      <c r="H139" s="282">
        <v>448</v>
      </c>
      <c r="I139" s="459">
        <v>0</v>
      </c>
      <c r="J139" s="349"/>
      <c r="K139" s="284">
        <f t="shared" si="20"/>
        <v>-448</v>
      </c>
      <c r="L139" s="365">
        <f t="shared" si="13"/>
        <v>4.2311111111111108</v>
      </c>
      <c r="M139" s="285">
        <f t="shared" si="17"/>
        <v>0</v>
      </c>
      <c r="N139" s="475"/>
      <c r="O139" s="279">
        <f t="shared" si="19"/>
        <v>41578</v>
      </c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T139" s="838"/>
      <c r="BU139" s="838"/>
    </row>
    <row r="140" spans="1:73" s="16" customFormat="1" ht="30.75" hidden="1" customHeight="1" thickBot="1">
      <c r="A140" s="433"/>
      <c r="B140" s="346"/>
      <c r="C140" s="1187"/>
      <c r="D140" s="423" t="s">
        <v>178</v>
      </c>
      <c r="E140" s="281">
        <v>34</v>
      </c>
      <c r="F140" s="282">
        <v>106</v>
      </c>
      <c r="G140" s="351"/>
      <c r="H140" s="282">
        <v>448</v>
      </c>
      <c r="I140" s="459">
        <v>0</v>
      </c>
      <c r="J140" s="349"/>
      <c r="K140" s="284">
        <f t="shared" si="20"/>
        <v>-448</v>
      </c>
      <c r="L140" s="365">
        <f t="shared" si="13"/>
        <v>4.2311111111111108</v>
      </c>
      <c r="M140" s="285">
        <f t="shared" si="17"/>
        <v>0</v>
      </c>
      <c r="N140" s="475"/>
      <c r="O140" s="279">
        <f t="shared" si="19"/>
        <v>41578</v>
      </c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T140" s="838"/>
      <c r="BU140" s="838"/>
    </row>
    <row r="141" spans="1:73" s="16" customFormat="1" ht="30.75" hidden="1" customHeight="1" thickBot="1">
      <c r="A141" s="433"/>
      <c r="B141" s="346"/>
      <c r="C141" s="1187"/>
      <c r="D141" s="423" t="s">
        <v>179</v>
      </c>
      <c r="E141" s="281">
        <v>34</v>
      </c>
      <c r="F141" s="282">
        <v>106</v>
      </c>
      <c r="G141" s="351"/>
      <c r="H141" s="282">
        <v>448</v>
      </c>
      <c r="I141" s="459">
        <v>0</v>
      </c>
      <c r="J141" s="349"/>
      <c r="K141" s="284">
        <f t="shared" si="20"/>
        <v>-448</v>
      </c>
      <c r="L141" s="365">
        <f t="shared" si="13"/>
        <v>4.2311111111111108</v>
      </c>
      <c r="M141" s="285">
        <f t="shared" si="17"/>
        <v>0</v>
      </c>
      <c r="N141" s="475"/>
      <c r="O141" s="279">
        <f t="shared" si="19"/>
        <v>41578</v>
      </c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T141" s="838"/>
      <c r="BU141" s="838"/>
    </row>
    <row r="142" spans="1:73" s="16" customFormat="1" ht="30.75" hidden="1" customHeight="1" thickBot="1">
      <c r="A142" s="433"/>
      <c r="B142" s="346"/>
      <c r="C142" s="1187"/>
      <c r="D142" s="423" t="s">
        <v>180</v>
      </c>
      <c r="E142" s="281">
        <v>34</v>
      </c>
      <c r="F142" s="282">
        <v>106</v>
      </c>
      <c r="G142" s="351"/>
      <c r="H142" s="282">
        <v>448</v>
      </c>
      <c r="I142" s="459">
        <v>0</v>
      </c>
      <c r="J142" s="349"/>
      <c r="K142" s="284">
        <f t="shared" si="20"/>
        <v>-448</v>
      </c>
      <c r="L142" s="365">
        <f t="shared" si="13"/>
        <v>4.2311111111111108</v>
      </c>
      <c r="M142" s="285">
        <f t="shared" si="17"/>
        <v>0</v>
      </c>
      <c r="N142" s="475"/>
      <c r="O142" s="279">
        <f t="shared" si="19"/>
        <v>41578</v>
      </c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T142" s="838"/>
      <c r="BU142" s="838"/>
    </row>
    <row r="143" spans="1:73" s="16" customFormat="1" ht="30.75" hidden="1" customHeight="1" thickBot="1">
      <c r="A143" s="433"/>
      <c r="B143" s="346"/>
      <c r="C143" s="1180"/>
      <c r="D143" s="422" t="s">
        <v>181</v>
      </c>
      <c r="E143" s="281">
        <v>34</v>
      </c>
      <c r="F143" s="282">
        <v>106</v>
      </c>
      <c r="G143" s="350"/>
      <c r="H143" s="282">
        <v>448</v>
      </c>
      <c r="I143" s="459">
        <v>0</v>
      </c>
      <c r="J143" s="349"/>
      <c r="K143" s="284">
        <f t="shared" si="20"/>
        <v>-448</v>
      </c>
      <c r="L143" s="365">
        <f t="shared" ref="L143:L191" si="21">((H143*E143)/3600)</f>
        <v>4.2311111111111108</v>
      </c>
      <c r="M143" s="285">
        <f t="shared" si="17"/>
        <v>0</v>
      </c>
      <c r="N143" s="475"/>
      <c r="O143" s="279">
        <f t="shared" si="19"/>
        <v>41578</v>
      </c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T143" s="838"/>
      <c r="BU143" s="838"/>
    </row>
    <row r="144" spans="1:73" s="16" customFormat="1" ht="30.75" hidden="1" customHeight="1" thickBot="1">
      <c r="A144" s="433"/>
      <c r="B144" s="346"/>
      <c r="C144" s="1179" t="s">
        <v>182</v>
      </c>
      <c r="D144" s="421" t="s">
        <v>183</v>
      </c>
      <c r="E144" s="1181">
        <v>32</v>
      </c>
      <c r="F144" s="1183">
        <v>113</v>
      </c>
      <c r="G144" s="348"/>
      <c r="H144" s="282">
        <v>448</v>
      </c>
      <c r="I144" s="459">
        <v>0</v>
      </c>
      <c r="J144" s="349"/>
      <c r="K144" s="284">
        <f t="shared" si="20"/>
        <v>-448</v>
      </c>
      <c r="L144" s="365">
        <f t="shared" si="21"/>
        <v>3.9822222222222221</v>
      </c>
      <c r="M144" s="285">
        <f t="shared" si="17"/>
        <v>0</v>
      </c>
      <c r="N144" s="475"/>
      <c r="O144" s="279">
        <f t="shared" si="19"/>
        <v>41578</v>
      </c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T144" s="838"/>
      <c r="BU144" s="838"/>
    </row>
    <row r="145" spans="1:73" s="16" customFormat="1" ht="30.75" hidden="1" customHeight="1" thickBot="1">
      <c r="A145" s="433"/>
      <c r="B145" s="346"/>
      <c r="C145" s="1180"/>
      <c r="D145" s="422" t="s">
        <v>184</v>
      </c>
      <c r="E145" s="1182"/>
      <c r="F145" s="1184"/>
      <c r="G145" s="350"/>
      <c r="H145" s="282">
        <v>448</v>
      </c>
      <c r="I145" s="459">
        <v>0</v>
      </c>
      <c r="J145" s="349"/>
      <c r="K145" s="284">
        <f t="shared" si="20"/>
        <v>-448</v>
      </c>
      <c r="L145" s="365">
        <f t="shared" si="21"/>
        <v>0</v>
      </c>
      <c r="M145" s="285">
        <f t="shared" si="17"/>
        <v>0</v>
      </c>
      <c r="N145" s="475"/>
      <c r="O145" s="279">
        <f t="shared" si="19"/>
        <v>41578</v>
      </c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T145" s="838"/>
      <c r="BU145" s="838"/>
    </row>
    <row r="146" spans="1:73" s="16" customFormat="1" ht="30.75" hidden="1" customHeight="1" thickBot="1">
      <c r="A146" s="433"/>
      <c r="B146" s="346"/>
      <c r="C146" s="1179" t="s">
        <v>185</v>
      </c>
      <c r="D146" s="421" t="s">
        <v>183</v>
      </c>
      <c r="E146" s="1181">
        <v>32</v>
      </c>
      <c r="F146" s="1183">
        <v>113</v>
      </c>
      <c r="G146" s="348"/>
      <c r="H146" s="282">
        <v>64</v>
      </c>
      <c r="I146" s="459">
        <v>0</v>
      </c>
      <c r="J146" s="349"/>
      <c r="K146" s="284">
        <f t="shared" si="20"/>
        <v>-64</v>
      </c>
      <c r="L146" s="365">
        <f t="shared" si="21"/>
        <v>0.56888888888888889</v>
      </c>
      <c r="M146" s="285">
        <f t="shared" si="17"/>
        <v>0</v>
      </c>
      <c r="N146" s="475"/>
      <c r="O146" s="279">
        <f t="shared" si="19"/>
        <v>41578</v>
      </c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T146" s="838"/>
      <c r="BU146" s="838"/>
    </row>
    <row r="147" spans="1:73" s="16" customFormat="1" ht="30.75" hidden="1" customHeight="1" thickBot="1">
      <c r="A147" s="434"/>
      <c r="B147" s="352"/>
      <c r="C147" s="1180"/>
      <c r="D147" s="422" t="s">
        <v>184</v>
      </c>
      <c r="E147" s="1182"/>
      <c r="F147" s="1184"/>
      <c r="G147" s="350"/>
      <c r="H147" s="282">
        <v>64</v>
      </c>
      <c r="I147" s="459">
        <v>0</v>
      </c>
      <c r="J147" s="349"/>
      <c r="K147" s="284">
        <f t="shared" si="20"/>
        <v>-64</v>
      </c>
      <c r="L147" s="365">
        <f t="shared" si="21"/>
        <v>0</v>
      </c>
      <c r="M147" s="285">
        <f t="shared" si="17"/>
        <v>0</v>
      </c>
      <c r="N147" s="475"/>
      <c r="O147" s="279">
        <f t="shared" si="19"/>
        <v>41578</v>
      </c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T147" s="838"/>
      <c r="BU147" s="838"/>
    </row>
    <row r="148" spans="1:73" s="16" customFormat="1" ht="30.75" hidden="1" customHeight="1" thickBot="1">
      <c r="A148" s="435" t="s">
        <v>209</v>
      </c>
      <c r="B148" s="353"/>
      <c r="C148" s="1179" t="s">
        <v>186</v>
      </c>
      <c r="D148" s="421" t="s">
        <v>187</v>
      </c>
      <c r="E148" s="281">
        <v>26</v>
      </c>
      <c r="F148" s="282">
        <v>138</v>
      </c>
      <c r="G148" s="348"/>
      <c r="H148" s="282">
        <v>896</v>
      </c>
      <c r="I148" s="459">
        <v>0</v>
      </c>
      <c r="J148" s="349"/>
      <c r="K148" s="284">
        <f t="shared" si="20"/>
        <v>-896</v>
      </c>
      <c r="L148" s="365">
        <f t="shared" si="21"/>
        <v>6.471111111111111</v>
      </c>
      <c r="M148" s="285">
        <f t="shared" si="17"/>
        <v>0</v>
      </c>
      <c r="N148" s="475"/>
      <c r="O148" s="279">
        <f t="shared" si="19"/>
        <v>41578</v>
      </c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T148" s="838"/>
      <c r="BU148" s="838"/>
    </row>
    <row r="149" spans="1:73" s="16" customFormat="1" ht="30.75" hidden="1" customHeight="1" thickBot="1">
      <c r="A149" s="433"/>
      <c r="B149" s="346"/>
      <c r="C149" s="1180"/>
      <c r="D149" s="422" t="s">
        <v>188</v>
      </c>
      <c r="E149" s="281">
        <v>26</v>
      </c>
      <c r="F149" s="282">
        <v>138</v>
      </c>
      <c r="G149" s="350"/>
      <c r="H149" s="282">
        <v>896</v>
      </c>
      <c r="I149" s="459">
        <v>0</v>
      </c>
      <c r="J149" s="349"/>
      <c r="K149" s="284">
        <f t="shared" si="20"/>
        <v>-896</v>
      </c>
      <c r="L149" s="365">
        <f t="shared" si="21"/>
        <v>6.471111111111111</v>
      </c>
      <c r="M149" s="285">
        <f t="shared" si="17"/>
        <v>0</v>
      </c>
      <c r="N149" s="475"/>
      <c r="O149" s="279">
        <f t="shared" si="19"/>
        <v>41578</v>
      </c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T149" s="838"/>
      <c r="BU149" s="838"/>
    </row>
    <row r="150" spans="1:73" s="16" customFormat="1" ht="30.75" hidden="1" customHeight="1" thickBot="1">
      <c r="A150" s="433"/>
      <c r="B150" s="346"/>
      <c r="C150" s="1179" t="s">
        <v>189</v>
      </c>
      <c r="D150" s="421" t="s">
        <v>190</v>
      </c>
      <c r="E150" s="281">
        <v>24</v>
      </c>
      <c r="F150" s="282">
        <v>150</v>
      </c>
      <c r="G150" s="348"/>
      <c r="H150" s="282">
        <v>896</v>
      </c>
      <c r="I150" s="459">
        <v>0</v>
      </c>
      <c r="J150" s="349"/>
      <c r="K150" s="284">
        <f t="shared" si="20"/>
        <v>-896</v>
      </c>
      <c r="L150" s="365">
        <f t="shared" si="21"/>
        <v>5.9733333333333336</v>
      </c>
      <c r="M150" s="285">
        <f t="shared" si="17"/>
        <v>0</v>
      </c>
      <c r="N150" s="475"/>
      <c r="O150" s="279">
        <f t="shared" si="19"/>
        <v>41578</v>
      </c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T150" s="838"/>
      <c r="BU150" s="838"/>
    </row>
    <row r="151" spans="1:73" s="16" customFormat="1" ht="30.75" hidden="1" customHeight="1" thickBot="1">
      <c r="A151" s="433"/>
      <c r="B151" s="346"/>
      <c r="C151" s="1180"/>
      <c r="D151" s="422" t="s">
        <v>191</v>
      </c>
      <c r="E151" s="281">
        <v>24</v>
      </c>
      <c r="F151" s="282">
        <v>150</v>
      </c>
      <c r="G151" s="350"/>
      <c r="H151" s="282">
        <v>896</v>
      </c>
      <c r="I151" s="459">
        <v>0</v>
      </c>
      <c r="J151" s="349"/>
      <c r="K151" s="284">
        <f t="shared" si="20"/>
        <v>-896</v>
      </c>
      <c r="L151" s="365">
        <f t="shared" si="21"/>
        <v>5.9733333333333336</v>
      </c>
      <c r="M151" s="285">
        <f t="shared" si="17"/>
        <v>0</v>
      </c>
      <c r="N151" s="475"/>
      <c r="O151" s="279">
        <f t="shared" si="19"/>
        <v>41578</v>
      </c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T151" s="838"/>
      <c r="BU151" s="838"/>
    </row>
    <row r="152" spans="1:73" s="16" customFormat="1" ht="30.75" hidden="1" customHeight="1" thickBot="1">
      <c r="A152" s="433"/>
      <c r="B152" s="346"/>
      <c r="C152" s="354" t="s">
        <v>192</v>
      </c>
      <c r="D152" s="424" t="s">
        <v>193</v>
      </c>
      <c r="E152" s="281">
        <v>33</v>
      </c>
      <c r="F152" s="282">
        <v>109</v>
      </c>
      <c r="G152" s="355"/>
      <c r="H152" s="282">
        <v>896</v>
      </c>
      <c r="I152" s="459">
        <v>0</v>
      </c>
      <c r="J152" s="349"/>
      <c r="K152" s="284">
        <f>I152-H152</f>
        <v>-896</v>
      </c>
      <c r="L152" s="365">
        <f t="shared" si="21"/>
        <v>8.2133333333333329</v>
      </c>
      <c r="M152" s="285">
        <f t="shared" si="17"/>
        <v>0</v>
      </c>
      <c r="N152" s="475"/>
      <c r="O152" s="279">
        <f t="shared" si="19"/>
        <v>41578</v>
      </c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T152" s="838"/>
      <c r="BU152" s="838"/>
    </row>
    <row r="153" spans="1:73" s="79" customFormat="1" ht="30.75" hidden="1" customHeight="1" thickBot="1">
      <c r="A153" s="433"/>
      <c r="B153" s="346"/>
      <c r="C153" s="354" t="s">
        <v>207</v>
      </c>
      <c r="D153" s="424" t="s">
        <v>194</v>
      </c>
      <c r="E153" s="281">
        <v>27</v>
      </c>
      <c r="F153" s="282">
        <v>133</v>
      </c>
      <c r="G153" s="355"/>
      <c r="H153" s="282">
        <v>1024</v>
      </c>
      <c r="I153" s="459">
        <v>0</v>
      </c>
      <c r="J153" s="349"/>
      <c r="K153" s="284">
        <f t="shared" si="20"/>
        <v>-1024</v>
      </c>
      <c r="L153" s="365">
        <f t="shared" si="21"/>
        <v>7.68</v>
      </c>
      <c r="M153" s="285">
        <f t="shared" si="17"/>
        <v>0</v>
      </c>
      <c r="N153" s="475"/>
      <c r="O153" s="279">
        <f t="shared" si="19"/>
        <v>41578</v>
      </c>
      <c r="R153" s="80"/>
      <c r="S153" s="80"/>
      <c r="T153" s="80"/>
      <c r="U153" s="80"/>
      <c r="V153" s="80"/>
      <c r="W153" s="80"/>
      <c r="X153" s="80"/>
      <c r="Y153" s="80"/>
      <c r="Z153" s="80"/>
      <c r="AA153" s="80"/>
      <c r="AB153" s="80"/>
      <c r="AC153" s="80"/>
      <c r="AD153" s="80"/>
      <c r="AE153" s="80"/>
      <c r="AF153" s="80"/>
      <c r="AG153" s="80"/>
      <c r="AH153" s="80"/>
      <c r="AI153" s="80"/>
      <c r="AJ153" s="80"/>
      <c r="AK153" s="80"/>
      <c r="AL153" s="80"/>
      <c r="AM153" s="80"/>
      <c r="AN153" s="80"/>
      <c r="AO153" s="80"/>
      <c r="AP153" s="80"/>
      <c r="AQ153" s="80"/>
      <c r="AR153" s="80"/>
      <c r="AS153" s="80"/>
      <c r="AT153" s="80"/>
      <c r="AU153" s="80"/>
      <c r="AV153" s="80"/>
      <c r="AW153" s="80"/>
      <c r="AX153" s="80"/>
      <c r="AY153" s="80"/>
      <c r="AZ153" s="80"/>
      <c r="BA153" s="80"/>
      <c r="BB153" s="80"/>
      <c r="BC153" s="80"/>
      <c r="BT153" s="839"/>
      <c r="BU153" s="839"/>
    </row>
    <row r="154" spans="1:73" s="79" customFormat="1" ht="30.75" hidden="1" customHeight="1" thickBot="1">
      <c r="A154" s="433"/>
      <c r="B154" s="346"/>
      <c r="C154" s="1179" t="s">
        <v>197</v>
      </c>
      <c r="D154" s="421" t="s">
        <v>195</v>
      </c>
      <c r="E154" s="1181">
        <v>27</v>
      </c>
      <c r="F154" s="1183">
        <v>133</v>
      </c>
      <c r="G154" s="348"/>
      <c r="H154" s="282">
        <v>512</v>
      </c>
      <c r="I154" s="459">
        <v>0</v>
      </c>
      <c r="J154" s="349"/>
      <c r="K154" s="284">
        <f t="shared" si="20"/>
        <v>-512</v>
      </c>
      <c r="L154" s="365">
        <f t="shared" si="21"/>
        <v>3.84</v>
      </c>
      <c r="M154" s="285">
        <f t="shared" si="17"/>
        <v>0</v>
      </c>
      <c r="N154" s="475"/>
      <c r="O154" s="279">
        <f t="shared" si="19"/>
        <v>41578</v>
      </c>
      <c r="R154" s="80"/>
      <c r="S154" s="80"/>
      <c r="T154" s="80"/>
      <c r="U154" s="80"/>
      <c r="V154" s="80"/>
      <c r="W154" s="80"/>
      <c r="X154" s="80"/>
      <c r="Y154" s="80"/>
      <c r="Z154" s="80"/>
      <c r="AA154" s="80"/>
      <c r="AB154" s="80"/>
      <c r="AC154" s="80"/>
      <c r="AD154" s="80"/>
      <c r="AE154" s="80"/>
      <c r="AF154" s="80"/>
      <c r="AG154" s="80"/>
      <c r="AH154" s="80"/>
      <c r="AI154" s="80"/>
      <c r="AJ154" s="80"/>
      <c r="AK154" s="80"/>
      <c r="AL154" s="80"/>
      <c r="AM154" s="80"/>
      <c r="AN154" s="80"/>
      <c r="AO154" s="80"/>
      <c r="AP154" s="80"/>
      <c r="AQ154" s="80"/>
      <c r="AR154" s="80"/>
      <c r="AS154" s="80"/>
      <c r="AT154" s="80"/>
      <c r="AU154" s="80"/>
      <c r="AV154" s="80"/>
      <c r="AW154" s="80"/>
      <c r="AX154" s="80"/>
      <c r="AY154" s="80"/>
      <c r="AZ154" s="80"/>
      <c r="BA154" s="80"/>
      <c r="BB154" s="80"/>
      <c r="BC154" s="80"/>
      <c r="BT154" s="839"/>
      <c r="BU154" s="839"/>
    </row>
    <row r="155" spans="1:73" s="79" customFormat="1" ht="30.75" hidden="1" customHeight="1" thickBot="1">
      <c r="A155" s="433"/>
      <c r="B155" s="346"/>
      <c r="C155" s="1180"/>
      <c r="D155" s="422" t="s">
        <v>196</v>
      </c>
      <c r="E155" s="1182"/>
      <c r="F155" s="1184"/>
      <c r="G155" s="350"/>
      <c r="H155" s="282">
        <v>512</v>
      </c>
      <c r="I155" s="459">
        <v>0</v>
      </c>
      <c r="J155" s="349"/>
      <c r="K155" s="284">
        <f t="shared" si="20"/>
        <v>-512</v>
      </c>
      <c r="L155" s="365">
        <f t="shared" si="21"/>
        <v>0</v>
      </c>
      <c r="M155" s="285">
        <f t="shared" si="17"/>
        <v>0</v>
      </c>
      <c r="N155" s="475"/>
      <c r="O155" s="279">
        <f t="shared" si="19"/>
        <v>41578</v>
      </c>
      <c r="R155" s="80"/>
      <c r="S155" s="80"/>
      <c r="T155" s="80"/>
      <c r="U155" s="80"/>
      <c r="V155" s="80"/>
      <c r="W155" s="80"/>
      <c r="X155" s="80"/>
      <c r="Y155" s="80"/>
      <c r="Z155" s="80"/>
      <c r="AA155" s="80"/>
      <c r="AB155" s="80"/>
      <c r="AC155" s="80"/>
      <c r="AD155" s="80"/>
      <c r="AE155" s="80"/>
      <c r="AF155" s="80"/>
      <c r="AG155" s="80"/>
      <c r="AH155" s="80"/>
      <c r="AI155" s="80"/>
      <c r="AJ155" s="80"/>
      <c r="AK155" s="80"/>
      <c r="AL155" s="80"/>
      <c r="AM155" s="80"/>
      <c r="AN155" s="80"/>
      <c r="AO155" s="80"/>
      <c r="AP155" s="80"/>
      <c r="AQ155" s="80"/>
      <c r="AR155" s="80"/>
      <c r="AS155" s="80"/>
      <c r="AT155" s="80"/>
      <c r="AU155" s="80"/>
      <c r="AV155" s="80"/>
      <c r="AW155" s="80"/>
      <c r="AX155" s="80"/>
      <c r="AY155" s="80"/>
      <c r="AZ155" s="80"/>
      <c r="BA155" s="80"/>
      <c r="BB155" s="80"/>
      <c r="BC155" s="80"/>
      <c r="BT155" s="839"/>
      <c r="BU155" s="839"/>
    </row>
    <row r="156" spans="1:73" s="79" customFormat="1" ht="30.75" hidden="1" customHeight="1" thickBot="1">
      <c r="A156" s="433"/>
      <c r="B156" s="346"/>
      <c r="C156" s="356" t="s">
        <v>198</v>
      </c>
      <c r="D156" s="424" t="s">
        <v>199</v>
      </c>
      <c r="E156" s="281">
        <v>19</v>
      </c>
      <c r="F156" s="282">
        <v>189</v>
      </c>
      <c r="G156" s="355"/>
      <c r="H156" s="282">
        <v>1024</v>
      </c>
      <c r="I156" s="459">
        <v>0</v>
      </c>
      <c r="J156" s="349"/>
      <c r="K156" s="284">
        <f t="shared" si="20"/>
        <v>-1024</v>
      </c>
      <c r="L156" s="365">
        <f t="shared" si="21"/>
        <v>5.4044444444444446</v>
      </c>
      <c r="M156" s="285">
        <f t="shared" si="17"/>
        <v>0</v>
      </c>
      <c r="N156" s="475"/>
      <c r="O156" s="279">
        <f t="shared" si="19"/>
        <v>41578</v>
      </c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  <c r="AC156" s="80"/>
      <c r="AD156" s="80"/>
      <c r="AE156" s="80"/>
      <c r="AF156" s="80"/>
      <c r="AG156" s="80"/>
      <c r="AH156" s="80"/>
      <c r="AI156" s="80"/>
      <c r="AJ156" s="80"/>
      <c r="AK156" s="80"/>
      <c r="AL156" s="80"/>
      <c r="AM156" s="80"/>
      <c r="AN156" s="80"/>
      <c r="AO156" s="80"/>
      <c r="AP156" s="80"/>
      <c r="AQ156" s="80"/>
      <c r="AR156" s="80"/>
      <c r="AS156" s="80"/>
      <c r="AT156" s="80"/>
      <c r="AU156" s="80"/>
      <c r="AV156" s="80"/>
      <c r="AW156" s="80"/>
      <c r="AX156" s="80"/>
      <c r="AY156" s="80"/>
      <c r="AZ156" s="80"/>
      <c r="BA156" s="80"/>
      <c r="BB156" s="80"/>
      <c r="BC156" s="80"/>
      <c r="BT156" s="839"/>
      <c r="BU156" s="839"/>
    </row>
    <row r="157" spans="1:73" s="16" customFormat="1" ht="30.75" hidden="1" customHeight="1" thickBot="1">
      <c r="A157" s="433"/>
      <c r="B157" s="346"/>
      <c r="C157" s="1179" t="s">
        <v>202</v>
      </c>
      <c r="D157" s="421" t="s">
        <v>200</v>
      </c>
      <c r="E157" s="281">
        <v>21</v>
      </c>
      <c r="F157" s="282">
        <v>171</v>
      </c>
      <c r="G157" s="348"/>
      <c r="H157" s="282">
        <v>512</v>
      </c>
      <c r="I157" s="459">
        <v>0</v>
      </c>
      <c r="J157" s="349"/>
      <c r="K157" s="284">
        <f t="shared" si="20"/>
        <v>-512</v>
      </c>
      <c r="L157" s="365">
        <f t="shared" si="21"/>
        <v>2.9866666666666668</v>
      </c>
      <c r="M157" s="285">
        <f t="shared" si="17"/>
        <v>0</v>
      </c>
      <c r="N157" s="475"/>
      <c r="O157" s="279">
        <f t="shared" si="19"/>
        <v>41578</v>
      </c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T157" s="838"/>
      <c r="BU157" s="838"/>
    </row>
    <row r="158" spans="1:73" s="16" customFormat="1" ht="30.75" hidden="1" customHeight="1" thickBot="1">
      <c r="A158" s="433"/>
      <c r="B158" s="346"/>
      <c r="C158" s="1180"/>
      <c r="D158" s="422" t="s">
        <v>201</v>
      </c>
      <c r="E158" s="281">
        <v>21</v>
      </c>
      <c r="F158" s="282">
        <v>171</v>
      </c>
      <c r="G158" s="350"/>
      <c r="H158" s="282">
        <v>512</v>
      </c>
      <c r="I158" s="459">
        <v>0</v>
      </c>
      <c r="J158" s="349"/>
      <c r="K158" s="284">
        <f t="shared" si="20"/>
        <v>-512</v>
      </c>
      <c r="L158" s="365">
        <f t="shared" si="21"/>
        <v>2.9866666666666668</v>
      </c>
      <c r="M158" s="285">
        <f t="shared" si="17"/>
        <v>0</v>
      </c>
      <c r="N158" s="475"/>
      <c r="O158" s="279">
        <f t="shared" si="19"/>
        <v>41578</v>
      </c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T158" s="838"/>
      <c r="BU158" s="838"/>
    </row>
    <row r="159" spans="1:73" s="16" customFormat="1" ht="30.75" hidden="1" customHeight="1" thickBot="1">
      <c r="A159" s="433"/>
      <c r="B159" s="346"/>
      <c r="C159" s="1179" t="s">
        <v>203</v>
      </c>
      <c r="D159" s="421" t="s">
        <v>161</v>
      </c>
      <c r="E159" s="281">
        <v>34</v>
      </c>
      <c r="F159" s="282">
        <v>106</v>
      </c>
      <c r="G159" s="348"/>
      <c r="H159" s="282">
        <v>64</v>
      </c>
      <c r="I159" s="459">
        <v>0</v>
      </c>
      <c r="J159" s="349"/>
      <c r="K159" s="284">
        <f t="shared" si="20"/>
        <v>-64</v>
      </c>
      <c r="L159" s="365">
        <f t="shared" si="21"/>
        <v>0.60444444444444445</v>
      </c>
      <c r="M159" s="285">
        <f t="shared" si="17"/>
        <v>0</v>
      </c>
      <c r="N159" s="475"/>
      <c r="O159" s="279">
        <f t="shared" si="19"/>
        <v>41578</v>
      </c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T159" s="838"/>
      <c r="BU159" s="838"/>
    </row>
    <row r="160" spans="1:73" s="16" customFormat="1" ht="30.75" hidden="1" customHeight="1" thickBot="1">
      <c r="A160" s="433"/>
      <c r="B160" s="346"/>
      <c r="C160" s="1187"/>
      <c r="D160" s="423" t="s">
        <v>162</v>
      </c>
      <c r="E160" s="281">
        <v>34</v>
      </c>
      <c r="F160" s="282">
        <v>106</v>
      </c>
      <c r="G160" s="351"/>
      <c r="H160" s="282">
        <v>64</v>
      </c>
      <c r="I160" s="459">
        <v>0</v>
      </c>
      <c r="J160" s="349"/>
      <c r="K160" s="284">
        <f t="shared" si="20"/>
        <v>-64</v>
      </c>
      <c r="L160" s="365">
        <f t="shared" si="21"/>
        <v>0.60444444444444445</v>
      </c>
      <c r="M160" s="285">
        <f t="shared" si="17"/>
        <v>0</v>
      </c>
      <c r="N160" s="475"/>
      <c r="O160" s="279">
        <f t="shared" si="19"/>
        <v>41578</v>
      </c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T160" s="838"/>
      <c r="BU160" s="838"/>
    </row>
    <row r="161" spans="1:73" s="16" customFormat="1" ht="30.75" hidden="1" customHeight="1" thickBot="1">
      <c r="A161" s="433"/>
      <c r="B161" s="346"/>
      <c r="C161" s="1187"/>
      <c r="D161" s="423" t="s">
        <v>163</v>
      </c>
      <c r="E161" s="281">
        <v>34</v>
      </c>
      <c r="F161" s="282">
        <v>106</v>
      </c>
      <c r="G161" s="351"/>
      <c r="H161" s="282">
        <v>64</v>
      </c>
      <c r="I161" s="459">
        <v>0</v>
      </c>
      <c r="J161" s="349"/>
      <c r="K161" s="284">
        <f t="shared" si="20"/>
        <v>-64</v>
      </c>
      <c r="L161" s="365">
        <f t="shared" si="21"/>
        <v>0.60444444444444445</v>
      </c>
      <c r="M161" s="285">
        <f t="shared" si="17"/>
        <v>0</v>
      </c>
      <c r="N161" s="475"/>
      <c r="O161" s="279">
        <f t="shared" si="19"/>
        <v>41578</v>
      </c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T161" s="838"/>
      <c r="BU161" s="838"/>
    </row>
    <row r="162" spans="1:73" s="16" customFormat="1" ht="30.75" hidden="1" customHeight="1" thickBot="1">
      <c r="A162" s="433"/>
      <c r="B162" s="346"/>
      <c r="C162" s="1187"/>
      <c r="D162" s="423" t="s">
        <v>164</v>
      </c>
      <c r="E162" s="281">
        <v>34</v>
      </c>
      <c r="F162" s="282">
        <v>106</v>
      </c>
      <c r="G162" s="351"/>
      <c r="H162" s="282">
        <v>64</v>
      </c>
      <c r="I162" s="459">
        <v>0</v>
      </c>
      <c r="J162" s="349"/>
      <c r="K162" s="284">
        <f t="shared" si="20"/>
        <v>-64</v>
      </c>
      <c r="L162" s="365">
        <f t="shared" si="21"/>
        <v>0.60444444444444445</v>
      </c>
      <c r="M162" s="285">
        <f t="shared" si="17"/>
        <v>0</v>
      </c>
      <c r="N162" s="475"/>
      <c r="O162" s="279">
        <f t="shared" si="19"/>
        <v>41578</v>
      </c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T162" s="838"/>
      <c r="BU162" s="838"/>
    </row>
    <row r="163" spans="1:73" s="16" customFormat="1" ht="30.75" hidden="1" customHeight="1" thickBot="1">
      <c r="A163" s="433"/>
      <c r="B163" s="346"/>
      <c r="C163" s="1187"/>
      <c r="D163" s="423" t="s">
        <v>165</v>
      </c>
      <c r="E163" s="281">
        <v>34</v>
      </c>
      <c r="F163" s="282">
        <v>106</v>
      </c>
      <c r="G163" s="351"/>
      <c r="H163" s="282">
        <v>64</v>
      </c>
      <c r="I163" s="459">
        <v>0</v>
      </c>
      <c r="J163" s="349"/>
      <c r="K163" s="284">
        <f t="shared" si="20"/>
        <v>-64</v>
      </c>
      <c r="L163" s="365">
        <f t="shared" si="21"/>
        <v>0.60444444444444445</v>
      </c>
      <c r="M163" s="285">
        <f t="shared" si="17"/>
        <v>0</v>
      </c>
      <c r="N163" s="475"/>
      <c r="O163" s="279">
        <f t="shared" si="19"/>
        <v>41578</v>
      </c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T163" s="838"/>
      <c r="BU163" s="838"/>
    </row>
    <row r="164" spans="1:73" s="16" customFormat="1" ht="30.75" hidden="1" customHeight="1" thickBot="1">
      <c r="A164" s="433"/>
      <c r="B164" s="346"/>
      <c r="C164" s="1187"/>
      <c r="D164" s="423" t="s">
        <v>166</v>
      </c>
      <c r="E164" s="281">
        <v>34</v>
      </c>
      <c r="F164" s="282">
        <v>106</v>
      </c>
      <c r="G164" s="351"/>
      <c r="H164" s="282">
        <v>64</v>
      </c>
      <c r="I164" s="459">
        <v>0</v>
      </c>
      <c r="J164" s="349"/>
      <c r="K164" s="284">
        <f t="shared" si="20"/>
        <v>-64</v>
      </c>
      <c r="L164" s="365">
        <f t="shared" si="21"/>
        <v>0.60444444444444445</v>
      </c>
      <c r="M164" s="285">
        <f t="shared" si="17"/>
        <v>0</v>
      </c>
      <c r="N164" s="475"/>
      <c r="O164" s="279">
        <f t="shared" si="19"/>
        <v>41578</v>
      </c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T164" s="838"/>
      <c r="BU164" s="838"/>
    </row>
    <row r="165" spans="1:73" s="16" customFormat="1" ht="30.75" hidden="1" customHeight="1" thickBot="1">
      <c r="A165" s="433"/>
      <c r="B165" s="346"/>
      <c r="C165" s="1187"/>
      <c r="D165" s="423" t="s">
        <v>167</v>
      </c>
      <c r="E165" s="281">
        <v>34</v>
      </c>
      <c r="F165" s="282">
        <v>106</v>
      </c>
      <c r="G165" s="351"/>
      <c r="H165" s="282">
        <v>64</v>
      </c>
      <c r="I165" s="459">
        <v>0</v>
      </c>
      <c r="J165" s="349"/>
      <c r="K165" s="284">
        <f t="shared" si="20"/>
        <v>-64</v>
      </c>
      <c r="L165" s="365">
        <f t="shared" si="21"/>
        <v>0.60444444444444445</v>
      </c>
      <c r="M165" s="285">
        <f t="shared" ref="M165:M194" si="22">I165/H165</f>
        <v>0</v>
      </c>
      <c r="N165" s="475"/>
      <c r="O165" s="279">
        <f t="shared" si="19"/>
        <v>41578</v>
      </c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T165" s="838"/>
      <c r="BU165" s="838"/>
    </row>
    <row r="166" spans="1:73" s="16" customFormat="1" ht="30.75" hidden="1" customHeight="1" thickBot="1">
      <c r="A166" s="433"/>
      <c r="B166" s="346"/>
      <c r="C166" s="1187"/>
      <c r="D166" s="423" t="s">
        <v>168</v>
      </c>
      <c r="E166" s="281">
        <v>34</v>
      </c>
      <c r="F166" s="282">
        <v>106</v>
      </c>
      <c r="G166" s="351"/>
      <c r="H166" s="282">
        <v>64</v>
      </c>
      <c r="I166" s="459">
        <v>0</v>
      </c>
      <c r="J166" s="349"/>
      <c r="K166" s="284">
        <f t="shared" si="20"/>
        <v>-64</v>
      </c>
      <c r="L166" s="365">
        <f t="shared" si="21"/>
        <v>0.60444444444444445</v>
      </c>
      <c r="M166" s="285">
        <f t="shared" si="22"/>
        <v>0</v>
      </c>
      <c r="N166" s="475"/>
      <c r="O166" s="279">
        <f t="shared" si="19"/>
        <v>41578</v>
      </c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T166" s="838"/>
      <c r="BU166" s="838"/>
    </row>
    <row r="167" spans="1:73" s="16" customFormat="1" ht="30.75" hidden="1" customHeight="1" thickBot="1">
      <c r="A167" s="433"/>
      <c r="B167" s="346"/>
      <c r="C167" s="1187"/>
      <c r="D167" s="423" t="s">
        <v>169</v>
      </c>
      <c r="E167" s="281">
        <v>34</v>
      </c>
      <c r="F167" s="282">
        <v>106</v>
      </c>
      <c r="G167" s="351"/>
      <c r="H167" s="282">
        <v>64</v>
      </c>
      <c r="I167" s="459">
        <v>0</v>
      </c>
      <c r="J167" s="349"/>
      <c r="K167" s="284">
        <f>I167-H167</f>
        <v>-64</v>
      </c>
      <c r="L167" s="365">
        <f t="shared" si="21"/>
        <v>0.60444444444444445</v>
      </c>
      <c r="M167" s="285">
        <f t="shared" si="22"/>
        <v>0</v>
      </c>
      <c r="N167" s="475"/>
      <c r="O167" s="279">
        <f t="shared" si="19"/>
        <v>41578</v>
      </c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T167" s="838"/>
      <c r="BU167" s="838"/>
    </row>
    <row r="168" spans="1:73" s="16" customFormat="1" ht="30.75" hidden="1" customHeight="1" thickBot="1">
      <c r="A168" s="433"/>
      <c r="B168" s="346"/>
      <c r="C168" s="1180"/>
      <c r="D168" s="422" t="s">
        <v>170</v>
      </c>
      <c r="E168" s="281">
        <v>34</v>
      </c>
      <c r="F168" s="282">
        <v>106</v>
      </c>
      <c r="G168" s="350"/>
      <c r="H168" s="282">
        <v>64</v>
      </c>
      <c r="I168" s="459">
        <v>0</v>
      </c>
      <c r="J168" s="349"/>
      <c r="K168" s="284">
        <f t="shared" si="20"/>
        <v>-64</v>
      </c>
      <c r="L168" s="365">
        <f t="shared" si="21"/>
        <v>0.60444444444444445</v>
      </c>
      <c r="M168" s="285">
        <f t="shared" si="22"/>
        <v>0</v>
      </c>
      <c r="N168" s="475"/>
      <c r="O168" s="279">
        <f t="shared" si="19"/>
        <v>41578</v>
      </c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T168" s="838"/>
      <c r="BU168" s="838"/>
    </row>
    <row r="169" spans="1:73" s="16" customFormat="1" ht="30.75" hidden="1" customHeight="1" thickBot="1">
      <c r="A169" s="433"/>
      <c r="B169" s="346"/>
      <c r="C169" s="1179" t="s">
        <v>204</v>
      </c>
      <c r="D169" s="421" t="s">
        <v>172</v>
      </c>
      <c r="E169" s="281">
        <v>34</v>
      </c>
      <c r="F169" s="282">
        <v>106</v>
      </c>
      <c r="G169" s="348"/>
      <c r="H169" s="282">
        <v>64</v>
      </c>
      <c r="I169" s="459">
        <v>0</v>
      </c>
      <c r="J169" s="349"/>
      <c r="K169" s="284">
        <f>I169-H169</f>
        <v>-64</v>
      </c>
      <c r="L169" s="365">
        <f t="shared" si="21"/>
        <v>0.60444444444444445</v>
      </c>
      <c r="M169" s="285">
        <f t="shared" si="22"/>
        <v>0</v>
      </c>
      <c r="N169" s="475"/>
      <c r="O169" s="279">
        <f t="shared" si="19"/>
        <v>41578</v>
      </c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T169" s="838"/>
      <c r="BU169" s="838"/>
    </row>
    <row r="170" spans="1:73" s="16" customFormat="1" ht="30.75" hidden="1" customHeight="1" thickBot="1">
      <c r="A170" s="433"/>
      <c r="B170" s="346"/>
      <c r="C170" s="1187"/>
      <c r="D170" s="423" t="s">
        <v>173</v>
      </c>
      <c r="E170" s="281">
        <v>34</v>
      </c>
      <c r="F170" s="282">
        <v>106</v>
      </c>
      <c r="G170" s="351"/>
      <c r="H170" s="282">
        <v>64</v>
      </c>
      <c r="I170" s="459">
        <v>0</v>
      </c>
      <c r="J170" s="349"/>
      <c r="K170" s="284">
        <f t="shared" si="20"/>
        <v>-64</v>
      </c>
      <c r="L170" s="365">
        <f t="shared" si="21"/>
        <v>0.60444444444444445</v>
      </c>
      <c r="M170" s="285">
        <f t="shared" si="22"/>
        <v>0</v>
      </c>
      <c r="N170" s="475"/>
      <c r="O170" s="279">
        <f t="shared" si="19"/>
        <v>41578</v>
      </c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T170" s="838"/>
      <c r="BU170" s="838"/>
    </row>
    <row r="171" spans="1:73" s="16" customFormat="1" ht="30.75" hidden="1" customHeight="1" thickBot="1">
      <c r="A171" s="433"/>
      <c r="B171" s="346"/>
      <c r="C171" s="1187"/>
      <c r="D171" s="423" t="s">
        <v>174</v>
      </c>
      <c r="E171" s="281">
        <v>34</v>
      </c>
      <c r="F171" s="282">
        <v>106</v>
      </c>
      <c r="G171" s="351"/>
      <c r="H171" s="282">
        <v>64</v>
      </c>
      <c r="I171" s="459">
        <v>0</v>
      </c>
      <c r="J171" s="349"/>
      <c r="K171" s="284">
        <f t="shared" si="20"/>
        <v>-64</v>
      </c>
      <c r="L171" s="365">
        <f t="shared" si="21"/>
        <v>0.60444444444444445</v>
      </c>
      <c r="M171" s="285">
        <f t="shared" si="22"/>
        <v>0</v>
      </c>
      <c r="N171" s="475"/>
      <c r="O171" s="279">
        <f t="shared" si="19"/>
        <v>41578</v>
      </c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T171" s="838"/>
      <c r="BU171" s="838"/>
    </row>
    <row r="172" spans="1:73" s="16" customFormat="1" ht="30.75" hidden="1" customHeight="1" thickBot="1">
      <c r="A172" s="433"/>
      <c r="B172" s="346"/>
      <c r="C172" s="1187"/>
      <c r="D172" s="423" t="s">
        <v>175</v>
      </c>
      <c r="E172" s="281">
        <v>34</v>
      </c>
      <c r="F172" s="282">
        <v>106</v>
      </c>
      <c r="G172" s="351"/>
      <c r="H172" s="282">
        <v>64</v>
      </c>
      <c r="I172" s="459">
        <v>0</v>
      </c>
      <c r="J172" s="349"/>
      <c r="K172" s="284">
        <f t="shared" si="20"/>
        <v>-64</v>
      </c>
      <c r="L172" s="365">
        <f t="shared" si="21"/>
        <v>0.60444444444444445</v>
      </c>
      <c r="M172" s="285">
        <f t="shared" si="22"/>
        <v>0</v>
      </c>
      <c r="N172" s="475"/>
      <c r="O172" s="279">
        <f t="shared" si="19"/>
        <v>41578</v>
      </c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T172" s="838"/>
      <c r="BU172" s="838"/>
    </row>
    <row r="173" spans="1:73" s="16" customFormat="1" ht="30.75" hidden="1" customHeight="1" thickBot="1">
      <c r="A173" s="433"/>
      <c r="B173" s="346"/>
      <c r="C173" s="1187"/>
      <c r="D173" s="423" t="s">
        <v>176</v>
      </c>
      <c r="E173" s="281">
        <v>34</v>
      </c>
      <c r="F173" s="282">
        <v>106</v>
      </c>
      <c r="G173" s="351"/>
      <c r="H173" s="282">
        <v>64</v>
      </c>
      <c r="I173" s="459">
        <v>0</v>
      </c>
      <c r="J173" s="349"/>
      <c r="K173" s="284">
        <f t="shared" si="20"/>
        <v>-64</v>
      </c>
      <c r="L173" s="365">
        <f t="shared" si="21"/>
        <v>0.60444444444444445</v>
      </c>
      <c r="M173" s="285">
        <f t="shared" si="22"/>
        <v>0</v>
      </c>
      <c r="N173" s="475"/>
      <c r="O173" s="279">
        <f t="shared" si="19"/>
        <v>41578</v>
      </c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T173" s="838"/>
      <c r="BU173" s="838"/>
    </row>
    <row r="174" spans="1:73" s="16" customFormat="1" ht="30.75" hidden="1" customHeight="1" thickBot="1">
      <c r="A174" s="433"/>
      <c r="B174" s="346"/>
      <c r="C174" s="1187"/>
      <c r="D174" s="423" t="s">
        <v>177</v>
      </c>
      <c r="E174" s="281">
        <v>34</v>
      </c>
      <c r="F174" s="282">
        <v>106</v>
      </c>
      <c r="G174" s="351"/>
      <c r="H174" s="282">
        <v>64</v>
      </c>
      <c r="I174" s="459">
        <v>0</v>
      </c>
      <c r="J174" s="349"/>
      <c r="K174" s="284">
        <f t="shared" si="20"/>
        <v>-64</v>
      </c>
      <c r="L174" s="365">
        <f t="shared" si="21"/>
        <v>0.60444444444444445</v>
      </c>
      <c r="M174" s="285">
        <f t="shared" si="22"/>
        <v>0</v>
      </c>
      <c r="N174" s="475"/>
      <c r="O174" s="279">
        <f t="shared" si="19"/>
        <v>41578</v>
      </c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T174" s="838"/>
      <c r="BU174" s="838"/>
    </row>
    <row r="175" spans="1:73" s="16" customFormat="1" ht="30.75" hidden="1" customHeight="1" thickBot="1">
      <c r="A175" s="433"/>
      <c r="B175" s="346"/>
      <c r="C175" s="1187"/>
      <c r="D175" s="423" t="s">
        <v>178</v>
      </c>
      <c r="E175" s="281">
        <v>34</v>
      </c>
      <c r="F175" s="282">
        <v>106</v>
      </c>
      <c r="G175" s="351"/>
      <c r="H175" s="282">
        <v>64</v>
      </c>
      <c r="I175" s="459">
        <v>0</v>
      </c>
      <c r="J175" s="349"/>
      <c r="K175" s="284">
        <f t="shared" si="20"/>
        <v>-64</v>
      </c>
      <c r="L175" s="365">
        <f t="shared" si="21"/>
        <v>0.60444444444444445</v>
      </c>
      <c r="M175" s="285">
        <f t="shared" si="22"/>
        <v>0</v>
      </c>
      <c r="N175" s="475"/>
      <c r="O175" s="279">
        <f t="shared" si="19"/>
        <v>41578</v>
      </c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T175" s="838"/>
      <c r="BU175" s="838"/>
    </row>
    <row r="176" spans="1:73" s="16" customFormat="1" ht="30.75" hidden="1" customHeight="1" thickBot="1">
      <c r="A176" s="433"/>
      <c r="B176" s="346"/>
      <c r="C176" s="1187"/>
      <c r="D176" s="423" t="s">
        <v>179</v>
      </c>
      <c r="E176" s="281">
        <v>34</v>
      </c>
      <c r="F176" s="282">
        <v>106</v>
      </c>
      <c r="G176" s="351"/>
      <c r="H176" s="282">
        <v>64</v>
      </c>
      <c r="I176" s="459">
        <v>0</v>
      </c>
      <c r="J176" s="349"/>
      <c r="K176" s="284">
        <f t="shared" si="20"/>
        <v>-64</v>
      </c>
      <c r="L176" s="365">
        <f t="shared" si="21"/>
        <v>0.60444444444444445</v>
      </c>
      <c r="M176" s="285">
        <f t="shared" si="22"/>
        <v>0</v>
      </c>
      <c r="N176" s="475"/>
      <c r="O176" s="279">
        <f t="shared" si="19"/>
        <v>41578</v>
      </c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T176" s="838"/>
      <c r="BU176" s="838"/>
    </row>
    <row r="177" spans="1:73" s="16" customFormat="1" ht="30.75" hidden="1" customHeight="1" thickBot="1">
      <c r="A177" s="433"/>
      <c r="B177" s="346"/>
      <c r="C177" s="1187"/>
      <c r="D177" s="423" t="s">
        <v>180</v>
      </c>
      <c r="E177" s="281">
        <v>34</v>
      </c>
      <c r="F177" s="282">
        <v>106</v>
      </c>
      <c r="G177" s="351"/>
      <c r="H177" s="282">
        <v>64</v>
      </c>
      <c r="I177" s="459">
        <v>0</v>
      </c>
      <c r="J177" s="349"/>
      <c r="K177" s="284">
        <f>I177-H177</f>
        <v>-64</v>
      </c>
      <c r="L177" s="365">
        <f t="shared" si="21"/>
        <v>0.60444444444444445</v>
      </c>
      <c r="M177" s="285">
        <f t="shared" si="22"/>
        <v>0</v>
      </c>
      <c r="N177" s="475"/>
      <c r="O177" s="279">
        <f t="shared" si="19"/>
        <v>41578</v>
      </c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T177" s="838"/>
      <c r="BU177" s="838"/>
    </row>
    <row r="178" spans="1:73" s="16" customFormat="1" ht="30.75" hidden="1" customHeight="1" thickBot="1">
      <c r="A178" s="433"/>
      <c r="B178" s="346"/>
      <c r="C178" s="1180"/>
      <c r="D178" s="422" t="s">
        <v>181</v>
      </c>
      <c r="E178" s="281">
        <v>34</v>
      </c>
      <c r="F178" s="282">
        <v>106</v>
      </c>
      <c r="G178" s="350"/>
      <c r="H178" s="282">
        <v>64</v>
      </c>
      <c r="I178" s="459">
        <v>0</v>
      </c>
      <c r="J178" s="349"/>
      <c r="K178" s="284">
        <f t="shared" si="20"/>
        <v>-64</v>
      </c>
      <c r="L178" s="365">
        <f t="shared" si="21"/>
        <v>0.60444444444444445</v>
      </c>
      <c r="M178" s="285">
        <f t="shared" si="22"/>
        <v>0</v>
      </c>
      <c r="N178" s="475"/>
      <c r="O178" s="279">
        <f t="shared" si="19"/>
        <v>41578</v>
      </c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T178" s="838"/>
      <c r="BU178" s="838"/>
    </row>
    <row r="179" spans="1:73" s="16" customFormat="1" ht="30.75" hidden="1" customHeight="1" thickBot="1">
      <c r="A179" s="433"/>
      <c r="B179" s="346"/>
      <c r="C179" s="1179" t="s">
        <v>205</v>
      </c>
      <c r="D179" s="421" t="s">
        <v>187</v>
      </c>
      <c r="E179" s="281">
        <v>26</v>
      </c>
      <c r="F179" s="282">
        <v>138</v>
      </c>
      <c r="G179" s="348"/>
      <c r="H179" s="282">
        <v>128</v>
      </c>
      <c r="I179" s="459">
        <v>0</v>
      </c>
      <c r="J179" s="349"/>
      <c r="K179" s="284">
        <f t="shared" si="20"/>
        <v>-128</v>
      </c>
      <c r="L179" s="365">
        <f t="shared" si="21"/>
        <v>0.9244444444444444</v>
      </c>
      <c r="M179" s="285">
        <f t="shared" si="22"/>
        <v>0</v>
      </c>
      <c r="N179" s="475"/>
      <c r="O179" s="279">
        <f t="shared" si="19"/>
        <v>41578</v>
      </c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T179" s="838"/>
      <c r="BU179" s="838"/>
    </row>
    <row r="180" spans="1:73" s="16" customFormat="1" ht="30.75" hidden="1" customHeight="1" thickBot="1">
      <c r="A180" s="433"/>
      <c r="B180" s="346"/>
      <c r="C180" s="1180"/>
      <c r="D180" s="422" t="s">
        <v>188</v>
      </c>
      <c r="E180" s="281">
        <v>26</v>
      </c>
      <c r="F180" s="282">
        <v>138</v>
      </c>
      <c r="G180" s="350"/>
      <c r="H180" s="282">
        <v>128</v>
      </c>
      <c r="I180" s="459">
        <v>0</v>
      </c>
      <c r="J180" s="349"/>
      <c r="K180" s="284">
        <f t="shared" si="20"/>
        <v>-128</v>
      </c>
      <c r="L180" s="365">
        <f t="shared" si="21"/>
        <v>0.9244444444444444</v>
      </c>
      <c r="M180" s="285">
        <f t="shared" si="22"/>
        <v>0</v>
      </c>
      <c r="N180" s="475"/>
      <c r="O180" s="279">
        <f t="shared" ref="O180:O194" si="23">+$O$5+M180</f>
        <v>41578</v>
      </c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T180" s="838"/>
      <c r="BU180" s="838"/>
    </row>
    <row r="181" spans="1:73" s="16" customFormat="1" ht="30.75" hidden="1" customHeight="1" thickBot="1">
      <c r="A181" s="433"/>
      <c r="B181" s="346"/>
      <c r="C181" s="1179" t="s">
        <v>206</v>
      </c>
      <c r="D181" s="421" t="s">
        <v>190</v>
      </c>
      <c r="E181" s="281">
        <v>24</v>
      </c>
      <c r="F181" s="282">
        <v>150</v>
      </c>
      <c r="G181" s="348"/>
      <c r="H181" s="282">
        <v>128</v>
      </c>
      <c r="I181" s="459">
        <v>0</v>
      </c>
      <c r="J181" s="349"/>
      <c r="K181" s="284">
        <f t="shared" si="20"/>
        <v>-128</v>
      </c>
      <c r="L181" s="365">
        <f t="shared" si="21"/>
        <v>0.85333333333333339</v>
      </c>
      <c r="M181" s="285">
        <f t="shared" si="22"/>
        <v>0</v>
      </c>
      <c r="N181" s="475"/>
      <c r="O181" s="279">
        <f t="shared" si="23"/>
        <v>41578</v>
      </c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T181" s="838"/>
      <c r="BU181" s="838"/>
    </row>
    <row r="182" spans="1:73" s="16" customFormat="1" ht="30.75" hidden="1" customHeight="1" thickBot="1">
      <c r="A182" s="433"/>
      <c r="B182" s="346"/>
      <c r="C182" s="1180"/>
      <c r="D182" s="422" t="s">
        <v>191</v>
      </c>
      <c r="E182" s="281">
        <v>24</v>
      </c>
      <c r="F182" s="282">
        <v>150</v>
      </c>
      <c r="G182" s="350"/>
      <c r="H182" s="282">
        <v>128</v>
      </c>
      <c r="I182" s="459">
        <v>0</v>
      </c>
      <c r="J182" s="349"/>
      <c r="K182" s="284">
        <f t="shared" si="20"/>
        <v>-128</v>
      </c>
      <c r="L182" s="365">
        <f t="shared" si="21"/>
        <v>0.85333333333333339</v>
      </c>
      <c r="M182" s="285">
        <f t="shared" si="22"/>
        <v>0</v>
      </c>
      <c r="N182" s="475"/>
      <c r="O182" s="279">
        <f t="shared" si="23"/>
        <v>41578</v>
      </c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T182" s="838"/>
      <c r="BU182" s="838"/>
    </row>
    <row r="183" spans="1:73" s="16" customFormat="1" ht="30.75" hidden="1" customHeight="1" thickBot="1">
      <c r="A183" s="433"/>
      <c r="B183" s="346"/>
      <c r="C183" s="347" t="s">
        <v>208</v>
      </c>
      <c r="D183" s="425" t="s">
        <v>193</v>
      </c>
      <c r="E183" s="325">
        <v>33</v>
      </c>
      <c r="F183" s="326">
        <v>109</v>
      </c>
      <c r="G183" s="357"/>
      <c r="H183" s="282">
        <v>128</v>
      </c>
      <c r="I183" s="459">
        <v>0</v>
      </c>
      <c r="J183" s="359"/>
      <c r="K183" s="327">
        <f t="shared" si="20"/>
        <v>-128</v>
      </c>
      <c r="L183" s="365">
        <f t="shared" si="21"/>
        <v>1.1733333333333333</v>
      </c>
      <c r="M183" s="317">
        <f t="shared" si="22"/>
        <v>0</v>
      </c>
      <c r="N183" s="479"/>
      <c r="O183" s="338">
        <f t="shared" si="23"/>
        <v>41578</v>
      </c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T183" s="838"/>
      <c r="BU183" s="838"/>
    </row>
    <row r="184" spans="1:73" ht="30.75" hidden="1" customHeight="1" thickBot="1">
      <c r="A184" s="1190"/>
      <c r="B184" s="1193" t="s">
        <v>282</v>
      </c>
      <c r="C184" s="298" t="s">
        <v>98</v>
      </c>
      <c r="D184" s="409" t="s">
        <v>370</v>
      </c>
      <c r="E184" s="281">
        <v>69</v>
      </c>
      <c r="F184" s="282">
        <f t="shared" ref="F184:F190" si="24">3600/E184</f>
        <v>52.173913043478258</v>
      </c>
      <c r="G184" s="282">
        <v>1</v>
      </c>
      <c r="H184" s="282">
        <f>BY19</f>
        <v>100</v>
      </c>
      <c r="I184" s="459">
        <v>0</v>
      </c>
      <c r="J184" s="284">
        <v>468</v>
      </c>
      <c r="K184" s="282">
        <f>I184-H184</f>
        <v>-100</v>
      </c>
      <c r="L184" s="365">
        <f t="shared" si="21"/>
        <v>1.9166666666666667</v>
      </c>
      <c r="M184" s="285">
        <f t="shared" si="22"/>
        <v>0</v>
      </c>
      <c r="N184" s="472">
        <f>M184*2</f>
        <v>0</v>
      </c>
      <c r="O184" s="286">
        <f t="shared" si="23"/>
        <v>41578</v>
      </c>
      <c r="P184" s="47"/>
      <c r="Q184" s="48"/>
      <c r="R184" s="49"/>
      <c r="S184" s="49"/>
      <c r="T184" s="50"/>
      <c r="U184" s="50"/>
      <c r="V184" s="50"/>
      <c r="W184" s="68"/>
      <c r="X184" s="68">
        <v>1</v>
      </c>
      <c r="Y184" s="67">
        <v>1</v>
      </c>
      <c r="Z184" s="545"/>
      <c r="AA184" s="546"/>
      <c r="AB184" s="547"/>
      <c r="AC184" s="545"/>
      <c r="AD184" s="546"/>
      <c r="AE184" s="547"/>
      <c r="AF184" s="545"/>
      <c r="AG184" s="546"/>
      <c r="AH184" s="547"/>
      <c r="AI184" s="13"/>
      <c r="AJ184" s="11"/>
      <c r="AK184" s="12"/>
      <c r="AL184" s="13"/>
      <c r="AM184" s="11"/>
      <c r="AN184" s="12"/>
      <c r="AO184" s="30"/>
      <c r="AP184" s="31"/>
      <c r="AQ184" s="32"/>
      <c r="AR184" s="30"/>
      <c r="AS184" s="31"/>
      <c r="AT184" s="32"/>
      <c r="AU184" s="30"/>
      <c r="AV184" s="31"/>
      <c r="AW184" s="32"/>
      <c r="AX184" s="30"/>
      <c r="AY184" s="31"/>
      <c r="AZ184" s="32"/>
      <c r="BA184" s="30"/>
      <c r="BB184" s="31"/>
      <c r="BC184" s="32"/>
      <c r="BD184" s="30"/>
      <c r="BE184" s="31"/>
      <c r="BF184" s="32"/>
      <c r="BG184" s="30"/>
      <c r="BH184" s="31"/>
      <c r="BI184" s="32"/>
      <c r="BT184" s="838"/>
      <c r="BU184" s="838"/>
    </row>
    <row r="185" spans="1:73" ht="30.75" hidden="1" customHeight="1" thickBot="1">
      <c r="A185" s="1191"/>
      <c r="B185" s="1193"/>
      <c r="C185" s="298" t="s">
        <v>99</v>
      </c>
      <c r="D185" s="409" t="s">
        <v>371</v>
      </c>
      <c r="E185" s="281">
        <v>69</v>
      </c>
      <c r="F185" s="282">
        <f t="shared" si="24"/>
        <v>52.173913043478258</v>
      </c>
      <c r="G185" s="282">
        <v>1</v>
      </c>
      <c r="H185" s="282">
        <v>4</v>
      </c>
      <c r="I185" s="459">
        <v>0</v>
      </c>
      <c r="J185" s="284">
        <v>234</v>
      </c>
      <c r="K185" s="282">
        <f>I185-H185</f>
        <v>-4</v>
      </c>
      <c r="L185" s="365">
        <f t="shared" si="21"/>
        <v>7.6666666666666661E-2</v>
      </c>
      <c r="M185" s="285">
        <f t="shared" si="22"/>
        <v>0</v>
      </c>
      <c r="N185" s="472">
        <f>M185*2</f>
        <v>0</v>
      </c>
      <c r="O185" s="286">
        <f t="shared" si="23"/>
        <v>41578</v>
      </c>
      <c r="P185" s="35"/>
      <c r="Q185" s="36"/>
      <c r="R185" s="40"/>
      <c r="S185" s="40"/>
      <c r="T185" s="39"/>
      <c r="U185" s="39"/>
      <c r="V185" s="39"/>
      <c r="W185" s="64">
        <v>1</v>
      </c>
      <c r="X185" s="39"/>
      <c r="Y185" s="40"/>
      <c r="Z185" s="480"/>
      <c r="AA185" s="481"/>
      <c r="AB185" s="520"/>
      <c r="AC185" s="480"/>
      <c r="AD185" s="481"/>
      <c r="AE185" s="520"/>
      <c r="AF185" s="480"/>
      <c r="AG185" s="481"/>
      <c r="AH185" s="520"/>
      <c r="AI185" s="507"/>
      <c r="AJ185" s="509"/>
      <c r="AK185" s="511"/>
      <c r="AL185" s="507"/>
      <c r="AM185" s="509"/>
      <c r="AN185" s="511"/>
      <c r="AO185" s="513"/>
      <c r="AP185" s="515"/>
      <c r="AQ185" s="517"/>
      <c r="AR185" s="513"/>
      <c r="AS185" s="515"/>
      <c r="AT185" s="517"/>
      <c r="AU185" s="513"/>
      <c r="AV185" s="515"/>
      <c r="AW185" s="517"/>
      <c r="AX185" s="513"/>
      <c r="AY185" s="515"/>
      <c r="AZ185" s="517"/>
      <c r="BA185" s="513"/>
      <c r="BB185" s="515"/>
      <c r="BC185" s="517"/>
      <c r="BD185" s="513"/>
      <c r="BE185" s="515"/>
      <c r="BF185" s="517"/>
      <c r="BG185" s="513"/>
      <c r="BH185" s="515"/>
      <c r="BI185" s="517"/>
      <c r="BT185" s="838"/>
      <c r="BU185" s="838"/>
    </row>
    <row r="186" spans="1:73" ht="30.75" hidden="1" customHeight="1" thickBot="1">
      <c r="A186" s="1191"/>
      <c r="B186" s="1193" t="s">
        <v>283</v>
      </c>
      <c r="C186" s="298" t="s">
        <v>100</v>
      </c>
      <c r="D186" s="409" t="s">
        <v>372</v>
      </c>
      <c r="E186" s="281">
        <v>65</v>
      </c>
      <c r="F186" s="282">
        <f t="shared" si="24"/>
        <v>55.384615384615387</v>
      </c>
      <c r="G186" s="282">
        <v>1</v>
      </c>
      <c r="H186" s="282">
        <f>BY19</f>
        <v>100</v>
      </c>
      <c r="I186" s="459">
        <v>0</v>
      </c>
      <c r="J186" s="284">
        <v>468</v>
      </c>
      <c r="K186" s="282">
        <f>I186-H186</f>
        <v>-100</v>
      </c>
      <c r="L186" s="365">
        <f t="shared" si="21"/>
        <v>1.8055555555555556</v>
      </c>
      <c r="M186" s="285">
        <f t="shared" si="22"/>
        <v>0</v>
      </c>
      <c r="N186" s="472">
        <f>M186*2</f>
        <v>0</v>
      </c>
      <c r="O186" s="286">
        <f t="shared" si="23"/>
        <v>41578</v>
      </c>
      <c r="P186" s="35"/>
      <c r="Q186" s="36"/>
      <c r="R186" s="40"/>
      <c r="S186" s="40"/>
      <c r="T186" s="64"/>
      <c r="U186" s="64">
        <v>1</v>
      </c>
      <c r="V186" s="64">
        <v>1</v>
      </c>
      <c r="W186" s="39"/>
      <c r="X186" s="39"/>
      <c r="Y186" s="40"/>
      <c r="Z186" s="480"/>
      <c r="AA186" s="481"/>
      <c r="AB186" s="520"/>
      <c r="AC186" s="480"/>
      <c r="AD186" s="481"/>
      <c r="AE186" s="520"/>
      <c r="AF186" s="480"/>
      <c r="AG186" s="481"/>
      <c r="AH186" s="520"/>
      <c r="AI186" s="507"/>
      <c r="AJ186" s="509"/>
      <c r="AK186" s="511"/>
      <c r="AL186" s="507"/>
      <c r="AM186" s="509"/>
      <c r="AN186" s="511"/>
      <c r="AO186" s="513"/>
      <c r="AP186" s="515"/>
      <c r="AQ186" s="517"/>
      <c r="AR186" s="513"/>
      <c r="AS186" s="515"/>
      <c r="AT186" s="517"/>
      <c r="AU186" s="513"/>
      <c r="AV186" s="515"/>
      <c r="AW186" s="517"/>
      <c r="AX186" s="513"/>
      <c r="AY186" s="515"/>
      <c r="AZ186" s="517"/>
      <c r="BA186" s="513"/>
      <c r="BB186" s="515"/>
      <c r="BC186" s="517"/>
      <c r="BD186" s="513"/>
      <c r="BE186" s="515"/>
      <c r="BF186" s="517"/>
      <c r="BG186" s="513"/>
      <c r="BH186" s="515"/>
      <c r="BI186" s="517"/>
      <c r="BT186" s="838"/>
      <c r="BU186" s="838"/>
    </row>
    <row r="187" spans="1:73" ht="30.75" hidden="1" customHeight="1" thickBot="1">
      <c r="A187" s="1192"/>
      <c r="B187" s="1194"/>
      <c r="C187" s="344" t="s">
        <v>101</v>
      </c>
      <c r="D187" s="412" t="s">
        <v>373</v>
      </c>
      <c r="E187" s="325">
        <v>65</v>
      </c>
      <c r="F187" s="326">
        <f t="shared" si="24"/>
        <v>55.384615384615387</v>
      </c>
      <c r="G187" s="326">
        <v>1</v>
      </c>
      <c r="H187" s="282">
        <v>4</v>
      </c>
      <c r="I187" s="459">
        <v>0</v>
      </c>
      <c r="J187" s="327">
        <v>234</v>
      </c>
      <c r="K187" s="326">
        <f>I187-H187</f>
        <v>-4</v>
      </c>
      <c r="L187" s="365">
        <f t="shared" si="21"/>
        <v>7.2222222222222215E-2</v>
      </c>
      <c r="M187" s="317">
        <f t="shared" si="22"/>
        <v>0</v>
      </c>
      <c r="N187" s="472">
        <f>M187*2</f>
        <v>0</v>
      </c>
      <c r="O187" s="328">
        <f t="shared" si="23"/>
        <v>41578</v>
      </c>
      <c r="P187" s="35"/>
      <c r="Q187" s="36"/>
      <c r="R187" s="40"/>
      <c r="S187" s="40"/>
      <c r="T187" s="64">
        <v>1</v>
      </c>
      <c r="U187" s="39"/>
      <c r="V187" s="39"/>
      <c r="W187" s="39"/>
      <c r="X187" s="39"/>
      <c r="Y187" s="40"/>
      <c r="Z187" s="480"/>
      <c r="AA187" s="481"/>
      <c r="AB187" s="520"/>
      <c r="AC187" s="480"/>
      <c r="AD187" s="481"/>
      <c r="AE187" s="520"/>
      <c r="AF187" s="480"/>
      <c r="AG187" s="481"/>
      <c r="AH187" s="520"/>
      <c r="AI187" s="507"/>
      <c r="AJ187" s="509"/>
      <c r="AK187" s="511"/>
      <c r="AL187" s="507"/>
      <c r="AM187" s="509"/>
      <c r="AN187" s="511"/>
      <c r="AO187" s="513"/>
      <c r="AP187" s="515"/>
      <c r="AQ187" s="517"/>
      <c r="AR187" s="513"/>
      <c r="AS187" s="515"/>
      <c r="AT187" s="517"/>
      <c r="AU187" s="513"/>
      <c r="AV187" s="515"/>
      <c r="AW187" s="517"/>
      <c r="AX187" s="513"/>
      <c r="AY187" s="515"/>
      <c r="AZ187" s="517"/>
      <c r="BA187" s="513"/>
      <c r="BB187" s="515"/>
      <c r="BC187" s="517"/>
      <c r="BD187" s="513"/>
      <c r="BE187" s="515"/>
      <c r="BF187" s="517"/>
      <c r="BG187" s="513"/>
      <c r="BH187" s="515"/>
      <c r="BI187" s="517"/>
      <c r="BT187" s="838"/>
      <c r="BU187" s="838"/>
    </row>
    <row r="188" spans="1:73" ht="38.25" customHeight="1" thickBot="1">
      <c r="A188" s="1172" t="s">
        <v>104</v>
      </c>
      <c r="B188" s="1175" t="s">
        <v>259</v>
      </c>
      <c r="C188" s="603" t="s">
        <v>63</v>
      </c>
      <c r="D188" s="604" t="s">
        <v>374</v>
      </c>
      <c r="E188" s="605">
        <v>47</v>
      </c>
      <c r="F188" s="605">
        <f t="shared" si="24"/>
        <v>76.59574468085107</v>
      </c>
      <c r="G188" s="606">
        <v>1</v>
      </c>
      <c r="H188" s="614">
        <f>BY17</f>
        <v>300</v>
      </c>
      <c r="I188" s="459">
        <v>0</v>
      </c>
      <c r="J188" s="607" t="s">
        <v>210</v>
      </c>
      <c r="K188" s="606">
        <v>1</v>
      </c>
      <c r="L188" s="365">
        <f t="shared" si="21"/>
        <v>3.9166666666666665</v>
      </c>
      <c r="M188" s="608">
        <f t="shared" si="22"/>
        <v>0</v>
      </c>
      <c r="N188" s="609">
        <f>M188</f>
        <v>0</v>
      </c>
      <c r="O188" s="610">
        <f t="shared" si="23"/>
        <v>41578</v>
      </c>
      <c r="P188" s="47"/>
      <c r="Q188" s="48"/>
      <c r="R188" s="49"/>
      <c r="S188" s="50"/>
      <c r="T188" s="1087"/>
      <c r="U188" s="1087">
        <v>1</v>
      </c>
      <c r="V188" s="1087">
        <v>1</v>
      </c>
      <c r="W188" s="1087">
        <v>1</v>
      </c>
      <c r="X188" s="1087">
        <v>1</v>
      </c>
      <c r="Y188" s="1089"/>
      <c r="Z188" s="1147"/>
      <c r="AA188" s="1143"/>
      <c r="AB188" s="1145"/>
      <c r="AC188" s="1147"/>
      <c r="AD188" s="1143"/>
      <c r="AE188" s="1145"/>
      <c r="AF188" s="1147"/>
      <c r="AG188" s="1143"/>
      <c r="AH188" s="1145"/>
      <c r="AI188" s="1147"/>
      <c r="AJ188" s="1143"/>
      <c r="AK188" s="1145"/>
      <c r="AL188" s="1147"/>
      <c r="AM188" s="1143"/>
      <c r="AN188" s="1145"/>
      <c r="AO188" s="1155"/>
      <c r="AP188" s="1157"/>
      <c r="AQ188" s="1153"/>
      <c r="AR188" s="1139"/>
      <c r="AS188" s="1141"/>
      <c r="AT188" s="1149"/>
      <c r="AU188" s="1139"/>
      <c r="AV188" s="1141"/>
      <c r="AW188" s="1149"/>
      <c r="AX188" s="1139"/>
      <c r="AY188" s="1141"/>
      <c r="AZ188" s="1149"/>
      <c r="BA188" s="1139"/>
      <c r="BB188" s="1141"/>
      <c r="BC188" s="1149"/>
      <c r="BD188" s="1139"/>
      <c r="BE188" s="1141"/>
      <c r="BF188" s="1149"/>
      <c r="BG188" s="1139"/>
      <c r="BH188" s="1141"/>
      <c r="BI188" s="1149"/>
      <c r="BP188" s="270">
        <v>3344</v>
      </c>
      <c r="BT188" s="1101">
        <v>2</v>
      </c>
      <c r="BU188" s="1098">
        <f>L188+L190+L191+L192+BT188</f>
        <v>17.695833333333333</v>
      </c>
    </row>
    <row r="189" spans="1:73" ht="46.5" customHeight="1" thickBot="1">
      <c r="A189" s="1173"/>
      <c r="B189" s="1176"/>
      <c r="C189" s="611" t="s">
        <v>64</v>
      </c>
      <c r="D189" s="612" t="s">
        <v>375</v>
      </c>
      <c r="E189" s="613">
        <v>47</v>
      </c>
      <c r="F189" s="613">
        <f t="shared" si="24"/>
        <v>76.59574468085107</v>
      </c>
      <c r="G189" s="614">
        <v>1</v>
      </c>
      <c r="H189" s="614">
        <f>BY17</f>
        <v>300</v>
      </c>
      <c r="I189" s="459">
        <v>0</v>
      </c>
      <c r="J189" s="615" t="s">
        <v>210</v>
      </c>
      <c r="K189" s="614">
        <v>1</v>
      </c>
      <c r="L189" s="365">
        <f t="shared" si="21"/>
        <v>3.9166666666666665</v>
      </c>
      <c r="M189" s="616">
        <f t="shared" si="22"/>
        <v>0</v>
      </c>
      <c r="N189" s="609">
        <f>M189</f>
        <v>0</v>
      </c>
      <c r="O189" s="617">
        <f t="shared" si="23"/>
        <v>41578</v>
      </c>
      <c r="P189" s="35"/>
      <c r="Q189" s="36"/>
      <c r="R189" s="40"/>
      <c r="S189" s="39"/>
      <c r="T189" s="1088"/>
      <c r="U189" s="1088">
        <v>1</v>
      </c>
      <c r="V189" s="1088">
        <v>1</v>
      </c>
      <c r="W189" s="1088">
        <v>1</v>
      </c>
      <c r="X189" s="1088">
        <v>1</v>
      </c>
      <c r="Y189" s="1090"/>
      <c r="Z189" s="1148"/>
      <c r="AA189" s="1144"/>
      <c r="AB189" s="1146"/>
      <c r="AC189" s="1148"/>
      <c r="AD189" s="1144"/>
      <c r="AE189" s="1146"/>
      <c r="AF189" s="1148"/>
      <c r="AG189" s="1144"/>
      <c r="AH189" s="1146"/>
      <c r="AI189" s="1148"/>
      <c r="AJ189" s="1144"/>
      <c r="AK189" s="1146"/>
      <c r="AL189" s="1148"/>
      <c r="AM189" s="1144"/>
      <c r="AN189" s="1146"/>
      <c r="AO189" s="1156"/>
      <c r="AP189" s="1158"/>
      <c r="AQ189" s="1154"/>
      <c r="AR189" s="1140"/>
      <c r="AS189" s="1142"/>
      <c r="AT189" s="1150"/>
      <c r="AU189" s="1140"/>
      <c r="AV189" s="1142"/>
      <c r="AW189" s="1150"/>
      <c r="AX189" s="1140"/>
      <c r="AY189" s="1142"/>
      <c r="AZ189" s="1150"/>
      <c r="BA189" s="1140"/>
      <c r="BB189" s="1142"/>
      <c r="BC189" s="1150"/>
      <c r="BD189" s="1140"/>
      <c r="BE189" s="1142"/>
      <c r="BF189" s="1150"/>
      <c r="BG189" s="1140"/>
      <c r="BH189" s="1142"/>
      <c r="BI189" s="1150"/>
      <c r="BP189" s="271">
        <v>3349</v>
      </c>
      <c r="BT189" s="1102"/>
      <c r="BU189" s="1099"/>
    </row>
    <row r="190" spans="1:73" ht="45" customHeight="1" thickBot="1">
      <c r="A190" s="1173"/>
      <c r="B190" s="618" t="s">
        <v>260</v>
      </c>
      <c r="C190" s="611" t="s">
        <v>65</v>
      </c>
      <c r="D190" s="612" t="s">
        <v>376</v>
      </c>
      <c r="E190" s="614">
        <v>55</v>
      </c>
      <c r="F190" s="614">
        <f t="shared" si="24"/>
        <v>65.454545454545453</v>
      </c>
      <c r="G190" s="614">
        <v>1</v>
      </c>
      <c r="H190" s="614">
        <f>BY17</f>
        <v>300</v>
      </c>
      <c r="I190" s="459">
        <v>0</v>
      </c>
      <c r="J190" s="615" t="s">
        <v>210</v>
      </c>
      <c r="K190" s="614">
        <v>1</v>
      </c>
      <c r="L190" s="365">
        <f t="shared" si="21"/>
        <v>4.583333333333333</v>
      </c>
      <c r="M190" s="616">
        <f t="shared" si="22"/>
        <v>0</v>
      </c>
      <c r="N190" s="609">
        <f>M190</f>
        <v>0</v>
      </c>
      <c r="O190" s="617">
        <f t="shared" si="23"/>
        <v>41578</v>
      </c>
      <c r="P190" s="35"/>
      <c r="Q190" s="36"/>
      <c r="R190" s="40"/>
      <c r="S190" s="39"/>
      <c r="T190" s="39"/>
      <c r="U190" s="39"/>
      <c r="V190" s="39"/>
      <c r="W190" s="39"/>
      <c r="X190" s="39"/>
      <c r="Y190" s="40"/>
      <c r="Z190" s="480"/>
      <c r="AA190" s="481"/>
      <c r="AB190" s="520"/>
      <c r="AC190" s="480"/>
      <c r="AD190" s="481">
        <v>20</v>
      </c>
      <c r="AE190" s="501"/>
      <c r="AF190" s="503"/>
      <c r="AG190" s="505"/>
      <c r="AH190" s="501"/>
      <c r="AI190" s="480"/>
      <c r="AJ190" s="481"/>
      <c r="AK190" s="520"/>
      <c r="AL190" s="480"/>
      <c r="AM190" s="481"/>
      <c r="AN190" s="520"/>
      <c r="AO190" s="521"/>
      <c r="AP190" s="522"/>
      <c r="AQ190" s="523"/>
      <c r="AR190" s="521"/>
      <c r="AS190" s="522"/>
      <c r="AT190" s="523"/>
      <c r="AU190" s="521"/>
      <c r="AV190" s="522"/>
      <c r="AW190" s="523"/>
      <c r="AX190" s="521"/>
      <c r="AY190" s="522"/>
      <c r="AZ190" s="523"/>
      <c r="BA190" s="521"/>
      <c r="BB190" s="522"/>
      <c r="BC190" s="523"/>
      <c r="BD190" s="521"/>
      <c r="BE190" s="522"/>
      <c r="BF190" s="523"/>
      <c r="BG190" s="521"/>
      <c r="BH190" s="522"/>
      <c r="BI190" s="523"/>
      <c r="BP190" s="271">
        <v>3714</v>
      </c>
      <c r="BT190" s="1102"/>
      <c r="BU190" s="1099"/>
    </row>
    <row r="191" spans="1:73" ht="37.5" customHeight="1" thickBot="1">
      <c r="A191" s="1173"/>
      <c r="B191" s="618" t="s">
        <v>261</v>
      </c>
      <c r="C191" s="611" t="s">
        <v>66</v>
      </c>
      <c r="D191" s="619" t="s">
        <v>377</v>
      </c>
      <c r="E191" s="613">
        <v>60.1</v>
      </c>
      <c r="F191" s="614">
        <f>3600/E191</f>
        <v>59.900166389351078</v>
      </c>
      <c r="G191" s="614">
        <v>1</v>
      </c>
      <c r="H191" s="614">
        <f>BY17</f>
        <v>300</v>
      </c>
      <c r="I191" s="459">
        <v>0</v>
      </c>
      <c r="J191" s="615">
        <v>1694</v>
      </c>
      <c r="K191" s="614">
        <v>1</v>
      </c>
      <c r="L191" s="365">
        <f t="shared" si="21"/>
        <v>5.0083333333333337</v>
      </c>
      <c r="M191" s="616">
        <f t="shared" si="22"/>
        <v>0</v>
      </c>
      <c r="N191" s="620">
        <f>M191*1.5</f>
        <v>0</v>
      </c>
      <c r="O191" s="617">
        <f t="shared" si="23"/>
        <v>41578</v>
      </c>
      <c r="P191" s="35"/>
      <c r="Q191" s="36"/>
      <c r="R191" s="40"/>
      <c r="S191" s="40"/>
      <c r="T191" s="39"/>
      <c r="U191" s="39"/>
      <c r="V191" s="39"/>
      <c r="W191" s="39"/>
      <c r="X191" s="39"/>
      <c r="Y191" s="40"/>
      <c r="Z191" s="480"/>
      <c r="AA191" s="481"/>
      <c r="AB191" s="501">
        <v>22</v>
      </c>
      <c r="AC191" s="503"/>
      <c r="AD191" s="505"/>
      <c r="AE191" s="520"/>
      <c r="AF191" s="480"/>
      <c r="AG191" s="481"/>
      <c r="AH191" s="520"/>
      <c r="AI191" s="503"/>
      <c r="AJ191" s="481"/>
      <c r="AK191" s="520"/>
      <c r="AL191" s="480"/>
      <c r="AM191" s="481"/>
      <c r="AN191" s="8"/>
      <c r="AO191" s="521"/>
      <c r="AP191" s="522"/>
      <c r="AQ191" s="523"/>
      <c r="AR191" s="521"/>
      <c r="AS191" s="522"/>
      <c r="AT191" s="523"/>
      <c r="AU191" s="521"/>
      <c r="AV191" s="522"/>
      <c r="AW191" s="523"/>
      <c r="AX191" s="521"/>
      <c r="AY191" s="522"/>
      <c r="AZ191" s="523"/>
      <c r="BA191" s="521"/>
      <c r="BB191" s="522"/>
      <c r="BC191" s="523"/>
      <c r="BD191" s="521"/>
      <c r="BE191" s="522"/>
      <c r="BF191" s="523"/>
      <c r="BG191" s="521"/>
      <c r="BH191" s="522"/>
      <c r="BI191" s="523"/>
      <c r="BP191" s="270">
        <v>433</v>
      </c>
      <c r="BT191" s="1102"/>
      <c r="BU191" s="1099"/>
    </row>
    <row r="192" spans="1:73" ht="44.25" customHeight="1" thickBot="1">
      <c r="A192" s="1173"/>
      <c r="B192" s="1177" t="s">
        <v>257</v>
      </c>
      <c r="C192" s="621" t="s">
        <v>58</v>
      </c>
      <c r="D192" s="619" t="s">
        <v>378</v>
      </c>
      <c r="E192" s="613">
        <v>52.5</v>
      </c>
      <c r="F192" s="613">
        <f>3600/E192*2</f>
        <v>137.14285714285714</v>
      </c>
      <c r="G192" s="614">
        <v>1</v>
      </c>
      <c r="H192" s="614">
        <f>BY17</f>
        <v>300</v>
      </c>
      <c r="I192" s="459">
        <v>0</v>
      </c>
      <c r="J192" s="615">
        <f>1692</f>
        <v>1692</v>
      </c>
      <c r="K192" s="614">
        <v>2</v>
      </c>
      <c r="L192" s="365">
        <f>((H192*E192)/3600)/K192</f>
        <v>2.1875</v>
      </c>
      <c r="M192" s="616">
        <f t="shared" si="22"/>
        <v>0</v>
      </c>
      <c r="N192" s="620">
        <f>M192*1.5</f>
        <v>0</v>
      </c>
      <c r="O192" s="617">
        <f t="shared" si="23"/>
        <v>41578</v>
      </c>
      <c r="P192" s="35"/>
      <c r="Q192" s="36"/>
      <c r="R192" s="40"/>
      <c r="S192" s="39"/>
      <c r="T192" s="39"/>
      <c r="U192" s="39"/>
      <c r="V192" s="39"/>
      <c r="W192" s="39"/>
      <c r="X192" s="39"/>
      <c r="Y192" s="40">
        <v>1</v>
      </c>
      <c r="Z192" s="1162"/>
      <c r="AA192" s="1117"/>
      <c r="AB192" s="1125"/>
      <c r="AC192" s="1119"/>
      <c r="AD192" s="1117"/>
      <c r="AE192" s="1125"/>
      <c r="AF192" s="1119"/>
      <c r="AG192" s="1117"/>
      <c r="AH192" s="1125"/>
      <c r="AI192" s="1114"/>
      <c r="AJ192" s="1111"/>
      <c r="AK192" s="1127"/>
      <c r="AL192" s="1114"/>
      <c r="AM192" s="1111"/>
      <c r="AN192" s="1127"/>
      <c r="AO192" s="1130"/>
      <c r="AP192" s="1133"/>
      <c r="AQ192" s="1136"/>
      <c r="AR192" s="1130"/>
      <c r="AS192" s="496"/>
      <c r="AT192" s="498"/>
      <c r="AU192" s="494"/>
      <c r="AV192" s="496"/>
      <c r="AW192" s="498"/>
      <c r="AX192" s="494"/>
      <c r="AY192" s="496"/>
      <c r="AZ192" s="498"/>
      <c r="BA192" s="494"/>
      <c r="BB192" s="496"/>
      <c r="BC192" s="498"/>
      <c r="BD192" s="494"/>
      <c r="BE192" s="496"/>
      <c r="BF192" s="498"/>
      <c r="BG192" s="494"/>
      <c r="BH192" s="496"/>
      <c r="BI192" s="498"/>
      <c r="BP192" s="271">
        <v>3781</v>
      </c>
      <c r="BT192" s="1102"/>
      <c r="BU192" s="1099"/>
    </row>
    <row r="193" spans="1:73" ht="39.75" customHeight="1" thickBot="1">
      <c r="A193" s="1173"/>
      <c r="B193" s="1176"/>
      <c r="C193" s="621" t="s">
        <v>59</v>
      </c>
      <c r="D193" s="619" t="s">
        <v>379</v>
      </c>
      <c r="E193" s="613">
        <v>52.5</v>
      </c>
      <c r="F193" s="613">
        <f>3600/E193*2</f>
        <v>137.14285714285714</v>
      </c>
      <c r="G193" s="614">
        <v>1</v>
      </c>
      <c r="H193" s="614">
        <f>H192</f>
        <v>300</v>
      </c>
      <c r="I193" s="459">
        <v>0</v>
      </c>
      <c r="J193" s="615">
        <v>1140</v>
      </c>
      <c r="K193" s="614">
        <v>2</v>
      </c>
      <c r="L193" s="365">
        <f>((H193*E193)/3600)/K193</f>
        <v>2.1875</v>
      </c>
      <c r="M193" s="616">
        <f t="shared" si="22"/>
        <v>0</v>
      </c>
      <c r="N193" s="620">
        <f>M193*1.5</f>
        <v>0</v>
      </c>
      <c r="O193" s="617">
        <f t="shared" si="23"/>
        <v>41578</v>
      </c>
      <c r="P193" s="35"/>
      <c r="Q193" s="36"/>
      <c r="R193" s="40"/>
      <c r="S193" s="39"/>
      <c r="T193" s="39"/>
      <c r="U193" s="39"/>
      <c r="V193" s="39"/>
      <c r="W193" s="39"/>
      <c r="X193" s="39"/>
      <c r="Y193" s="40">
        <v>1</v>
      </c>
      <c r="Z193" s="1163"/>
      <c r="AA193" s="1152"/>
      <c r="AB193" s="1151"/>
      <c r="AC193" s="1121"/>
      <c r="AD193" s="1152"/>
      <c r="AE193" s="1151"/>
      <c r="AF193" s="1121"/>
      <c r="AG193" s="1152"/>
      <c r="AH193" s="1151"/>
      <c r="AI193" s="1115"/>
      <c r="AJ193" s="1112"/>
      <c r="AK193" s="1128"/>
      <c r="AL193" s="1115"/>
      <c r="AM193" s="1112"/>
      <c r="AN193" s="1128"/>
      <c r="AO193" s="1131"/>
      <c r="AP193" s="1134"/>
      <c r="AQ193" s="1137"/>
      <c r="AR193" s="1131"/>
      <c r="AS193" s="537"/>
      <c r="AT193" s="538"/>
      <c r="AU193" s="536"/>
      <c r="AV193" s="537"/>
      <c r="AW193" s="538"/>
      <c r="AX193" s="536"/>
      <c r="AY193" s="537"/>
      <c r="AZ193" s="538"/>
      <c r="BA193" s="536"/>
      <c r="BB193" s="537"/>
      <c r="BC193" s="538"/>
      <c r="BD193" s="536"/>
      <c r="BE193" s="537"/>
      <c r="BF193" s="538"/>
      <c r="BG193" s="536"/>
      <c r="BH193" s="537"/>
      <c r="BI193" s="538"/>
      <c r="BP193" s="270">
        <v>2355</v>
      </c>
      <c r="BT193" s="1102"/>
      <c r="BU193" s="1099"/>
    </row>
    <row r="194" spans="1:73" ht="39" customHeight="1" thickBot="1">
      <c r="A194" s="1174"/>
      <c r="B194" s="1178"/>
      <c r="C194" s="622" t="s">
        <v>64</v>
      </c>
      <c r="D194" s="623" t="s">
        <v>114</v>
      </c>
      <c r="E194" s="624">
        <v>52.5</v>
      </c>
      <c r="F194" s="624">
        <f>3600/E194*2</f>
        <v>137.14285714285714</v>
      </c>
      <c r="G194" s="625"/>
      <c r="H194" s="614">
        <f>H189</f>
        <v>300</v>
      </c>
      <c r="I194" s="459">
        <v>0</v>
      </c>
      <c r="J194" s="626">
        <v>1140</v>
      </c>
      <c r="K194" s="625">
        <v>2</v>
      </c>
      <c r="L194" s="365">
        <f>((H194*E194)/3600)/K194</f>
        <v>2.1875</v>
      </c>
      <c r="M194" s="627">
        <f t="shared" si="22"/>
        <v>0</v>
      </c>
      <c r="N194" s="628">
        <f>M194</f>
        <v>0</v>
      </c>
      <c r="O194" s="629">
        <f t="shared" si="23"/>
        <v>41578</v>
      </c>
      <c r="P194" s="35"/>
      <c r="Q194" s="36"/>
      <c r="R194" s="40"/>
      <c r="S194" s="39"/>
      <c r="T194" s="39"/>
      <c r="U194" s="39"/>
      <c r="V194" s="39"/>
      <c r="W194" s="39"/>
      <c r="X194" s="39"/>
      <c r="Y194" s="40">
        <v>1</v>
      </c>
      <c r="Z194" s="1164"/>
      <c r="AA194" s="1118"/>
      <c r="AB194" s="1126"/>
      <c r="AC194" s="1120"/>
      <c r="AD194" s="1118"/>
      <c r="AE194" s="1126"/>
      <c r="AF194" s="1120"/>
      <c r="AG194" s="1118"/>
      <c r="AH194" s="1126"/>
      <c r="AI194" s="1116"/>
      <c r="AJ194" s="1113"/>
      <c r="AK194" s="1129"/>
      <c r="AL194" s="1116"/>
      <c r="AM194" s="1113"/>
      <c r="AN194" s="1129"/>
      <c r="AO194" s="1132"/>
      <c r="AP194" s="1135"/>
      <c r="AQ194" s="1138"/>
      <c r="AR194" s="1132"/>
      <c r="AS194" s="497"/>
      <c r="AT194" s="499"/>
      <c r="AU194" s="495"/>
      <c r="AV194" s="497"/>
      <c r="AW194" s="499"/>
      <c r="AX194" s="495"/>
      <c r="AY194" s="497"/>
      <c r="AZ194" s="499"/>
      <c r="BA194" s="495"/>
      <c r="BB194" s="497"/>
      <c r="BC194" s="499"/>
      <c r="BD194" s="495"/>
      <c r="BE194" s="497"/>
      <c r="BF194" s="499"/>
      <c r="BG194" s="495"/>
      <c r="BH194" s="497"/>
      <c r="BI194" s="499"/>
      <c r="BP194" s="271">
        <v>3349</v>
      </c>
      <c r="BT194" s="1103"/>
      <c r="BU194" s="1100"/>
    </row>
    <row r="195" spans="1:73" ht="39" customHeight="1">
      <c r="A195" s="701"/>
      <c r="B195" s="702"/>
      <c r="C195" s="703"/>
      <c r="D195" s="704"/>
      <c r="E195" s="705"/>
      <c r="F195" s="705"/>
      <c r="G195" s="706"/>
      <c r="H195" s="706"/>
      <c r="I195" s="707"/>
      <c r="J195" s="706"/>
      <c r="K195" s="706"/>
      <c r="L195" s="706"/>
      <c r="M195" s="708"/>
      <c r="N195" s="709"/>
      <c r="O195" s="710"/>
      <c r="Z195" s="711"/>
      <c r="AA195" s="712"/>
      <c r="AB195" s="712"/>
      <c r="AC195" s="712"/>
      <c r="AD195" s="712"/>
      <c r="AE195" s="712"/>
      <c r="AF195" s="712"/>
      <c r="AG195" s="712"/>
      <c r="AH195" s="712"/>
      <c r="AI195" s="713"/>
      <c r="AJ195" s="713"/>
      <c r="AK195" s="713"/>
      <c r="AL195" s="713"/>
      <c r="AM195" s="713"/>
      <c r="AN195" s="713"/>
      <c r="AO195" s="714"/>
      <c r="AP195" s="714"/>
      <c r="AQ195" s="714"/>
      <c r="AR195" s="714"/>
      <c r="AS195" s="714"/>
      <c r="AT195" s="714"/>
      <c r="AU195" s="714"/>
      <c r="AV195" s="714"/>
      <c r="AW195" s="714"/>
      <c r="AX195" s="714"/>
      <c r="AY195" s="714"/>
      <c r="AZ195" s="714"/>
      <c r="BA195" s="714"/>
      <c r="BB195" s="714"/>
      <c r="BC195" s="714"/>
      <c r="BD195" s="714"/>
      <c r="BE195" s="714"/>
      <c r="BF195" s="714"/>
      <c r="BG195" s="714"/>
      <c r="BH195" s="714"/>
      <c r="BI195" s="714"/>
      <c r="BP195" s="715"/>
      <c r="BT195" s="26" t="s">
        <v>414</v>
      </c>
      <c r="BU195" s="716" t="s">
        <v>415</v>
      </c>
    </row>
    <row r="196" spans="1:73" s="16" customFormat="1">
      <c r="D196" s="196" t="s">
        <v>413</v>
      </c>
      <c r="E196" s="17"/>
      <c r="F196" s="17"/>
      <c r="I196" s="201"/>
      <c r="O196" s="196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T196" s="717">
        <f>BT188+BT104+BT102+BT85+BT64+BT45+BT22+BT14</f>
        <v>18</v>
      </c>
      <c r="BU196" s="717">
        <f>BU188+BU104+BU102+BU85+BU64+BU45+BU22+BU14</f>
        <v>140.43577777777779</v>
      </c>
    </row>
    <row r="197" spans="1:73" s="16" customFormat="1">
      <c r="E197" s="17"/>
      <c r="F197" s="17"/>
      <c r="I197" s="201"/>
      <c r="O197" s="196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</row>
    <row r="198" spans="1:73" s="16" customFormat="1">
      <c r="E198" s="17"/>
      <c r="F198" s="17"/>
      <c r="I198" s="201"/>
      <c r="O198" s="196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</row>
    <row r="199" spans="1:73" s="16" customFormat="1">
      <c r="E199" s="17"/>
      <c r="F199" s="17"/>
      <c r="I199" s="201"/>
      <c r="O199" s="196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</row>
    <row r="200" spans="1:73" s="16" customFormat="1">
      <c r="E200" s="17"/>
      <c r="F200" s="17"/>
      <c r="I200" s="201"/>
      <c r="O200" s="196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</row>
    <row r="201" spans="1:73" s="16" customFormat="1">
      <c r="E201" s="17"/>
      <c r="F201" s="17"/>
      <c r="I201" s="201"/>
      <c r="O201" s="196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</row>
    <row r="202" spans="1:73" s="16" customFormat="1">
      <c r="E202" s="17"/>
      <c r="F202" s="17"/>
      <c r="I202" s="201"/>
      <c r="O202" s="196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</row>
    <row r="203" spans="1:73" s="16" customFormat="1">
      <c r="E203" s="17"/>
      <c r="F203" s="17"/>
      <c r="I203" s="201"/>
      <c r="O203" s="196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</row>
    <row r="204" spans="1:73" s="16" customFormat="1">
      <c r="E204" s="17"/>
      <c r="F204" s="17"/>
      <c r="I204" s="201"/>
      <c r="O204" s="196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</row>
    <row r="205" spans="1:73" s="16" customFormat="1">
      <c r="E205" s="17"/>
      <c r="F205" s="17"/>
      <c r="I205" s="201"/>
      <c r="O205" s="196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</row>
    <row r="206" spans="1:73" s="16" customFormat="1">
      <c r="E206" s="17"/>
      <c r="F206" s="17"/>
      <c r="I206" s="201"/>
      <c r="O206" s="196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</row>
    <row r="207" spans="1:73" s="16" customFormat="1">
      <c r="E207" s="17"/>
      <c r="F207" s="17"/>
      <c r="I207" s="201"/>
      <c r="O207" s="196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</row>
    <row r="208" spans="1:73" s="16" customFormat="1">
      <c r="E208" s="17"/>
      <c r="F208" s="17"/>
      <c r="I208" s="201"/>
      <c r="O208" s="196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</row>
    <row r="209" spans="5:55" s="16" customFormat="1">
      <c r="E209" s="17"/>
      <c r="F209" s="17"/>
      <c r="I209" s="201"/>
      <c r="O209" s="196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</row>
    <row r="210" spans="5:55" s="16" customFormat="1">
      <c r="E210" s="17"/>
      <c r="F210" s="17"/>
      <c r="I210" s="201"/>
      <c r="O210" s="196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</row>
    <row r="211" spans="5:55" s="16" customFormat="1">
      <c r="E211" s="17"/>
      <c r="F211" s="17"/>
      <c r="I211" s="201"/>
      <c r="O211" s="196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</row>
    <row r="212" spans="5:55" s="16" customFormat="1">
      <c r="E212" s="17"/>
      <c r="F212" s="17"/>
      <c r="I212" s="201"/>
      <c r="O212" s="196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</row>
    <row r="213" spans="5:55" s="16" customFormat="1">
      <c r="E213" s="17"/>
      <c r="F213" s="17"/>
      <c r="I213" s="201"/>
      <c r="O213" s="196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</row>
    <row r="214" spans="5:55" s="16" customFormat="1">
      <c r="E214" s="17"/>
      <c r="F214" s="17"/>
      <c r="I214" s="201"/>
      <c r="O214" s="196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</row>
    <row r="215" spans="5:55" s="16" customFormat="1">
      <c r="E215" s="17"/>
      <c r="F215" s="17"/>
      <c r="I215" s="201"/>
      <c r="O215" s="196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</row>
    <row r="216" spans="5:55" s="16" customFormat="1">
      <c r="E216" s="17"/>
      <c r="F216" s="17"/>
      <c r="I216" s="201"/>
      <c r="O216" s="196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</row>
    <row r="217" spans="5:55" s="16" customFormat="1">
      <c r="E217" s="17"/>
      <c r="F217" s="17"/>
      <c r="I217" s="201"/>
      <c r="O217" s="196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</row>
    <row r="218" spans="5:55" s="16" customFormat="1">
      <c r="E218" s="17"/>
      <c r="F218" s="17"/>
      <c r="I218" s="201"/>
      <c r="O218" s="196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</row>
    <row r="219" spans="5:55" s="16" customFormat="1">
      <c r="E219" s="17"/>
      <c r="F219" s="17"/>
      <c r="I219" s="201"/>
      <c r="O219" s="196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</row>
    <row r="220" spans="5:55" s="16" customFormat="1">
      <c r="E220" s="17"/>
      <c r="F220" s="17"/>
      <c r="I220" s="201"/>
      <c r="O220" s="196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</row>
    <row r="221" spans="5:55" s="16" customFormat="1">
      <c r="E221" s="17"/>
      <c r="F221" s="17"/>
      <c r="I221" s="201"/>
      <c r="O221" s="196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</row>
    <row r="222" spans="5:55" s="16" customFormat="1">
      <c r="E222" s="17"/>
      <c r="F222" s="17"/>
      <c r="I222" s="201"/>
      <c r="O222" s="196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</row>
    <row r="223" spans="5:55" s="16" customFormat="1">
      <c r="E223" s="17"/>
      <c r="F223" s="17"/>
      <c r="I223" s="201"/>
      <c r="O223" s="196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</row>
    <row r="224" spans="5:55" s="16" customFormat="1">
      <c r="E224" s="17"/>
      <c r="F224" s="17"/>
      <c r="I224" s="201"/>
      <c r="O224" s="196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</row>
    <row r="225" spans="5:55" s="16" customFormat="1">
      <c r="E225" s="17"/>
      <c r="F225" s="17"/>
      <c r="I225" s="201"/>
      <c r="O225" s="196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</row>
    <row r="226" spans="5:55" s="16" customFormat="1">
      <c r="E226" s="17"/>
      <c r="F226" s="17"/>
      <c r="I226" s="201"/>
      <c r="O226" s="196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</row>
    <row r="227" spans="5:55" s="16" customFormat="1">
      <c r="E227" s="17"/>
      <c r="F227" s="17"/>
      <c r="I227" s="201"/>
      <c r="O227" s="196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</row>
    <row r="228" spans="5:55" s="16" customFormat="1">
      <c r="E228" s="17"/>
      <c r="F228" s="17"/>
      <c r="I228" s="201"/>
      <c r="O228" s="196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</row>
    <row r="229" spans="5:55" s="16" customFormat="1">
      <c r="E229" s="17"/>
      <c r="F229" s="17"/>
      <c r="I229" s="201"/>
      <c r="O229" s="196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</row>
    <row r="230" spans="5:55" s="16" customFormat="1">
      <c r="E230" s="17"/>
      <c r="F230" s="17"/>
      <c r="I230" s="201"/>
      <c r="O230" s="196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</row>
    <row r="231" spans="5:55" s="16" customFormat="1">
      <c r="E231" s="17"/>
      <c r="F231" s="17"/>
      <c r="I231" s="201"/>
      <c r="O231" s="196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</row>
    <row r="232" spans="5:55" s="16" customFormat="1">
      <c r="E232" s="17"/>
      <c r="F232" s="17"/>
      <c r="I232" s="201"/>
      <c r="O232" s="196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</row>
    <row r="233" spans="5:55" s="16" customFormat="1">
      <c r="E233" s="17"/>
      <c r="F233" s="17"/>
      <c r="I233" s="201"/>
      <c r="O233" s="196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</row>
    <row r="234" spans="5:55" s="16" customFormat="1">
      <c r="E234" s="17"/>
      <c r="F234" s="17"/>
      <c r="I234" s="201"/>
      <c r="O234" s="196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</row>
    <row r="235" spans="5:55" s="16" customFormat="1">
      <c r="E235" s="17"/>
      <c r="F235" s="17"/>
      <c r="I235" s="201"/>
      <c r="O235" s="196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</row>
    <row r="236" spans="5:55" s="16" customFormat="1">
      <c r="E236" s="17"/>
      <c r="F236" s="17"/>
      <c r="I236" s="201"/>
      <c r="O236" s="196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</row>
    <row r="237" spans="5:55" s="16" customFormat="1">
      <c r="E237" s="17"/>
      <c r="F237" s="17"/>
      <c r="I237" s="201"/>
      <c r="O237" s="196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</row>
    <row r="238" spans="5:55" s="16" customFormat="1">
      <c r="E238" s="17"/>
      <c r="F238" s="17"/>
      <c r="I238" s="201"/>
      <c r="O238" s="196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</row>
    <row r="239" spans="5:55" s="16" customFormat="1">
      <c r="E239" s="17"/>
      <c r="F239" s="17"/>
      <c r="I239" s="201"/>
      <c r="O239" s="196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</row>
    <row r="240" spans="5:55" s="16" customFormat="1">
      <c r="E240" s="17"/>
      <c r="F240" s="17"/>
      <c r="I240" s="201"/>
      <c r="O240" s="196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</row>
    <row r="241" spans="5:55" s="16" customFormat="1">
      <c r="E241" s="17"/>
      <c r="F241" s="17"/>
      <c r="I241" s="201"/>
      <c r="O241" s="196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</row>
    <row r="242" spans="5:55" s="16" customFormat="1">
      <c r="E242" s="17"/>
      <c r="F242" s="17"/>
      <c r="I242" s="201"/>
      <c r="O242" s="196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</row>
    <row r="243" spans="5:55" s="16" customFormat="1">
      <c r="E243" s="17"/>
      <c r="F243" s="17"/>
      <c r="I243" s="201"/>
      <c r="O243" s="196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</row>
    <row r="244" spans="5:55" s="16" customFormat="1">
      <c r="E244" s="17"/>
      <c r="F244" s="17"/>
      <c r="I244" s="201"/>
      <c r="O244" s="196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</row>
    <row r="245" spans="5:55" s="16" customFormat="1">
      <c r="E245" s="17"/>
      <c r="F245" s="17"/>
      <c r="I245" s="201"/>
      <c r="O245" s="196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</row>
    <row r="246" spans="5:55" s="16" customFormat="1">
      <c r="E246" s="17"/>
      <c r="F246" s="17"/>
      <c r="I246" s="201"/>
      <c r="O246" s="196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</row>
    <row r="247" spans="5:55" s="16" customFormat="1">
      <c r="E247" s="17"/>
      <c r="F247" s="17"/>
      <c r="I247" s="201"/>
      <c r="O247" s="196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</row>
    <row r="248" spans="5:55" s="16" customFormat="1">
      <c r="E248" s="17"/>
      <c r="F248" s="17"/>
      <c r="I248" s="201"/>
      <c r="O248" s="196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</row>
    <row r="249" spans="5:55" s="16" customFormat="1">
      <c r="E249" s="17"/>
      <c r="F249" s="17"/>
      <c r="I249" s="201"/>
      <c r="O249" s="196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</row>
    <row r="250" spans="5:55" s="16" customFormat="1">
      <c r="E250" s="17"/>
      <c r="F250" s="17"/>
      <c r="I250" s="201"/>
      <c r="O250" s="196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</row>
    <row r="251" spans="5:55" s="16" customFormat="1">
      <c r="E251" s="17"/>
      <c r="F251" s="17"/>
      <c r="I251" s="201"/>
      <c r="O251" s="196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</row>
    <row r="252" spans="5:55" s="16" customFormat="1">
      <c r="E252" s="17"/>
      <c r="F252" s="17"/>
      <c r="I252" s="201"/>
      <c r="O252" s="196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</row>
    <row r="253" spans="5:55" s="16" customFormat="1">
      <c r="E253" s="17"/>
      <c r="F253" s="17"/>
      <c r="I253" s="201"/>
      <c r="O253" s="196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</row>
    <row r="254" spans="5:55" s="16" customFormat="1">
      <c r="E254" s="17"/>
      <c r="F254" s="17"/>
      <c r="I254" s="201"/>
      <c r="O254" s="196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</row>
    <row r="255" spans="5:55" s="16" customFormat="1">
      <c r="E255" s="17"/>
      <c r="F255" s="17"/>
      <c r="I255" s="201"/>
      <c r="O255" s="196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</row>
    <row r="256" spans="5:55" s="16" customFormat="1">
      <c r="E256" s="17"/>
      <c r="F256" s="17"/>
      <c r="I256" s="201"/>
      <c r="O256" s="196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</row>
    <row r="257" spans="5:55" s="16" customFormat="1">
      <c r="E257" s="17"/>
      <c r="F257" s="17"/>
      <c r="I257" s="201"/>
      <c r="O257" s="196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</row>
    <row r="258" spans="5:55" s="16" customFormat="1">
      <c r="E258" s="17"/>
      <c r="F258" s="17"/>
      <c r="I258" s="201"/>
      <c r="O258" s="196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</row>
    <row r="259" spans="5:55" s="16" customFormat="1">
      <c r="E259" s="17"/>
      <c r="F259" s="17"/>
      <c r="I259" s="201"/>
      <c r="O259" s="196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</row>
  </sheetData>
  <mergeCells count="1021">
    <mergeCell ref="A1:B4"/>
    <mergeCell ref="BV16:BX16"/>
    <mergeCell ref="BV17:BX17"/>
    <mergeCell ref="BV18:BX18"/>
    <mergeCell ref="BV19:BX19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P5:R5"/>
    <mergeCell ref="S5:S6"/>
    <mergeCell ref="T5:V5"/>
    <mergeCell ref="W5:Y5"/>
    <mergeCell ref="Z5:AB5"/>
    <mergeCell ref="AC5:AE5"/>
    <mergeCell ref="AF5:AH5"/>
    <mergeCell ref="BA5:BC5"/>
    <mergeCell ref="BD5:BF5"/>
    <mergeCell ref="BG5:BI5"/>
    <mergeCell ref="AI5:AK5"/>
    <mergeCell ref="AL5:AN5"/>
    <mergeCell ref="AO5:AQ5"/>
    <mergeCell ref="AR5:AT5"/>
    <mergeCell ref="AU5:AW5"/>
    <mergeCell ref="AX5:AZ5"/>
    <mergeCell ref="Z9:Z10"/>
    <mergeCell ref="AA9:AA10"/>
    <mergeCell ref="AB9:AB10"/>
    <mergeCell ref="AC9:AC10"/>
    <mergeCell ref="AD9:AD10"/>
    <mergeCell ref="AE9:AE10"/>
    <mergeCell ref="AF9:AF10"/>
    <mergeCell ref="AG9:AG10"/>
    <mergeCell ref="AH9:AH10"/>
    <mergeCell ref="AI9:AI10"/>
    <mergeCell ref="AJ9:AJ10"/>
    <mergeCell ref="AK9:AK10"/>
    <mergeCell ref="AL9:AL10"/>
    <mergeCell ref="AM9:AM10"/>
    <mergeCell ref="AN9:AN10"/>
    <mergeCell ref="AO9:AO10"/>
    <mergeCell ref="AP9:AP10"/>
    <mergeCell ref="AQ9:AQ10"/>
    <mergeCell ref="AR9:AR10"/>
    <mergeCell ref="AS9:AS10"/>
    <mergeCell ref="AT9:AT10"/>
    <mergeCell ref="AU9:AU10"/>
    <mergeCell ref="AV9:AV10"/>
    <mergeCell ref="AW9:AW10"/>
    <mergeCell ref="AX9:AX10"/>
    <mergeCell ref="AY9:AY10"/>
    <mergeCell ref="AZ9:AZ10"/>
    <mergeCell ref="BA9:BA10"/>
    <mergeCell ref="BB9:BB10"/>
    <mergeCell ref="BC9:BC10"/>
    <mergeCell ref="BD9:BD10"/>
    <mergeCell ref="BE9:BE10"/>
    <mergeCell ref="BF9:BF10"/>
    <mergeCell ref="BG9:BG10"/>
    <mergeCell ref="BH9:BH10"/>
    <mergeCell ref="BI9:BI10"/>
    <mergeCell ref="T11:T12"/>
    <mergeCell ref="U11:U12"/>
    <mergeCell ref="V11:V12"/>
    <mergeCell ref="W11:W12"/>
    <mergeCell ref="X11:X12"/>
    <mergeCell ref="Y11:Y12"/>
    <mergeCell ref="Z11:Z12"/>
    <mergeCell ref="AA11:AA12"/>
    <mergeCell ref="AB11:AB12"/>
    <mergeCell ref="AC11:AC12"/>
    <mergeCell ref="AD11:AD12"/>
    <mergeCell ref="AE11:AE12"/>
    <mergeCell ref="AF11:AF12"/>
    <mergeCell ref="AG11:AG12"/>
    <mergeCell ref="AH11:AH12"/>
    <mergeCell ref="AI11:AI12"/>
    <mergeCell ref="AJ11:AJ12"/>
    <mergeCell ref="AK11:AK12"/>
    <mergeCell ref="AL11:AL12"/>
    <mergeCell ref="AM11:AM12"/>
    <mergeCell ref="AN11:AN12"/>
    <mergeCell ref="AO11:AO12"/>
    <mergeCell ref="AP11:AP12"/>
    <mergeCell ref="AQ11:AQ12"/>
    <mergeCell ref="AR11:AR12"/>
    <mergeCell ref="AS11:AS12"/>
    <mergeCell ref="AT11:AT12"/>
    <mergeCell ref="AU11:AU12"/>
    <mergeCell ref="AV11:AV12"/>
    <mergeCell ref="AW11:AW12"/>
    <mergeCell ref="AX11:AX12"/>
    <mergeCell ref="AY11:AY12"/>
    <mergeCell ref="AZ11:AZ12"/>
    <mergeCell ref="BA11:BA12"/>
    <mergeCell ref="BB11:BB12"/>
    <mergeCell ref="BC11:BC12"/>
    <mergeCell ref="BD11:BD12"/>
    <mergeCell ref="BE11:BE12"/>
    <mergeCell ref="BF11:BF12"/>
    <mergeCell ref="BG11:BG12"/>
    <mergeCell ref="BH11:BH12"/>
    <mergeCell ref="BI11:BI12"/>
    <mergeCell ref="A14:A21"/>
    <mergeCell ref="B14:B15"/>
    <mergeCell ref="B16:B17"/>
    <mergeCell ref="T16:T17"/>
    <mergeCell ref="U16:U17"/>
    <mergeCell ref="V16:V17"/>
    <mergeCell ref="Y16:Y17"/>
    <mergeCell ref="Z16:Z17"/>
    <mergeCell ref="AA16:AA17"/>
    <mergeCell ref="AB16:AB17"/>
    <mergeCell ref="AC16:AC17"/>
    <mergeCell ref="AD16:AD17"/>
    <mergeCell ref="AE16:AE17"/>
    <mergeCell ref="AF16:AF17"/>
    <mergeCell ref="AG16:AG17"/>
    <mergeCell ref="AH16:AH17"/>
    <mergeCell ref="AI16:AI17"/>
    <mergeCell ref="AJ16:AJ17"/>
    <mergeCell ref="AK16:AK17"/>
    <mergeCell ref="AL16:AL17"/>
    <mergeCell ref="AM16:AM17"/>
    <mergeCell ref="AN16:AN17"/>
    <mergeCell ref="AO16:AO17"/>
    <mergeCell ref="AP16:AP17"/>
    <mergeCell ref="AQ16:AQ17"/>
    <mergeCell ref="AR16:AR17"/>
    <mergeCell ref="AS16:AS17"/>
    <mergeCell ref="AT16:AT17"/>
    <mergeCell ref="AU16:AU17"/>
    <mergeCell ref="AV16:AV17"/>
    <mergeCell ref="BI16:BI17"/>
    <mergeCell ref="B19:B20"/>
    <mergeCell ref="T19:T20"/>
    <mergeCell ref="U19:U20"/>
    <mergeCell ref="V19:V20"/>
    <mergeCell ref="W19:W20"/>
    <mergeCell ref="X19:X20"/>
    <mergeCell ref="Y19:Y20"/>
    <mergeCell ref="Z19:Z20"/>
    <mergeCell ref="AA19:AA20"/>
    <mergeCell ref="AB19:AB20"/>
    <mergeCell ref="AC19:AC20"/>
    <mergeCell ref="AD19:AD20"/>
    <mergeCell ref="AE19:AE20"/>
    <mergeCell ref="AF19:AF20"/>
    <mergeCell ref="AG19:AG20"/>
    <mergeCell ref="AH19:AH20"/>
    <mergeCell ref="AI19:AI20"/>
    <mergeCell ref="AJ19:AJ20"/>
    <mergeCell ref="AK19:AK20"/>
    <mergeCell ref="AX19:AX20"/>
    <mergeCell ref="AY19:AY20"/>
    <mergeCell ref="AZ19:AZ20"/>
    <mergeCell ref="BA19:BA20"/>
    <mergeCell ref="BB19:BB20"/>
    <mergeCell ref="AW16:AW17"/>
    <mergeCell ref="AX16:AX17"/>
    <mergeCell ref="AY16:AY17"/>
    <mergeCell ref="AZ16:AZ17"/>
    <mergeCell ref="BA16:BA17"/>
    <mergeCell ref="BB16:BB17"/>
    <mergeCell ref="BC16:BC17"/>
    <mergeCell ref="BD16:BD17"/>
    <mergeCell ref="BE16:BE17"/>
    <mergeCell ref="BF16:BF17"/>
    <mergeCell ref="BG16:BG17"/>
    <mergeCell ref="BH16:BH17"/>
    <mergeCell ref="AL22:AL23"/>
    <mergeCell ref="AM22:AM23"/>
    <mergeCell ref="AN22:AN23"/>
    <mergeCell ref="AO22:AO23"/>
    <mergeCell ref="AP22:AP23"/>
    <mergeCell ref="AL19:AL20"/>
    <mergeCell ref="AM19:AM20"/>
    <mergeCell ref="AN19:AN20"/>
    <mergeCell ref="AO19:AO20"/>
    <mergeCell ref="AP19:AP20"/>
    <mergeCell ref="AQ19:AQ20"/>
    <mergeCell ref="AR19:AR20"/>
    <mergeCell ref="AS19:AS20"/>
    <mergeCell ref="AT19:AT20"/>
    <mergeCell ref="AU19:AU20"/>
    <mergeCell ref="AV19:AV20"/>
    <mergeCell ref="AW19:AW20"/>
    <mergeCell ref="BC22:BC23"/>
    <mergeCell ref="BD22:BD23"/>
    <mergeCell ref="BE22:BE23"/>
    <mergeCell ref="BF22:BF23"/>
    <mergeCell ref="BG22:BG23"/>
    <mergeCell ref="BC19:BC20"/>
    <mergeCell ref="BD19:BD20"/>
    <mergeCell ref="BE19:BE20"/>
    <mergeCell ref="BF19:BF20"/>
    <mergeCell ref="BG19:BG20"/>
    <mergeCell ref="BH19:BH20"/>
    <mergeCell ref="BI19:BI20"/>
    <mergeCell ref="A22:A36"/>
    <mergeCell ref="B22:B23"/>
    <mergeCell ref="T22:T23"/>
    <mergeCell ref="U22:U23"/>
    <mergeCell ref="V22:V23"/>
    <mergeCell ref="W22:W23"/>
    <mergeCell ref="X22:X23"/>
    <mergeCell ref="Y22:Y23"/>
    <mergeCell ref="Z22:Z23"/>
    <mergeCell ref="AA22:AA23"/>
    <mergeCell ref="AB22:AB23"/>
    <mergeCell ref="AC22:AC23"/>
    <mergeCell ref="AD22:AD23"/>
    <mergeCell ref="AE22:AE23"/>
    <mergeCell ref="AF22:AF23"/>
    <mergeCell ref="AG22:AG23"/>
    <mergeCell ref="AH22:AH23"/>
    <mergeCell ref="AI22:AI23"/>
    <mergeCell ref="AJ22:AJ23"/>
    <mergeCell ref="AK22:AK23"/>
    <mergeCell ref="AX24:AX26"/>
    <mergeCell ref="AY24:AY26"/>
    <mergeCell ref="AZ24:AZ26"/>
    <mergeCell ref="BA24:BA26"/>
    <mergeCell ref="BB24:BB26"/>
    <mergeCell ref="AQ22:AQ23"/>
    <mergeCell ref="AR22:AR23"/>
    <mergeCell ref="AS22:AS23"/>
    <mergeCell ref="AT22:AT23"/>
    <mergeCell ref="AU22:AU23"/>
    <mergeCell ref="AV22:AV23"/>
    <mergeCell ref="AW22:AW23"/>
    <mergeCell ref="AX22:AX23"/>
    <mergeCell ref="AY22:AY23"/>
    <mergeCell ref="AZ22:AZ23"/>
    <mergeCell ref="BA22:BA23"/>
    <mergeCell ref="BB22:BB23"/>
    <mergeCell ref="AM27:AM28"/>
    <mergeCell ref="AN27:AN28"/>
    <mergeCell ref="AO27:AO28"/>
    <mergeCell ref="AP27:AP28"/>
    <mergeCell ref="AQ27:AQ28"/>
    <mergeCell ref="BH22:BH23"/>
    <mergeCell ref="BI22:BI23"/>
    <mergeCell ref="B24:B26"/>
    <mergeCell ref="Z24:Z26"/>
    <mergeCell ref="AA24:AA26"/>
    <mergeCell ref="AB24:AB26"/>
    <mergeCell ref="AC24:AC26"/>
    <mergeCell ref="AD24:AD26"/>
    <mergeCell ref="AE24:AE26"/>
    <mergeCell ref="AF24:AF26"/>
    <mergeCell ref="AG24:AG26"/>
    <mergeCell ref="AH24:AH26"/>
    <mergeCell ref="AI24:AI26"/>
    <mergeCell ref="AJ24:AJ26"/>
    <mergeCell ref="AK24:AK26"/>
    <mergeCell ref="AL24:AL26"/>
    <mergeCell ref="AM24:AM26"/>
    <mergeCell ref="AN24:AN26"/>
    <mergeCell ref="AO24:AO26"/>
    <mergeCell ref="AP24:AP26"/>
    <mergeCell ref="AQ24:AQ26"/>
    <mergeCell ref="AR24:AR26"/>
    <mergeCell ref="AS24:AS26"/>
    <mergeCell ref="AT24:AT26"/>
    <mergeCell ref="AU24:AU26"/>
    <mergeCell ref="AV24:AV26"/>
    <mergeCell ref="AW24:AW26"/>
    <mergeCell ref="AD38:AD39"/>
    <mergeCell ref="AE38:AE39"/>
    <mergeCell ref="AF38:AF39"/>
    <mergeCell ref="AG38:AG39"/>
    <mergeCell ref="BH27:BH28"/>
    <mergeCell ref="BC24:BC26"/>
    <mergeCell ref="BD24:BD26"/>
    <mergeCell ref="BE24:BE26"/>
    <mergeCell ref="BF24:BF26"/>
    <mergeCell ref="BG24:BG26"/>
    <mergeCell ref="BH24:BH26"/>
    <mergeCell ref="BB38:BB39"/>
    <mergeCell ref="BC38:BC39"/>
    <mergeCell ref="BD38:BD39"/>
    <mergeCell ref="AN38:AN39"/>
    <mergeCell ref="AO38:AO39"/>
    <mergeCell ref="AP38:AP39"/>
    <mergeCell ref="AQ38:AQ39"/>
    <mergeCell ref="AR38:AR39"/>
    <mergeCell ref="AS38:AS39"/>
    <mergeCell ref="BF38:BF39"/>
    <mergeCell ref="BG38:BG39"/>
    <mergeCell ref="BH38:BH39"/>
    <mergeCell ref="BA27:BA28"/>
    <mergeCell ref="BI24:BI26"/>
    <mergeCell ref="B27:B28"/>
    <mergeCell ref="T27:T28"/>
    <mergeCell ref="U27:U28"/>
    <mergeCell ref="V27:V28"/>
    <mergeCell ref="W27:W28"/>
    <mergeCell ref="X27:X28"/>
    <mergeCell ref="Y27:Y28"/>
    <mergeCell ref="Z27:Z28"/>
    <mergeCell ref="AA27:AA28"/>
    <mergeCell ref="AB27:AB28"/>
    <mergeCell ref="AC27:AC28"/>
    <mergeCell ref="AD27:AD28"/>
    <mergeCell ref="AE27:AE28"/>
    <mergeCell ref="AF27:AF28"/>
    <mergeCell ref="AG27:AG28"/>
    <mergeCell ref="AH27:AH28"/>
    <mergeCell ref="AI27:AI28"/>
    <mergeCell ref="AJ27:AJ28"/>
    <mergeCell ref="AK27:AK28"/>
    <mergeCell ref="AL27:AL28"/>
    <mergeCell ref="AR27:AR28"/>
    <mergeCell ref="AS27:AS28"/>
    <mergeCell ref="AT27:AT28"/>
    <mergeCell ref="AU27:AU28"/>
    <mergeCell ref="BF27:BF28"/>
    <mergeCell ref="BG27:BG28"/>
    <mergeCell ref="AV27:AV28"/>
    <mergeCell ref="AW27:AW28"/>
    <mergeCell ref="AX27:AX28"/>
    <mergeCell ref="AY27:AY28"/>
    <mergeCell ref="AZ27:AZ28"/>
    <mergeCell ref="BI27:BI28"/>
    <mergeCell ref="BB27:BB28"/>
    <mergeCell ref="BC27:BC28"/>
    <mergeCell ref="BD27:BD28"/>
    <mergeCell ref="BE27:BE28"/>
    <mergeCell ref="AH38:AH39"/>
    <mergeCell ref="AI38:AI39"/>
    <mergeCell ref="AJ38:AJ39"/>
    <mergeCell ref="AK38:AK39"/>
    <mergeCell ref="AL38:AL39"/>
    <mergeCell ref="AM38:AM39"/>
    <mergeCell ref="BE38:BE39"/>
    <mergeCell ref="AT38:AT39"/>
    <mergeCell ref="AU38:AU39"/>
    <mergeCell ref="AV38:AV39"/>
    <mergeCell ref="AW38:AW39"/>
    <mergeCell ref="AX38:AX39"/>
    <mergeCell ref="AY38:AY39"/>
    <mergeCell ref="AZ38:AZ39"/>
    <mergeCell ref="BA38:BA39"/>
    <mergeCell ref="BI38:BI39"/>
    <mergeCell ref="AQ49:AQ50"/>
    <mergeCell ref="AR49:AR50"/>
    <mergeCell ref="AS49:AS50"/>
    <mergeCell ref="AT49:AT50"/>
    <mergeCell ref="AU49:AU50"/>
    <mergeCell ref="AV49:AV50"/>
    <mergeCell ref="AW49:AW50"/>
    <mergeCell ref="AX49:AX50"/>
    <mergeCell ref="AY49:AY50"/>
    <mergeCell ref="AQ46:AQ47"/>
    <mergeCell ref="AR46:AR47"/>
    <mergeCell ref="AS46:AS47"/>
    <mergeCell ref="Z40:Z42"/>
    <mergeCell ref="AA40:AA42"/>
    <mergeCell ref="AB40:AB42"/>
    <mergeCell ref="AC40:AC42"/>
    <mergeCell ref="AD40:AD42"/>
    <mergeCell ref="AE40:AE42"/>
    <mergeCell ref="AG46:AG47"/>
    <mergeCell ref="AH46:AH47"/>
    <mergeCell ref="AN40:AN42"/>
    <mergeCell ref="AO40:AO42"/>
    <mergeCell ref="AP40:AP42"/>
    <mergeCell ref="AQ40:AQ42"/>
    <mergeCell ref="AG40:AG42"/>
    <mergeCell ref="AH40:AH42"/>
    <mergeCell ref="AI40:AI42"/>
    <mergeCell ref="AJ40:AJ42"/>
    <mergeCell ref="Z46:Z47"/>
    <mergeCell ref="AA46:AA47"/>
    <mergeCell ref="AB46:AB47"/>
    <mergeCell ref="AC46:AC47"/>
    <mergeCell ref="AD46:AD47"/>
    <mergeCell ref="AF46:AF47"/>
    <mergeCell ref="AI46:AI47"/>
    <mergeCell ref="AJ46:AJ47"/>
    <mergeCell ref="AK46:AK47"/>
    <mergeCell ref="AL46:AL47"/>
    <mergeCell ref="AM46:AM47"/>
    <mergeCell ref="AN46:AN47"/>
    <mergeCell ref="AO46:AO47"/>
    <mergeCell ref="AP46:AP47"/>
    <mergeCell ref="AH49:AH50"/>
    <mergeCell ref="AI49:AI50"/>
    <mergeCell ref="AJ49:AJ50"/>
    <mergeCell ref="AK49:AK50"/>
    <mergeCell ref="AL49:AL50"/>
    <mergeCell ref="AM49:AM50"/>
    <mergeCell ref="AN49:AN50"/>
    <mergeCell ref="AO49:AO50"/>
    <mergeCell ref="AP49:AP50"/>
    <mergeCell ref="AT46:AT47"/>
    <mergeCell ref="AU46:AU47"/>
    <mergeCell ref="AV46:AV47"/>
    <mergeCell ref="BF49:BF50"/>
    <mergeCell ref="BG49:BG50"/>
    <mergeCell ref="BH49:BH50"/>
    <mergeCell ref="BI49:BI50"/>
    <mergeCell ref="AZ49:AZ50"/>
    <mergeCell ref="BA49:BA50"/>
    <mergeCell ref="BB49:BB50"/>
    <mergeCell ref="BC49:BC50"/>
    <mergeCell ref="BD49:BD50"/>
    <mergeCell ref="BE49:BE50"/>
    <mergeCell ref="BE46:BE47"/>
    <mergeCell ref="BF46:BF47"/>
    <mergeCell ref="BG46:BG47"/>
    <mergeCell ref="BH46:BH47"/>
    <mergeCell ref="AW46:AW47"/>
    <mergeCell ref="AX46:AX47"/>
    <mergeCell ref="AY46:AY47"/>
    <mergeCell ref="AZ46:AZ47"/>
    <mergeCell ref="BA46:BA47"/>
    <mergeCell ref="BI46:BI47"/>
    <mergeCell ref="BB46:BB47"/>
    <mergeCell ref="BD46:BD47"/>
    <mergeCell ref="BC46:BC47"/>
    <mergeCell ref="A64:A84"/>
    <mergeCell ref="B65:B66"/>
    <mergeCell ref="T65:T66"/>
    <mergeCell ref="U65:U66"/>
    <mergeCell ref="V65:V66"/>
    <mergeCell ref="W65:W66"/>
    <mergeCell ref="X65:X66"/>
    <mergeCell ref="Y65:Y66"/>
    <mergeCell ref="Z65:Z66"/>
    <mergeCell ref="AA65:AA66"/>
    <mergeCell ref="AB65:AB66"/>
    <mergeCell ref="AC65:AC66"/>
    <mergeCell ref="AD65:AD66"/>
    <mergeCell ref="AE65:AE66"/>
    <mergeCell ref="AF65:AF66"/>
    <mergeCell ref="AG65:AG66"/>
    <mergeCell ref="AH65:AH66"/>
    <mergeCell ref="AI65:AI66"/>
    <mergeCell ref="AJ65:AJ66"/>
    <mergeCell ref="AK65:AK66"/>
    <mergeCell ref="AL65:AL66"/>
    <mergeCell ref="AM65:AM66"/>
    <mergeCell ref="AN65:AN66"/>
    <mergeCell ref="AO65:AO66"/>
    <mergeCell ref="AP65:AP66"/>
    <mergeCell ref="AQ65:AQ66"/>
    <mergeCell ref="AR65:AR66"/>
    <mergeCell ref="AS65:AS66"/>
    <mergeCell ref="AT65:AT66"/>
    <mergeCell ref="AU65:AU66"/>
    <mergeCell ref="AV65:AV66"/>
    <mergeCell ref="AW65:AW66"/>
    <mergeCell ref="AX65:AX66"/>
    <mergeCell ref="AY65:AY66"/>
    <mergeCell ref="AZ65:AZ66"/>
    <mergeCell ref="BA65:BA66"/>
    <mergeCell ref="BB65:BB66"/>
    <mergeCell ref="BC65:BC66"/>
    <mergeCell ref="BD65:BD66"/>
    <mergeCell ref="BE65:BE66"/>
    <mergeCell ref="BF65:BF66"/>
    <mergeCell ref="BG65:BG66"/>
    <mergeCell ref="BH65:BH66"/>
    <mergeCell ref="BI65:BI66"/>
    <mergeCell ref="B68:B69"/>
    <mergeCell ref="T68:T69"/>
    <mergeCell ref="U68:U69"/>
    <mergeCell ref="V68:V69"/>
    <mergeCell ref="W68:W69"/>
    <mergeCell ref="X68:X69"/>
    <mergeCell ref="Y68:Y69"/>
    <mergeCell ref="Z68:Z69"/>
    <mergeCell ref="AA68:AA69"/>
    <mergeCell ref="AB68:AB69"/>
    <mergeCell ref="AC68:AC69"/>
    <mergeCell ref="AD68:AD69"/>
    <mergeCell ref="AE68:AE69"/>
    <mergeCell ref="AF68:AF69"/>
    <mergeCell ref="AG68:AG69"/>
    <mergeCell ref="AH68:AH69"/>
    <mergeCell ref="AI68:AI69"/>
    <mergeCell ref="AJ68:AJ69"/>
    <mergeCell ref="AK68:AK69"/>
    <mergeCell ref="AL68:AL69"/>
    <mergeCell ref="AM68:AM69"/>
    <mergeCell ref="AN68:AN69"/>
    <mergeCell ref="BA68:BA69"/>
    <mergeCell ref="BB68:BB69"/>
    <mergeCell ref="BC68:BC69"/>
    <mergeCell ref="BD68:BD69"/>
    <mergeCell ref="BE68:BE69"/>
    <mergeCell ref="BF68:BF69"/>
    <mergeCell ref="BG68:BG69"/>
    <mergeCell ref="BH68:BH69"/>
    <mergeCell ref="BI68:BI69"/>
    <mergeCell ref="T75:T76"/>
    <mergeCell ref="U75:U76"/>
    <mergeCell ref="V75:V76"/>
    <mergeCell ref="W75:W76"/>
    <mergeCell ref="X75:X76"/>
    <mergeCell ref="Y75:Y76"/>
    <mergeCell ref="Z75:Z76"/>
    <mergeCell ref="AA75:AA76"/>
    <mergeCell ref="AB75:AB76"/>
    <mergeCell ref="AC75:AC76"/>
    <mergeCell ref="AD75:AD76"/>
    <mergeCell ref="AE75:AE76"/>
    <mergeCell ref="AF75:AF76"/>
    <mergeCell ref="AG75:AG76"/>
    <mergeCell ref="AH75:AH76"/>
    <mergeCell ref="AI75:AI76"/>
    <mergeCell ref="AL75:AL76"/>
    <mergeCell ref="AM75:AM76"/>
    <mergeCell ref="AN75:AN76"/>
    <mergeCell ref="AO75:AO76"/>
    <mergeCell ref="AP75:AP76"/>
    <mergeCell ref="AQ75:AQ76"/>
    <mergeCell ref="AR75:AR76"/>
    <mergeCell ref="AS75:AS76"/>
    <mergeCell ref="AT75:AT76"/>
    <mergeCell ref="AU75:AU76"/>
    <mergeCell ref="AV75:AV76"/>
    <mergeCell ref="AW75:AW76"/>
    <mergeCell ref="AX75:AX76"/>
    <mergeCell ref="AY75:AY76"/>
    <mergeCell ref="AZ75:AZ76"/>
    <mergeCell ref="AT68:AT69"/>
    <mergeCell ref="AU68:AU69"/>
    <mergeCell ref="AV68:AV69"/>
    <mergeCell ref="AW68:AW69"/>
    <mergeCell ref="AX68:AX69"/>
    <mergeCell ref="AY68:AY69"/>
    <mergeCell ref="AZ68:AZ69"/>
    <mergeCell ref="AO68:AO69"/>
    <mergeCell ref="AP68:AP69"/>
    <mergeCell ref="AQ68:AQ69"/>
    <mergeCell ref="AR68:AR69"/>
    <mergeCell ref="AS68:AS69"/>
    <mergeCell ref="BA75:BA76"/>
    <mergeCell ref="BB75:BB76"/>
    <mergeCell ref="BC75:BC76"/>
    <mergeCell ref="BD75:BD76"/>
    <mergeCell ref="BE75:BE76"/>
    <mergeCell ref="BF75:BF76"/>
    <mergeCell ref="BG75:BG76"/>
    <mergeCell ref="BH75:BH76"/>
    <mergeCell ref="BI75:BI76"/>
    <mergeCell ref="T77:T78"/>
    <mergeCell ref="U77:U78"/>
    <mergeCell ref="V77:V78"/>
    <mergeCell ref="W77:W78"/>
    <mergeCell ref="X77:X78"/>
    <mergeCell ref="Y77:Y78"/>
    <mergeCell ref="Z77:Z78"/>
    <mergeCell ref="AA77:AA78"/>
    <mergeCell ref="AB77:AB78"/>
    <mergeCell ref="AC77:AC78"/>
    <mergeCell ref="AD77:AD78"/>
    <mergeCell ref="AE77:AE78"/>
    <mergeCell ref="AF77:AF78"/>
    <mergeCell ref="AG77:AG78"/>
    <mergeCell ref="AH77:AH78"/>
    <mergeCell ref="AI77:AI78"/>
    <mergeCell ref="AJ77:AJ78"/>
    <mergeCell ref="AK77:AK78"/>
    <mergeCell ref="AL77:AL78"/>
    <mergeCell ref="AM77:AM78"/>
    <mergeCell ref="AN77:AN78"/>
    <mergeCell ref="AO77:AO78"/>
    <mergeCell ref="AP77:AP78"/>
    <mergeCell ref="AQ77:AQ78"/>
    <mergeCell ref="AR77:AR78"/>
    <mergeCell ref="AS77:AS78"/>
    <mergeCell ref="AT77:AT78"/>
    <mergeCell ref="AU77:AU78"/>
    <mergeCell ref="AV77:AV78"/>
    <mergeCell ref="AW77:AW78"/>
    <mergeCell ref="AX77:AX78"/>
    <mergeCell ref="AY77:AY78"/>
    <mergeCell ref="AZ77:AZ78"/>
    <mergeCell ref="BA77:BA78"/>
    <mergeCell ref="BB77:BB78"/>
    <mergeCell ref="BC77:BC78"/>
    <mergeCell ref="BD77:BD78"/>
    <mergeCell ref="BE77:BE78"/>
    <mergeCell ref="BF77:BF78"/>
    <mergeCell ref="BG77:BG78"/>
    <mergeCell ref="BH77:BH78"/>
    <mergeCell ref="BI77:BI78"/>
    <mergeCell ref="B81:B83"/>
    <mergeCell ref="J81:J83"/>
    <mergeCell ref="A85:A100"/>
    <mergeCell ref="Z88:Z89"/>
    <mergeCell ref="AA88:AA89"/>
    <mergeCell ref="AB88:AB89"/>
    <mergeCell ref="AC88:AC89"/>
    <mergeCell ref="AD88:AD89"/>
    <mergeCell ref="AE88:AE89"/>
    <mergeCell ref="AF88:AF89"/>
    <mergeCell ref="AG88:AG89"/>
    <mergeCell ref="AH88:AH89"/>
    <mergeCell ref="AI88:AI89"/>
    <mergeCell ref="AJ88:AJ89"/>
    <mergeCell ref="AK88:AK89"/>
    <mergeCell ref="AR88:AR89"/>
    <mergeCell ref="AS88:AS89"/>
    <mergeCell ref="AT88:AT89"/>
    <mergeCell ref="AU88:AU89"/>
    <mergeCell ref="AV88:AV89"/>
    <mergeCell ref="AW88:AW89"/>
    <mergeCell ref="AX88:AX89"/>
    <mergeCell ref="AY88:AY89"/>
    <mergeCell ref="AZ88:AZ89"/>
    <mergeCell ref="BA88:BA89"/>
    <mergeCell ref="BB88:BB89"/>
    <mergeCell ref="BC88:BC89"/>
    <mergeCell ref="BD88:BD89"/>
    <mergeCell ref="BE88:BE89"/>
    <mergeCell ref="BF88:BF89"/>
    <mergeCell ref="BG88:BG89"/>
    <mergeCell ref="BH88:BH89"/>
    <mergeCell ref="BI88:BI89"/>
    <mergeCell ref="Z91:Z92"/>
    <mergeCell ref="AA91:AA92"/>
    <mergeCell ref="AB91:AB92"/>
    <mergeCell ref="AC91:AC92"/>
    <mergeCell ref="AD91:AD92"/>
    <mergeCell ref="AE91:AE92"/>
    <mergeCell ref="AF91:AF92"/>
    <mergeCell ref="AG91:AG92"/>
    <mergeCell ref="AH91:AH92"/>
    <mergeCell ref="AI91:AI92"/>
    <mergeCell ref="AJ91:AJ92"/>
    <mergeCell ref="AK91:AK92"/>
    <mergeCell ref="AR91:AR92"/>
    <mergeCell ref="AS91:AS92"/>
    <mergeCell ref="BD91:BD92"/>
    <mergeCell ref="BE91:BE92"/>
    <mergeCell ref="AT91:AT92"/>
    <mergeCell ref="AU91:AU92"/>
    <mergeCell ref="AV91:AV92"/>
    <mergeCell ref="AW91:AW92"/>
    <mergeCell ref="AX91:AX92"/>
    <mergeCell ref="AY91:AY92"/>
    <mergeCell ref="BF91:BF92"/>
    <mergeCell ref="BG91:BG92"/>
    <mergeCell ref="BH91:BH92"/>
    <mergeCell ref="BI91:BI92"/>
    <mergeCell ref="AZ91:AZ92"/>
    <mergeCell ref="BA91:BA92"/>
    <mergeCell ref="BB91:BB92"/>
    <mergeCell ref="BC91:BC92"/>
    <mergeCell ref="A102:A103"/>
    <mergeCell ref="A104:A113"/>
    <mergeCell ref="B106:B107"/>
    <mergeCell ref="T106:T107"/>
    <mergeCell ref="U106:U107"/>
    <mergeCell ref="V106:V107"/>
    <mergeCell ref="T110:T113"/>
    <mergeCell ref="U110:U113"/>
    <mergeCell ref="V110:V113"/>
    <mergeCell ref="W106:W107"/>
    <mergeCell ref="X106:X107"/>
    <mergeCell ref="Y106:Y107"/>
    <mergeCell ref="Z106:Z107"/>
    <mergeCell ref="AA106:AA107"/>
    <mergeCell ref="AB106:AB107"/>
    <mergeCell ref="AC106:AC107"/>
    <mergeCell ref="AD106:AD107"/>
    <mergeCell ref="AE106:AE107"/>
    <mergeCell ref="AF106:AF107"/>
    <mergeCell ref="AG106:AG107"/>
    <mergeCell ref="AH106:AH107"/>
    <mergeCell ref="AI106:AI107"/>
    <mergeCell ref="AJ106:AJ107"/>
    <mergeCell ref="AK106:AK107"/>
    <mergeCell ref="AL106:AL107"/>
    <mergeCell ref="AM106:AM107"/>
    <mergeCell ref="AN106:AN107"/>
    <mergeCell ref="AO106:AO107"/>
    <mergeCell ref="AP106:AP107"/>
    <mergeCell ref="AQ106:AQ107"/>
    <mergeCell ref="AR106:AR107"/>
    <mergeCell ref="AS106:AS107"/>
    <mergeCell ref="AT106:AT107"/>
    <mergeCell ref="AU106:AU107"/>
    <mergeCell ref="AV106:AV107"/>
    <mergeCell ref="AW106:AW107"/>
    <mergeCell ref="AX106:AX107"/>
    <mergeCell ref="AY106:AY107"/>
    <mergeCell ref="AZ106:AZ107"/>
    <mergeCell ref="BA106:BA107"/>
    <mergeCell ref="BB106:BB107"/>
    <mergeCell ref="BC106:BC107"/>
    <mergeCell ref="BD106:BD107"/>
    <mergeCell ref="BE106:BE107"/>
    <mergeCell ref="BF106:BF107"/>
    <mergeCell ref="BG106:BG107"/>
    <mergeCell ref="BH106:BH107"/>
    <mergeCell ref="BI106:BI107"/>
    <mergeCell ref="B108:B109"/>
    <mergeCell ref="T108:T109"/>
    <mergeCell ref="U108:U109"/>
    <mergeCell ref="V108:V109"/>
    <mergeCell ref="W108:W109"/>
    <mergeCell ref="X108:X109"/>
    <mergeCell ref="Y108:Y109"/>
    <mergeCell ref="Z108:Z109"/>
    <mergeCell ref="AA108:AA109"/>
    <mergeCell ref="AB108:AB109"/>
    <mergeCell ref="AC108:AC109"/>
    <mergeCell ref="AD108:AD109"/>
    <mergeCell ref="AE108:AE109"/>
    <mergeCell ref="AF108:AF109"/>
    <mergeCell ref="AG108:AG109"/>
    <mergeCell ref="AH108:AH109"/>
    <mergeCell ref="AI108:AI109"/>
    <mergeCell ref="AJ108:AJ109"/>
    <mergeCell ref="AK108:AK109"/>
    <mergeCell ref="AL108:AL109"/>
    <mergeCell ref="AM108:AM109"/>
    <mergeCell ref="AN108:AN109"/>
    <mergeCell ref="AO108:AO109"/>
    <mergeCell ref="AP108:AP109"/>
    <mergeCell ref="AQ108:AQ109"/>
    <mergeCell ref="AR108:AR109"/>
    <mergeCell ref="AS108:AS109"/>
    <mergeCell ref="AT108:AT109"/>
    <mergeCell ref="AU108:AU109"/>
    <mergeCell ref="AV108:AV109"/>
    <mergeCell ref="AW108:AW109"/>
    <mergeCell ref="AX108:AX109"/>
    <mergeCell ref="AY108:AY109"/>
    <mergeCell ref="AZ108:AZ109"/>
    <mergeCell ref="BA108:BA109"/>
    <mergeCell ref="BB108:BB109"/>
    <mergeCell ref="BC108:BC109"/>
    <mergeCell ref="BD108:BD109"/>
    <mergeCell ref="BE108:BE109"/>
    <mergeCell ref="BF108:BF109"/>
    <mergeCell ref="BG108:BG109"/>
    <mergeCell ref="BH108:BH109"/>
    <mergeCell ref="BI108:BI109"/>
    <mergeCell ref="W110:W113"/>
    <mergeCell ref="X110:X113"/>
    <mergeCell ref="Y110:Y113"/>
    <mergeCell ref="Z110:Z113"/>
    <mergeCell ref="AA110:AA113"/>
    <mergeCell ref="AB110:AB113"/>
    <mergeCell ref="AC110:AC113"/>
    <mergeCell ref="AD110:AD113"/>
    <mergeCell ref="AE110:AE113"/>
    <mergeCell ref="AF110:AF113"/>
    <mergeCell ref="AG110:AG113"/>
    <mergeCell ref="AH110:AH113"/>
    <mergeCell ref="AI110:AI113"/>
    <mergeCell ref="AJ110:AJ113"/>
    <mergeCell ref="AK110:AK113"/>
    <mergeCell ref="AL110:AL113"/>
    <mergeCell ref="AM110:AM113"/>
    <mergeCell ref="AN110:AN113"/>
    <mergeCell ref="AO110:AO113"/>
    <mergeCell ref="AP110:AP113"/>
    <mergeCell ref="AQ110:AQ113"/>
    <mergeCell ref="AR110:AR113"/>
    <mergeCell ref="AS110:AS113"/>
    <mergeCell ref="AT110:AT113"/>
    <mergeCell ref="AU110:AU113"/>
    <mergeCell ref="AV110:AV113"/>
    <mergeCell ref="AW110:AW113"/>
    <mergeCell ref="AX110:AX113"/>
    <mergeCell ref="AY110:AY113"/>
    <mergeCell ref="AZ110:AZ113"/>
    <mergeCell ref="BA110:BA113"/>
    <mergeCell ref="BB110:BB113"/>
    <mergeCell ref="BC110:BC113"/>
    <mergeCell ref="BD110:BD113"/>
    <mergeCell ref="BE110:BE113"/>
    <mergeCell ref="BF110:BF113"/>
    <mergeCell ref="BG110:BG113"/>
    <mergeCell ref="BH110:BH113"/>
    <mergeCell ref="BI110:BI113"/>
    <mergeCell ref="B115:B116"/>
    <mergeCell ref="T115:T116"/>
    <mergeCell ref="U115:U116"/>
    <mergeCell ref="V115:V116"/>
    <mergeCell ref="W115:W116"/>
    <mergeCell ref="X115:X116"/>
    <mergeCell ref="Y115:Y116"/>
    <mergeCell ref="Z115:Z116"/>
    <mergeCell ref="AA115:AA116"/>
    <mergeCell ref="AB115:AB116"/>
    <mergeCell ref="AC115:AC116"/>
    <mergeCell ref="AD115:AD116"/>
    <mergeCell ref="AE115:AE116"/>
    <mergeCell ref="AF115:AF116"/>
    <mergeCell ref="AG115:AG116"/>
    <mergeCell ref="AH115:AH116"/>
    <mergeCell ref="BF115:BF116"/>
    <mergeCell ref="BG115:BG116"/>
    <mergeCell ref="BH115:BH116"/>
    <mergeCell ref="A184:A187"/>
    <mergeCell ref="B184:B185"/>
    <mergeCell ref="B186:B187"/>
    <mergeCell ref="AI115:AI116"/>
    <mergeCell ref="AJ115:AJ116"/>
    <mergeCell ref="AK115:AK116"/>
    <mergeCell ref="AU115:AU116"/>
    <mergeCell ref="AV115:AV116"/>
    <mergeCell ref="AW115:AW116"/>
    <mergeCell ref="AL115:AL116"/>
    <mergeCell ref="AM115:AM116"/>
    <mergeCell ref="AN115:AN116"/>
    <mergeCell ref="AO115:AO116"/>
    <mergeCell ref="BI115:BI116"/>
    <mergeCell ref="AX115:AX116"/>
    <mergeCell ref="AY115:AY116"/>
    <mergeCell ref="AZ115:AZ116"/>
    <mergeCell ref="BA115:BA116"/>
    <mergeCell ref="BB115:BB116"/>
    <mergeCell ref="U117:U118"/>
    <mergeCell ref="V117:V118"/>
    <mergeCell ref="W117:W118"/>
    <mergeCell ref="X117:X118"/>
    <mergeCell ref="Y117:Y118"/>
    <mergeCell ref="BD115:BD116"/>
    <mergeCell ref="BC115:BC116"/>
    <mergeCell ref="AR115:AR116"/>
    <mergeCell ref="AS115:AS116"/>
    <mergeCell ref="AT115:AT116"/>
    <mergeCell ref="C159:C168"/>
    <mergeCell ref="C169:C178"/>
    <mergeCell ref="C179:C180"/>
    <mergeCell ref="C181:C182"/>
    <mergeCell ref="AF117:AF118"/>
    <mergeCell ref="AG117:AG118"/>
    <mergeCell ref="AH117:AH118"/>
    <mergeCell ref="AI117:AI118"/>
    <mergeCell ref="AP117:AP118"/>
    <mergeCell ref="AQ117:AQ118"/>
    <mergeCell ref="AR117:AR118"/>
    <mergeCell ref="AS117:AS118"/>
    <mergeCell ref="AT117:AT118"/>
    <mergeCell ref="AU117:AU118"/>
    <mergeCell ref="AP115:AP116"/>
    <mergeCell ref="AQ115:AQ116"/>
    <mergeCell ref="BE115:BE116"/>
    <mergeCell ref="Z117:Z118"/>
    <mergeCell ref="AA117:AA118"/>
    <mergeCell ref="AB117:AB118"/>
    <mergeCell ref="AC117:AC118"/>
    <mergeCell ref="AD117:AD118"/>
    <mergeCell ref="AE117:AE118"/>
    <mergeCell ref="BI117:BI118"/>
    <mergeCell ref="B118:B119"/>
    <mergeCell ref="C122:C123"/>
    <mergeCell ref="C124:C133"/>
    <mergeCell ref="C134:C143"/>
    <mergeCell ref="C144:C145"/>
    <mergeCell ref="E144:E145"/>
    <mergeCell ref="F144:F145"/>
    <mergeCell ref="C146:C147"/>
    <mergeCell ref="E146:E147"/>
    <mergeCell ref="F146:F147"/>
    <mergeCell ref="AJ117:AJ118"/>
    <mergeCell ref="AK117:AK118"/>
    <mergeCell ref="AL117:AL118"/>
    <mergeCell ref="AM117:AM118"/>
    <mergeCell ref="AN117:AN118"/>
    <mergeCell ref="AO117:AO118"/>
    <mergeCell ref="AV117:AV118"/>
    <mergeCell ref="AW117:AW118"/>
    <mergeCell ref="AX117:AX118"/>
    <mergeCell ref="AY117:AY118"/>
    <mergeCell ref="AZ117:AZ118"/>
    <mergeCell ref="BA117:BA118"/>
    <mergeCell ref="BB117:BB118"/>
    <mergeCell ref="BC117:BC118"/>
    <mergeCell ref="BD117:BD118"/>
    <mergeCell ref="BE117:BE118"/>
    <mergeCell ref="BF117:BF118"/>
    <mergeCell ref="BG117:BG118"/>
    <mergeCell ref="BH117:BH118"/>
    <mergeCell ref="A45:A63"/>
    <mergeCell ref="AF192:AF194"/>
    <mergeCell ref="AG192:AG194"/>
    <mergeCell ref="AH192:AH194"/>
    <mergeCell ref="AI192:AI194"/>
    <mergeCell ref="AJ192:AJ194"/>
    <mergeCell ref="AK192:AK194"/>
    <mergeCell ref="Z192:Z194"/>
    <mergeCell ref="AA192:AA194"/>
    <mergeCell ref="AA188:AA189"/>
    <mergeCell ref="B98:B100"/>
    <mergeCell ref="J98:J100"/>
    <mergeCell ref="AJ75:AJ76"/>
    <mergeCell ref="AK75:AK76"/>
    <mergeCell ref="Z49:Z50"/>
    <mergeCell ref="AA49:AA50"/>
    <mergeCell ref="AB49:AB50"/>
    <mergeCell ref="AC49:AC50"/>
    <mergeCell ref="AD49:AD50"/>
    <mergeCell ref="AE49:AE50"/>
    <mergeCell ref="AF49:AF50"/>
    <mergeCell ref="AG49:AG50"/>
    <mergeCell ref="A188:A194"/>
    <mergeCell ref="B188:B189"/>
    <mergeCell ref="B192:B194"/>
    <mergeCell ref="Z188:Z189"/>
    <mergeCell ref="C148:C149"/>
    <mergeCell ref="C150:C151"/>
    <mergeCell ref="C154:C155"/>
    <mergeCell ref="E154:E155"/>
    <mergeCell ref="F154:F155"/>
    <mergeCell ref="C157:C158"/>
    <mergeCell ref="BI188:BI189"/>
    <mergeCell ref="AX188:AX189"/>
    <mergeCell ref="AY188:AY189"/>
    <mergeCell ref="AZ188:AZ189"/>
    <mergeCell ref="BA188:BA189"/>
    <mergeCell ref="BB188:BB189"/>
    <mergeCell ref="BC188:BC189"/>
    <mergeCell ref="AB192:AB194"/>
    <mergeCell ref="AC192:AC194"/>
    <mergeCell ref="AD192:AD194"/>
    <mergeCell ref="AE192:AE194"/>
    <mergeCell ref="BF188:BF189"/>
    <mergeCell ref="BG188:BG189"/>
    <mergeCell ref="AR188:AR189"/>
    <mergeCell ref="AS188:AS189"/>
    <mergeCell ref="AT188:AT189"/>
    <mergeCell ref="AU188:AU189"/>
    <mergeCell ref="AB188:AB189"/>
    <mergeCell ref="AC188:AC189"/>
    <mergeCell ref="AD188:AD189"/>
    <mergeCell ref="AE188:AE189"/>
    <mergeCell ref="AF188:AF189"/>
    <mergeCell ref="AQ188:AQ189"/>
    <mergeCell ref="AW188:AW189"/>
    <mergeCell ref="AL188:AL189"/>
    <mergeCell ref="AM188:AM189"/>
    <mergeCell ref="AN188:AN189"/>
    <mergeCell ref="AO188:AO189"/>
    <mergeCell ref="AP188:AP189"/>
    <mergeCell ref="BT188:BT194"/>
    <mergeCell ref="AM40:AM42"/>
    <mergeCell ref="AL40:AL42"/>
    <mergeCell ref="AA38:AA39"/>
    <mergeCell ref="Z38:Z39"/>
    <mergeCell ref="Y38:Y39"/>
    <mergeCell ref="X38:X39"/>
    <mergeCell ref="AF40:AF42"/>
    <mergeCell ref="AK40:AK42"/>
    <mergeCell ref="AB38:AB39"/>
    <mergeCell ref="AC38:AC39"/>
    <mergeCell ref="T188:T189"/>
    <mergeCell ref="U188:U189"/>
    <mergeCell ref="V188:V189"/>
    <mergeCell ref="W188:W189"/>
    <mergeCell ref="BT14:BT21"/>
    <mergeCell ref="AL192:AL194"/>
    <mergeCell ref="AM192:AM194"/>
    <mergeCell ref="AN192:AN194"/>
    <mergeCell ref="AO192:AO194"/>
    <mergeCell ref="AP192:AP194"/>
    <mergeCell ref="AQ192:AQ194"/>
    <mergeCell ref="BD188:BD189"/>
    <mergeCell ref="BE188:BE189"/>
    <mergeCell ref="BH188:BH189"/>
    <mergeCell ref="AR192:AR194"/>
    <mergeCell ref="AG188:AG189"/>
    <mergeCell ref="AH188:AH189"/>
    <mergeCell ref="AI188:AI189"/>
    <mergeCell ref="AJ188:AJ189"/>
    <mergeCell ref="AK188:AK189"/>
    <mergeCell ref="AV188:AV189"/>
    <mergeCell ref="Y9:Y10"/>
    <mergeCell ref="U9:U10"/>
    <mergeCell ref="T9:T10"/>
    <mergeCell ref="X188:X189"/>
    <mergeCell ref="Y188:Y189"/>
    <mergeCell ref="T117:T118"/>
    <mergeCell ref="C1:BU4"/>
    <mergeCell ref="A7:A12"/>
    <mergeCell ref="W38:W39"/>
    <mergeCell ref="V38:V39"/>
    <mergeCell ref="U38:U39"/>
    <mergeCell ref="T38:T39"/>
    <mergeCell ref="BU5:BU6"/>
    <mergeCell ref="BU14:BU21"/>
    <mergeCell ref="BU22:BU36"/>
    <mergeCell ref="BT5:BT6"/>
    <mergeCell ref="BU45:BU63"/>
    <mergeCell ref="BU64:BU84"/>
    <mergeCell ref="BU85:BU100"/>
    <mergeCell ref="BT22:BT36"/>
    <mergeCell ref="BT45:BT63"/>
    <mergeCell ref="BT85:BT100"/>
    <mergeCell ref="BT64:BT84"/>
    <mergeCell ref="BU104:BU113"/>
    <mergeCell ref="BT104:BT113"/>
    <mergeCell ref="BU188:BU194"/>
    <mergeCell ref="B60:B61"/>
    <mergeCell ref="B62:B63"/>
    <mergeCell ref="B46:B48"/>
    <mergeCell ref="B49:B51"/>
    <mergeCell ref="BU102:BU103"/>
    <mergeCell ref="BT102:BT103"/>
  </mergeCells>
  <conditionalFormatting sqref="L7:L13">
    <cfRule type="cellIs" dxfId="20" priority="20" stopIfTrue="1" operator="greaterThanOrEqual">
      <formula>0</formula>
    </cfRule>
  </conditionalFormatting>
  <conditionalFormatting sqref="T7">
    <cfRule type="cellIs" dxfId="19" priority="19" stopIfTrue="1" operator="between">
      <formula>$M$7</formula>
      <formula>$M$8</formula>
    </cfRule>
  </conditionalFormatting>
  <conditionalFormatting sqref="AA8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{BD0F25F3-D209-4759-9C2C-2B70EB70E1AA}</x14:id>
        </ext>
      </extLst>
    </cfRule>
  </conditionalFormatting>
  <conditionalFormatting sqref="L14:L194">
    <cfRule type="cellIs" dxfId="18" priority="7" stopIfTrue="1" operator="greaterThanOrEqual">
      <formula>0</formula>
    </cfRule>
  </conditionalFormatting>
  <printOptions horizontalCentered="1" verticalCentered="1"/>
  <pageMargins left="0" right="0" top="0" bottom="0" header="0" footer="0"/>
  <pageSetup paperSize="9" scale="23" orientation="portrait" r:id="rId1"/>
  <headerFooter alignWithMargins="0">
    <oddHeader>&amp;L&amp;BVisteon Confidentiel&amp;B&amp;C&amp;D&amp;RPage &amp;P</oddHeader>
    <oddFooter>&amp;L&amp;D&amp;C&amp;F&amp;RPage &amp;P
&amp;T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0F25F3-D209-4759-9C2C-2B70EB70E1AA}">
            <x14:dataBar minLength="0" maxLength="100" negativeBarColorSameAsPositive="1" axisPosition="none">
              <x14:cfvo type="min"/>
              <x14:cfvo type="max"/>
            </x14:dataBar>
          </x14:cfRule>
          <xm:sqref>AA8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1"/>
  <sheetViews>
    <sheetView zoomScale="20" zoomScaleNormal="20" workbookViewId="0">
      <selection activeCell="E83" sqref="E83"/>
    </sheetView>
  </sheetViews>
  <sheetFormatPr baseColWidth="10" defaultRowHeight="12.75"/>
  <cols>
    <col min="1" max="1" width="71.140625" customWidth="1"/>
    <col min="2" max="2" width="78.7109375" customWidth="1"/>
    <col min="3" max="3" width="82.28515625" bestFit="1" customWidth="1"/>
    <col min="4" max="4" width="80.140625" customWidth="1"/>
    <col min="5" max="5" width="78" bestFit="1" customWidth="1"/>
    <col min="6" max="6" width="58" hidden="1" customWidth="1"/>
    <col min="7" max="7" width="40.85546875" hidden="1" customWidth="1"/>
    <col min="8" max="8" width="43" hidden="1" customWidth="1"/>
    <col min="9" max="9" width="58" hidden="1" customWidth="1"/>
    <col min="10" max="10" width="40.85546875" hidden="1" customWidth="1"/>
    <col min="11" max="11" width="43" hidden="1" customWidth="1"/>
    <col min="12" max="12" width="58" hidden="1" customWidth="1"/>
    <col min="13" max="13" width="40.85546875" hidden="1" customWidth="1"/>
    <col min="14" max="14" width="43" hidden="1" customWidth="1"/>
    <col min="15" max="15" width="58" hidden="1" customWidth="1"/>
    <col min="16" max="16" width="40.85546875" hidden="1" customWidth="1"/>
    <col min="17" max="17" width="43" hidden="1" customWidth="1"/>
    <col min="18" max="18" width="58" hidden="1" customWidth="1"/>
    <col min="19" max="19" width="40.85546875" hidden="1" customWidth="1"/>
    <col min="20" max="20" width="43" hidden="1" customWidth="1"/>
    <col min="21" max="21" width="58" hidden="1" customWidth="1"/>
    <col min="22" max="22" width="40.85546875" hidden="1" customWidth="1"/>
    <col min="23" max="23" width="79.42578125" bestFit="1" customWidth="1"/>
  </cols>
  <sheetData>
    <row r="1" spans="1:23" s="736" customFormat="1" ht="149.25" customHeight="1" thickBot="1">
      <c r="A1" s="1298" t="s">
        <v>430</v>
      </c>
      <c r="B1" s="1298"/>
      <c r="C1" s="1298"/>
      <c r="D1" s="1298"/>
      <c r="E1" s="1298"/>
      <c r="F1" s="1298"/>
      <c r="G1" s="1298"/>
      <c r="H1" s="1298"/>
      <c r="I1" s="1298"/>
      <c r="J1" s="1298"/>
      <c r="K1" s="1298"/>
      <c r="L1" s="1298"/>
      <c r="M1" s="1298"/>
      <c r="N1" s="1298"/>
      <c r="O1" s="1298"/>
      <c r="P1" s="1298"/>
      <c r="Q1" s="1298"/>
      <c r="R1" s="1298"/>
      <c r="S1" s="1298"/>
      <c r="T1" s="1298"/>
      <c r="U1" s="1298"/>
      <c r="V1" s="1298"/>
      <c r="W1" s="1298"/>
    </row>
    <row r="2" spans="1:23" s="737" customFormat="1" ht="237" customHeight="1" thickBot="1">
      <c r="A2" s="732" t="s">
        <v>108</v>
      </c>
      <c r="B2" s="761" t="s">
        <v>426</v>
      </c>
      <c r="C2" s="733" t="s">
        <v>427</v>
      </c>
      <c r="D2" s="733" t="s">
        <v>428</v>
      </c>
      <c r="E2" s="733" t="s">
        <v>429</v>
      </c>
      <c r="F2" s="733" t="s">
        <v>133</v>
      </c>
      <c r="G2" s="733" t="s">
        <v>132</v>
      </c>
      <c r="H2" s="733" t="s">
        <v>131</v>
      </c>
      <c r="I2" s="733" t="s">
        <v>133</v>
      </c>
      <c r="J2" s="733" t="s">
        <v>132</v>
      </c>
      <c r="K2" s="733" t="s">
        <v>131</v>
      </c>
      <c r="L2" s="733" t="s">
        <v>133</v>
      </c>
      <c r="M2" s="733" t="s">
        <v>132</v>
      </c>
      <c r="N2" s="733" t="s">
        <v>131</v>
      </c>
      <c r="O2" s="733" t="s">
        <v>133</v>
      </c>
      <c r="P2" s="733" t="s">
        <v>132</v>
      </c>
      <c r="Q2" s="733" t="s">
        <v>131</v>
      </c>
      <c r="R2" s="733" t="s">
        <v>133</v>
      </c>
      <c r="S2" s="733" t="s">
        <v>132</v>
      </c>
      <c r="T2" s="733" t="s">
        <v>131</v>
      </c>
      <c r="U2" s="733" t="s">
        <v>133</v>
      </c>
      <c r="V2" s="733" t="s">
        <v>132</v>
      </c>
      <c r="W2" s="733" t="s">
        <v>424</v>
      </c>
    </row>
    <row r="3" spans="1:23" s="736" customFormat="1" ht="114.75" customHeight="1" thickTop="1" thickBot="1">
      <c r="A3" s="734" t="s">
        <v>309</v>
      </c>
      <c r="B3" s="840">
        <f>Capacité!BU14</f>
        <v>11.396888888888888</v>
      </c>
      <c r="C3" s="760">
        <v>8</v>
      </c>
      <c r="D3" s="760">
        <v>8</v>
      </c>
      <c r="E3" s="760">
        <v>0</v>
      </c>
      <c r="F3" s="735"/>
      <c r="G3" s="735"/>
      <c r="H3" s="735"/>
      <c r="I3" s="735"/>
      <c r="J3" s="735"/>
      <c r="K3" s="735"/>
      <c r="L3" s="735"/>
      <c r="M3" s="735"/>
      <c r="N3" s="735"/>
      <c r="O3" s="735"/>
      <c r="P3" s="738"/>
      <c r="Q3" s="738"/>
      <c r="R3" s="738"/>
      <c r="S3" s="738"/>
      <c r="T3" s="738"/>
      <c r="U3" s="738"/>
      <c r="V3" s="738"/>
      <c r="W3" s="762">
        <v>2</v>
      </c>
    </row>
    <row r="4" spans="1:23" s="736" customFormat="1" ht="93.75" thickTop="1" thickBot="1">
      <c r="A4" s="734" t="s">
        <v>310</v>
      </c>
      <c r="B4" s="840">
        <f>Capacité!BU22</f>
        <v>15.473888888888887</v>
      </c>
      <c r="C4" s="760">
        <v>8</v>
      </c>
      <c r="D4" s="760">
        <v>8</v>
      </c>
      <c r="E4" s="760">
        <v>0</v>
      </c>
      <c r="F4" s="735"/>
      <c r="G4" s="735"/>
      <c r="H4" s="735"/>
      <c r="I4" s="735"/>
      <c r="J4" s="735"/>
      <c r="K4" s="735"/>
      <c r="L4" s="735"/>
      <c r="M4" s="735"/>
      <c r="N4" s="735"/>
      <c r="O4" s="735"/>
      <c r="P4" s="738"/>
      <c r="Q4" s="738"/>
      <c r="R4" s="738"/>
      <c r="S4" s="738"/>
      <c r="T4" s="738"/>
      <c r="U4" s="738"/>
      <c r="V4" s="738"/>
      <c r="W4" s="760">
        <v>2</v>
      </c>
    </row>
    <row r="5" spans="1:23" s="736" customFormat="1" ht="93.75" thickTop="1" thickBot="1">
      <c r="A5" s="734" t="s">
        <v>419</v>
      </c>
      <c r="B5" s="840">
        <f>Capacité!BU104</f>
        <v>15.173888888888889</v>
      </c>
      <c r="C5" s="760">
        <v>8</v>
      </c>
      <c r="D5" s="760">
        <v>8</v>
      </c>
      <c r="E5" s="760">
        <v>0</v>
      </c>
      <c r="F5" s="739"/>
      <c r="G5" s="739"/>
      <c r="H5" s="735"/>
      <c r="I5" s="735"/>
      <c r="J5" s="735"/>
      <c r="K5" s="739"/>
      <c r="L5" s="739"/>
      <c r="M5" s="739"/>
      <c r="N5" s="735"/>
      <c r="O5" s="735"/>
      <c r="P5" s="735"/>
      <c r="Q5" s="738"/>
      <c r="R5" s="738"/>
      <c r="S5" s="738"/>
      <c r="T5" s="738"/>
      <c r="U5" s="738"/>
      <c r="V5" s="738"/>
      <c r="W5" s="760">
        <v>2</v>
      </c>
    </row>
    <row r="6" spans="1:23" s="736" customFormat="1" ht="93.75" thickTop="1" thickBot="1">
      <c r="A6" s="734" t="s">
        <v>420</v>
      </c>
      <c r="B6" s="840">
        <f>Capacité!BU188</f>
        <v>17.695833333333333</v>
      </c>
      <c r="C6" s="760">
        <v>8</v>
      </c>
      <c r="D6" s="760">
        <v>8</v>
      </c>
      <c r="E6" s="760" t="s">
        <v>423</v>
      </c>
      <c r="F6" s="739"/>
      <c r="G6" s="739"/>
      <c r="H6" s="735"/>
      <c r="I6" s="735"/>
      <c r="J6" s="735"/>
      <c r="K6" s="739"/>
      <c r="L6" s="739"/>
      <c r="M6" s="739"/>
      <c r="N6" s="735"/>
      <c r="O6" s="735"/>
      <c r="P6" s="735"/>
      <c r="Q6" s="738"/>
      <c r="R6" s="738"/>
      <c r="S6" s="738"/>
      <c r="T6" s="738"/>
      <c r="U6" s="738"/>
      <c r="V6" s="738"/>
      <c r="W6" s="760">
        <v>2.5</v>
      </c>
    </row>
    <row r="7" spans="1:23" s="736" customFormat="1" ht="93.75" thickTop="1" thickBot="1">
      <c r="A7" s="734" t="s">
        <v>416</v>
      </c>
      <c r="B7" s="840">
        <f>Capacité!BU45</f>
        <v>19.782777777777778</v>
      </c>
      <c r="C7" s="760">
        <v>8</v>
      </c>
      <c r="D7" s="760">
        <v>8</v>
      </c>
      <c r="E7" s="760" t="s">
        <v>421</v>
      </c>
      <c r="F7" s="735"/>
      <c r="G7" s="735"/>
      <c r="H7" s="735"/>
      <c r="I7" s="735"/>
      <c r="J7" s="735"/>
      <c r="K7" s="735"/>
      <c r="L7" s="735"/>
      <c r="M7" s="735"/>
      <c r="N7" s="735"/>
      <c r="O7" s="735"/>
      <c r="P7" s="735"/>
      <c r="Q7" s="735"/>
      <c r="R7" s="735"/>
      <c r="S7" s="735"/>
      <c r="T7" s="738"/>
      <c r="U7" s="738"/>
      <c r="V7" s="738"/>
      <c r="W7" s="760">
        <v>2.5</v>
      </c>
    </row>
    <row r="8" spans="1:23" s="736" customFormat="1" ht="133.5" customHeight="1" thickTop="1" thickBot="1">
      <c r="A8" s="734" t="s">
        <v>418</v>
      </c>
      <c r="B8" s="840">
        <f>Capacité!BU85</f>
        <v>20.766666666666666</v>
      </c>
      <c r="C8" s="760">
        <v>8</v>
      </c>
      <c r="D8" s="760">
        <v>8</v>
      </c>
      <c r="E8" s="760" t="s">
        <v>422</v>
      </c>
      <c r="F8" s="735"/>
      <c r="G8" s="735"/>
      <c r="H8" s="735"/>
      <c r="I8" s="735"/>
      <c r="J8" s="735"/>
      <c r="K8" s="735"/>
      <c r="L8" s="735"/>
      <c r="M8" s="735"/>
      <c r="N8" s="735"/>
      <c r="O8" s="735"/>
      <c r="P8" s="735"/>
      <c r="Q8" s="735"/>
      <c r="R8" s="735"/>
      <c r="S8" s="735"/>
      <c r="T8" s="738"/>
      <c r="U8" s="738"/>
      <c r="V8" s="738"/>
      <c r="W8" s="760">
        <v>2.7</v>
      </c>
    </row>
    <row r="9" spans="1:23" s="736" customFormat="1" ht="107.25" customHeight="1" thickTop="1" thickBot="1">
      <c r="A9" s="734" t="s">
        <v>336</v>
      </c>
      <c r="B9" s="840">
        <f>Capacité!BU102</f>
        <v>18.5625</v>
      </c>
      <c r="C9" s="763">
        <v>8</v>
      </c>
      <c r="D9" s="763">
        <v>8</v>
      </c>
      <c r="E9" s="763" t="s">
        <v>423</v>
      </c>
      <c r="F9" s="735"/>
      <c r="G9" s="735"/>
      <c r="H9" s="735"/>
      <c r="I9" s="735"/>
      <c r="J9" s="735"/>
      <c r="K9" s="735"/>
      <c r="L9" s="735"/>
      <c r="M9" s="735"/>
      <c r="N9" s="735"/>
      <c r="O9" s="735"/>
      <c r="P9" s="735"/>
      <c r="Q9" s="735"/>
      <c r="R9" s="735"/>
      <c r="S9" s="738"/>
      <c r="T9" s="738"/>
      <c r="U9" s="738"/>
      <c r="V9" s="738"/>
      <c r="W9" s="760">
        <v>2.2999999999999998</v>
      </c>
    </row>
    <row r="10" spans="1:23" s="736" customFormat="1" ht="88.5" customHeight="1" thickTop="1" thickBot="1">
      <c r="A10" s="766" t="s">
        <v>417</v>
      </c>
      <c r="B10" s="840">
        <f>Capacité!BU64</f>
        <v>21.583333333333336</v>
      </c>
      <c r="C10" s="765">
        <v>8</v>
      </c>
      <c r="D10" s="765">
        <v>8</v>
      </c>
      <c r="E10" s="765">
        <v>8</v>
      </c>
      <c r="F10" s="764"/>
      <c r="G10" s="735"/>
      <c r="H10" s="735"/>
      <c r="I10" s="735"/>
      <c r="J10" s="735"/>
      <c r="K10" s="735"/>
      <c r="L10" s="735"/>
      <c r="M10" s="735"/>
      <c r="N10" s="735"/>
      <c r="O10" s="735"/>
      <c r="P10" s="735"/>
      <c r="Q10" s="738"/>
      <c r="R10" s="738"/>
      <c r="S10" s="738"/>
      <c r="T10" s="738"/>
      <c r="U10" s="738"/>
      <c r="V10" s="738"/>
      <c r="W10" s="760">
        <v>3</v>
      </c>
    </row>
    <row r="11" spans="1:23" ht="93.75" thickTop="1" thickBot="1">
      <c r="A11" s="767" t="s">
        <v>425</v>
      </c>
      <c r="B11" s="840">
        <f>SUM(B3:B10)</f>
        <v>140.43577777777779</v>
      </c>
      <c r="C11" s="768">
        <f>SUM(C3:C10)</f>
        <v>64</v>
      </c>
      <c r="D11" s="768">
        <f>SUM(D3:D10)</f>
        <v>64</v>
      </c>
      <c r="E11" s="768">
        <f>16+5</f>
        <v>21</v>
      </c>
      <c r="F11" s="769"/>
      <c r="G11" s="769"/>
      <c r="H11" s="769"/>
      <c r="I11" s="769"/>
      <c r="J11" s="769"/>
      <c r="K11" s="769"/>
      <c r="L11" s="769"/>
      <c r="M11" s="769"/>
      <c r="N11" s="769"/>
      <c r="O11" s="769"/>
      <c r="P11" s="769"/>
      <c r="Q11" s="769"/>
      <c r="R11" s="769"/>
      <c r="S11" s="769"/>
      <c r="T11" s="769"/>
      <c r="U11" s="769"/>
      <c r="V11" s="769"/>
      <c r="W11" s="770">
        <f>W3+W4+W7+W10+W8+W9+W5+W6</f>
        <v>19</v>
      </c>
    </row>
  </sheetData>
  <mergeCells count="1">
    <mergeCell ref="A1:W1"/>
  </mergeCells>
  <pageMargins left="0.7" right="0.7" top="0.75" bottom="0.75" header="0.3" footer="0.3"/>
  <pageSetup scale="1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9"/>
  <sheetViews>
    <sheetView workbookViewId="0">
      <selection activeCell="E83" sqref="E83"/>
    </sheetView>
  </sheetViews>
  <sheetFormatPr baseColWidth="10" defaultRowHeight="12.75"/>
  <cols>
    <col min="1" max="1" width="19.7109375" customWidth="1"/>
    <col min="2" max="2" width="16.28515625" customWidth="1"/>
  </cols>
  <sheetData>
    <row r="3" spans="1:6">
      <c r="A3" t="s">
        <v>406</v>
      </c>
    </row>
    <row r="5" spans="1:6">
      <c r="A5" s="649"/>
      <c r="B5" s="650">
        <v>41579</v>
      </c>
      <c r="C5" s="650">
        <v>41580</v>
      </c>
      <c r="D5" s="650">
        <v>41581</v>
      </c>
      <c r="E5" s="650">
        <v>41582</v>
      </c>
      <c r="F5" s="650">
        <v>41583</v>
      </c>
    </row>
    <row r="6" spans="1:6">
      <c r="A6" s="649" t="s">
        <v>401</v>
      </c>
      <c r="B6" s="649" t="s">
        <v>402</v>
      </c>
      <c r="C6" s="649">
        <v>0</v>
      </c>
      <c r="D6" s="649">
        <v>0</v>
      </c>
      <c r="E6" s="649">
        <v>1</v>
      </c>
      <c r="F6" s="649"/>
    </row>
    <row r="7" spans="1:6">
      <c r="A7" s="649" t="s">
        <v>403</v>
      </c>
      <c r="B7" s="649">
        <v>32</v>
      </c>
      <c r="C7" s="649"/>
      <c r="D7" s="649"/>
      <c r="E7" s="649"/>
      <c r="F7" s="649">
        <v>24</v>
      </c>
    </row>
    <row r="8" spans="1:6">
      <c r="A8" s="649" t="s">
        <v>404</v>
      </c>
      <c r="B8" s="649">
        <v>12</v>
      </c>
      <c r="C8" s="649"/>
      <c r="D8" s="649"/>
      <c r="E8" s="649">
        <v>20</v>
      </c>
      <c r="F8" s="649"/>
    </row>
    <row r="9" spans="1:6">
      <c r="A9" s="649" t="s">
        <v>405</v>
      </c>
      <c r="B9" s="649">
        <v>0</v>
      </c>
      <c r="C9" s="649"/>
      <c r="D9" s="649"/>
      <c r="E9" s="649"/>
      <c r="F9" s="64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7"/>
  <sheetViews>
    <sheetView topLeftCell="B2" zoomScale="150" zoomScaleNormal="150" workbookViewId="0">
      <selection activeCell="E83" sqref="E83"/>
    </sheetView>
  </sheetViews>
  <sheetFormatPr baseColWidth="10" defaultRowHeight="12.75"/>
  <cols>
    <col min="1" max="1" width="0" hidden="1" customWidth="1"/>
    <col min="2" max="2" width="16.5703125" customWidth="1"/>
    <col min="4" max="4" width="0" hidden="1" customWidth="1"/>
  </cols>
  <sheetData>
    <row r="1" spans="1:11" hidden="1"/>
    <row r="2" spans="1:11" ht="33" customHeight="1" thickBot="1">
      <c r="F2" s="1312" t="s">
        <v>411</v>
      </c>
      <c r="G2" s="1312"/>
      <c r="H2" s="1312"/>
      <c r="I2" s="1312"/>
      <c r="J2" s="1312"/>
    </row>
    <row r="3" spans="1:11" ht="16.5" customHeight="1" thickBot="1">
      <c r="A3" s="577"/>
      <c r="B3" s="81"/>
      <c r="C3" s="81"/>
      <c r="D3" s="1306">
        <v>41579</v>
      </c>
      <c r="E3" s="1309">
        <v>41587</v>
      </c>
      <c r="F3" s="1310"/>
      <c r="G3" s="1311"/>
      <c r="H3" s="1314">
        <v>41588</v>
      </c>
      <c r="I3" s="1308">
        <v>41589</v>
      </c>
      <c r="J3" s="1081"/>
      <c r="K3" s="1081"/>
    </row>
    <row r="4" spans="1:11" ht="13.5" thickBot="1">
      <c r="A4" s="105"/>
      <c r="B4" s="81"/>
      <c r="C4" s="81"/>
      <c r="D4" s="1307"/>
      <c r="E4" s="592" t="s">
        <v>131</v>
      </c>
      <c r="F4" s="593" t="s">
        <v>133</v>
      </c>
      <c r="G4" s="594" t="s">
        <v>132</v>
      </c>
      <c r="H4" s="1315"/>
      <c r="I4" s="653" t="s">
        <v>131</v>
      </c>
      <c r="J4" s="593" t="s">
        <v>133</v>
      </c>
      <c r="K4" s="594" t="s">
        <v>132</v>
      </c>
    </row>
    <row r="5" spans="1:11" ht="13.5" hidden="1" thickBot="1">
      <c r="A5" s="1078" t="s">
        <v>391</v>
      </c>
      <c r="B5" s="1313" t="s">
        <v>393</v>
      </c>
      <c r="C5" s="667" t="s">
        <v>390</v>
      </c>
      <c r="D5" s="574">
        <v>1</v>
      </c>
      <c r="E5" s="575">
        <v>0</v>
      </c>
      <c r="F5" s="575">
        <v>0</v>
      </c>
      <c r="G5" s="575">
        <v>0</v>
      </c>
      <c r="H5" s="575">
        <v>0</v>
      </c>
      <c r="I5" s="595">
        <v>0</v>
      </c>
      <c r="J5" s="573">
        <v>0</v>
      </c>
      <c r="K5" s="596">
        <v>0</v>
      </c>
    </row>
    <row r="6" spans="1:11" ht="13.5" hidden="1" thickBot="1">
      <c r="A6" s="1079"/>
      <c r="B6" s="1077"/>
      <c r="C6" s="445" t="s">
        <v>134</v>
      </c>
      <c r="D6" s="553">
        <v>1</v>
      </c>
      <c r="E6" s="554">
        <v>0</v>
      </c>
      <c r="F6" s="554">
        <v>0</v>
      </c>
      <c r="G6" s="554">
        <v>0</v>
      </c>
      <c r="H6" s="554">
        <v>0</v>
      </c>
      <c r="I6" s="597">
        <v>1</v>
      </c>
      <c r="J6" s="565">
        <v>1</v>
      </c>
      <c r="K6" s="559">
        <v>1</v>
      </c>
    </row>
    <row r="7" spans="1:11" ht="13.5" hidden="1" thickBot="1">
      <c r="A7" s="1080"/>
      <c r="B7" s="576" t="s">
        <v>389</v>
      </c>
      <c r="C7" s="652" t="s">
        <v>134</v>
      </c>
      <c r="D7" s="561">
        <v>1</v>
      </c>
      <c r="E7" s="567">
        <v>1</v>
      </c>
      <c r="F7" s="567">
        <v>1</v>
      </c>
      <c r="G7" s="567">
        <v>1</v>
      </c>
      <c r="H7" s="568">
        <v>0</v>
      </c>
      <c r="I7" s="654">
        <v>1</v>
      </c>
      <c r="J7" s="569">
        <v>1</v>
      </c>
      <c r="K7" s="570">
        <v>1</v>
      </c>
    </row>
    <row r="8" spans="1:11" ht="13.5" thickBot="1">
      <c r="A8" s="647"/>
      <c r="B8" s="1303" t="s">
        <v>407</v>
      </c>
      <c r="C8" s="668" t="s">
        <v>404</v>
      </c>
      <c r="D8" s="651"/>
      <c r="E8" s="663">
        <v>0</v>
      </c>
      <c r="F8" s="664">
        <v>0</v>
      </c>
      <c r="G8" s="664">
        <v>0</v>
      </c>
      <c r="H8" s="664">
        <v>0</v>
      </c>
      <c r="I8" s="664">
        <v>0</v>
      </c>
      <c r="J8" s="665">
        <v>1</v>
      </c>
      <c r="K8" s="665">
        <v>1</v>
      </c>
    </row>
    <row r="9" spans="1:11" ht="15" customHeight="1" thickBot="1">
      <c r="A9" s="1063" t="s">
        <v>392</v>
      </c>
      <c r="B9" s="1304"/>
      <c r="C9" s="669" t="s">
        <v>408</v>
      </c>
      <c r="D9" s="660">
        <v>1</v>
      </c>
      <c r="E9" s="666">
        <v>0</v>
      </c>
      <c r="F9" s="555">
        <v>0</v>
      </c>
      <c r="G9" s="555">
        <v>0</v>
      </c>
      <c r="H9" s="555">
        <v>0</v>
      </c>
      <c r="I9" s="579">
        <v>1</v>
      </c>
      <c r="J9" s="555">
        <v>0</v>
      </c>
      <c r="K9" s="555">
        <v>0</v>
      </c>
    </row>
    <row r="10" spans="1:11" ht="13.5" thickBot="1">
      <c r="A10" s="1064"/>
      <c r="B10" s="1305"/>
      <c r="C10" s="670" t="s">
        <v>409</v>
      </c>
      <c r="D10" s="661">
        <v>1</v>
      </c>
      <c r="E10" s="597">
        <v>1</v>
      </c>
      <c r="F10" s="663">
        <v>0</v>
      </c>
      <c r="G10" s="664">
        <v>0</v>
      </c>
      <c r="H10" s="664">
        <v>0</v>
      </c>
      <c r="I10" s="572">
        <v>1</v>
      </c>
      <c r="J10" s="553">
        <v>1</v>
      </c>
      <c r="K10" s="553">
        <v>1</v>
      </c>
    </row>
    <row r="11" spans="1:11" ht="13.5" thickBot="1">
      <c r="A11" s="1064"/>
      <c r="B11" s="1299" t="s">
        <v>394</v>
      </c>
      <c r="C11" s="1300"/>
      <c r="D11" s="662">
        <v>1</v>
      </c>
      <c r="E11" s="598">
        <v>1</v>
      </c>
      <c r="F11" s="664">
        <v>0</v>
      </c>
      <c r="G11" s="664">
        <v>0</v>
      </c>
      <c r="H11" s="664">
        <v>0</v>
      </c>
      <c r="I11" s="579">
        <v>1</v>
      </c>
      <c r="J11" s="579">
        <v>1</v>
      </c>
      <c r="K11" s="579">
        <v>1</v>
      </c>
    </row>
    <row r="12" spans="1:11" ht="13.5" hidden="1" thickBot="1">
      <c r="A12" s="1065"/>
      <c r="B12" s="1301" t="s">
        <v>395</v>
      </c>
      <c r="C12" s="1302"/>
      <c r="D12" s="561">
        <v>1</v>
      </c>
      <c r="E12" s="655">
        <v>0</v>
      </c>
      <c r="F12" s="655">
        <v>0</v>
      </c>
      <c r="G12" s="656">
        <v>0</v>
      </c>
      <c r="H12" s="656">
        <v>0</v>
      </c>
      <c r="I12" s="657">
        <v>0</v>
      </c>
      <c r="J12" s="658">
        <v>1</v>
      </c>
      <c r="K12" s="659">
        <v>1</v>
      </c>
    </row>
    <row r="15" spans="1:11" ht="13.5" thickBot="1">
      <c r="C15" s="182"/>
    </row>
    <row r="16" spans="1:11">
      <c r="C16" s="663">
        <v>0</v>
      </c>
      <c r="E16" s="182" t="s">
        <v>410</v>
      </c>
    </row>
    <row r="17" spans="3:5">
      <c r="C17" s="597">
        <v>1</v>
      </c>
      <c r="E17" s="182" t="s">
        <v>412</v>
      </c>
    </row>
  </sheetData>
  <mergeCells count="11">
    <mergeCell ref="I3:K3"/>
    <mergeCell ref="E3:G3"/>
    <mergeCell ref="F2:J2"/>
    <mergeCell ref="A5:A7"/>
    <mergeCell ref="B5:B6"/>
    <mergeCell ref="H3:H4"/>
    <mergeCell ref="A9:A12"/>
    <mergeCell ref="B11:C11"/>
    <mergeCell ref="B12:C12"/>
    <mergeCell ref="B8:B10"/>
    <mergeCell ref="D3:D4"/>
  </mergeCells>
  <pageMargins left="0.7" right="0.7" top="0.7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E83" sqref="E83"/>
    </sheetView>
  </sheetViews>
  <sheetFormatPr baseColWidth="10" defaultRowHeight="12.75"/>
  <cols>
    <col min="2" max="2" width="38.5703125" bestFit="1" customWidth="1"/>
  </cols>
  <sheetData>
    <row r="1" spans="1:10">
      <c r="A1" s="855" t="s">
        <v>140</v>
      </c>
      <c r="B1" s="855" t="s">
        <v>141</v>
      </c>
      <c r="C1" s="856">
        <v>41627</v>
      </c>
      <c r="D1" s="856">
        <v>41647</v>
      </c>
      <c r="E1" s="856">
        <v>41648</v>
      </c>
      <c r="F1" s="856">
        <v>41649</v>
      </c>
      <c r="G1" s="856">
        <v>41650</v>
      </c>
      <c r="H1" s="856">
        <v>41653</v>
      </c>
      <c r="I1" s="856" t="s">
        <v>246</v>
      </c>
    </row>
    <row r="2" spans="1:10">
      <c r="A2" s="860" t="s">
        <v>124</v>
      </c>
      <c r="B2" s="861" t="s">
        <v>125</v>
      </c>
      <c r="C2" s="862">
        <v>8</v>
      </c>
      <c r="D2" s="862">
        <v>3</v>
      </c>
      <c r="E2" s="862">
        <v>22</v>
      </c>
      <c r="F2" s="862">
        <v>6</v>
      </c>
      <c r="G2" s="862">
        <v>9</v>
      </c>
      <c r="H2" s="862"/>
      <c r="I2" s="862">
        <v>48</v>
      </c>
      <c r="J2" s="182" t="s">
        <v>456</v>
      </c>
    </row>
    <row r="3" spans="1:10">
      <c r="A3" s="860" t="s">
        <v>120</v>
      </c>
      <c r="B3" s="861" t="s">
        <v>121</v>
      </c>
      <c r="C3" s="862"/>
      <c r="D3" s="862">
        <v>1</v>
      </c>
      <c r="E3" s="862">
        <v>1</v>
      </c>
      <c r="F3" s="862">
        <v>1</v>
      </c>
      <c r="G3" s="862">
        <v>3</v>
      </c>
      <c r="H3" s="862"/>
      <c r="I3" s="862">
        <v>6</v>
      </c>
      <c r="J3" s="182" t="s">
        <v>459</v>
      </c>
    </row>
    <row r="4" spans="1:10">
      <c r="A4" s="860" t="s">
        <v>126</v>
      </c>
      <c r="B4" s="861" t="s">
        <v>127</v>
      </c>
      <c r="C4" s="862">
        <v>29</v>
      </c>
      <c r="D4" s="862">
        <v>18</v>
      </c>
      <c r="E4" s="862">
        <v>113</v>
      </c>
      <c r="F4" s="862">
        <v>88</v>
      </c>
      <c r="G4" s="862">
        <v>100</v>
      </c>
      <c r="H4" s="862">
        <v>5</v>
      </c>
      <c r="I4" s="862">
        <v>353</v>
      </c>
      <c r="J4" s="182" t="s">
        <v>456</v>
      </c>
    </row>
    <row r="5" spans="1:10">
      <c r="A5" s="860" t="s">
        <v>118</v>
      </c>
      <c r="B5" s="861" t="s">
        <v>119</v>
      </c>
      <c r="C5" s="862">
        <v>9</v>
      </c>
      <c r="D5" s="862">
        <v>7</v>
      </c>
      <c r="E5" s="862">
        <v>66</v>
      </c>
      <c r="F5" s="862">
        <v>129</v>
      </c>
      <c r="G5" s="862">
        <v>10</v>
      </c>
      <c r="H5" s="862"/>
      <c r="I5" s="862">
        <v>221</v>
      </c>
      <c r="J5" s="182" t="s">
        <v>457</v>
      </c>
    </row>
    <row r="6" spans="1:10">
      <c r="A6" s="860" t="s">
        <v>116</v>
      </c>
      <c r="B6" s="861" t="s">
        <v>117</v>
      </c>
      <c r="C6" s="862">
        <v>9</v>
      </c>
      <c r="D6" s="862">
        <v>3</v>
      </c>
      <c r="E6" s="862">
        <v>15</v>
      </c>
      <c r="F6" s="862">
        <v>5</v>
      </c>
      <c r="G6" s="862">
        <v>14</v>
      </c>
      <c r="H6" s="862">
        <v>1</v>
      </c>
      <c r="I6" s="862">
        <v>47</v>
      </c>
      <c r="J6" s="182" t="s">
        <v>458</v>
      </c>
    </row>
    <row r="7" spans="1:10">
      <c r="A7" s="860" t="s">
        <v>122</v>
      </c>
      <c r="B7" s="861" t="s">
        <v>123</v>
      </c>
      <c r="C7" s="862">
        <v>3</v>
      </c>
      <c r="D7" s="862">
        <v>19</v>
      </c>
      <c r="E7" s="862">
        <v>152</v>
      </c>
      <c r="F7" s="862">
        <v>26</v>
      </c>
      <c r="G7" s="862">
        <v>160</v>
      </c>
      <c r="H7" s="862">
        <v>3</v>
      </c>
      <c r="I7" s="862">
        <v>363</v>
      </c>
      <c r="J7" s="182" t="s">
        <v>456</v>
      </c>
    </row>
    <row r="8" spans="1:10">
      <c r="A8" s="858" t="s">
        <v>246</v>
      </c>
      <c r="B8" s="858"/>
      <c r="C8" s="859">
        <v>58</v>
      </c>
      <c r="D8" s="859">
        <v>51</v>
      </c>
      <c r="E8" s="859">
        <v>369</v>
      </c>
      <c r="F8" s="859">
        <v>255</v>
      </c>
      <c r="G8" s="859">
        <v>296</v>
      </c>
      <c r="H8" s="859">
        <v>9</v>
      </c>
      <c r="I8" s="859">
        <v>1038</v>
      </c>
    </row>
    <row r="12" spans="1:10">
      <c r="E12">
        <f>135/369</f>
        <v>0.36585365853658536</v>
      </c>
      <c r="F12">
        <f>94/255</f>
        <v>0.36862745098039218</v>
      </c>
      <c r="G12">
        <f>109/296</f>
        <v>0.36824324324324326</v>
      </c>
    </row>
    <row r="13" spans="1:10">
      <c r="G13">
        <f>100/296</f>
        <v>0.33783783783783783</v>
      </c>
    </row>
    <row r="14" spans="1:10">
      <c r="A14" s="857"/>
    </row>
    <row r="15" spans="1:10">
      <c r="A15" s="857"/>
    </row>
    <row r="16" spans="1:10">
      <c r="A16" s="85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83" sqref="E83"/>
    </sheetView>
  </sheetViews>
  <sheetFormatPr baseColWidth="10"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11</vt:i4>
      </vt:variant>
      <vt:variant>
        <vt:lpstr>Plages nommées</vt:lpstr>
      </vt:variant>
      <vt:variant>
        <vt:i4>10</vt:i4>
      </vt:variant>
    </vt:vector>
  </HeadingPairs>
  <TitlesOfParts>
    <vt:vector size="21" baseType="lpstr">
      <vt:lpstr>etat du stock</vt:lpstr>
      <vt:lpstr>EXRACTION X52</vt:lpstr>
      <vt:lpstr>Feuil1</vt:lpstr>
      <vt:lpstr>Capacité</vt:lpstr>
      <vt:lpstr>Affectation</vt:lpstr>
      <vt:lpstr>Feuil3</vt:lpstr>
      <vt:lpstr>Livraison</vt:lpstr>
      <vt:lpstr>Source</vt:lpstr>
      <vt:lpstr>Feuil2</vt:lpstr>
      <vt:lpstr>Feuil4</vt:lpstr>
      <vt:lpstr>Couverture Machine</vt:lpstr>
      <vt:lpstr>Capacité!Impression_des_titres</vt:lpstr>
      <vt:lpstr>'Couverture Machine'!Impression_des_titres</vt:lpstr>
      <vt:lpstr>Affectation!Zone_d_impression</vt:lpstr>
      <vt:lpstr>Capacité!Zone_d_impression</vt:lpstr>
      <vt:lpstr>'Couverture Machine'!Zone_d_impression</vt:lpstr>
      <vt:lpstr>'etat du stock'!Zone_d_impression</vt:lpstr>
      <vt:lpstr>'EXRACTION X52'!Zone_d_impression</vt:lpstr>
      <vt:lpstr>Feuil1!Zone_d_impression</vt:lpstr>
      <vt:lpstr>Feuil3!Zone_d_impression</vt:lpstr>
      <vt:lpstr>Livraison!Zone_d_impression</vt:lpstr>
    </vt:vector>
  </TitlesOfParts>
  <Company>Visteon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Clavel, Philippe (P.)</dc:creator>
  <cp:lastModifiedBy>yassin yassin</cp:lastModifiedBy>
  <cp:lastPrinted>2014-02-25T10:24:01Z</cp:lastPrinted>
  <dcterms:created xsi:type="dcterms:W3CDTF">2012-11-28T13:05:27Z</dcterms:created>
  <dcterms:modified xsi:type="dcterms:W3CDTF">2014-04-23T12:01:22Z</dcterms:modified>
</cp:coreProperties>
</file>