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1A779D2B-0CDC-40BB-9248-3916D7406C9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Arithmatic Functions" sheetId="1" r:id="rId1"/>
    <sheet name="Operators" sheetId="2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">'Arithmatic Functions'!$H$7:$H$44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">'Arithmatic Functions'!$I$7:$I$44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M9" i="2" s="1"/>
  <c r="N9" i="2" s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44" i="1"/>
  <c r="Q43" i="1"/>
  <c r="Q42" i="1"/>
  <c r="Q41" i="1"/>
  <c r="Q40" i="1"/>
  <c r="Q39" i="1"/>
  <c r="Q38" i="1"/>
  <c r="Q37" i="1"/>
  <c r="Q36" i="1"/>
  <c r="Q35" i="1"/>
  <c r="Q34" i="1"/>
  <c r="P38" i="1"/>
  <c r="P35" i="1"/>
  <c r="P44" i="1"/>
  <c r="P43" i="1"/>
  <c r="P42" i="1"/>
  <c r="P41" i="1"/>
  <c r="P39" i="1"/>
  <c r="P37" i="1"/>
  <c r="P36" i="1"/>
  <c r="P34" i="1"/>
  <c r="P40" i="1"/>
  <c r="N40" i="1"/>
  <c r="N35" i="1"/>
  <c r="N34" i="1"/>
  <c r="O34" i="1"/>
  <c r="O35" i="1"/>
  <c r="N36" i="1"/>
  <c r="O36" i="1"/>
  <c r="N37" i="1"/>
  <c r="O37" i="1"/>
  <c r="N38" i="1"/>
  <c r="O38" i="1"/>
  <c r="N39" i="1"/>
  <c r="O39" i="1"/>
  <c r="O40" i="1"/>
  <c r="N41" i="1"/>
  <c r="O41" i="1"/>
  <c r="N42" i="1"/>
  <c r="O42" i="1"/>
  <c r="N43" i="1"/>
  <c r="O43" i="1"/>
  <c r="N44" i="1"/>
  <c r="O44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0" i="2"/>
  <c r="N14" i="1"/>
  <c r="N16" i="1"/>
  <c r="N15" i="1"/>
  <c r="N13" i="1"/>
  <c r="N12" i="1"/>
  <c r="N11" i="1"/>
  <c r="N4" i="1"/>
  <c r="N3" i="1"/>
  <c r="N5" i="1"/>
  <c r="N8" i="1"/>
  <c r="N7" i="1"/>
  <c r="N6" i="1"/>
  <c r="O9" i="2" l="1"/>
</calcChain>
</file>

<file path=xl/sharedStrings.xml><?xml version="1.0" encoding="utf-8"?>
<sst xmlns="http://schemas.openxmlformats.org/spreadsheetml/2006/main" count="529" uniqueCount="120">
  <si>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</si>
  <si>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</si>
  <si>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</si>
  <si>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</si>
  <si>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</si>
  <si>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</si>
  <si>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</si>
  <si>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</si>
  <si>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</si>
  <si>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</si>
  <si>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</si>
  <si>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</si>
  <si>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</si>
  <si>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</si>
  <si>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</si>
  <si>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</si>
  <si>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</si>
  <si>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</si>
  <si>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</si>
  <si>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</si>
  <si>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</si>
  <si>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</si>
  <si>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</si>
  <si>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</si>
  <si>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</si>
  <si>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</si>
  <si>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</si>
  <si>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</si>
  <si>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</si>
  <si>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</si>
  <si>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</si>
  <si>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</si>
  <si>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</si>
  <si>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</si>
  <si>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</si>
  <si>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</si>
  <si>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</si>
  <si>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</si>
  <si>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</si>
  <si>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</si>
  <si>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</si>
  <si>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</si>
  <si>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</si>
  <si>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</si>
  <si>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</si>
  <si>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</si>
  <si>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</si>
  <si>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</si>
  <si>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</si>
  <si>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</si>
  <si>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</si>
  <si>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</si>
  <si>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</si>
  <si>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</si>
  <si>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</si>
  <si>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</si>
  <si>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</si>
  <si>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</si>
  <si>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</si>
  <si>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</si>
  <si>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</si>
  <si>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</si>
  <si>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</si>
  <si>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</si>
  <si>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</si>
  <si>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</si>
  <si>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</si>
  <si>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</si>
  <si>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</si>
  <si>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</si>
  <si>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</si>
  <si>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</si>
  <si>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</si>
  <si>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</si>
  <si>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</si>
  <si>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</si>
  <si>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</si>
  <si>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</si>
  <si>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</si>
  <si>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</si>
  <si>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</si>
  <si>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</si>
  <si>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</si>
  <si>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</si>
  <si>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</si>
  <si>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</si>
  <si>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</si>
  <si>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</si>
  <si>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</si>
  <si>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</si>
  <si>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</si>
  <si>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</si>
  <si>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</si>
  <si>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</si>
  <si>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</si>
  <si>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</si>
  <si>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</si>
  <si>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</si>
  <si>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</si>
  <si>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</si>
  <si>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</si>
  <si>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</si>
  <si>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</si>
  <si>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</si>
  <si>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</si>
  <si>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</si>
  <si>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</si>
  <si>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</si>
  <si>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</si>
  <si>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</si>
  <si>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</si>
  <si>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</si>
  <si>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</si>
  <si>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 &amp; Departmentwise Report</t>
  </si>
  <si>
    <t>Region &amp; Departmentwise Salary</t>
  </si>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</sst>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3" xfId="0" applyFont="1" applyBorder="1"/>
    <xf numFmtId="0" fontId="4" fillId="0" borderId="3" xfId="0" applyFont="1" applyBorder="1"/>
    <xf numFmtId="1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quotePrefix="1" applyFont="1" applyBorder="1"/>
    <xf numFmtId="15" fontId="4" fillId="0" borderId="3" xfId="0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/>
    <xf numFmtId="0" fontId="0" fillId="0" borderId="5" xfId="0" applyBorder="1"/>
    <xf numFmtId="0" fontId="4" fillId="0" borderId="6" xfId="0" applyFont="1" applyBorder="1"/>
    <xf numFmtId="0" fontId="3" fillId="0" borderId="5" xfId="0" applyFont="1" applyBorder="1"/>
    <xf numFmtId="0" fontId="4" fillId="0" borderId="5" xfId="0" quotePrefix="1" applyFont="1" applyBorder="1"/>
    <xf numFmtId="0" fontId="6" fillId="0" borderId="0" xfId="0" applyFont="1"/>
    <xf numFmtId="0" fontId="5" fillId="0" borderId="5" xfId="0" applyFont="1" applyBorder="1"/>
    <xf numFmtId="0" fontId="6" fillId="0" borderId="5" xfId="0" applyFont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15" fontId="0" fillId="0" borderId="5" xfId="0" applyNumberFormat="1" applyBorder="1" applyAlignment="1">
      <alignment horizontal="center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EEED74E-581D-4831-83CB-C23C4A0D14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0"/>
  <sheetViews>
    <sheetView topLeftCell="C15" workbookViewId="0">
      <selection activeCell="L30" sqref="L30"/>
    </sheetView>
  </sheetViews>
  <sheetFormatPr defaultColWidth="14.44140625" defaultRowHeight="14.4" x14ac:dyDescent="0.3"/>
  <cols>
    <col min="1" max="1" width="8.6640625" customWidth="1"/>
    <col min="2" max="2" width="7.44140625" bestFit="1" customWidth="1"/>
    <col min="3" max="4" width="13.33203125" bestFit="1" customWidth="1"/>
    <col min="5" max="5" width="10" bestFit="1" customWidth="1"/>
    <col min="6" max="6" width="7.33203125" bestFit="1" customWidth="1"/>
    <col min="7" max="7" width="9" bestFit="1" customWidth="1"/>
    <col min="8" max="8" width="21.5546875" bestFit="1" customWidth="1"/>
    <col min="9" max="9" width="8.6640625" bestFit="1" customWidth="1"/>
    <col min="10" max="10" width="10.6640625" bestFit="1" customWidth="1"/>
    <col min="11" max="11" width="14.6640625" customWidth="1"/>
    <col min="12" max="12" width="12.6640625" bestFit="1" customWidth="1"/>
    <col min="13" max="13" width="49.5546875" bestFit="1" customWidth="1"/>
    <col min="14" max="16" width="8.33203125" customWidth="1"/>
    <col min="17" max="17" width="9" customWidth="1"/>
    <col min="18" max="26" width="8.6640625" customWidth="1"/>
  </cols>
  <sheetData>
    <row r="2" spans="2:14" x14ac:dyDescent="0.3">
      <c r="C2" s="25" t="s">
        <v>0</v>
      </c>
      <c r="D2" s="25"/>
      <c r="E2" s="25"/>
      <c r="F2" s="25"/>
      <c r="G2" s="25"/>
      <c r="H2" s="25"/>
      <c r="I2" s="25"/>
      <c r="J2" s="25"/>
      <c r="M2" s="26" t="s">
        <v>1</v>
      </c>
      <c r="N2" s="27"/>
    </row>
    <row r="3" spans="2:14" x14ac:dyDescent="0.3">
      <c r="C3" s="25" t="s">
        <v>2</v>
      </c>
      <c r="D3" s="25"/>
      <c r="E3" s="25"/>
      <c r="F3" s="25"/>
      <c r="G3" s="25"/>
      <c r="H3" s="25"/>
      <c r="I3" s="25"/>
      <c r="J3" s="25"/>
      <c r="M3" s="1" t="s">
        <v>3</v>
      </c>
      <c r="N3" s="2">
        <f>SUM(Salary)</f>
        <v>2191000</v>
      </c>
    </row>
    <row r="4" spans="2:14" x14ac:dyDescent="0.3">
      <c r="M4" s="1" t="s">
        <v>4</v>
      </c>
      <c r="N4" s="3">
        <f>AVERAGE(Salary)</f>
        <v>57657.894736842107</v>
      </c>
    </row>
    <row r="5" spans="2:14" x14ac:dyDescent="0.3">
      <c r="M5" s="1" t="s">
        <v>5</v>
      </c>
      <c r="N5" s="2">
        <f>MEDIAN(Salary)</f>
        <v>55000</v>
      </c>
    </row>
    <row r="6" spans="2:14" x14ac:dyDescent="0.3"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M6" s="1" t="s">
        <v>15</v>
      </c>
      <c r="N6" s="2">
        <f>COUNTA(C7:C44)</f>
        <v>38</v>
      </c>
    </row>
    <row r="7" spans="2:14" x14ac:dyDescent="0.3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2">
        <v>48000</v>
      </c>
      <c r="M7" s="1" t="s">
        <v>22</v>
      </c>
      <c r="N7" s="2">
        <f>MAX(Salary)</f>
        <v>92000</v>
      </c>
    </row>
    <row r="8" spans="2:14" x14ac:dyDescent="0.3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2">
        <v>35000</v>
      </c>
      <c r="M8" s="1" t="s">
        <v>27</v>
      </c>
      <c r="N8" s="2">
        <f>MIN(Salary)</f>
        <v>15000</v>
      </c>
    </row>
    <row r="9" spans="2:14" x14ac:dyDescent="0.3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2">
        <v>67000</v>
      </c>
    </row>
    <row r="10" spans="2:14" x14ac:dyDescent="0.3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2">
        <v>87000</v>
      </c>
      <c r="M10" s="26" t="s">
        <v>35</v>
      </c>
      <c r="N10" s="27"/>
    </row>
    <row r="11" spans="2:14" x14ac:dyDescent="0.3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2">
        <v>22000</v>
      </c>
      <c r="M11" s="2" t="s">
        <v>39</v>
      </c>
      <c r="N11" s="2">
        <f>COUNTIF(F6:F44,"male")</f>
        <v>23</v>
      </c>
    </row>
    <row r="12" spans="2:14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2">
        <v>91000</v>
      </c>
      <c r="M12" s="2" t="s">
        <v>42</v>
      </c>
      <c r="N12" s="2">
        <f>COUNTIF(F7:F44,"female")</f>
        <v>15</v>
      </c>
    </row>
    <row r="13" spans="2:14" x14ac:dyDescent="0.3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2">
        <v>77000</v>
      </c>
      <c r="M13" s="2" t="s">
        <v>47</v>
      </c>
      <c r="N13" s="8">
        <f>COUNTIF(Reg,"north")</f>
        <v>10</v>
      </c>
    </row>
    <row r="14" spans="2:14" x14ac:dyDescent="0.3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2">
        <v>45000</v>
      </c>
      <c r="M14" s="9" t="s">
        <v>49</v>
      </c>
      <c r="N14" s="10">
        <f>AVERAGEIFS(Salary,Depart,"sales",Reg,"north")</f>
        <v>52000</v>
      </c>
    </row>
    <row r="15" spans="2:14" x14ac:dyDescent="0.3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2">
        <v>92000</v>
      </c>
      <c r="M15" s="2" t="s">
        <v>53</v>
      </c>
      <c r="N15" s="11">
        <f>_xlfn.MAXIFS(Salary,Depart,"digital marketing")</f>
        <v>92000</v>
      </c>
    </row>
    <row r="16" spans="2:14" x14ac:dyDescent="0.3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2">
        <v>50000</v>
      </c>
      <c r="M16" s="9" t="s">
        <v>56</v>
      </c>
      <c r="N16" s="10">
        <f>_xlfn.MINIFS(Salary,Reg,"south")</f>
        <v>19000</v>
      </c>
    </row>
    <row r="17" spans="2:17" x14ac:dyDescent="0.3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2">
        <v>37000</v>
      </c>
    </row>
    <row r="18" spans="2:17" x14ac:dyDescent="0.3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2">
        <v>43000</v>
      </c>
      <c r="M18" s="22" t="s">
        <v>113</v>
      </c>
      <c r="N18" s="23"/>
      <c r="O18" s="23"/>
      <c r="P18" s="23"/>
      <c r="Q18" s="24"/>
    </row>
    <row r="19" spans="2:17" x14ac:dyDescent="0.3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2">
        <v>90000</v>
      </c>
      <c r="M19" s="12" t="s">
        <v>68</v>
      </c>
      <c r="N19" s="12" t="s">
        <v>21</v>
      </c>
      <c r="O19" s="12" t="s">
        <v>34</v>
      </c>
      <c r="P19" s="12" t="s">
        <v>52</v>
      </c>
      <c r="Q19" s="12" t="s">
        <v>46</v>
      </c>
    </row>
    <row r="20" spans="2:17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2">
        <v>34000</v>
      </c>
      <c r="M20" s="13" t="s">
        <v>20</v>
      </c>
      <c r="N20" s="13">
        <f>SUMIFS($J$6:$J$44,$H$6:$H$44,"flm",$I$6:$I$44,"north")</f>
        <v>48000</v>
      </c>
      <c r="O20" s="13">
        <f>SUMIFS($J$6:$J$44,$H$6:$H$44,"flm",$I$6:$I$44,"south")</f>
        <v>62000</v>
      </c>
      <c r="P20" s="13">
        <f>SUMIFS($J$6:$J$44,$H$6:$H$44,"flm",$I$6:$I$44,"east")</f>
        <v>0</v>
      </c>
      <c r="Q20" s="13">
        <f>SUMIFS($J$6:$J$44,$H$6:$H$44,"flm",$I$6:$I$44,"mid west")</f>
        <v>0</v>
      </c>
    </row>
    <row r="21" spans="2:17" ht="15" customHeight="1" x14ac:dyDescent="0.3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2">
        <v>82000</v>
      </c>
      <c r="M21" s="13" t="s">
        <v>26</v>
      </c>
      <c r="N21" s="13">
        <f>SUMIFS($J$6:$J$44,$H$6:$H$44,"digital marketing",$I$6:$I$44,"north")</f>
        <v>183000</v>
      </c>
      <c r="O21" s="13">
        <f>SUMIFS($J$6:$J$44,$H$6:$H$44,"digital marketing",$I$6:$I$44,"south")</f>
        <v>82000</v>
      </c>
      <c r="P21" s="13">
        <f>SUMIFS($J$6:$J$44,$H$6:$H$44,"digital marketing",$I$6:$I$44,"east")</f>
        <v>92000</v>
      </c>
      <c r="Q21" s="13">
        <f>SUMIFS($J$6:$J$44,$H$6:$H$44,"digital marketing",$I$6:$I$44,"mid west")</f>
        <v>45000</v>
      </c>
    </row>
    <row r="22" spans="2:17" x14ac:dyDescent="0.3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2">
        <v>67000</v>
      </c>
      <c r="M22" s="13" t="s">
        <v>33</v>
      </c>
      <c r="N22" s="13">
        <f>SUMIFS($J$6:$J$44,$H$6:$H$44,"inside sales",$I$6:$I$44,"north")</f>
        <v>50000</v>
      </c>
      <c r="O22" s="13">
        <f>SUMIFS($J$6:$J$44,$H$6:$H$44,"inside sales",$I$6:$I$44,"south")</f>
        <v>154000</v>
      </c>
      <c r="P22" s="13">
        <f>SUMIFS($J$6:$J$44,$H$6:$H$44,"inside sales",$I$6:$I$44,"east")</f>
        <v>95000</v>
      </c>
      <c r="Q22" s="13">
        <f>SUMIFS($J$6:$J$44,$H$6:$H$44,"inside sales",$I$6:$I$44,"mid west")</f>
        <v>15000</v>
      </c>
    </row>
    <row r="23" spans="2:17" x14ac:dyDescent="0.3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2">
        <v>85000</v>
      </c>
      <c r="M23" s="13" t="s">
        <v>38</v>
      </c>
      <c r="N23" s="13">
        <f>SUMIFS($J$6:$J$44,$H$6:$H$44,"marketing",$I$6:$I$44,"north")</f>
        <v>22000</v>
      </c>
      <c r="O23" s="13">
        <f>SUMIFS($J$6:$J$44,$H$6:$H$44,"marketing",$I$6:$I$44,"south")</f>
        <v>58000</v>
      </c>
      <c r="P23" s="13">
        <f>SUMIFS($J$6:$J$44,$H$6:$H$44,"marketing",$I$6:$I$44,"east")</f>
        <v>27000</v>
      </c>
      <c r="Q23" s="13">
        <f>SUMIFS($J$6:$J$44,$H$6:$H$44,"marketing",$I$6:$I$44,"mid west")</f>
        <v>47000</v>
      </c>
    </row>
    <row r="24" spans="2:17" x14ac:dyDescent="0.3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2">
        <v>62000</v>
      </c>
      <c r="M24" s="13" t="s">
        <v>41</v>
      </c>
      <c r="N24" s="13">
        <f>SUMIFS($J$6:$J$44,$H$6:$H$44,"learning&amp;development",$I$6:$I$44,"north")</f>
        <v>0</v>
      </c>
      <c r="O24" s="13">
        <f>SUMIFS($J$6:$J$44,$H$6:$H$44,"learning&amp;development",$I$6:$I$44,"south")</f>
        <v>0</v>
      </c>
      <c r="P24" s="13">
        <f>SUMIFS($J$6:$J$44,$H$6:$H$44,"learning&amp;development",$I$6:$I$44,"east")</f>
        <v>0</v>
      </c>
      <c r="Q24" s="13">
        <f>SUMIFS($J$6:$J$44,$H$6:$H$44,"learning&amp;development",$I$6:$I$44,"mid west")</f>
        <v>0</v>
      </c>
    </row>
    <row r="25" spans="2:17" x14ac:dyDescent="0.3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2">
        <v>15000</v>
      </c>
      <c r="M25" s="13" t="s">
        <v>45</v>
      </c>
      <c r="N25" s="13">
        <f>SUMIFS($J$6:$J$44,$H$6:$H$44,"Learning &amp; Development",$I$6:$I$44,"north")</f>
        <v>0</v>
      </c>
      <c r="O25" s="13">
        <f>SUMIFS($J$6:$J$44,$H$6:$H$44,"Learning &amp; Development",$I$6:$I$44,"south")</f>
        <v>37000</v>
      </c>
      <c r="P25" s="13">
        <f>SUMIFS($J$6:$J$44,$H$6:$H$44,"Learning &amp; Development",$I$6:$I$44,"east")</f>
        <v>43000</v>
      </c>
      <c r="Q25" s="13">
        <f>SUMIFS($J$6:$J$44,$H$6:$H$44,"Learning &amp; Development",$I$6:$I$44,"midwest")</f>
        <v>0</v>
      </c>
    </row>
    <row r="26" spans="2:17" x14ac:dyDescent="0.3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2">
        <v>81000</v>
      </c>
      <c r="M26" s="13" t="s">
        <v>62</v>
      </c>
      <c r="N26" s="13">
        <f>SUMIFS($J$6:$J$44,$H$6:$H$44,"ceo",$I$6:$I$44,"north")</f>
        <v>0</v>
      </c>
      <c r="O26" s="13">
        <f>SUMIFS($J$6:$J$44,$H$6:$H$44,"ceo",$I$6:$I$44,"south")</f>
        <v>0</v>
      </c>
      <c r="P26" s="13">
        <f>SUMIFS($J$6:$J$44,$H$6:$H$44,"ceo",$I$6:$I$44,"east")</f>
        <v>90000</v>
      </c>
      <c r="Q26" s="13">
        <f>SUMIFS($J$6:$J$44,$H$6:$H$44,"ceo",$I$6:$I$44,"mid west")</f>
        <v>0</v>
      </c>
    </row>
    <row r="27" spans="2:17" x14ac:dyDescent="0.3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2">
        <v>19000</v>
      </c>
      <c r="M27" s="13" t="s">
        <v>65</v>
      </c>
      <c r="N27" s="13">
        <f>SUMIFS($J$6:$J$44,$H$6:$H$44,"ccd",$I$6:$I$44,"north")</f>
        <v>26000</v>
      </c>
      <c r="O27" s="13">
        <f>SUMIFS($J$6:$J$44,$H$6:$H$44,"ccd",$I$6:$I$44,"south")</f>
        <v>135000</v>
      </c>
      <c r="P27" s="13">
        <f>SUMIFS($J$6:$J$44,$H$6:$H$44,"ccd",$I$6:$I$44,"east")</f>
        <v>81000</v>
      </c>
      <c r="Q27" s="13">
        <f>SUMIFS($J$6:$J$44,$H$6:$H$44,"ccd",$I$6:$I$44,"mid  west")</f>
        <v>0</v>
      </c>
    </row>
    <row r="28" spans="2:17" x14ac:dyDescent="0.3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2">
        <v>75000</v>
      </c>
      <c r="M28" s="13" t="s">
        <v>79</v>
      </c>
      <c r="N28" s="13">
        <f>SUMIFS($J$6:$J$44,$H$6:$H$44,"operations",$I$6:$I$44,"north")</f>
        <v>0</v>
      </c>
      <c r="O28" s="13">
        <f>SUMIFS($J$6:$J$44,$H$6:$H$44,"operations",$I$6:$I$44,"south")</f>
        <v>146000</v>
      </c>
      <c r="P28" s="13">
        <f>SUMIFS($J$6:$J$44,$H$6:$H$44,"operations",$I$6:$I$44,"east")</f>
        <v>0</v>
      </c>
      <c r="Q28" s="13">
        <f>SUMIFS($J$6:$J$44,$H$6:$H$44,"operations",$I$6:$I$44,"mid west")</f>
        <v>0</v>
      </c>
    </row>
    <row r="29" spans="2:17" x14ac:dyDescent="0.3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2">
        <v>49000</v>
      </c>
      <c r="M29" s="13" t="s">
        <v>82</v>
      </c>
      <c r="N29" s="13">
        <f>SUMIFS($J$6:$J$44,$H$6:$H$44,"finance",$I$6:$I$44,"north")</f>
        <v>85000</v>
      </c>
      <c r="O29" s="13">
        <f>SUMIFS($J$6:$J$44,$H$6:$H$44,"finance",$I$6:$I$44,"south")</f>
        <v>19000</v>
      </c>
      <c r="P29" s="13">
        <f>SUMIFS($J$6:$J$44,$H$6:$H$44,"finance",$I$6:$I$44,"east")</f>
        <v>49000</v>
      </c>
      <c r="Q29" s="13">
        <f>SUMIFS($J$6:$J$44,$H$6:$H$44,"finance",$I$6:$I$44,"mid west")</f>
        <v>83000</v>
      </c>
    </row>
    <row r="30" spans="2:17" x14ac:dyDescent="0.3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2">
        <v>50000</v>
      </c>
      <c r="M30" s="13" t="s">
        <v>93</v>
      </c>
      <c r="N30" s="13">
        <f>SUMIFS($J$6:$J$44,$H$6:$H$44,"sales",$I$6:$I$44,"north")</f>
        <v>52000</v>
      </c>
      <c r="O30" s="13">
        <f>SUMIFS($J$6:$J$44,$H$6:$H$44,"sales",$I$6:$I$44,"south")</f>
        <v>110000</v>
      </c>
      <c r="P30" s="13">
        <f>SUMIFS($J$6:$J$44,$H$6:$H$44,"sales",$I$6:$I$44,"east")</f>
        <v>0</v>
      </c>
      <c r="Q30" s="13">
        <f>SUMIFS($J$6:$J$44,$H$6:$H$44,"sales",$I$6:$I$44,"mid west")</f>
        <v>0</v>
      </c>
    </row>
    <row r="31" spans="2:17" x14ac:dyDescent="0.3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2">
        <v>83000</v>
      </c>
    </row>
    <row r="32" spans="2:17" x14ac:dyDescent="0.3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2">
        <v>53000</v>
      </c>
      <c r="M32" s="22" t="s">
        <v>114</v>
      </c>
      <c r="N32" s="23"/>
      <c r="O32" s="23"/>
      <c r="P32" s="23"/>
      <c r="Q32" s="24"/>
    </row>
    <row r="33" spans="2:17" x14ac:dyDescent="0.3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2">
        <v>65000</v>
      </c>
      <c r="M33" s="12" t="s">
        <v>68</v>
      </c>
      <c r="N33" s="12" t="s">
        <v>21</v>
      </c>
      <c r="O33" s="12" t="s">
        <v>34</v>
      </c>
      <c r="P33" s="12" t="s">
        <v>52</v>
      </c>
      <c r="Q33" s="12" t="s">
        <v>46</v>
      </c>
    </row>
    <row r="34" spans="2:17" x14ac:dyDescent="0.3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2">
        <v>85000</v>
      </c>
      <c r="M34" s="13" t="s">
        <v>20</v>
      </c>
      <c r="N34" s="13">
        <f>SUMIFS($J$6:$J$44,$H$6:$H$44,"flm",$I$6:$I$44,"north")</f>
        <v>48000</v>
      </c>
      <c r="O34" s="13">
        <f>SUMIFS($J$6:$J$44,$H$6:$H$44,"flm",$I$6:$I$44,"south")</f>
        <v>62000</v>
      </c>
      <c r="P34" s="13">
        <f>SUMIFS($J$6:$J$44,$H$6:$H$44,"flm",$I$6:$I$44,"east")</f>
        <v>0</v>
      </c>
      <c r="Q34" s="13">
        <f>SUMIFS($J$6:$J$44,$H$6:$H$44,"flm",$I$6:$I$44,"mid west")</f>
        <v>0</v>
      </c>
    </row>
    <row r="35" spans="2:17" x14ac:dyDescent="0.3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2">
        <v>20000</v>
      </c>
      <c r="M35" s="13" t="s">
        <v>26</v>
      </c>
      <c r="N35" s="13">
        <f>SUMIFS($J$6:$J$44,$H$6:$H$44,"digital marketing",$I$6:$I$44,"north")</f>
        <v>183000</v>
      </c>
      <c r="O35" s="13">
        <f>SUMIFS($J$6:$J$44,$H$6:$H$44,"digital marketing",$I$6:$I$44,"south")</f>
        <v>82000</v>
      </c>
      <c r="P35" s="13">
        <f>SUMIFS($J$6:$J$44,$H$6:$H$44,"digital marketing",$I$6:$I$44,"east")</f>
        <v>92000</v>
      </c>
      <c r="Q35" s="13">
        <f>SUMIFS($J$6:$J$44,$H$6:$H$44,"digital marketing",$I$6:$I$44,"mid west")</f>
        <v>45000</v>
      </c>
    </row>
    <row r="36" spans="2:17" x14ac:dyDescent="0.3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2">
        <v>47000</v>
      </c>
      <c r="M36" s="13" t="s">
        <v>33</v>
      </c>
      <c r="N36" s="13">
        <f>SUMIFS($J$6:$J$44,$H$6:$H$44,"inside sales",$I$6:$I$44,"north")</f>
        <v>50000</v>
      </c>
      <c r="O36" s="13">
        <f>SUMIFS($J$6:$J$44,$H$6:$H$44,"inside sales",$I$6:$I$44,"south")</f>
        <v>154000</v>
      </c>
      <c r="P36" s="13">
        <f>SUMIFS($J$6:$J$44,$H$6:$H$44,"inside sales",$I$6:$I$44,"east")</f>
        <v>95000</v>
      </c>
      <c r="Q36" s="13">
        <f>SUMIFS($J$6:$J$44,$H$6:$H$44,"inside sales",$I$6:$I$44,"mid west")</f>
        <v>15000</v>
      </c>
    </row>
    <row r="37" spans="2:17" x14ac:dyDescent="0.3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2">
        <v>87000</v>
      </c>
      <c r="M37" s="13" t="s">
        <v>38</v>
      </c>
      <c r="N37" s="13">
        <f>SUMIFS($J$6:$J$44,$H$6:$H$44,"marketing",$I$6:$I$44,"north")</f>
        <v>22000</v>
      </c>
      <c r="O37" s="13">
        <f>SUMIFS($J$6:$J$44,$H$6:$H$44,"marketing",$I$6:$I$44,"south")</f>
        <v>58000</v>
      </c>
      <c r="P37" s="13">
        <f>SUMIFS($J$6:$J$44,$H$6:$H$44,"marketing",$I$6:$I$44,"east")</f>
        <v>27000</v>
      </c>
      <c r="Q37" s="13">
        <f>SUMIFS($J$6:$J$44,$H$6:$H$44,"marketing",$I$6:$I$44,"mid west")</f>
        <v>47000</v>
      </c>
    </row>
    <row r="38" spans="2:17" x14ac:dyDescent="0.3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2">
        <v>57000</v>
      </c>
      <c r="M38" s="13" t="s">
        <v>41</v>
      </c>
      <c r="N38" s="13">
        <f>SUMIFS($J$6:$J$44,$H$6:$H$44,"learning&amp;development",$I$6:$I$44,"north")</f>
        <v>0</v>
      </c>
      <c r="O38" s="13">
        <f>SUMIFS($J$6:$J$44,$H$6:$H$44,"learning&amp;development",$I$6:$I$44,"south")</f>
        <v>0</v>
      </c>
      <c r="P38" s="13">
        <f>SUMIFS($J$6:$J$44,$H$6:$H$44,"learning&amp;development",$I$6:$I$44,"east")</f>
        <v>0</v>
      </c>
      <c r="Q38" s="13">
        <f>SUMIFS($J$6:$J$44,$H$6:$H$44,"learning&amp;development",$I$6:$I$44,"mid west")</f>
        <v>0</v>
      </c>
    </row>
    <row r="39" spans="2:17" x14ac:dyDescent="0.3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2">
        <v>27000</v>
      </c>
      <c r="M39" s="13" t="s">
        <v>45</v>
      </c>
      <c r="N39" s="13">
        <f>SUMIFS($J$6:$J$44,$H$6:$H$44,"Learning &amp; Development",$I$6:$I$44,"north")</f>
        <v>0</v>
      </c>
      <c r="O39" s="13">
        <f>SUMIFS($J$6:$J$44,$H$6:$H$44,"Learning &amp; Development",$I$6:$I$44,"south")</f>
        <v>37000</v>
      </c>
      <c r="P39" s="13">
        <f>SUMIFS($J$6:$J$44,$H$6:$H$44,"Learning &amp; Development",$I$6:$I$44,"east")</f>
        <v>43000</v>
      </c>
      <c r="Q39" s="13">
        <f>SUMIFS($J$6:$J$44,$H$6:$H$44,"Learning &amp; Development",$I$6:$I$44,"midwest")</f>
        <v>0</v>
      </c>
    </row>
    <row r="40" spans="2:17" x14ac:dyDescent="0.3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2">
        <v>81000</v>
      </c>
      <c r="M40" s="13" t="s">
        <v>62</v>
      </c>
      <c r="N40" s="13">
        <f>SUMIFS($J$6:$J$44,$H$6:$H$44,"ceo",$I$6:$I$44,"north")</f>
        <v>0</v>
      </c>
      <c r="O40" s="13">
        <f>SUMIFS($J$6:$J$44,$H$6:$H$44,"ceo",$I$6:$I$44,"south")</f>
        <v>0</v>
      </c>
      <c r="P40" s="13">
        <f>SUMIFS($J$6:$J$44,$H$6:$H$44,"ceo",$I$6:$I$44,"east")</f>
        <v>90000</v>
      </c>
      <c r="Q40" s="13">
        <f>SUMIFS($J$6:$J$44,$H$6:$H$44,"ceo",$I$6:$I$44,"mid west")</f>
        <v>0</v>
      </c>
    </row>
    <row r="41" spans="2:17" x14ac:dyDescent="0.3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2">
        <v>52000</v>
      </c>
      <c r="M41" s="13" t="s">
        <v>65</v>
      </c>
      <c r="N41" s="13">
        <f>SUMIFS($J$6:$J$44,$H$6:$H$44,"ccd",$I$6:$I$44,"north")</f>
        <v>26000</v>
      </c>
      <c r="O41" s="13">
        <f>SUMIFS($J$6:$J$44,$H$6:$H$44,"ccd",$I$6:$I$44,"south")</f>
        <v>135000</v>
      </c>
      <c r="P41" s="13">
        <f>SUMIFS($J$6:$J$44,$H$6:$H$44,"ccd",$I$6:$I$44,"east")</f>
        <v>81000</v>
      </c>
      <c r="Q41" s="13">
        <f>SUMIFS($J$6:$J$44,$H$6:$H$44,"ccd",$I$6:$I$44,"mid  west")</f>
        <v>0</v>
      </c>
    </row>
    <row r="42" spans="2:17" x14ac:dyDescent="0.3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2">
        <v>58000</v>
      </c>
      <c r="M42" s="13" t="s">
        <v>79</v>
      </c>
      <c r="N42" s="13">
        <f>SUMIFS($J$6:$J$44,$H$6:$H$44,"operations",$I$6:$I$44,"north")</f>
        <v>0</v>
      </c>
      <c r="O42" s="13">
        <f>SUMIFS($J$6:$J$44,$H$6:$H$44,"operations",$I$6:$I$44,"south")</f>
        <v>146000</v>
      </c>
      <c r="P42" s="13">
        <f>SUMIFS($J$6:$J$44,$H$6:$H$44,"operations",$I$6:$I$44,"east")</f>
        <v>0</v>
      </c>
      <c r="Q42" s="13">
        <f>SUMIFS($J$6:$J$44,$H$6:$H$44,"operations",$I$6:$I$44,"mid west")</f>
        <v>0</v>
      </c>
    </row>
    <row r="43" spans="2:17" x14ac:dyDescent="0.3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2">
        <v>47000</v>
      </c>
      <c r="M43" s="13" t="s">
        <v>82</v>
      </c>
      <c r="N43" s="13">
        <f>SUMIFS($J$6:$J$44,$H$6:$H$44,"finance",$I$6:$I$44,"north")</f>
        <v>85000</v>
      </c>
      <c r="O43" s="13">
        <f>SUMIFS($J$6:$J$44,$H$6:$H$44,"finance",$I$6:$I$44,"south")</f>
        <v>19000</v>
      </c>
      <c r="P43" s="13">
        <f>SUMIFS($J$6:$J$44,$H$6:$H$44,"finance",$I$6:$I$44,"east")</f>
        <v>49000</v>
      </c>
      <c r="Q43" s="13">
        <f>SUMIFS($J$6:$J$44,$H$6:$H$44,"finance",$I$6:$I$44,"mid west")</f>
        <v>83000</v>
      </c>
    </row>
    <row r="44" spans="2:17" x14ac:dyDescent="0.3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2">
        <v>26000</v>
      </c>
      <c r="M44" s="13" t="s">
        <v>93</v>
      </c>
      <c r="N44" s="13">
        <f>SUMIFS($J$6:$J$44,$H$6:$H$44,"sales",$I$6:$I$44,"north")</f>
        <v>52000</v>
      </c>
      <c r="O44" s="13">
        <f>SUMIFS($J$6:$J$44,$H$6:$H$44,"sales",$I$6:$I$44,"south")</f>
        <v>110000</v>
      </c>
      <c r="P44" s="13">
        <f>SUMIFS($J$6:$J$44,$H$6:$H$44,"sales",$I$6:$I$44,"east")</f>
        <v>0</v>
      </c>
      <c r="Q44" s="13">
        <f>SUMIFS($J$6:$J$44,$H$6:$H$44,"sales",$I$6:$I$44,"mid west")</f>
        <v>0</v>
      </c>
    </row>
    <row r="56" spans="11:12" x14ac:dyDescent="0.3">
      <c r="K56" s="21"/>
      <c r="L56" s="21"/>
    </row>
    <row r="57" spans="11:12" x14ac:dyDescent="0.3">
      <c r="K57" s="20"/>
      <c r="L57" s="20"/>
    </row>
    <row r="58" spans="11:12" x14ac:dyDescent="0.3">
      <c r="K58" s="20"/>
      <c r="L58" s="20"/>
    </row>
    <row r="59" spans="11:12" x14ac:dyDescent="0.3">
      <c r="K59" s="20"/>
      <c r="L59" s="20"/>
    </row>
    <row r="60" spans="11:12" x14ac:dyDescent="0.3">
      <c r="K60" s="20"/>
      <c r="L60" s="20"/>
    </row>
    <row r="61" spans="11:12" x14ac:dyDescent="0.3">
      <c r="K61" s="20"/>
      <c r="L61" s="20"/>
    </row>
    <row r="62" spans="11:12" x14ac:dyDescent="0.3">
      <c r="K62" s="20"/>
      <c r="L62" s="20"/>
    </row>
    <row r="63" spans="11:12" x14ac:dyDescent="0.3">
      <c r="K63" s="20"/>
      <c r="L63" s="20"/>
    </row>
    <row r="64" spans="11:12" x14ac:dyDescent="0.3">
      <c r="K64" s="20"/>
      <c r="L64" s="20"/>
    </row>
    <row r="65" spans="11:12" x14ac:dyDescent="0.3">
      <c r="K65" s="20"/>
      <c r="L65" s="20"/>
    </row>
    <row r="66" spans="11:12" x14ac:dyDescent="0.3">
      <c r="K66" s="20"/>
      <c r="L66" s="20"/>
    </row>
    <row r="67" spans="11:12" x14ac:dyDescent="0.3">
      <c r="K67" s="20"/>
      <c r="L67" s="20"/>
    </row>
    <row r="68" spans="11:12" x14ac:dyDescent="0.3">
      <c r="K68" s="20"/>
      <c r="L68" s="20"/>
    </row>
    <row r="69" spans="11:12" x14ac:dyDescent="0.3">
      <c r="K69" s="20"/>
      <c r="L69" s="20"/>
    </row>
    <row r="70" spans="11:12" x14ac:dyDescent="0.3">
      <c r="K70" s="20"/>
      <c r="L70" s="20"/>
    </row>
  </sheetData>
  <mergeCells count="6">
    <mergeCell ref="M32:Q32"/>
    <mergeCell ref="M18:Q18"/>
    <mergeCell ref="C2:J2"/>
    <mergeCell ref="M2:N2"/>
    <mergeCell ref="C3:J3"/>
    <mergeCell ref="M10:N10"/>
  </mergeCells>
  <pageMargins left="0.7" right="0.7" top="0.75" bottom="0.75" header="0.3" footer="0.3"/>
  <ignoredErrors>
    <ignoredError sqref="P34:P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3BDA-381D-45B3-9E4E-05F9CD6F2B4D}">
  <dimension ref="B2:O46"/>
  <sheetViews>
    <sheetView tabSelected="1" workbookViewId="0">
      <selection activeCell="K9" sqref="K9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14">
        <v>1</v>
      </c>
      <c r="C2" s="28" t="s">
        <v>115</v>
      </c>
      <c r="D2" s="28"/>
      <c r="E2" s="28"/>
      <c r="F2" s="28"/>
      <c r="G2" s="28"/>
      <c r="H2" s="28"/>
    </row>
    <row r="3" spans="2:15" x14ac:dyDescent="0.3">
      <c r="B3" s="14">
        <v>2</v>
      </c>
      <c r="C3" s="28" t="s">
        <v>116</v>
      </c>
      <c r="D3" s="28"/>
      <c r="E3" s="28"/>
      <c r="F3" s="28"/>
      <c r="G3" s="28"/>
      <c r="H3" s="28"/>
    </row>
    <row r="4" spans="2:15" x14ac:dyDescent="0.3">
      <c r="B4" s="14">
        <v>3</v>
      </c>
      <c r="C4" s="28" t="s">
        <v>117</v>
      </c>
      <c r="D4" s="28"/>
      <c r="E4" s="28"/>
      <c r="F4" s="28"/>
      <c r="G4" s="28"/>
      <c r="H4" s="28"/>
    </row>
    <row r="5" spans="2:15" x14ac:dyDescent="0.3">
      <c r="B5" s="14">
        <v>4</v>
      </c>
      <c r="C5" s="28" t="s">
        <v>118</v>
      </c>
      <c r="D5" s="28"/>
      <c r="E5" s="28"/>
      <c r="F5" s="28"/>
      <c r="G5" s="28"/>
      <c r="H5" s="28"/>
    </row>
    <row r="6" spans="2:15" x14ac:dyDescent="0.3">
      <c r="B6" s="14">
        <v>5</v>
      </c>
      <c r="C6" s="28" t="s">
        <v>119</v>
      </c>
      <c r="D6" s="28"/>
      <c r="E6" s="28"/>
      <c r="F6" s="28"/>
      <c r="G6" s="28"/>
      <c r="H6" s="28"/>
    </row>
    <row r="8" spans="2:15" x14ac:dyDescent="0.3"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5" t="s">
        <v>13</v>
      </c>
      <c r="J8" s="15" t="s">
        <v>14</v>
      </c>
      <c r="K8" s="16">
        <v>1</v>
      </c>
      <c r="L8" s="16">
        <v>2</v>
      </c>
      <c r="M8" s="16">
        <v>3</v>
      </c>
      <c r="N8" s="16">
        <v>4</v>
      </c>
      <c r="O8" s="16">
        <v>5</v>
      </c>
    </row>
    <row r="9" spans="2:15" x14ac:dyDescent="0.3">
      <c r="B9" s="17">
        <v>150834</v>
      </c>
      <c r="C9" s="18" t="s">
        <v>16</v>
      </c>
      <c r="D9" s="18" t="s">
        <v>17</v>
      </c>
      <c r="E9" s="19">
        <v>31199</v>
      </c>
      <c r="F9" s="17" t="s">
        <v>18</v>
      </c>
      <c r="G9" s="18" t="s">
        <v>19</v>
      </c>
      <c r="H9" s="18" t="s">
        <v>20</v>
      </c>
      <c r="I9" s="18" t="s">
        <v>21</v>
      </c>
      <c r="J9" s="10">
        <v>48000</v>
      </c>
      <c r="K9" s="10">
        <f>J9*45%</f>
        <v>21600</v>
      </c>
      <c r="L9" s="10">
        <f>(J9*45%)+1000</f>
        <v>22600</v>
      </c>
      <c r="M9" s="10">
        <f>J9+K9</f>
        <v>69600</v>
      </c>
      <c r="N9" s="10">
        <f>M9*5%</f>
        <v>3480</v>
      </c>
      <c r="O9" s="10">
        <f>J9+K9+M9+N9</f>
        <v>142680</v>
      </c>
    </row>
    <row r="10" spans="2:15" x14ac:dyDescent="0.3">
      <c r="B10" s="17">
        <v>150784</v>
      </c>
      <c r="C10" s="18" t="s">
        <v>23</v>
      </c>
      <c r="D10" s="18" t="s">
        <v>24</v>
      </c>
      <c r="E10" s="19">
        <v>28365</v>
      </c>
      <c r="F10" s="17" t="s">
        <v>18</v>
      </c>
      <c r="G10" s="18" t="s">
        <v>25</v>
      </c>
      <c r="H10" s="18" t="s">
        <v>26</v>
      </c>
      <c r="I10" s="18" t="s">
        <v>21</v>
      </c>
      <c r="J10" s="10">
        <v>35000</v>
      </c>
      <c r="K10" s="10">
        <f>J10*45%</f>
        <v>15750</v>
      </c>
      <c r="L10" s="10">
        <f t="shared" ref="L10:L46" si="0">(J10*45%)+1000</f>
        <v>16750</v>
      </c>
      <c r="M10" s="10">
        <f t="shared" ref="M10:M46" si="1">J10+K10</f>
        <v>50750</v>
      </c>
      <c r="N10" s="10">
        <f t="shared" ref="N10:N46" si="2">M10*5%</f>
        <v>2537.5</v>
      </c>
      <c r="O10" s="10">
        <f t="shared" ref="O10:O46" si="3">J10+K10+M10+N10</f>
        <v>104037.5</v>
      </c>
    </row>
    <row r="11" spans="2:15" x14ac:dyDescent="0.3">
      <c r="B11" s="17">
        <v>150791</v>
      </c>
      <c r="C11" s="18" t="s">
        <v>28</v>
      </c>
      <c r="D11" s="18" t="s">
        <v>29</v>
      </c>
      <c r="E11" s="19">
        <v>23346</v>
      </c>
      <c r="F11" s="17" t="s">
        <v>18</v>
      </c>
      <c r="G11" s="18" t="s">
        <v>19</v>
      </c>
      <c r="H11" s="18" t="s">
        <v>26</v>
      </c>
      <c r="I11" s="18" t="s">
        <v>21</v>
      </c>
      <c r="J11" s="10">
        <v>67000</v>
      </c>
      <c r="K11" s="10">
        <f t="shared" ref="K11:K46" si="4">J11*45%</f>
        <v>30150</v>
      </c>
      <c r="L11" s="10">
        <f t="shared" si="0"/>
        <v>31150</v>
      </c>
      <c r="M11" s="10">
        <f t="shared" si="1"/>
        <v>97150</v>
      </c>
      <c r="N11" s="10">
        <f t="shared" si="2"/>
        <v>4857.5</v>
      </c>
      <c r="O11" s="10">
        <f t="shared" si="3"/>
        <v>199157.5</v>
      </c>
    </row>
    <row r="12" spans="2:15" x14ac:dyDescent="0.3">
      <c r="B12" s="17">
        <v>150940</v>
      </c>
      <c r="C12" s="18" t="s">
        <v>30</v>
      </c>
      <c r="D12" s="18" t="s">
        <v>31</v>
      </c>
      <c r="E12" s="19">
        <v>26906</v>
      </c>
      <c r="F12" s="17" t="s">
        <v>32</v>
      </c>
      <c r="G12" s="18" t="s">
        <v>25</v>
      </c>
      <c r="H12" s="18" t="s">
        <v>33</v>
      </c>
      <c r="I12" s="18" t="s">
        <v>34</v>
      </c>
      <c r="J12" s="10">
        <v>87000</v>
      </c>
      <c r="K12" s="10">
        <f t="shared" si="4"/>
        <v>39150</v>
      </c>
      <c r="L12" s="10">
        <f t="shared" si="0"/>
        <v>40150</v>
      </c>
      <c r="M12" s="10">
        <f t="shared" si="1"/>
        <v>126150</v>
      </c>
      <c r="N12" s="10">
        <f t="shared" si="2"/>
        <v>6307.5</v>
      </c>
      <c r="O12" s="10">
        <f t="shared" si="3"/>
        <v>258607.5</v>
      </c>
    </row>
    <row r="13" spans="2:15" x14ac:dyDescent="0.3">
      <c r="B13" s="17">
        <v>150777</v>
      </c>
      <c r="C13" s="18" t="s">
        <v>36</v>
      </c>
      <c r="D13" s="18" t="s">
        <v>37</v>
      </c>
      <c r="E13" s="19">
        <v>21123</v>
      </c>
      <c r="F13" s="17" t="s">
        <v>32</v>
      </c>
      <c r="G13" s="18" t="s">
        <v>19</v>
      </c>
      <c r="H13" s="18" t="s">
        <v>38</v>
      </c>
      <c r="I13" s="18" t="s">
        <v>21</v>
      </c>
      <c r="J13" s="10">
        <v>22000</v>
      </c>
      <c r="K13" s="10">
        <f t="shared" si="4"/>
        <v>9900</v>
      </c>
      <c r="L13" s="10">
        <f t="shared" si="0"/>
        <v>10900</v>
      </c>
      <c r="M13" s="10">
        <f t="shared" si="1"/>
        <v>31900</v>
      </c>
      <c r="N13" s="10">
        <f t="shared" si="2"/>
        <v>1595</v>
      </c>
      <c r="O13" s="10">
        <f t="shared" si="3"/>
        <v>65395</v>
      </c>
    </row>
    <row r="14" spans="2:15" x14ac:dyDescent="0.3">
      <c r="B14" s="17">
        <v>150805</v>
      </c>
      <c r="C14" s="18" t="s">
        <v>28</v>
      </c>
      <c r="D14" s="18" t="s">
        <v>40</v>
      </c>
      <c r="E14" s="19">
        <v>26172</v>
      </c>
      <c r="F14" s="17" t="s">
        <v>32</v>
      </c>
      <c r="G14" s="18" t="s">
        <v>19</v>
      </c>
      <c r="H14" s="18" t="s">
        <v>41</v>
      </c>
      <c r="I14" s="18" t="s">
        <v>21</v>
      </c>
      <c r="J14" s="10">
        <v>91000</v>
      </c>
      <c r="K14" s="10">
        <f t="shared" si="4"/>
        <v>40950</v>
      </c>
      <c r="L14" s="10">
        <f t="shared" si="0"/>
        <v>41950</v>
      </c>
      <c r="M14" s="10">
        <f t="shared" si="1"/>
        <v>131950</v>
      </c>
      <c r="N14" s="10">
        <f t="shared" si="2"/>
        <v>6597.5</v>
      </c>
      <c r="O14" s="10">
        <f t="shared" si="3"/>
        <v>270497.5</v>
      </c>
    </row>
    <row r="15" spans="2:15" x14ac:dyDescent="0.3">
      <c r="B15" s="17">
        <v>150990</v>
      </c>
      <c r="C15" s="18" t="s">
        <v>43</v>
      </c>
      <c r="D15" s="18" t="s">
        <v>44</v>
      </c>
      <c r="E15" s="19">
        <v>36400</v>
      </c>
      <c r="F15" s="17" t="s">
        <v>32</v>
      </c>
      <c r="G15" s="18" t="s">
        <v>19</v>
      </c>
      <c r="H15" s="18" t="s">
        <v>45</v>
      </c>
      <c r="I15" s="18" t="s">
        <v>46</v>
      </c>
      <c r="J15" s="10">
        <v>77000</v>
      </c>
      <c r="K15" s="10">
        <f t="shared" si="4"/>
        <v>34650</v>
      </c>
      <c r="L15" s="10">
        <f t="shared" si="0"/>
        <v>35650</v>
      </c>
      <c r="M15" s="10">
        <f t="shared" si="1"/>
        <v>111650</v>
      </c>
      <c r="N15" s="10">
        <f t="shared" si="2"/>
        <v>5582.5</v>
      </c>
      <c r="O15" s="10">
        <f t="shared" si="3"/>
        <v>228882.5</v>
      </c>
    </row>
    <row r="16" spans="2:15" x14ac:dyDescent="0.3">
      <c r="B16" s="17">
        <v>150989</v>
      </c>
      <c r="C16" s="18" t="s">
        <v>48</v>
      </c>
      <c r="D16" s="18" t="s">
        <v>44</v>
      </c>
      <c r="E16" s="19">
        <v>33113</v>
      </c>
      <c r="F16" s="17" t="s">
        <v>32</v>
      </c>
      <c r="G16" s="18" t="s">
        <v>19</v>
      </c>
      <c r="H16" s="18" t="s">
        <v>26</v>
      </c>
      <c r="I16" s="18" t="s">
        <v>46</v>
      </c>
      <c r="J16" s="10">
        <v>45000</v>
      </c>
      <c r="K16" s="10">
        <f t="shared" si="4"/>
        <v>20250</v>
      </c>
      <c r="L16" s="10">
        <f t="shared" si="0"/>
        <v>21250</v>
      </c>
      <c r="M16" s="10">
        <f t="shared" si="1"/>
        <v>65250</v>
      </c>
      <c r="N16" s="10">
        <f t="shared" si="2"/>
        <v>3262.5</v>
      </c>
      <c r="O16" s="10">
        <f t="shared" si="3"/>
        <v>133762.5</v>
      </c>
    </row>
    <row r="17" spans="2:15" x14ac:dyDescent="0.3">
      <c r="B17" s="17">
        <v>150881</v>
      </c>
      <c r="C17" s="18" t="s">
        <v>50</v>
      </c>
      <c r="D17" s="18" t="s">
        <v>51</v>
      </c>
      <c r="E17" s="19">
        <v>30337</v>
      </c>
      <c r="F17" s="17" t="s">
        <v>32</v>
      </c>
      <c r="G17" s="18" t="s">
        <v>25</v>
      </c>
      <c r="H17" s="18" t="s">
        <v>26</v>
      </c>
      <c r="I17" s="18" t="s">
        <v>52</v>
      </c>
      <c r="J17" s="10">
        <v>92000</v>
      </c>
      <c r="K17" s="10">
        <f t="shared" si="4"/>
        <v>41400</v>
      </c>
      <c r="L17" s="10">
        <f t="shared" si="0"/>
        <v>42400</v>
      </c>
      <c r="M17" s="10">
        <f t="shared" si="1"/>
        <v>133400</v>
      </c>
      <c r="N17" s="10">
        <f t="shared" si="2"/>
        <v>6670</v>
      </c>
      <c r="O17" s="10">
        <f t="shared" si="3"/>
        <v>273470</v>
      </c>
    </row>
    <row r="18" spans="2:15" x14ac:dyDescent="0.3">
      <c r="B18" s="17">
        <v>150814</v>
      </c>
      <c r="C18" s="18" t="s">
        <v>54</v>
      </c>
      <c r="D18" s="18" t="s">
        <v>55</v>
      </c>
      <c r="E18" s="19">
        <v>26246</v>
      </c>
      <c r="F18" s="17" t="s">
        <v>32</v>
      </c>
      <c r="G18" s="18" t="s">
        <v>19</v>
      </c>
      <c r="H18" s="18" t="s">
        <v>33</v>
      </c>
      <c r="I18" s="18" t="s">
        <v>21</v>
      </c>
      <c r="J18" s="10">
        <v>50000</v>
      </c>
      <c r="K18" s="10">
        <f t="shared" si="4"/>
        <v>22500</v>
      </c>
      <c r="L18" s="10">
        <f t="shared" si="0"/>
        <v>23500</v>
      </c>
      <c r="M18" s="10">
        <f t="shared" si="1"/>
        <v>72500</v>
      </c>
      <c r="N18" s="10">
        <f t="shared" si="2"/>
        <v>3625</v>
      </c>
      <c r="O18" s="10">
        <f t="shared" si="3"/>
        <v>148625</v>
      </c>
    </row>
    <row r="19" spans="2:15" x14ac:dyDescent="0.3">
      <c r="B19" s="17">
        <v>150937</v>
      </c>
      <c r="C19" s="18" t="s">
        <v>57</v>
      </c>
      <c r="D19" s="18" t="s">
        <v>58</v>
      </c>
      <c r="E19" s="19">
        <v>24700</v>
      </c>
      <c r="F19" s="17" t="s">
        <v>32</v>
      </c>
      <c r="G19" s="18" t="s">
        <v>19</v>
      </c>
      <c r="H19" s="18" t="s">
        <v>45</v>
      </c>
      <c r="I19" s="18" t="s">
        <v>34</v>
      </c>
      <c r="J19" s="10">
        <v>37000</v>
      </c>
      <c r="K19" s="10">
        <f t="shared" si="4"/>
        <v>16650</v>
      </c>
      <c r="L19" s="10">
        <f t="shared" si="0"/>
        <v>17650</v>
      </c>
      <c r="M19" s="10">
        <f t="shared" si="1"/>
        <v>53650</v>
      </c>
      <c r="N19" s="10">
        <f t="shared" si="2"/>
        <v>2682.5</v>
      </c>
      <c r="O19" s="10">
        <f t="shared" si="3"/>
        <v>109982.5</v>
      </c>
    </row>
    <row r="20" spans="2:15" x14ac:dyDescent="0.3">
      <c r="B20" s="17">
        <v>150888</v>
      </c>
      <c r="C20" s="18" t="s">
        <v>59</v>
      </c>
      <c r="D20" s="18" t="s">
        <v>60</v>
      </c>
      <c r="E20" s="19">
        <v>29221</v>
      </c>
      <c r="F20" s="17" t="s">
        <v>32</v>
      </c>
      <c r="G20" s="18" t="s">
        <v>19</v>
      </c>
      <c r="H20" s="18" t="s">
        <v>45</v>
      </c>
      <c r="I20" s="18" t="s">
        <v>52</v>
      </c>
      <c r="J20" s="10">
        <v>43000</v>
      </c>
      <c r="K20" s="10">
        <f t="shared" si="4"/>
        <v>19350</v>
      </c>
      <c r="L20" s="10">
        <f t="shared" si="0"/>
        <v>20350</v>
      </c>
      <c r="M20" s="10">
        <f t="shared" si="1"/>
        <v>62350</v>
      </c>
      <c r="N20" s="10">
        <f t="shared" si="2"/>
        <v>3117.5</v>
      </c>
      <c r="O20" s="10">
        <f t="shared" si="3"/>
        <v>127817.5</v>
      </c>
    </row>
    <row r="21" spans="2:15" x14ac:dyDescent="0.3">
      <c r="B21" s="17">
        <v>150865</v>
      </c>
      <c r="C21" s="18" t="s">
        <v>61</v>
      </c>
      <c r="D21" s="18" t="s">
        <v>60</v>
      </c>
      <c r="E21" s="19">
        <v>31279</v>
      </c>
      <c r="F21" s="17" t="s">
        <v>18</v>
      </c>
      <c r="G21" s="18" t="s">
        <v>19</v>
      </c>
      <c r="H21" s="18" t="s">
        <v>62</v>
      </c>
      <c r="I21" s="18" t="s">
        <v>52</v>
      </c>
      <c r="J21" s="10">
        <v>90000</v>
      </c>
      <c r="K21" s="10">
        <f t="shared" si="4"/>
        <v>40500</v>
      </c>
      <c r="L21" s="10">
        <f t="shared" si="0"/>
        <v>41500</v>
      </c>
      <c r="M21" s="10">
        <f t="shared" si="1"/>
        <v>130500</v>
      </c>
      <c r="N21" s="10">
        <f t="shared" si="2"/>
        <v>6525</v>
      </c>
      <c r="O21" s="10">
        <f t="shared" si="3"/>
        <v>267525</v>
      </c>
    </row>
    <row r="22" spans="2:15" x14ac:dyDescent="0.3">
      <c r="B22" s="17">
        <v>150858</v>
      </c>
      <c r="C22" s="18" t="s">
        <v>63</v>
      </c>
      <c r="D22" s="18" t="s">
        <v>64</v>
      </c>
      <c r="E22" s="19">
        <v>34846</v>
      </c>
      <c r="F22" s="17" t="s">
        <v>32</v>
      </c>
      <c r="G22" s="18" t="s">
        <v>19</v>
      </c>
      <c r="H22" s="18" t="s">
        <v>65</v>
      </c>
      <c r="I22" s="18" t="s">
        <v>52</v>
      </c>
      <c r="J22" s="10">
        <v>34000</v>
      </c>
      <c r="K22" s="10">
        <f t="shared" si="4"/>
        <v>15300</v>
      </c>
      <c r="L22" s="10">
        <f t="shared" si="0"/>
        <v>16300</v>
      </c>
      <c r="M22" s="10">
        <f t="shared" si="1"/>
        <v>49300</v>
      </c>
      <c r="N22" s="10">
        <f t="shared" si="2"/>
        <v>2465</v>
      </c>
      <c r="O22" s="10">
        <f t="shared" si="3"/>
        <v>101065</v>
      </c>
    </row>
    <row r="23" spans="2:15" x14ac:dyDescent="0.3">
      <c r="B23" s="17">
        <v>150930</v>
      </c>
      <c r="C23" s="18" t="s">
        <v>66</v>
      </c>
      <c r="D23" s="18" t="s">
        <v>67</v>
      </c>
      <c r="E23" s="19">
        <v>37027</v>
      </c>
      <c r="F23" s="17" t="s">
        <v>32</v>
      </c>
      <c r="G23" s="18" t="s">
        <v>19</v>
      </c>
      <c r="H23" s="18" t="s">
        <v>26</v>
      </c>
      <c r="I23" s="18" t="s">
        <v>34</v>
      </c>
      <c r="J23" s="10">
        <v>82000</v>
      </c>
      <c r="K23" s="10">
        <f t="shared" si="4"/>
        <v>36900</v>
      </c>
      <c r="L23" s="10">
        <f t="shared" si="0"/>
        <v>37900</v>
      </c>
      <c r="M23" s="10">
        <f t="shared" si="1"/>
        <v>118900</v>
      </c>
      <c r="N23" s="10">
        <f t="shared" si="2"/>
        <v>5945</v>
      </c>
      <c r="O23" s="10">
        <f t="shared" si="3"/>
        <v>243745</v>
      </c>
    </row>
    <row r="24" spans="2:15" x14ac:dyDescent="0.3">
      <c r="B24" s="17">
        <v>150894</v>
      </c>
      <c r="C24" s="18" t="s">
        <v>69</v>
      </c>
      <c r="D24" s="18" t="s">
        <v>70</v>
      </c>
      <c r="E24" s="19">
        <v>37124</v>
      </c>
      <c r="F24" s="17" t="s">
        <v>32</v>
      </c>
      <c r="G24" s="18" t="s">
        <v>19</v>
      </c>
      <c r="H24" s="18" t="s">
        <v>33</v>
      </c>
      <c r="I24" s="18" t="s">
        <v>34</v>
      </c>
      <c r="J24" s="10">
        <v>67000</v>
      </c>
      <c r="K24" s="10">
        <f t="shared" si="4"/>
        <v>30150</v>
      </c>
      <c r="L24" s="10">
        <f t="shared" si="0"/>
        <v>31150</v>
      </c>
      <c r="M24" s="10">
        <f t="shared" si="1"/>
        <v>97150</v>
      </c>
      <c r="N24" s="10">
        <f t="shared" si="2"/>
        <v>4857.5</v>
      </c>
      <c r="O24" s="10">
        <f t="shared" si="3"/>
        <v>199157.5</v>
      </c>
    </row>
    <row r="25" spans="2:15" x14ac:dyDescent="0.3">
      <c r="B25" s="17">
        <v>150947</v>
      </c>
      <c r="C25" s="18" t="s">
        <v>71</v>
      </c>
      <c r="D25" s="18" t="s">
        <v>72</v>
      </c>
      <c r="E25" s="19">
        <v>33449</v>
      </c>
      <c r="F25" s="17" t="s">
        <v>18</v>
      </c>
      <c r="G25" s="18" t="s">
        <v>19</v>
      </c>
      <c r="H25" s="18" t="s">
        <v>65</v>
      </c>
      <c r="I25" s="18" t="s">
        <v>34</v>
      </c>
      <c r="J25" s="10">
        <v>85000</v>
      </c>
      <c r="K25" s="10">
        <f t="shared" si="4"/>
        <v>38250</v>
      </c>
      <c r="L25" s="10">
        <f t="shared" si="0"/>
        <v>39250</v>
      </c>
      <c r="M25" s="10">
        <f t="shared" si="1"/>
        <v>123250</v>
      </c>
      <c r="N25" s="10">
        <f t="shared" si="2"/>
        <v>6162.5</v>
      </c>
      <c r="O25" s="10">
        <f t="shared" si="3"/>
        <v>252662.5</v>
      </c>
    </row>
    <row r="26" spans="2:15" x14ac:dyDescent="0.3">
      <c r="B26" s="17">
        <v>150905</v>
      </c>
      <c r="C26" s="18" t="s">
        <v>73</v>
      </c>
      <c r="D26" s="18" t="s">
        <v>74</v>
      </c>
      <c r="E26" s="19">
        <v>30819</v>
      </c>
      <c r="F26" s="17" t="s">
        <v>18</v>
      </c>
      <c r="G26" s="18" t="s">
        <v>25</v>
      </c>
      <c r="H26" s="18" t="s">
        <v>20</v>
      </c>
      <c r="I26" s="18" t="s">
        <v>34</v>
      </c>
      <c r="J26" s="10">
        <v>62000</v>
      </c>
      <c r="K26" s="10">
        <f t="shared" si="4"/>
        <v>27900</v>
      </c>
      <c r="L26" s="10">
        <f t="shared" si="0"/>
        <v>28900</v>
      </c>
      <c r="M26" s="10">
        <f t="shared" si="1"/>
        <v>89900</v>
      </c>
      <c r="N26" s="10">
        <f t="shared" si="2"/>
        <v>4495</v>
      </c>
      <c r="O26" s="10">
        <f t="shared" si="3"/>
        <v>184295</v>
      </c>
    </row>
    <row r="27" spans="2:15" x14ac:dyDescent="0.3">
      <c r="B27" s="17">
        <v>150995</v>
      </c>
      <c r="C27" s="18" t="s">
        <v>75</v>
      </c>
      <c r="D27" s="18" t="s">
        <v>76</v>
      </c>
      <c r="E27" s="19">
        <v>35330</v>
      </c>
      <c r="F27" s="17" t="s">
        <v>32</v>
      </c>
      <c r="G27" s="18" t="s">
        <v>19</v>
      </c>
      <c r="H27" s="18" t="s">
        <v>33</v>
      </c>
      <c r="I27" s="18" t="s">
        <v>46</v>
      </c>
      <c r="J27" s="10">
        <v>15000</v>
      </c>
      <c r="K27" s="10">
        <f t="shared" si="4"/>
        <v>6750</v>
      </c>
      <c r="L27" s="10">
        <f t="shared" si="0"/>
        <v>7750</v>
      </c>
      <c r="M27" s="10">
        <f t="shared" si="1"/>
        <v>21750</v>
      </c>
      <c r="N27" s="10">
        <f t="shared" si="2"/>
        <v>1087.5</v>
      </c>
      <c r="O27" s="10">
        <f t="shared" si="3"/>
        <v>44587.5</v>
      </c>
    </row>
    <row r="28" spans="2:15" x14ac:dyDescent="0.3">
      <c r="B28" s="17">
        <v>150912</v>
      </c>
      <c r="C28" s="18" t="s">
        <v>77</v>
      </c>
      <c r="D28" s="18" t="s">
        <v>78</v>
      </c>
      <c r="E28" s="19">
        <v>37629</v>
      </c>
      <c r="F28" s="17" t="s">
        <v>18</v>
      </c>
      <c r="G28" s="18" t="s">
        <v>19</v>
      </c>
      <c r="H28" s="18" t="s">
        <v>79</v>
      </c>
      <c r="I28" s="18" t="s">
        <v>34</v>
      </c>
      <c r="J28" s="10">
        <v>81000</v>
      </c>
      <c r="K28" s="10">
        <f t="shared" si="4"/>
        <v>36450</v>
      </c>
      <c r="L28" s="10">
        <f t="shared" si="0"/>
        <v>37450</v>
      </c>
      <c r="M28" s="10">
        <f t="shared" si="1"/>
        <v>117450</v>
      </c>
      <c r="N28" s="10">
        <f t="shared" si="2"/>
        <v>5872.5</v>
      </c>
      <c r="O28" s="10">
        <f t="shared" si="3"/>
        <v>240772.5</v>
      </c>
    </row>
    <row r="29" spans="2:15" x14ac:dyDescent="0.3">
      <c r="B29" s="17">
        <v>150921</v>
      </c>
      <c r="C29" s="18" t="s">
        <v>80</v>
      </c>
      <c r="D29" s="18" t="s">
        <v>81</v>
      </c>
      <c r="E29" s="19">
        <v>38092</v>
      </c>
      <c r="F29" s="17" t="s">
        <v>32</v>
      </c>
      <c r="G29" s="18" t="s">
        <v>19</v>
      </c>
      <c r="H29" s="18" t="s">
        <v>82</v>
      </c>
      <c r="I29" s="18" t="s">
        <v>34</v>
      </c>
      <c r="J29" s="10">
        <v>19000</v>
      </c>
      <c r="K29" s="10">
        <f t="shared" si="4"/>
        <v>8550</v>
      </c>
      <c r="L29" s="10">
        <f t="shared" si="0"/>
        <v>9550</v>
      </c>
      <c r="M29" s="10">
        <f t="shared" si="1"/>
        <v>27550</v>
      </c>
      <c r="N29" s="10">
        <f t="shared" si="2"/>
        <v>1377.5</v>
      </c>
      <c r="O29" s="10">
        <f t="shared" si="3"/>
        <v>56477.5</v>
      </c>
    </row>
    <row r="30" spans="2:15" x14ac:dyDescent="0.3">
      <c r="B30" s="17">
        <v>150851</v>
      </c>
      <c r="C30" s="18" t="s">
        <v>83</v>
      </c>
      <c r="D30" s="18" t="s">
        <v>84</v>
      </c>
      <c r="E30" s="19">
        <v>29368</v>
      </c>
      <c r="F30" s="17" t="s">
        <v>32</v>
      </c>
      <c r="G30" s="18" t="s">
        <v>25</v>
      </c>
      <c r="H30" s="18" t="s">
        <v>33</v>
      </c>
      <c r="I30" s="18" t="s">
        <v>52</v>
      </c>
      <c r="J30" s="10">
        <v>75000</v>
      </c>
      <c r="K30" s="10">
        <f t="shared" si="4"/>
        <v>33750</v>
      </c>
      <c r="L30" s="10">
        <f t="shared" si="0"/>
        <v>34750</v>
      </c>
      <c r="M30" s="10">
        <f t="shared" si="1"/>
        <v>108750</v>
      </c>
      <c r="N30" s="10">
        <f t="shared" si="2"/>
        <v>5437.5</v>
      </c>
      <c r="O30" s="10">
        <f t="shared" si="3"/>
        <v>222937.5</v>
      </c>
    </row>
    <row r="31" spans="2:15" x14ac:dyDescent="0.3">
      <c r="B31" s="17">
        <v>150867</v>
      </c>
      <c r="C31" s="18" t="s">
        <v>85</v>
      </c>
      <c r="D31" s="18" t="s">
        <v>86</v>
      </c>
      <c r="E31" s="19">
        <v>29028</v>
      </c>
      <c r="F31" s="17" t="s">
        <v>18</v>
      </c>
      <c r="G31" s="18" t="s">
        <v>25</v>
      </c>
      <c r="H31" s="18" t="s">
        <v>82</v>
      </c>
      <c r="I31" s="18" t="s">
        <v>52</v>
      </c>
      <c r="J31" s="10">
        <v>49000</v>
      </c>
      <c r="K31" s="10">
        <f t="shared" si="4"/>
        <v>22050</v>
      </c>
      <c r="L31" s="10">
        <f t="shared" si="0"/>
        <v>23050</v>
      </c>
      <c r="M31" s="10">
        <f t="shared" si="1"/>
        <v>71050</v>
      </c>
      <c r="N31" s="10">
        <f t="shared" si="2"/>
        <v>3552.5</v>
      </c>
      <c r="O31" s="10">
        <f t="shared" si="3"/>
        <v>145652.5</v>
      </c>
    </row>
    <row r="32" spans="2:15" x14ac:dyDescent="0.3">
      <c r="B32" s="17">
        <v>150899</v>
      </c>
      <c r="C32" s="18" t="s">
        <v>87</v>
      </c>
      <c r="D32" s="18" t="s">
        <v>88</v>
      </c>
      <c r="E32" s="19">
        <v>37400</v>
      </c>
      <c r="F32" s="17" t="s">
        <v>32</v>
      </c>
      <c r="G32" s="18" t="s">
        <v>19</v>
      </c>
      <c r="H32" s="18" t="s">
        <v>65</v>
      </c>
      <c r="I32" s="18" t="s">
        <v>34</v>
      </c>
      <c r="J32" s="10">
        <v>50000</v>
      </c>
      <c r="K32" s="10">
        <f t="shared" si="4"/>
        <v>22500</v>
      </c>
      <c r="L32" s="10">
        <f t="shared" si="0"/>
        <v>23500</v>
      </c>
      <c r="M32" s="10">
        <f t="shared" si="1"/>
        <v>72500</v>
      </c>
      <c r="N32" s="10">
        <f t="shared" si="2"/>
        <v>3625</v>
      </c>
      <c r="O32" s="10">
        <f t="shared" si="3"/>
        <v>148625</v>
      </c>
    </row>
    <row r="33" spans="2:15" x14ac:dyDescent="0.3">
      <c r="B33" s="17">
        <v>150975</v>
      </c>
      <c r="C33" s="18" t="s">
        <v>89</v>
      </c>
      <c r="D33" s="18" t="s">
        <v>90</v>
      </c>
      <c r="E33" s="19">
        <v>31478</v>
      </c>
      <c r="F33" s="17" t="s">
        <v>32</v>
      </c>
      <c r="G33" s="18" t="s">
        <v>19</v>
      </c>
      <c r="H33" s="18" t="s">
        <v>82</v>
      </c>
      <c r="I33" s="18" t="s">
        <v>46</v>
      </c>
      <c r="J33" s="10">
        <v>83000</v>
      </c>
      <c r="K33" s="10">
        <f t="shared" si="4"/>
        <v>37350</v>
      </c>
      <c r="L33" s="10">
        <f t="shared" si="0"/>
        <v>38350</v>
      </c>
      <c r="M33" s="10">
        <f t="shared" si="1"/>
        <v>120350</v>
      </c>
      <c r="N33" s="10">
        <f t="shared" si="2"/>
        <v>6017.5</v>
      </c>
      <c r="O33" s="10">
        <f t="shared" si="3"/>
        <v>246717.5</v>
      </c>
    </row>
    <row r="34" spans="2:15" x14ac:dyDescent="0.3">
      <c r="B34" s="17">
        <v>150901</v>
      </c>
      <c r="C34" s="18" t="s">
        <v>91</v>
      </c>
      <c r="D34" s="18" t="s">
        <v>92</v>
      </c>
      <c r="E34" s="19">
        <v>32946</v>
      </c>
      <c r="F34" s="17" t="s">
        <v>18</v>
      </c>
      <c r="G34" s="18" t="s">
        <v>19</v>
      </c>
      <c r="H34" s="18" t="s">
        <v>93</v>
      </c>
      <c r="I34" s="18" t="s">
        <v>34</v>
      </c>
      <c r="J34" s="10">
        <v>53000</v>
      </c>
      <c r="K34" s="10">
        <f t="shared" si="4"/>
        <v>23850</v>
      </c>
      <c r="L34" s="10">
        <f t="shared" si="0"/>
        <v>24850</v>
      </c>
      <c r="M34" s="10">
        <f t="shared" si="1"/>
        <v>76850</v>
      </c>
      <c r="N34" s="10">
        <f t="shared" si="2"/>
        <v>3842.5</v>
      </c>
      <c r="O34" s="10">
        <f t="shared" si="3"/>
        <v>157542.5</v>
      </c>
    </row>
    <row r="35" spans="2:15" x14ac:dyDescent="0.3">
      <c r="B35" s="17">
        <v>150968</v>
      </c>
      <c r="C35" s="18" t="s">
        <v>94</v>
      </c>
      <c r="D35" s="18" t="s">
        <v>95</v>
      </c>
      <c r="E35" s="19">
        <v>37208</v>
      </c>
      <c r="F35" s="17" t="s">
        <v>32</v>
      </c>
      <c r="G35" s="18" t="s">
        <v>19</v>
      </c>
      <c r="H35" s="18" t="s">
        <v>79</v>
      </c>
      <c r="I35" s="18" t="s">
        <v>34</v>
      </c>
      <c r="J35" s="10">
        <v>65000</v>
      </c>
      <c r="K35" s="10">
        <f t="shared" si="4"/>
        <v>29250</v>
      </c>
      <c r="L35" s="10">
        <f t="shared" si="0"/>
        <v>30250</v>
      </c>
      <c r="M35" s="10">
        <f t="shared" si="1"/>
        <v>94250</v>
      </c>
      <c r="N35" s="10">
        <f t="shared" si="2"/>
        <v>4712.5</v>
      </c>
      <c r="O35" s="10">
        <f t="shared" si="3"/>
        <v>193212.5</v>
      </c>
    </row>
    <row r="36" spans="2:15" x14ac:dyDescent="0.3">
      <c r="B36" s="17">
        <v>150773</v>
      </c>
      <c r="C36" s="18" t="s">
        <v>96</v>
      </c>
      <c r="D36" s="18" t="s">
        <v>97</v>
      </c>
      <c r="E36" s="19">
        <v>26860</v>
      </c>
      <c r="F36" s="17" t="s">
        <v>32</v>
      </c>
      <c r="G36" s="18" t="s">
        <v>19</v>
      </c>
      <c r="H36" s="18" t="s">
        <v>82</v>
      </c>
      <c r="I36" s="18" t="s">
        <v>21</v>
      </c>
      <c r="J36" s="10">
        <v>85000</v>
      </c>
      <c r="K36" s="10">
        <f t="shared" si="4"/>
        <v>38250</v>
      </c>
      <c r="L36" s="10">
        <f t="shared" si="0"/>
        <v>39250</v>
      </c>
      <c r="M36" s="10">
        <f t="shared" si="1"/>
        <v>123250</v>
      </c>
      <c r="N36" s="10">
        <f t="shared" si="2"/>
        <v>6162.5</v>
      </c>
      <c r="O36" s="10">
        <f t="shared" si="3"/>
        <v>252662.5</v>
      </c>
    </row>
    <row r="37" spans="2:15" x14ac:dyDescent="0.3">
      <c r="B37" s="17">
        <v>150840</v>
      </c>
      <c r="C37" s="18" t="s">
        <v>66</v>
      </c>
      <c r="D37" s="18" t="s">
        <v>98</v>
      </c>
      <c r="E37" s="19">
        <v>23136</v>
      </c>
      <c r="F37" s="17" t="s">
        <v>18</v>
      </c>
      <c r="G37" s="18" t="s">
        <v>19</v>
      </c>
      <c r="H37" s="18" t="s">
        <v>33</v>
      </c>
      <c r="I37" s="18" t="s">
        <v>52</v>
      </c>
      <c r="J37" s="10">
        <v>20000</v>
      </c>
      <c r="K37" s="10">
        <f t="shared" si="4"/>
        <v>9000</v>
      </c>
      <c r="L37" s="10">
        <f t="shared" si="0"/>
        <v>10000</v>
      </c>
      <c r="M37" s="10">
        <f t="shared" si="1"/>
        <v>29000</v>
      </c>
      <c r="N37" s="10">
        <f t="shared" si="2"/>
        <v>1450</v>
      </c>
      <c r="O37" s="10">
        <f t="shared" si="3"/>
        <v>59450</v>
      </c>
    </row>
    <row r="38" spans="2:15" x14ac:dyDescent="0.3">
      <c r="B38" s="17">
        <v>150850</v>
      </c>
      <c r="C38" s="18" t="s">
        <v>57</v>
      </c>
      <c r="D38" s="18" t="s">
        <v>99</v>
      </c>
      <c r="E38" s="19">
        <v>32027</v>
      </c>
      <c r="F38" s="17" t="s">
        <v>32</v>
      </c>
      <c r="G38" s="18" t="s">
        <v>19</v>
      </c>
      <c r="H38" s="18" t="s">
        <v>65</v>
      </c>
      <c r="I38" s="18" t="s">
        <v>52</v>
      </c>
      <c r="J38" s="10">
        <v>47000</v>
      </c>
      <c r="K38" s="10">
        <f t="shared" si="4"/>
        <v>21150</v>
      </c>
      <c r="L38" s="10">
        <f t="shared" si="0"/>
        <v>22150</v>
      </c>
      <c r="M38" s="10">
        <f t="shared" si="1"/>
        <v>68150</v>
      </c>
      <c r="N38" s="10">
        <f t="shared" si="2"/>
        <v>3407.5</v>
      </c>
      <c r="O38" s="10">
        <f t="shared" si="3"/>
        <v>139707.5</v>
      </c>
    </row>
    <row r="39" spans="2:15" x14ac:dyDescent="0.3">
      <c r="B39" s="17">
        <v>150962</v>
      </c>
      <c r="C39" s="18" t="s">
        <v>100</v>
      </c>
      <c r="D39" s="18" t="s">
        <v>101</v>
      </c>
      <c r="E39" s="19">
        <v>37773</v>
      </c>
      <c r="F39" s="17" t="s">
        <v>18</v>
      </c>
      <c r="G39" s="18" t="s">
        <v>19</v>
      </c>
      <c r="H39" s="18" t="s">
        <v>41</v>
      </c>
      <c r="I39" s="18" t="s">
        <v>34</v>
      </c>
      <c r="J39" s="10">
        <v>87000</v>
      </c>
      <c r="K39" s="10">
        <f t="shared" si="4"/>
        <v>39150</v>
      </c>
      <c r="L39" s="10">
        <f t="shared" si="0"/>
        <v>40150</v>
      </c>
      <c r="M39" s="10">
        <f t="shared" si="1"/>
        <v>126150</v>
      </c>
      <c r="N39" s="10">
        <f t="shared" si="2"/>
        <v>6307.5</v>
      </c>
      <c r="O39" s="10">
        <f t="shared" si="3"/>
        <v>258607.5</v>
      </c>
    </row>
    <row r="40" spans="2:15" x14ac:dyDescent="0.3">
      <c r="B40" s="17">
        <v>150954</v>
      </c>
      <c r="C40" s="18" t="s">
        <v>102</v>
      </c>
      <c r="D40" s="18" t="s">
        <v>101</v>
      </c>
      <c r="E40" s="19">
        <v>35495</v>
      </c>
      <c r="F40" s="17" t="s">
        <v>18</v>
      </c>
      <c r="G40" s="18" t="s">
        <v>19</v>
      </c>
      <c r="H40" s="18" t="s">
        <v>93</v>
      </c>
      <c r="I40" s="18" t="s">
        <v>34</v>
      </c>
      <c r="J40" s="10">
        <v>57000</v>
      </c>
      <c r="K40" s="10">
        <f t="shared" si="4"/>
        <v>25650</v>
      </c>
      <c r="L40" s="10">
        <f t="shared" si="0"/>
        <v>26650</v>
      </c>
      <c r="M40" s="10">
        <f t="shared" si="1"/>
        <v>82650</v>
      </c>
      <c r="N40" s="10">
        <f t="shared" si="2"/>
        <v>4132.5</v>
      </c>
      <c r="O40" s="10">
        <f t="shared" si="3"/>
        <v>169432.5</v>
      </c>
    </row>
    <row r="41" spans="2:15" x14ac:dyDescent="0.3">
      <c r="B41" s="17">
        <v>150874</v>
      </c>
      <c r="C41" s="18" t="s">
        <v>103</v>
      </c>
      <c r="D41" s="18" t="s">
        <v>101</v>
      </c>
      <c r="E41" s="19">
        <v>37890</v>
      </c>
      <c r="F41" s="17" t="s">
        <v>18</v>
      </c>
      <c r="G41" s="18" t="s">
        <v>19</v>
      </c>
      <c r="H41" s="18" t="s">
        <v>38</v>
      </c>
      <c r="I41" s="18" t="s">
        <v>52</v>
      </c>
      <c r="J41" s="10">
        <v>27000</v>
      </c>
      <c r="K41" s="10">
        <f t="shared" si="4"/>
        <v>12150</v>
      </c>
      <c r="L41" s="10">
        <f t="shared" si="0"/>
        <v>13150</v>
      </c>
      <c r="M41" s="10">
        <f t="shared" si="1"/>
        <v>39150</v>
      </c>
      <c r="N41" s="10">
        <f t="shared" si="2"/>
        <v>1957.5</v>
      </c>
      <c r="O41" s="10">
        <f t="shared" si="3"/>
        <v>80257.5</v>
      </c>
    </row>
    <row r="42" spans="2:15" x14ac:dyDescent="0.3">
      <c r="B42" s="17">
        <v>150798</v>
      </c>
      <c r="C42" s="18" t="s">
        <v>104</v>
      </c>
      <c r="D42" s="18" t="s">
        <v>101</v>
      </c>
      <c r="E42" s="19">
        <v>28276</v>
      </c>
      <c r="F42" s="17" t="s">
        <v>18</v>
      </c>
      <c r="G42" s="18" t="s">
        <v>19</v>
      </c>
      <c r="H42" s="18" t="s">
        <v>26</v>
      </c>
      <c r="I42" s="18" t="s">
        <v>21</v>
      </c>
      <c r="J42" s="10">
        <v>81000</v>
      </c>
      <c r="K42" s="10">
        <f t="shared" si="4"/>
        <v>36450</v>
      </c>
      <c r="L42" s="10">
        <f t="shared" si="0"/>
        <v>37450</v>
      </c>
      <c r="M42" s="10">
        <f t="shared" si="1"/>
        <v>117450</v>
      </c>
      <c r="N42" s="10">
        <f t="shared" si="2"/>
        <v>5872.5</v>
      </c>
      <c r="O42" s="10">
        <f t="shared" si="3"/>
        <v>240772.5</v>
      </c>
    </row>
    <row r="43" spans="2:15" x14ac:dyDescent="0.3">
      <c r="B43" s="17">
        <v>150830</v>
      </c>
      <c r="C43" s="18" t="s">
        <v>105</v>
      </c>
      <c r="D43" s="18" t="s">
        <v>106</v>
      </c>
      <c r="E43" s="19">
        <v>29037</v>
      </c>
      <c r="F43" s="17" t="s">
        <v>18</v>
      </c>
      <c r="G43" s="18" t="s">
        <v>19</v>
      </c>
      <c r="H43" s="18" t="s">
        <v>93</v>
      </c>
      <c r="I43" s="18" t="s">
        <v>21</v>
      </c>
      <c r="J43" s="10">
        <v>52000</v>
      </c>
      <c r="K43" s="10">
        <f t="shared" si="4"/>
        <v>23400</v>
      </c>
      <c r="L43" s="10">
        <f t="shared" si="0"/>
        <v>24400</v>
      </c>
      <c r="M43" s="10">
        <f t="shared" si="1"/>
        <v>75400</v>
      </c>
      <c r="N43" s="10">
        <f t="shared" si="2"/>
        <v>3770</v>
      </c>
      <c r="O43" s="10">
        <f t="shared" si="3"/>
        <v>154570</v>
      </c>
    </row>
    <row r="44" spans="2:15" x14ac:dyDescent="0.3">
      <c r="B44" s="17">
        <v>150929</v>
      </c>
      <c r="C44" s="18" t="s">
        <v>107</v>
      </c>
      <c r="D44" s="18" t="s">
        <v>108</v>
      </c>
      <c r="E44" s="19">
        <v>26739</v>
      </c>
      <c r="F44" s="17" t="s">
        <v>32</v>
      </c>
      <c r="G44" s="18" t="s">
        <v>19</v>
      </c>
      <c r="H44" s="18" t="s">
        <v>38</v>
      </c>
      <c r="I44" s="18" t="s">
        <v>34</v>
      </c>
      <c r="J44" s="10">
        <v>58000</v>
      </c>
      <c r="K44" s="10">
        <f t="shared" si="4"/>
        <v>26100</v>
      </c>
      <c r="L44" s="10">
        <f t="shared" si="0"/>
        <v>27100</v>
      </c>
      <c r="M44" s="10">
        <f t="shared" si="1"/>
        <v>84100</v>
      </c>
      <c r="N44" s="10">
        <f t="shared" si="2"/>
        <v>4205</v>
      </c>
      <c r="O44" s="10">
        <f t="shared" si="3"/>
        <v>172405</v>
      </c>
    </row>
    <row r="45" spans="2:15" x14ac:dyDescent="0.3">
      <c r="B45" s="17">
        <v>150982</v>
      </c>
      <c r="C45" s="18" t="s">
        <v>109</v>
      </c>
      <c r="D45" s="18" t="s">
        <v>110</v>
      </c>
      <c r="E45" s="19">
        <v>35574</v>
      </c>
      <c r="F45" s="17" t="s">
        <v>32</v>
      </c>
      <c r="G45" s="18" t="s">
        <v>19</v>
      </c>
      <c r="H45" s="18" t="s">
        <v>38</v>
      </c>
      <c r="I45" s="18" t="s">
        <v>46</v>
      </c>
      <c r="J45" s="10">
        <v>47000</v>
      </c>
      <c r="K45" s="10">
        <f t="shared" si="4"/>
        <v>21150</v>
      </c>
      <c r="L45" s="10">
        <f t="shared" si="0"/>
        <v>22150</v>
      </c>
      <c r="M45" s="10">
        <f t="shared" si="1"/>
        <v>68150</v>
      </c>
      <c r="N45" s="10">
        <f t="shared" si="2"/>
        <v>3407.5</v>
      </c>
      <c r="O45" s="10">
        <f t="shared" si="3"/>
        <v>139707.5</v>
      </c>
    </row>
    <row r="46" spans="2:15" x14ac:dyDescent="0.3">
      <c r="B46" s="17">
        <v>150821</v>
      </c>
      <c r="C46" s="18" t="s">
        <v>111</v>
      </c>
      <c r="D46" s="18" t="s">
        <v>112</v>
      </c>
      <c r="E46" s="19">
        <v>29966</v>
      </c>
      <c r="F46" s="17" t="s">
        <v>32</v>
      </c>
      <c r="G46" s="18" t="s">
        <v>25</v>
      </c>
      <c r="H46" s="18" t="s">
        <v>65</v>
      </c>
      <c r="I46" s="18" t="s">
        <v>21</v>
      </c>
      <c r="J46" s="10">
        <v>26000</v>
      </c>
      <c r="K46" s="10">
        <f t="shared" si="4"/>
        <v>11700</v>
      </c>
      <c r="L46" s="10">
        <f t="shared" si="0"/>
        <v>12700</v>
      </c>
      <c r="M46" s="10">
        <f t="shared" si="1"/>
        <v>37700</v>
      </c>
      <c r="N46" s="10">
        <f t="shared" si="2"/>
        <v>1885</v>
      </c>
      <c r="O46" s="10">
        <f t="shared" si="3"/>
        <v>77285</v>
      </c>
    </row>
  </sheetData>
  <mergeCells count="5">
    <mergeCell ref="C2:H2"/>
    <mergeCell ref="C3:H3"/>
    <mergeCell ref="C4:H4"/>
    <mergeCell ref="C5:H5"/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Arithmatic Functions</vt:lpstr>
      <vt:lpstr>Operators</vt:lpstr>
      <vt:lpstr>Basic_Salary</vt:lpstr>
      <vt:lpstr>Birthdate</vt:lpstr>
      <vt:lpstr>C_Code</vt:lpstr>
      <vt:lpstr>Depart</vt:lpstr>
      <vt:lpstr>Department</vt:lpstr>
      <vt:lpstr>FirstName</vt:lpstr>
      <vt:lpstr>Gender</vt:lpstr>
      <vt:lpstr>LastName</vt:lpstr>
      <vt:lpstr>M_Status</vt:lpstr>
      <vt:lpstr>Reg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2025-04-24T06:02:02Z</dcterms:modified>
</cp:coreProperties>
</file>