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vrau570bsm00.oceania.corp.anz.com\parguns1$\My Documents\"/>
    </mc:Choice>
  </mc:AlternateContent>
  <bookViews>
    <workbookView xWindow="0" yWindow="0" windowWidth="20490" windowHeight="7440" firstSheet="4" activeTab="4"/>
  </bookViews>
  <sheets>
    <sheet name="Cashflow (2)" sheetId="26" state="hidden" r:id="rId1"/>
    <sheet name="Cashflow" sheetId="22" state="hidden" r:id="rId2"/>
    <sheet name="Security" sheetId="18" state="hidden" r:id="rId3"/>
    <sheet name="Offset calculation" sheetId="16" state="hidden" r:id="rId4"/>
    <sheet name="Living expenses" sheetId="25" r:id="rId5"/>
    <sheet name="P&amp;I vs IO" sheetId="20" state="hidden" r:id="rId6"/>
    <sheet name="Interest saving" sheetId="19" state="hidden" r:id="rId7"/>
  </sheets>
  <definedNames>
    <definedName name="_xlnm._FilterDatabase" localSheetId="1" hidden="1">Cashflow!$B$1:$P$13</definedName>
    <definedName name="Beg_Bal">'Offset calculation'!$C$19:$C$498</definedName>
    <definedName name="Cum_Int">'Offset calculation'!$K$19:$K$498</definedName>
    <definedName name="Data">'Offset calculation'!$A$19:$K$498</definedName>
    <definedName name="End_Bal">'Offset calculation'!$J$19:$J$498</definedName>
    <definedName name="Extra_Pay">'Offset calculation'!$E$19:$E$498</definedName>
    <definedName name="Full_Print">'Offset calculation'!$A$1:$K$498</definedName>
    <definedName name="Header_Row">ROW('Offset calculation'!$18:$18)</definedName>
    <definedName name="Int">'Offset calculation'!$I$19:$I$498</definedName>
    <definedName name="Interest_Rate">'Offset calculation'!$D$6</definedName>
    <definedName name="Last_Row">IF(Values_Entered,Header_Row+Number_of_Payments,Header_Row)</definedName>
    <definedName name="Loan_Amount">'Offset calculation'!$D$5</definedName>
    <definedName name="Loan_Start">'Offset calculation'!$D$9</definedName>
    <definedName name="Loan_Years">'Offset calculation'!$D$7</definedName>
    <definedName name="Num_Pmt_Per_Year">'Offset calculation'!$D$8</definedName>
    <definedName name="Number_of_Payments">MATCH(0.01,End_Bal,-1)+1</definedName>
    <definedName name="Pay_Date">'Offset calculation'!$B$19:$B$498</definedName>
    <definedName name="Pay_Num">'Offset calculation'!$A$19:$A$498</definedName>
    <definedName name="Payment_Date" localSheetId="1">DATE(YEAR([0]!Loan_Start),MONTH([0]!Loan_Start)+Payment_Number,DAY([0]!Loan_Start))</definedName>
    <definedName name="Payment_Date" localSheetId="0">DATE(YEAR([0]!Loan_Start),MONTH([0]!Loan_Start)+Payment_Number,DAY([0]!Loan_Start))</definedName>
    <definedName name="Payment_Date">DATE(YEAR(Loan_Start),MONTH(Loan_Start)+Payment_Number,DAY(Loan_Start))</definedName>
    <definedName name="Princ">'Offset calculation'!$H$19:$H$498</definedName>
    <definedName name="_xlnm.Print_Area" localSheetId="3">'Offset calculation'!$A$1:$K$378</definedName>
    <definedName name="Print_Area_Reset">OFFSET(Full_Print,0,0,Last_Row)</definedName>
    <definedName name="_xlnm.Print_Titles" localSheetId="3">'Offset calculation'!$15:$18</definedName>
    <definedName name="Sched_Pay">'Offset calculation'!$D$19:$D$498</definedName>
    <definedName name="Scheduled_Extra_Payments">'Offset calculation'!$D$10</definedName>
    <definedName name="Scheduled_Interest_Rate">'Offset calculation'!$D$6</definedName>
    <definedName name="Scheduled_Monthly_Payment">'Offset calculation'!$K$5</definedName>
    <definedName name="Total_Interest">'Offset calculation'!$K$9</definedName>
    <definedName name="Total_Pay">'Offset calculation'!$G$19:$G$498</definedName>
    <definedName name="Values_Entered">IF(Loan_Amount*Interest_Rate*Loan_Years*Loan_Start&gt;0,1,0)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5" l="1"/>
  <c r="H16" i="25" l="1"/>
  <c r="E5" i="22" l="1"/>
  <c r="E6" i="22"/>
  <c r="E7" i="22"/>
  <c r="E8" i="22"/>
  <c r="E9" i="22"/>
  <c r="E10" i="22"/>
  <c r="E11" i="22"/>
  <c r="E12" i="22"/>
  <c r="E4" i="22"/>
  <c r="P32" i="22"/>
  <c r="O32" i="22"/>
  <c r="N32" i="22"/>
  <c r="B7" i="26"/>
  <c r="K7" i="26" s="1"/>
  <c r="M7" i="26" s="1"/>
  <c r="M28" i="26"/>
  <c r="M16" i="26"/>
  <c r="M17" i="26"/>
  <c r="M18" i="26"/>
  <c r="M21" i="26" s="1"/>
  <c r="M19" i="26"/>
  <c r="M20" i="26"/>
  <c r="L4" i="26"/>
  <c r="M4" i="26" s="1"/>
  <c r="K4" i="26"/>
  <c r="K13" i="26" s="1"/>
  <c r="L5" i="26"/>
  <c r="D5" i="26"/>
  <c r="J5" i="26" s="1"/>
  <c r="L6" i="26"/>
  <c r="K6" i="26"/>
  <c r="M6" i="26"/>
  <c r="O6" i="26" s="1"/>
  <c r="P6" i="26" s="1"/>
  <c r="L7" i="26"/>
  <c r="L8" i="26"/>
  <c r="D8" i="26"/>
  <c r="J8" i="26"/>
  <c r="M8" i="26"/>
  <c r="N8" i="26" s="1"/>
  <c r="L9" i="26"/>
  <c r="M9" i="26" s="1"/>
  <c r="D9" i="26"/>
  <c r="J9" i="26" s="1"/>
  <c r="L10" i="26"/>
  <c r="K10" i="26"/>
  <c r="M10" i="26" s="1"/>
  <c r="L11" i="26"/>
  <c r="M11" i="26" s="1"/>
  <c r="K11" i="26"/>
  <c r="L12" i="26"/>
  <c r="D12" i="26"/>
  <c r="J12" i="26" s="1"/>
  <c r="M12" i="26" s="1"/>
  <c r="M24" i="26"/>
  <c r="M25" i="26"/>
  <c r="M26" i="26"/>
  <c r="P28" i="26"/>
  <c r="N16" i="26"/>
  <c r="N21" i="26" s="1"/>
  <c r="N17" i="26"/>
  <c r="O17" i="26" s="1"/>
  <c r="P17" i="26" s="1"/>
  <c r="N18" i="26"/>
  <c r="O18" i="26"/>
  <c r="P18" i="26"/>
  <c r="N19" i="26"/>
  <c r="O19" i="26" s="1"/>
  <c r="P19" i="26" s="1"/>
  <c r="N20" i="26"/>
  <c r="O20" i="26"/>
  <c r="P20" i="26" s="1"/>
  <c r="O8" i="26"/>
  <c r="P8" i="26" s="1"/>
  <c r="P24" i="26"/>
  <c r="P25" i="26"/>
  <c r="P26" i="26"/>
  <c r="P30" i="26"/>
  <c r="O28" i="26"/>
  <c r="O24" i="26"/>
  <c r="O25" i="26"/>
  <c r="O26" i="26"/>
  <c r="O30" i="26"/>
  <c r="N28" i="26"/>
  <c r="N24" i="26"/>
  <c r="N25" i="26"/>
  <c r="N26" i="26"/>
  <c r="N30" i="26"/>
  <c r="K5" i="26"/>
  <c r="K8" i="26"/>
  <c r="K9" i="26"/>
  <c r="K12" i="26"/>
  <c r="D4" i="26"/>
  <c r="J4" i="26"/>
  <c r="J13" i="26" s="1"/>
  <c r="D6" i="26"/>
  <c r="J6" i="26"/>
  <c r="D7" i="26"/>
  <c r="J7" i="26"/>
  <c r="D10" i="26"/>
  <c r="J10" i="26" s="1"/>
  <c r="D11" i="26"/>
  <c r="J11" i="26"/>
  <c r="E12" i="26"/>
  <c r="E11" i="26"/>
  <c r="E10" i="26"/>
  <c r="E9" i="26"/>
  <c r="E8" i="26"/>
  <c r="E7" i="26"/>
  <c r="E6" i="26"/>
  <c r="E5" i="26"/>
  <c r="E4" i="26"/>
  <c r="C6" i="18"/>
  <c r="C15" i="18" s="1"/>
  <c r="X11" i="18"/>
  <c r="X15" i="18" s="1"/>
  <c r="X21" i="18" s="1"/>
  <c r="X12" i="18"/>
  <c r="X4" i="18"/>
  <c r="X5" i="18" s="1"/>
  <c r="H3" i="18"/>
  <c r="G50" i="25"/>
  <c r="F50" i="25"/>
  <c r="E50" i="25"/>
  <c r="D50" i="25"/>
  <c r="C50" i="25"/>
  <c r="H49" i="25"/>
  <c r="H47" i="25"/>
  <c r="H41" i="25"/>
  <c r="H38" i="25"/>
  <c r="H32" i="25"/>
  <c r="H25" i="25"/>
  <c r="H20" i="25"/>
  <c r="H13" i="25"/>
  <c r="H12" i="25"/>
  <c r="H9" i="25"/>
  <c r="H6" i="25"/>
  <c r="AA6" i="18"/>
  <c r="X20" i="18"/>
  <c r="X6" i="18"/>
  <c r="B28" i="18"/>
  <c r="K5" i="22"/>
  <c r="K7" i="22"/>
  <c r="L7" i="22"/>
  <c r="M7" i="22"/>
  <c r="D7" i="22"/>
  <c r="J7" i="22" s="1"/>
  <c r="G17" i="18"/>
  <c r="G18" i="18"/>
  <c r="E15" i="18"/>
  <c r="J17" i="18"/>
  <c r="J18" i="18"/>
  <c r="J19" i="18"/>
  <c r="I15" i="18"/>
  <c r="I17" i="18" s="1"/>
  <c r="I18" i="18" s="1"/>
  <c r="I19" i="18"/>
  <c r="H15" i="18"/>
  <c r="P30" i="22"/>
  <c r="O30" i="22"/>
  <c r="N30" i="22"/>
  <c r="P28" i="22"/>
  <c r="O28" i="22"/>
  <c r="P26" i="22"/>
  <c r="O26" i="22"/>
  <c r="N26" i="22"/>
  <c r="M26" i="22"/>
  <c r="P25" i="22"/>
  <c r="O25" i="22"/>
  <c r="N25" i="22"/>
  <c r="M25" i="22"/>
  <c r="P24" i="22"/>
  <c r="O24" i="22"/>
  <c r="N24" i="22"/>
  <c r="M24" i="22"/>
  <c r="M20" i="22"/>
  <c r="N20" i="22"/>
  <c r="O20" i="22"/>
  <c r="P20" i="22" s="1"/>
  <c r="M19" i="22"/>
  <c r="N19" i="22"/>
  <c r="O19" i="22" s="1"/>
  <c r="P19" i="22" s="1"/>
  <c r="M18" i="22"/>
  <c r="N18" i="22"/>
  <c r="O18" i="22"/>
  <c r="P18" i="22" s="1"/>
  <c r="M17" i="22"/>
  <c r="N17" i="22"/>
  <c r="O17" i="22" s="1"/>
  <c r="P17" i="22" s="1"/>
  <c r="M16" i="22"/>
  <c r="N16" i="22"/>
  <c r="L12" i="22"/>
  <c r="M12" i="22" s="1"/>
  <c r="K12" i="22"/>
  <c r="D12" i="22"/>
  <c r="J12" i="22" s="1"/>
  <c r="L11" i="22"/>
  <c r="K11" i="22"/>
  <c r="D11" i="22"/>
  <c r="J11" i="22"/>
  <c r="M11" i="22"/>
  <c r="L10" i="22"/>
  <c r="K10" i="22"/>
  <c r="D10" i="22"/>
  <c r="J10" i="22" s="1"/>
  <c r="J13" i="22" s="1"/>
  <c r="L9" i="22"/>
  <c r="K9" i="22"/>
  <c r="M9" i="22"/>
  <c r="D9" i="22"/>
  <c r="J9" i="22" s="1"/>
  <c r="L8" i="22"/>
  <c r="M8" i="22" s="1"/>
  <c r="K8" i="22"/>
  <c r="D8" i="22"/>
  <c r="J8" i="22"/>
  <c r="L6" i="22"/>
  <c r="K6" i="22"/>
  <c r="D6" i="22"/>
  <c r="J6" i="22" s="1"/>
  <c r="L5" i="22"/>
  <c r="M5" i="22"/>
  <c r="D5" i="22"/>
  <c r="J5" i="22" s="1"/>
  <c r="L4" i="22"/>
  <c r="K4" i="22"/>
  <c r="D4" i="22"/>
  <c r="J4" i="22"/>
  <c r="N28" i="22"/>
  <c r="AA12" i="18"/>
  <c r="L29" i="20"/>
  <c r="E29" i="20"/>
  <c r="B29" i="20"/>
  <c r="K29" i="20" s="1"/>
  <c r="L28" i="20"/>
  <c r="E28" i="20"/>
  <c r="B28" i="20"/>
  <c r="L27" i="20"/>
  <c r="E27" i="20"/>
  <c r="B27" i="20"/>
  <c r="D27" i="20"/>
  <c r="J27" i="20" s="1"/>
  <c r="L26" i="20"/>
  <c r="E26" i="20"/>
  <c r="B26" i="20"/>
  <c r="D26" i="20"/>
  <c r="J26" i="20" s="1"/>
  <c r="L25" i="20"/>
  <c r="E25" i="20"/>
  <c r="B25" i="20"/>
  <c r="L24" i="20"/>
  <c r="E24" i="20"/>
  <c r="B24" i="20"/>
  <c r="K24" i="20"/>
  <c r="L23" i="20"/>
  <c r="E23" i="20"/>
  <c r="B23" i="20"/>
  <c r="L22" i="20"/>
  <c r="E22" i="20"/>
  <c r="B22" i="20"/>
  <c r="L21" i="20"/>
  <c r="E21" i="20"/>
  <c r="B21" i="20"/>
  <c r="L20" i="20"/>
  <c r="E20" i="20"/>
  <c r="B20" i="20"/>
  <c r="L14" i="20"/>
  <c r="K14" i="20"/>
  <c r="E14" i="20"/>
  <c r="D14" i="20"/>
  <c r="J14" i="20" s="1"/>
  <c r="M14" i="20" s="1"/>
  <c r="L13" i="20"/>
  <c r="K13" i="20"/>
  <c r="K15" i="20" s="1"/>
  <c r="E13" i="20"/>
  <c r="D13" i="20"/>
  <c r="J13" i="20"/>
  <c r="L12" i="20"/>
  <c r="K12" i="20"/>
  <c r="E12" i="20"/>
  <c r="D12" i="20"/>
  <c r="J12" i="20"/>
  <c r="L11" i="20"/>
  <c r="K11" i="20"/>
  <c r="E11" i="20"/>
  <c r="D11" i="20"/>
  <c r="J11" i="20"/>
  <c r="L10" i="20"/>
  <c r="K10" i="20"/>
  <c r="E10" i="20"/>
  <c r="D10" i="20"/>
  <c r="J10" i="20" s="1"/>
  <c r="M10" i="20" s="1"/>
  <c r="L9" i="20"/>
  <c r="K9" i="20"/>
  <c r="E9" i="20"/>
  <c r="D9" i="20"/>
  <c r="J9" i="20" s="1"/>
  <c r="L8" i="20"/>
  <c r="K8" i="20"/>
  <c r="E8" i="20"/>
  <c r="D8" i="20"/>
  <c r="J8" i="20"/>
  <c r="L7" i="20"/>
  <c r="K7" i="20"/>
  <c r="E7" i="20"/>
  <c r="D7" i="20"/>
  <c r="J7" i="20" s="1"/>
  <c r="D5" i="20"/>
  <c r="J5" i="20"/>
  <c r="D6" i="20"/>
  <c r="J6" i="20"/>
  <c r="L6" i="20"/>
  <c r="M6" i="20"/>
  <c r="K6" i="20"/>
  <c r="E6" i="20"/>
  <c r="L5" i="20"/>
  <c r="K5" i="20"/>
  <c r="E5" i="20"/>
  <c r="M12" i="19"/>
  <c r="N12" i="19"/>
  <c r="J12" i="19"/>
  <c r="I12" i="19"/>
  <c r="E6" i="19"/>
  <c r="E8" i="19"/>
  <c r="I13" i="19"/>
  <c r="E9" i="19" s="1"/>
  <c r="E5" i="19"/>
  <c r="D5" i="19"/>
  <c r="E4" i="19"/>
  <c r="D4" i="19"/>
  <c r="M2" i="19"/>
  <c r="I2" i="19"/>
  <c r="AA20" i="18"/>
  <c r="D17" i="18"/>
  <c r="U15" i="18"/>
  <c r="T15" i="18"/>
  <c r="R15" i="18"/>
  <c r="R17" i="18"/>
  <c r="Q15" i="18"/>
  <c r="O15" i="18"/>
  <c r="O17" i="18" s="1"/>
  <c r="N15" i="18"/>
  <c r="L15" i="18"/>
  <c r="L16" i="18" s="1"/>
  <c r="K15" i="18"/>
  <c r="C17" i="18"/>
  <c r="B15" i="18"/>
  <c r="AA13" i="18"/>
  <c r="E11" i="16"/>
  <c r="F11" i="16" s="1"/>
  <c r="K8" i="16"/>
  <c r="E19" i="16"/>
  <c r="E20" i="16" s="1"/>
  <c r="E21" i="16"/>
  <c r="E22" i="16" s="1"/>
  <c r="E23" i="16" s="1"/>
  <c r="E24" i="16"/>
  <c r="E25" i="16" s="1"/>
  <c r="E26" i="16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E255" i="16" s="1"/>
  <c r="E256" i="16" s="1"/>
  <c r="E257" i="16" s="1"/>
  <c r="E258" i="16" s="1"/>
  <c r="E259" i="16" s="1"/>
  <c r="E260" i="16" s="1"/>
  <c r="E261" i="16" s="1"/>
  <c r="E262" i="16" s="1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304" i="16" s="1"/>
  <c r="E305" i="16" s="1"/>
  <c r="E306" i="16" s="1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2" i="16" s="1"/>
  <c r="E333" i="16" s="1"/>
  <c r="E334" i="16" s="1"/>
  <c r="E335" i="16" s="1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E346" i="16" s="1"/>
  <c r="E347" i="16" s="1"/>
  <c r="E348" i="16" s="1"/>
  <c r="E349" i="16" s="1"/>
  <c r="E350" i="16" s="1"/>
  <c r="E351" i="16" s="1"/>
  <c r="E352" i="16" s="1"/>
  <c r="E353" i="16" s="1"/>
  <c r="E354" i="16" s="1"/>
  <c r="E355" i="16" s="1"/>
  <c r="E356" i="16" s="1"/>
  <c r="E357" i="16" s="1"/>
  <c r="E358" i="16" s="1"/>
  <c r="E359" i="16" s="1"/>
  <c r="E360" i="16" s="1"/>
  <c r="E361" i="16" s="1"/>
  <c r="E362" i="16" s="1"/>
  <c r="E363" i="16" s="1"/>
  <c r="E364" i="16" s="1"/>
  <c r="E365" i="16" s="1"/>
  <c r="E366" i="16" s="1"/>
  <c r="E367" i="16" s="1"/>
  <c r="E368" i="16" s="1"/>
  <c r="E369" i="16" s="1"/>
  <c r="E370" i="16" s="1"/>
  <c r="E371" i="16" s="1"/>
  <c r="E372" i="16" s="1"/>
  <c r="E373" i="16" s="1"/>
  <c r="E374" i="16" s="1"/>
  <c r="E375" i="16" s="1"/>
  <c r="E376" i="16" s="1"/>
  <c r="E377" i="16" s="1"/>
  <c r="E378" i="16" s="1"/>
  <c r="E379" i="16" s="1"/>
  <c r="E380" i="16" s="1"/>
  <c r="E381" i="16" s="1"/>
  <c r="E382" i="16" s="1"/>
  <c r="E383" i="16" s="1"/>
  <c r="E384" i="16" s="1"/>
  <c r="E385" i="16" s="1"/>
  <c r="E386" i="16" s="1"/>
  <c r="E387" i="16" s="1"/>
  <c r="E388" i="16" s="1"/>
  <c r="E389" i="16" s="1"/>
  <c r="E390" i="16" s="1"/>
  <c r="E391" i="16" s="1"/>
  <c r="E392" i="16" s="1"/>
  <c r="E393" i="16" s="1"/>
  <c r="E394" i="16" s="1"/>
  <c r="E395" i="16" s="1"/>
  <c r="E396" i="16" s="1"/>
  <c r="E397" i="16" s="1"/>
  <c r="E398" i="16" s="1"/>
  <c r="E399" i="16" s="1"/>
  <c r="E400" i="16" s="1"/>
  <c r="E401" i="16" s="1"/>
  <c r="E402" i="16" s="1"/>
  <c r="E403" i="16" s="1"/>
  <c r="E404" i="16" s="1"/>
  <c r="E405" i="16" s="1"/>
  <c r="E406" i="16" s="1"/>
  <c r="E407" i="16" s="1"/>
  <c r="E408" i="16" s="1"/>
  <c r="E409" i="16" s="1"/>
  <c r="E410" i="16" s="1"/>
  <c r="E411" i="16" s="1"/>
  <c r="E412" i="16" s="1"/>
  <c r="E413" i="16" s="1"/>
  <c r="E414" i="16" s="1"/>
  <c r="E415" i="16" s="1"/>
  <c r="E416" i="16" s="1"/>
  <c r="E417" i="16" s="1"/>
  <c r="E418" i="16" s="1"/>
  <c r="E419" i="16" s="1"/>
  <c r="E420" i="16" s="1"/>
  <c r="E421" i="16" s="1"/>
  <c r="E422" i="16" s="1"/>
  <c r="E423" i="16" s="1"/>
  <c r="E424" i="16" s="1"/>
  <c r="E425" i="16" s="1"/>
  <c r="E426" i="16" s="1"/>
  <c r="E427" i="16" s="1"/>
  <c r="E428" i="16" s="1"/>
  <c r="E429" i="16" s="1"/>
  <c r="E430" i="16" s="1"/>
  <c r="E431" i="16" s="1"/>
  <c r="E432" i="16" s="1"/>
  <c r="E433" i="16" s="1"/>
  <c r="E434" i="16" s="1"/>
  <c r="E435" i="16" s="1"/>
  <c r="E436" i="16" s="1"/>
  <c r="E437" i="16" s="1"/>
  <c r="E438" i="16" s="1"/>
  <c r="E439" i="16" s="1"/>
  <c r="E440" i="16" s="1"/>
  <c r="E441" i="16" s="1"/>
  <c r="E442" i="16" s="1"/>
  <c r="E443" i="16" s="1"/>
  <c r="E444" i="16" s="1"/>
  <c r="E445" i="16" s="1"/>
  <c r="E446" i="16" s="1"/>
  <c r="E447" i="16" s="1"/>
  <c r="E448" i="16" s="1"/>
  <c r="E449" i="16" s="1"/>
  <c r="E450" i="16" s="1"/>
  <c r="E451" i="16" s="1"/>
  <c r="E452" i="16" s="1"/>
  <c r="E453" i="16" s="1"/>
  <c r="E454" i="16" s="1"/>
  <c r="E455" i="16" s="1"/>
  <c r="E456" i="16" s="1"/>
  <c r="E457" i="16" s="1"/>
  <c r="E458" i="16" s="1"/>
  <c r="E459" i="16" s="1"/>
  <c r="E460" i="16" s="1"/>
  <c r="E461" i="16" s="1"/>
  <c r="E462" i="16" s="1"/>
  <c r="E463" i="16" s="1"/>
  <c r="E464" i="16" s="1"/>
  <c r="E465" i="16" s="1"/>
  <c r="E466" i="16" s="1"/>
  <c r="E467" i="16" s="1"/>
  <c r="E468" i="16" s="1"/>
  <c r="E469" i="16" s="1"/>
  <c r="E470" i="16" s="1"/>
  <c r="E471" i="16" s="1"/>
  <c r="E472" i="16" s="1"/>
  <c r="E473" i="16" s="1"/>
  <c r="E474" i="16" s="1"/>
  <c r="E475" i="16" s="1"/>
  <c r="E476" i="16" s="1"/>
  <c r="E477" i="16" s="1"/>
  <c r="E478" i="16" s="1"/>
  <c r="E479" i="16" s="1"/>
  <c r="E480" i="16" s="1"/>
  <c r="E481" i="16" s="1"/>
  <c r="E482" i="16" s="1"/>
  <c r="E483" i="16" s="1"/>
  <c r="E484" i="16" s="1"/>
  <c r="E485" i="16" s="1"/>
  <c r="E486" i="16" s="1"/>
  <c r="E487" i="16" s="1"/>
  <c r="E488" i="16" s="1"/>
  <c r="E489" i="16" s="1"/>
  <c r="E490" i="16" s="1"/>
  <c r="E491" i="16" s="1"/>
  <c r="E492" i="16" s="1"/>
  <c r="E493" i="16" s="1"/>
  <c r="E494" i="16" s="1"/>
  <c r="E495" i="16" s="1"/>
  <c r="E496" i="16" s="1"/>
  <c r="E497" i="16" s="1"/>
  <c r="E498" i="16" s="1"/>
  <c r="E17" i="16"/>
  <c r="K5" i="16"/>
  <c r="K6" i="16"/>
  <c r="A19" i="16"/>
  <c r="C19" i="16"/>
  <c r="D28" i="20"/>
  <c r="J28" i="20" s="1"/>
  <c r="K28" i="20"/>
  <c r="M28" i="20"/>
  <c r="O28" i="20" s="1"/>
  <c r="M13" i="20"/>
  <c r="N13" i="20" s="1"/>
  <c r="E14" i="19"/>
  <c r="E24" i="19" s="1"/>
  <c r="M5" i="20"/>
  <c r="N5" i="20" s="1"/>
  <c r="O5" i="20"/>
  <c r="D24" i="20"/>
  <c r="J24" i="20" s="1"/>
  <c r="D29" i="20"/>
  <c r="J29" i="20"/>
  <c r="M29" i="20" s="1"/>
  <c r="D20" i="20"/>
  <c r="J20" i="20" s="1"/>
  <c r="K20" i="20"/>
  <c r="M20" i="20"/>
  <c r="K25" i="20"/>
  <c r="D25" i="20"/>
  <c r="J25" i="20" s="1"/>
  <c r="M25" i="20" s="1"/>
  <c r="N25" i="20" s="1"/>
  <c r="E16" i="19"/>
  <c r="K27" i="20"/>
  <c r="I14" i="19"/>
  <c r="J13" i="19"/>
  <c r="E17" i="19" s="1"/>
  <c r="M8" i="20"/>
  <c r="N8" i="20"/>
  <c r="D23" i="20"/>
  <c r="J23" i="20" s="1"/>
  <c r="K23" i="20"/>
  <c r="M23" i="20" s="1"/>
  <c r="O23" i="20" s="1"/>
  <c r="P23" i="20" s="1"/>
  <c r="N17" i="19"/>
  <c r="N18" i="19"/>
  <c r="D14" i="19"/>
  <c r="D16" i="19" s="1"/>
  <c r="D18" i="19" s="1"/>
  <c r="N13" i="19"/>
  <c r="D17" i="19"/>
  <c r="K22" i="20"/>
  <c r="M22" i="20"/>
  <c r="N22" i="20" s="1"/>
  <c r="D22" i="20"/>
  <c r="J22" i="20"/>
  <c r="G19" i="18"/>
  <c r="M9" i="20"/>
  <c r="N9" i="20" s="1"/>
  <c r="P28" i="20"/>
  <c r="M11" i="20"/>
  <c r="N11" i="20"/>
  <c r="M12" i="20"/>
  <c r="O12" i="20" s="1"/>
  <c r="P12" i="20" s="1"/>
  <c r="M27" i="20"/>
  <c r="O27" i="20" s="1"/>
  <c r="P27" i="20" s="1"/>
  <c r="O11" i="20"/>
  <c r="P11" i="20"/>
  <c r="N12" i="20"/>
  <c r="M24" i="20"/>
  <c r="N24" i="20" s="1"/>
  <c r="M7" i="20"/>
  <c r="O7" i="20" s="1"/>
  <c r="P7" i="20" s="1"/>
  <c r="O8" i="20"/>
  <c r="P8" i="20"/>
  <c r="M26" i="20"/>
  <c r="O26" i="20" s="1"/>
  <c r="K26" i="20"/>
  <c r="O20" i="20"/>
  <c r="O24" i="20"/>
  <c r="P24" i="20" s="1"/>
  <c r="N26" i="20"/>
  <c r="P26" i="20"/>
  <c r="N7" i="20"/>
  <c r="O9" i="20"/>
  <c r="P9" i="20" s="1"/>
  <c r="D6" i="19"/>
  <c r="D8" i="19"/>
  <c r="D10" i="19" s="1"/>
  <c r="M17" i="19"/>
  <c r="M18" i="19"/>
  <c r="M14" i="19"/>
  <c r="M13" i="19"/>
  <c r="D9" i="19" s="1"/>
  <c r="O6" i="20"/>
  <c r="P6" i="20"/>
  <c r="N6" i="20"/>
  <c r="AA11" i="18"/>
  <c r="F15" i="18"/>
  <c r="F16" i="18" s="1"/>
  <c r="F17" i="18"/>
  <c r="J19" i="19"/>
  <c r="O25" i="20"/>
  <c r="P25" i="20" s="1"/>
  <c r="N20" i="20"/>
  <c r="O13" i="20"/>
  <c r="P13" i="20"/>
  <c r="D21" i="20"/>
  <c r="J21" i="20"/>
  <c r="K21" i="20"/>
  <c r="D18" i="18"/>
  <c r="D19" i="18"/>
  <c r="N14" i="20"/>
  <c r="O14" i="20"/>
  <c r="P14" i="20"/>
  <c r="M21" i="20"/>
  <c r="D24" i="19"/>
  <c r="O21" i="20"/>
  <c r="P21" i="20"/>
  <c r="I16" i="18"/>
  <c r="M10" i="22"/>
  <c r="N10" i="22" s="1"/>
  <c r="R18" i="18"/>
  <c r="R19" i="18"/>
  <c r="R16" i="18"/>
  <c r="O16" i="18"/>
  <c r="O18" i="18"/>
  <c r="O19" i="18"/>
  <c r="N11" i="22"/>
  <c r="O11" i="22"/>
  <c r="P11" i="22" s="1"/>
  <c r="AA5" i="18"/>
  <c r="AA7" i="18"/>
  <c r="M21" i="22"/>
  <c r="O16" i="22"/>
  <c r="O21" i="22" s="1"/>
  <c r="N21" i="22"/>
  <c r="M6" i="22"/>
  <c r="O6" i="22"/>
  <c r="P6" i="22" s="1"/>
  <c r="X7" i="18"/>
  <c r="AA15" i="18"/>
  <c r="AA21" i="18" s="1"/>
  <c r="C16" i="18"/>
  <c r="P16" i="22"/>
  <c r="P21" i="22" s="1"/>
  <c r="N12" i="22"/>
  <c r="O12" i="22"/>
  <c r="P12" i="22" s="1"/>
  <c r="N9" i="22"/>
  <c r="O9" i="22"/>
  <c r="P9" i="22" s="1"/>
  <c r="O5" i="22"/>
  <c r="P5" i="22"/>
  <c r="N5" i="22"/>
  <c r="D19" i="16"/>
  <c r="B19" i="16"/>
  <c r="G19" i="16"/>
  <c r="H19" i="16" s="1"/>
  <c r="J19" i="16" s="1"/>
  <c r="C20" i="16" s="1"/>
  <c r="I19" i="16"/>
  <c r="K19" i="16" s="1"/>
  <c r="F19" i="16"/>
  <c r="A20" i="16"/>
  <c r="N7" i="22"/>
  <c r="O7" i="22"/>
  <c r="P7" i="22"/>
  <c r="N6" i="22"/>
  <c r="D20" i="16"/>
  <c r="B20" i="16"/>
  <c r="A21" i="16"/>
  <c r="A22" i="16" s="1"/>
  <c r="B21" i="16"/>
  <c r="D21" i="16"/>
  <c r="B22" i="16"/>
  <c r="A23" i="16"/>
  <c r="A24" i="16"/>
  <c r="D23" i="16"/>
  <c r="A25" i="16"/>
  <c r="A26" i="16" s="1"/>
  <c r="C51" i="25" l="1"/>
  <c r="M4" i="22"/>
  <c r="K13" i="22"/>
  <c r="N9" i="26"/>
  <c r="O9" i="26"/>
  <c r="P9" i="26" s="1"/>
  <c r="X16" i="18"/>
  <c r="X22" i="18"/>
  <c r="C18" i="18"/>
  <c r="C19" i="18" s="1"/>
  <c r="J15" i="20"/>
  <c r="O8" i="22"/>
  <c r="P8" i="22" s="1"/>
  <c r="N8" i="22"/>
  <c r="A27" i="16"/>
  <c r="D26" i="16"/>
  <c r="B26" i="16"/>
  <c r="G20" i="16"/>
  <c r="H20" i="16" s="1"/>
  <c r="J20" i="16" s="1"/>
  <c r="F20" i="16"/>
  <c r="I20" i="16"/>
  <c r="B25" i="16"/>
  <c r="D24" i="16"/>
  <c r="B24" i="16"/>
  <c r="N10" i="20"/>
  <c r="O10" i="20"/>
  <c r="P10" i="20" s="1"/>
  <c r="B23" i="16"/>
  <c r="O29" i="20"/>
  <c r="P29" i="20" s="1"/>
  <c r="N29" i="20"/>
  <c r="D25" i="16"/>
  <c r="AA22" i="18"/>
  <c r="P20" i="20"/>
  <c r="P30" i="20" s="1"/>
  <c r="D22" i="16"/>
  <c r="AA16" i="18"/>
  <c r="O10" i="22"/>
  <c r="P10" i="22" s="1"/>
  <c r="O22" i="20"/>
  <c r="P22" i="20" s="1"/>
  <c r="J30" i="20"/>
  <c r="N7" i="26"/>
  <c r="O7" i="26"/>
  <c r="P7" i="26" s="1"/>
  <c r="K30" i="20"/>
  <c r="U16" i="18"/>
  <c r="U17" i="18"/>
  <c r="O11" i="26"/>
  <c r="P11" i="26" s="1"/>
  <c r="N11" i="26"/>
  <c r="O4" i="26"/>
  <c r="N4" i="26"/>
  <c r="M30" i="20"/>
  <c r="N23" i="20"/>
  <c r="E18" i="19"/>
  <c r="D19" i="19" s="1"/>
  <c r="F18" i="18"/>
  <c r="F19" i="18"/>
  <c r="P5" i="20"/>
  <c r="P15" i="20" s="1"/>
  <c r="O15" i="20"/>
  <c r="N15" i="20"/>
  <c r="O12" i="26"/>
  <c r="P12" i="26" s="1"/>
  <c r="N12" i="26"/>
  <c r="N21" i="20"/>
  <c r="M15" i="20"/>
  <c r="M34" i="20" s="1"/>
  <c r="M5" i="26"/>
  <c r="N27" i="20"/>
  <c r="O10" i="26"/>
  <c r="P10" i="26" s="1"/>
  <c r="N10" i="26"/>
  <c r="N28" i="20"/>
  <c r="E10" i="19"/>
  <c r="D12" i="19" s="1"/>
  <c r="N6" i="26"/>
  <c r="L17" i="18"/>
  <c r="O16" i="26"/>
  <c r="C21" i="16" l="1"/>
  <c r="O21" i="26"/>
  <c r="P16" i="26"/>
  <c r="P21" i="26" s="1"/>
  <c r="M13" i="22"/>
  <c r="M23" i="22" s="1"/>
  <c r="M27" i="22" s="1"/>
  <c r="M29" i="22" s="1"/>
  <c r="M31" i="22" s="1"/>
  <c r="M33" i="22" s="1"/>
  <c r="N4" i="22"/>
  <c r="N13" i="22" s="1"/>
  <c r="N23" i="22" s="1"/>
  <c r="N27" i="22" s="1"/>
  <c r="N29" i="22" s="1"/>
  <c r="N31" i="22" s="1"/>
  <c r="N33" i="22" s="1"/>
  <c r="O4" i="22"/>
  <c r="L19" i="18"/>
  <c r="L18" i="18"/>
  <c r="N5" i="26"/>
  <c r="N13" i="26" s="1"/>
  <c r="N23" i="26" s="1"/>
  <c r="N27" i="26" s="1"/>
  <c r="N29" i="26" s="1"/>
  <c r="N31" i="26" s="1"/>
  <c r="O5" i="26"/>
  <c r="P5" i="26" s="1"/>
  <c r="M13" i="26"/>
  <c r="M23" i="26" s="1"/>
  <c r="M27" i="26" s="1"/>
  <c r="M29" i="26" s="1"/>
  <c r="M31" i="26" s="1"/>
  <c r="M33" i="26" s="1"/>
  <c r="O30" i="20"/>
  <c r="O13" i="26"/>
  <c r="P4" i="26"/>
  <c r="P13" i="26" s="1"/>
  <c r="N30" i="20"/>
  <c r="D21" i="19"/>
  <c r="D22" i="19" s="1"/>
  <c r="K20" i="16"/>
  <c r="J32" i="20"/>
  <c r="U18" i="18"/>
  <c r="U19" i="18"/>
  <c r="D27" i="16"/>
  <c r="A28" i="16"/>
  <c r="B27" i="16"/>
  <c r="D28" i="16" l="1"/>
  <c r="A29" i="16"/>
  <c r="B28" i="16"/>
  <c r="P23" i="26"/>
  <c r="P27" i="26" s="1"/>
  <c r="P29" i="26" s="1"/>
  <c r="P31" i="26" s="1"/>
  <c r="O23" i="26"/>
  <c r="O27" i="26" s="1"/>
  <c r="O29" i="26" s="1"/>
  <c r="O31" i="26" s="1"/>
  <c r="O13" i="22"/>
  <c r="O23" i="22" s="1"/>
  <c r="O27" i="22" s="1"/>
  <c r="O29" i="22" s="1"/>
  <c r="O31" i="22" s="1"/>
  <c r="O33" i="22" s="1"/>
  <c r="P4" i="22"/>
  <c r="P13" i="22" s="1"/>
  <c r="P23" i="22" s="1"/>
  <c r="P27" i="22" s="1"/>
  <c r="P29" i="22" s="1"/>
  <c r="P31" i="22" s="1"/>
  <c r="P33" i="22" s="1"/>
  <c r="F21" i="16"/>
  <c r="G21" i="16"/>
  <c r="I21" i="16"/>
  <c r="K21" i="16" l="1"/>
  <c r="D29" i="16"/>
  <c r="B29" i="16"/>
  <c r="A30" i="16"/>
  <c r="H21" i="16"/>
  <c r="J21" i="16" s="1"/>
  <c r="C22" i="16" l="1"/>
  <c r="B30" i="16"/>
  <c r="A31" i="16"/>
  <c r="D30" i="16"/>
  <c r="D31" i="16" l="1"/>
  <c r="A32" i="16"/>
  <c r="B31" i="16"/>
  <c r="I22" i="16"/>
  <c r="K22" i="16" s="1"/>
  <c r="F22" i="16"/>
  <c r="G22" i="16"/>
  <c r="H22" i="16" s="1"/>
  <c r="J22" i="16" s="1"/>
  <c r="C23" i="16" l="1"/>
  <c r="A33" i="16"/>
  <c r="D32" i="16"/>
  <c r="B32" i="16"/>
  <c r="A34" i="16" l="1"/>
  <c r="D33" i="16"/>
  <c r="B33" i="16"/>
  <c r="F23" i="16"/>
  <c r="G23" i="16"/>
  <c r="I23" i="16"/>
  <c r="K23" i="16" s="1"/>
  <c r="B34" i="16" l="1"/>
  <c r="A35" i="16"/>
  <c r="D34" i="16"/>
  <c r="H23" i="16"/>
  <c r="J23" i="16" s="1"/>
  <c r="A36" i="16" l="1"/>
  <c r="B35" i="16"/>
  <c r="D35" i="16"/>
  <c r="C24" i="16"/>
  <c r="A37" i="16" l="1"/>
  <c r="D36" i="16"/>
  <c r="B36" i="16"/>
  <c r="F24" i="16"/>
  <c r="I24" i="16"/>
  <c r="K24" i="16" s="1"/>
  <c r="G24" i="16"/>
  <c r="H24" i="16" s="1"/>
  <c r="J24" i="16" s="1"/>
  <c r="C25" i="16" l="1"/>
  <c r="A38" i="16"/>
  <c r="D37" i="16"/>
  <c r="B37" i="16"/>
  <c r="D38" i="16" l="1"/>
  <c r="A39" i="16"/>
  <c r="B38" i="16"/>
  <c r="F25" i="16"/>
  <c r="I25" i="16"/>
  <c r="K25" i="16" s="1"/>
  <c r="G25" i="16"/>
  <c r="H25" i="16" s="1"/>
  <c r="J25" i="16" s="1"/>
  <c r="C26" i="16" s="1"/>
  <c r="F26" i="16" l="1"/>
  <c r="I26" i="16"/>
  <c r="K26" i="16" s="1"/>
  <c r="G26" i="16"/>
  <c r="H26" i="16" s="1"/>
  <c r="J26" i="16" s="1"/>
  <c r="C27" i="16" s="1"/>
  <c r="B39" i="16"/>
  <c r="D39" i="16"/>
  <c r="A40" i="16"/>
  <c r="F27" i="16" l="1"/>
  <c r="I27" i="16"/>
  <c r="K27" i="16" s="1"/>
  <c r="G27" i="16"/>
  <c r="H27" i="16" s="1"/>
  <c r="J27" i="16" s="1"/>
  <c r="C28" i="16" s="1"/>
  <c r="A41" i="16"/>
  <c r="D40" i="16"/>
  <c r="B40" i="16"/>
  <c r="F28" i="16" l="1"/>
  <c r="I28" i="16"/>
  <c r="K28" i="16" s="1"/>
  <c r="G28" i="16"/>
  <c r="H28" i="16" s="1"/>
  <c r="J28" i="16" s="1"/>
  <c r="C29" i="16" s="1"/>
  <c r="D41" i="16"/>
  <c r="B41" i="16"/>
  <c r="A42" i="16"/>
  <c r="F29" i="16" l="1"/>
  <c r="I29" i="16"/>
  <c r="K29" i="16" s="1"/>
  <c r="G29" i="16"/>
  <c r="B42" i="16"/>
  <c r="A43" i="16"/>
  <c r="D42" i="16"/>
  <c r="H29" i="16" l="1"/>
  <c r="J29" i="16" s="1"/>
  <c r="C30" i="16" s="1"/>
  <c r="D43" i="16"/>
  <c r="B43" i="16"/>
  <c r="A44" i="16"/>
  <c r="A45" i="16" l="1"/>
  <c r="B44" i="16"/>
  <c r="D44" i="16"/>
  <c r="F30" i="16"/>
  <c r="I30" i="16"/>
  <c r="K30" i="16" s="1"/>
  <c r="G30" i="16"/>
  <c r="H30" i="16" s="1"/>
  <c r="J30" i="16" s="1"/>
  <c r="C31" i="16" s="1"/>
  <c r="F31" i="16" l="1"/>
  <c r="G31" i="16"/>
  <c r="H31" i="16" s="1"/>
  <c r="I31" i="16"/>
  <c r="K31" i="16" s="1"/>
  <c r="J31" i="16"/>
  <c r="C32" i="16" s="1"/>
  <c r="A46" i="16"/>
  <c r="B45" i="16"/>
  <c r="D45" i="16"/>
  <c r="A47" i="16" l="1"/>
  <c r="D46" i="16"/>
  <c r="B46" i="16"/>
  <c r="F32" i="16"/>
  <c r="I32" i="16"/>
  <c r="K32" i="16" s="1"/>
  <c r="G32" i="16"/>
  <c r="H32" i="16" s="1"/>
  <c r="J32" i="16"/>
  <c r="C33" i="16" s="1"/>
  <c r="F33" i="16" l="1"/>
  <c r="I33" i="16"/>
  <c r="K33" i="16" s="1"/>
  <c r="G33" i="16"/>
  <c r="H33" i="16" s="1"/>
  <c r="J33" i="16"/>
  <c r="C34" i="16" s="1"/>
  <c r="D47" i="16"/>
  <c r="A48" i="16"/>
  <c r="B47" i="16"/>
  <c r="F34" i="16" l="1"/>
  <c r="G34" i="16"/>
  <c r="H34" i="16" s="1"/>
  <c r="I34" i="16"/>
  <c r="K34" i="16" s="1"/>
  <c r="J34" i="16"/>
  <c r="C35" i="16" s="1"/>
  <c r="D48" i="16"/>
  <c r="A49" i="16"/>
  <c r="B48" i="16"/>
  <c r="F35" i="16" l="1"/>
  <c r="I35" i="16"/>
  <c r="K35" i="16" s="1"/>
  <c r="G35" i="16"/>
  <c r="H35" i="16" s="1"/>
  <c r="J35" i="16" s="1"/>
  <c r="C36" i="16" s="1"/>
  <c r="B49" i="16"/>
  <c r="D49" i="16"/>
  <c r="A50" i="16"/>
  <c r="F36" i="16" l="1"/>
  <c r="I36" i="16"/>
  <c r="K36" i="16" s="1"/>
  <c r="G36" i="16"/>
  <c r="D50" i="16"/>
  <c r="A51" i="16"/>
  <c r="B50" i="16"/>
  <c r="D51" i="16" l="1"/>
  <c r="A52" i="16"/>
  <c r="B51" i="16"/>
  <c r="H36" i="16"/>
  <c r="J36" i="16" s="1"/>
  <c r="C37" i="16" s="1"/>
  <c r="D52" i="16" l="1"/>
  <c r="A53" i="16"/>
  <c r="B52" i="16"/>
  <c r="F37" i="16"/>
  <c r="I37" i="16"/>
  <c r="K37" i="16" s="1"/>
  <c r="G37" i="16"/>
  <c r="H37" i="16" s="1"/>
  <c r="J37" i="16" s="1"/>
  <c r="C38" i="16" s="1"/>
  <c r="F38" i="16" l="1"/>
  <c r="I38" i="16"/>
  <c r="K38" i="16" s="1"/>
  <c r="G38" i="16"/>
  <c r="H38" i="16" s="1"/>
  <c r="J38" i="16" s="1"/>
  <c r="C39" i="16" s="1"/>
  <c r="A54" i="16"/>
  <c r="D53" i="16"/>
  <c r="B53" i="16"/>
  <c r="F39" i="16" l="1"/>
  <c r="I39" i="16"/>
  <c r="K39" i="16" s="1"/>
  <c r="G39" i="16"/>
  <c r="H39" i="16" s="1"/>
  <c r="J39" i="16" s="1"/>
  <c r="C40" i="16" s="1"/>
  <c r="B54" i="16"/>
  <c r="D54" i="16"/>
  <c r="A55" i="16"/>
  <c r="F40" i="16" l="1"/>
  <c r="G40" i="16"/>
  <c r="I40" i="16"/>
  <c r="K40" i="16" s="1"/>
  <c r="D55" i="16"/>
  <c r="B55" i="16"/>
  <c r="A56" i="16"/>
  <c r="D56" i="16" l="1"/>
  <c r="A57" i="16"/>
  <c r="B56" i="16"/>
  <c r="H40" i="16"/>
  <c r="J40" i="16" s="1"/>
  <c r="C41" i="16" s="1"/>
  <c r="D57" i="16" l="1"/>
  <c r="A58" i="16"/>
  <c r="B57" i="16"/>
  <c r="F41" i="16"/>
  <c r="I41" i="16"/>
  <c r="K41" i="16" s="1"/>
  <c r="G41" i="16"/>
  <c r="H41" i="16" s="1"/>
  <c r="J41" i="16" s="1"/>
  <c r="C42" i="16" s="1"/>
  <c r="F42" i="16" l="1"/>
  <c r="G42" i="16"/>
  <c r="I42" i="16"/>
  <c r="K42" i="16" s="1"/>
  <c r="D58" i="16"/>
  <c r="A59" i="16"/>
  <c r="B58" i="16"/>
  <c r="A60" i="16" l="1"/>
  <c r="B59" i="16"/>
  <c r="D59" i="16"/>
  <c r="H42" i="16"/>
  <c r="J42" i="16" s="1"/>
  <c r="C43" i="16" s="1"/>
  <c r="F43" i="16" l="1"/>
  <c r="G43" i="16"/>
  <c r="H43" i="16" s="1"/>
  <c r="J43" i="16" s="1"/>
  <c r="C44" i="16" s="1"/>
  <c r="I43" i="16"/>
  <c r="K43" i="16" s="1"/>
  <c r="B60" i="16"/>
  <c r="A61" i="16"/>
  <c r="D60" i="16"/>
  <c r="F44" i="16" l="1"/>
  <c r="G44" i="16"/>
  <c r="I44" i="16"/>
  <c r="K44" i="16" s="1"/>
  <c r="B61" i="16"/>
  <c r="D61" i="16"/>
  <c r="A62" i="16"/>
  <c r="H44" i="16" l="1"/>
  <c r="J44" i="16" s="1"/>
  <c r="C45" i="16" s="1"/>
  <c r="A63" i="16"/>
  <c r="B62" i="16"/>
  <c r="D62" i="16"/>
  <c r="A64" i="16" l="1"/>
  <c r="D63" i="16"/>
  <c r="B63" i="16"/>
  <c r="F45" i="16"/>
  <c r="G45" i="16"/>
  <c r="I45" i="16"/>
  <c r="K45" i="16" s="1"/>
  <c r="H45" i="16" l="1"/>
  <c r="J45" i="16" s="1"/>
  <c r="C46" i="16" s="1"/>
  <c r="D64" i="16"/>
  <c r="A65" i="16"/>
  <c r="B64" i="16"/>
  <c r="A66" i="16" l="1"/>
  <c r="D65" i="16"/>
  <c r="B65" i="16"/>
  <c r="F46" i="16"/>
  <c r="I46" i="16"/>
  <c r="K46" i="16" s="1"/>
  <c r="G46" i="16"/>
  <c r="H46" i="16" s="1"/>
  <c r="J46" i="16" s="1"/>
  <c r="C47" i="16" s="1"/>
  <c r="F47" i="16" l="1"/>
  <c r="I47" i="16"/>
  <c r="K47" i="16" s="1"/>
  <c r="G47" i="16"/>
  <c r="H47" i="16" s="1"/>
  <c r="J47" i="16" s="1"/>
  <c r="C48" i="16" s="1"/>
  <c r="A67" i="16"/>
  <c r="B66" i="16"/>
  <c r="D66" i="16"/>
  <c r="F48" i="16" l="1"/>
  <c r="I48" i="16"/>
  <c r="K48" i="16" s="1"/>
  <c r="G48" i="16"/>
  <c r="H48" i="16" s="1"/>
  <c r="J48" i="16" s="1"/>
  <c r="C49" i="16" s="1"/>
  <c r="D67" i="16"/>
  <c r="B67" i="16"/>
  <c r="A68" i="16"/>
  <c r="F49" i="16" l="1"/>
  <c r="I49" i="16"/>
  <c r="K49" i="16" s="1"/>
  <c r="G49" i="16"/>
  <c r="H49" i="16" s="1"/>
  <c r="J49" i="16"/>
  <c r="C50" i="16" s="1"/>
  <c r="B68" i="16"/>
  <c r="A69" i="16"/>
  <c r="D68" i="16"/>
  <c r="D69" i="16" l="1"/>
  <c r="B69" i="16"/>
  <c r="A70" i="16"/>
  <c r="F50" i="16"/>
  <c r="I50" i="16"/>
  <c r="K50" i="16" s="1"/>
  <c r="G50" i="16"/>
  <c r="H50" i="16" s="1"/>
  <c r="J50" i="16" s="1"/>
  <c r="C51" i="16" s="1"/>
  <c r="F51" i="16" l="1"/>
  <c r="G51" i="16"/>
  <c r="I51" i="16"/>
  <c r="K51" i="16" s="1"/>
  <c r="A71" i="16"/>
  <c r="D70" i="16"/>
  <c r="B70" i="16"/>
  <c r="B71" i="16" l="1"/>
  <c r="A72" i="16"/>
  <c r="D71" i="16"/>
  <c r="H51" i="16"/>
  <c r="J51" i="16" s="1"/>
  <c r="C52" i="16" s="1"/>
  <c r="B72" i="16" l="1"/>
  <c r="A73" i="16"/>
  <c r="D72" i="16"/>
  <c r="F52" i="16"/>
  <c r="I52" i="16"/>
  <c r="K52" i="16" s="1"/>
  <c r="G52" i="16"/>
  <c r="H52" i="16" s="1"/>
  <c r="J52" i="16" s="1"/>
  <c r="C53" i="16" s="1"/>
  <c r="F53" i="16" l="1"/>
  <c r="I53" i="16"/>
  <c r="K53" i="16" s="1"/>
  <c r="J53" i="16"/>
  <c r="C54" i="16" s="1"/>
  <c r="G53" i="16"/>
  <c r="H53" i="16" s="1"/>
  <c r="B73" i="16"/>
  <c r="A74" i="16"/>
  <c r="D73" i="16"/>
  <c r="D74" i="16" l="1"/>
  <c r="A75" i="16"/>
  <c r="B74" i="16"/>
  <c r="F54" i="16"/>
  <c r="I54" i="16"/>
  <c r="K54" i="16" s="1"/>
  <c r="G54" i="16"/>
  <c r="H54" i="16" s="1"/>
  <c r="J54" i="16" s="1"/>
  <c r="C55" i="16" s="1"/>
  <c r="F55" i="16" l="1"/>
  <c r="I55" i="16"/>
  <c r="K55" i="16" s="1"/>
  <c r="G55" i="16"/>
  <c r="H55" i="16" s="1"/>
  <c r="J55" i="16" s="1"/>
  <c r="C56" i="16" s="1"/>
  <c r="B75" i="16"/>
  <c r="D75" i="16"/>
  <c r="A76" i="16"/>
  <c r="F56" i="16" l="1"/>
  <c r="G56" i="16"/>
  <c r="I56" i="16"/>
  <c r="K56" i="16" s="1"/>
  <c r="A77" i="16"/>
  <c r="D76" i="16"/>
  <c r="B76" i="16"/>
  <c r="D77" i="16" l="1"/>
  <c r="B77" i="16"/>
  <c r="A78" i="16"/>
  <c r="H56" i="16"/>
  <c r="J56" i="16" s="1"/>
  <c r="C57" i="16" s="1"/>
  <c r="A79" i="16" l="1"/>
  <c r="B78" i="16"/>
  <c r="D78" i="16"/>
  <c r="F57" i="16"/>
  <c r="I57" i="16"/>
  <c r="K57" i="16" s="1"/>
  <c r="G57" i="16"/>
  <c r="H57" i="16" s="1"/>
  <c r="J57" i="16" s="1"/>
  <c r="C58" i="16" s="1"/>
  <c r="F58" i="16" l="1"/>
  <c r="I58" i="16"/>
  <c r="K58" i="16" s="1"/>
  <c r="G58" i="16"/>
  <c r="H58" i="16" s="1"/>
  <c r="J58" i="16" s="1"/>
  <c r="C59" i="16" s="1"/>
  <c r="B79" i="16"/>
  <c r="D79" i="16"/>
  <c r="A80" i="16"/>
  <c r="F59" i="16" l="1"/>
  <c r="I59" i="16"/>
  <c r="K59" i="16" s="1"/>
  <c r="G59" i="16"/>
  <c r="H59" i="16" s="1"/>
  <c r="J59" i="16" s="1"/>
  <c r="C60" i="16" s="1"/>
  <c r="D80" i="16"/>
  <c r="A81" i="16"/>
  <c r="B80" i="16"/>
  <c r="F60" i="16" l="1"/>
  <c r="I60" i="16"/>
  <c r="K60" i="16" s="1"/>
  <c r="G60" i="16"/>
  <c r="H60" i="16" s="1"/>
  <c r="J60" i="16"/>
  <c r="C61" i="16" s="1"/>
  <c r="D81" i="16"/>
  <c r="B81" i="16"/>
  <c r="A82" i="16"/>
  <c r="F61" i="16" l="1"/>
  <c r="G61" i="16"/>
  <c r="H61" i="16" s="1"/>
  <c r="J61" i="16" s="1"/>
  <c r="C62" i="16" s="1"/>
  <c r="I61" i="16"/>
  <c r="K61" i="16" s="1"/>
  <c r="D82" i="16"/>
  <c r="B82" i="16"/>
  <c r="A83" i="16"/>
  <c r="F62" i="16" l="1"/>
  <c r="I62" i="16"/>
  <c r="K62" i="16" s="1"/>
  <c r="G62" i="16"/>
  <c r="H62" i="16" s="1"/>
  <c r="J62" i="16" s="1"/>
  <c r="C63" i="16" s="1"/>
  <c r="A84" i="16"/>
  <c r="D83" i="16"/>
  <c r="B83" i="16"/>
  <c r="F63" i="16" l="1"/>
  <c r="I63" i="16"/>
  <c r="K63" i="16" s="1"/>
  <c r="G63" i="16"/>
  <c r="H63" i="16" s="1"/>
  <c r="J63" i="16"/>
  <c r="C64" i="16" s="1"/>
  <c r="A85" i="16"/>
  <c r="B84" i="16"/>
  <c r="D84" i="16"/>
  <c r="F64" i="16" l="1"/>
  <c r="I64" i="16"/>
  <c r="K64" i="16" s="1"/>
  <c r="G64" i="16"/>
  <c r="H64" i="16" s="1"/>
  <c r="J64" i="16" s="1"/>
  <c r="C65" i="16" s="1"/>
  <c r="D85" i="16"/>
  <c r="B85" i="16"/>
  <c r="A86" i="16"/>
  <c r="F65" i="16" l="1"/>
  <c r="I65" i="16"/>
  <c r="K65" i="16" s="1"/>
  <c r="G65" i="16"/>
  <c r="H65" i="16" s="1"/>
  <c r="J65" i="16" s="1"/>
  <c r="C66" i="16" s="1"/>
  <c r="D86" i="16"/>
  <c r="B86" i="16"/>
  <c r="A87" i="16"/>
  <c r="F66" i="16" l="1"/>
  <c r="I66" i="16"/>
  <c r="K66" i="16" s="1"/>
  <c r="G66" i="16"/>
  <c r="H66" i="16" s="1"/>
  <c r="J66" i="16"/>
  <c r="C67" i="16" s="1"/>
  <c r="D87" i="16"/>
  <c r="B87" i="16"/>
  <c r="A88" i="16"/>
  <c r="F67" i="16" l="1"/>
  <c r="I67" i="16"/>
  <c r="K67" i="16" s="1"/>
  <c r="G67" i="16"/>
  <c r="H67" i="16" s="1"/>
  <c r="J67" i="16" s="1"/>
  <c r="C68" i="16" s="1"/>
  <c r="D88" i="16"/>
  <c r="B88" i="16"/>
  <c r="A89" i="16"/>
  <c r="F68" i="16" l="1"/>
  <c r="I68" i="16"/>
  <c r="K68" i="16" s="1"/>
  <c r="J68" i="16"/>
  <c r="C69" i="16" s="1"/>
  <c r="G68" i="16"/>
  <c r="H68" i="16" s="1"/>
  <c r="B89" i="16"/>
  <c r="A90" i="16"/>
  <c r="D89" i="16"/>
  <c r="A91" i="16" l="1"/>
  <c r="D90" i="16"/>
  <c r="B90" i="16"/>
  <c r="F69" i="16"/>
  <c r="G69" i="16"/>
  <c r="H69" i="16" s="1"/>
  <c r="J69" i="16" s="1"/>
  <c r="C70" i="16" s="1"/>
  <c r="I69" i="16"/>
  <c r="K69" i="16" s="1"/>
  <c r="F70" i="16" l="1"/>
  <c r="I70" i="16"/>
  <c r="K70" i="16" s="1"/>
  <c r="G70" i="16"/>
  <c r="H70" i="16" s="1"/>
  <c r="J70" i="16" s="1"/>
  <c r="C71" i="16" s="1"/>
  <c r="D91" i="16"/>
  <c r="B91" i="16"/>
  <c r="A92" i="16"/>
  <c r="F71" i="16" l="1"/>
  <c r="G71" i="16"/>
  <c r="H71" i="16" s="1"/>
  <c r="J71" i="16" s="1"/>
  <c r="C72" i="16" s="1"/>
  <c r="I71" i="16"/>
  <c r="K71" i="16" s="1"/>
  <c r="D92" i="16"/>
  <c r="B92" i="16"/>
  <c r="A93" i="16"/>
  <c r="F72" i="16" l="1"/>
  <c r="I72" i="16"/>
  <c r="K72" i="16" s="1"/>
  <c r="G72" i="16"/>
  <c r="H72" i="16" s="1"/>
  <c r="J72" i="16" s="1"/>
  <c r="C73" i="16" s="1"/>
  <c r="B93" i="16"/>
  <c r="A94" i="16"/>
  <c r="D93" i="16"/>
  <c r="F73" i="16" l="1"/>
  <c r="I73" i="16"/>
  <c r="K73" i="16" s="1"/>
  <c r="G73" i="16"/>
  <c r="H73" i="16" s="1"/>
  <c r="J73" i="16"/>
  <c r="C74" i="16" s="1"/>
  <c r="B94" i="16"/>
  <c r="A95" i="16"/>
  <c r="D94" i="16"/>
  <c r="F74" i="16" l="1"/>
  <c r="I74" i="16"/>
  <c r="K74" i="16" s="1"/>
  <c r="G74" i="16"/>
  <c r="H74" i="16" s="1"/>
  <c r="J74" i="16" s="1"/>
  <c r="C75" i="16" s="1"/>
  <c r="D95" i="16"/>
  <c r="B95" i="16"/>
  <c r="A96" i="16"/>
  <c r="F75" i="16" l="1"/>
  <c r="I75" i="16"/>
  <c r="K75" i="16" s="1"/>
  <c r="G75" i="16"/>
  <c r="H75" i="16" s="1"/>
  <c r="J75" i="16" s="1"/>
  <c r="C76" i="16" s="1"/>
  <c r="A97" i="16"/>
  <c r="B96" i="16"/>
  <c r="D96" i="16"/>
  <c r="F76" i="16" l="1"/>
  <c r="I76" i="16"/>
  <c r="K76" i="16" s="1"/>
  <c r="G76" i="16"/>
  <c r="H76" i="16" s="1"/>
  <c r="J76" i="16" s="1"/>
  <c r="C77" i="16" s="1"/>
  <c r="D97" i="16"/>
  <c r="A98" i="16"/>
  <c r="B97" i="16"/>
  <c r="F77" i="16" l="1"/>
  <c r="I77" i="16"/>
  <c r="K77" i="16" s="1"/>
  <c r="G77" i="16"/>
  <c r="H77" i="16" s="1"/>
  <c r="J77" i="16" s="1"/>
  <c r="C78" i="16" s="1"/>
  <c r="D98" i="16"/>
  <c r="B98" i="16"/>
  <c r="A99" i="16"/>
  <c r="F78" i="16" l="1"/>
  <c r="J78" i="16"/>
  <c r="C79" i="16" s="1"/>
  <c r="I78" i="16"/>
  <c r="K78" i="16" s="1"/>
  <c r="G78" i="16"/>
  <c r="H78" i="16" s="1"/>
  <c r="D99" i="16"/>
  <c r="B99" i="16"/>
  <c r="A100" i="16"/>
  <c r="F79" i="16" l="1"/>
  <c r="I79" i="16"/>
  <c r="K79" i="16" s="1"/>
  <c r="G79" i="16"/>
  <c r="H79" i="16" s="1"/>
  <c r="J79" i="16" s="1"/>
  <c r="C80" i="16" s="1"/>
  <c r="D100" i="16"/>
  <c r="B100" i="16"/>
  <c r="A101" i="16"/>
  <c r="F80" i="16" l="1"/>
  <c r="I80" i="16"/>
  <c r="K80" i="16" s="1"/>
  <c r="J80" i="16"/>
  <c r="C81" i="16" s="1"/>
  <c r="G80" i="16"/>
  <c r="H80" i="16" s="1"/>
  <c r="B101" i="16"/>
  <c r="A102" i="16"/>
  <c r="D101" i="16"/>
  <c r="D102" i="16" l="1"/>
  <c r="A103" i="16"/>
  <c r="B102" i="16"/>
  <c r="F81" i="16"/>
  <c r="I81" i="16"/>
  <c r="K81" i="16" s="1"/>
  <c r="G81" i="16"/>
  <c r="H81" i="16" s="1"/>
  <c r="J81" i="16" s="1"/>
  <c r="C82" i="16" s="1"/>
  <c r="F82" i="16" l="1"/>
  <c r="I82" i="16"/>
  <c r="K82" i="16" s="1"/>
  <c r="G82" i="16"/>
  <c r="A104" i="16"/>
  <c r="B103" i="16"/>
  <c r="D103" i="16"/>
  <c r="B104" i="16" l="1"/>
  <c r="A105" i="16"/>
  <c r="D104" i="16"/>
  <c r="H82" i="16"/>
  <c r="J82" i="16" s="1"/>
  <c r="C83" i="16" s="1"/>
  <c r="D105" i="16" l="1"/>
  <c r="B105" i="16"/>
  <c r="A106" i="16"/>
  <c r="F83" i="16"/>
  <c r="I83" i="16"/>
  <c r="K83" i="16" s="1"/>
  <c r="G83" i="16"/>
  <c r="H83" i="16" s="1"/>
  <c r="J83" i="16" s="1"/>
  <c r="C84" i="16" s="1"/>
  <c r="F84" i="16" l="1"/>
  <c r="G84" i="16"/>
  <c r="I84" i="16"/>
  <c r="K84" i="16" s="1"/>
  <c r="B106" i="16"/>
  <c r="A107" i="16"/>
  <c r="D106" i="16"/>
  <c r="B107" i="16" l="1"/>
  <c r="D107" i="16"/>
  <c r="A108" i="16"/>
  <c r="H84" i="16"/>
  <c r="J84" i="16" s="1"/>
  <c r="C85" i="16" s="1"/>
  <c r="F85" i="16" l="1"/>
  <c r="I85" i="16"/>
  <c r="K85" i="16" s="1"/>
  <c r="G85" i="16"/>
  <c r="H85" i="16" s="1"/>
  <c r="J85" i="16" s="1"/>
  <c r="C86" i="16" s="1"/>
  <c r="D108" i="16"/>
  <c r="A109" i="16"/>
  <c r="B108" i="16"/>
  <c r="F86" i="16" l="1"/>
  <c r="I86" i="16"/>
  <c r="K86" i="16" s="1"/>
  <c r="G86" i="16"/>
  <c r="H86" i="16" s="1"/>
  <c r="J86" i="16" s="1"/>
  <c r="C87" i="16" s="1"/>
  <c r="B109" i="16"/>
  <c r="D109" i="16"/>
  <c r="A110" i="16"/>
  <c r="F87" i="16" l="1"/>
  <c r="I87" i="16"/>
  <c r="K87" i="16" s="1"/>
  <c r="G87" i="16"/>
  <c r="B110" i="16"/>
  <c r="D110" i="16"/>
  <c r="A111" i="16"/>
  <c r="B111" i="16" l="1"/>
  <c r="D111" i="16"/>
  <c r="A112" i="16"/>
  <c r="H87" i="16"/>
  <c r="J87" i="16" s="1"/>
  <c r="C88" i="16" s="1"/>
  <c r="A113" i="16" l="1"/>
  <c r="B112" i="16"/>
  <c r="D112" i="16"/>
  <c r="F88" i="16"/>
  <c r="I88" i="16"/>
  <c r="K88" i="16" s="1"/>
  <c r="G88" i="16"/>
  <c r="H88" i="16" s="1"/>
  <c r="J88" i="16"/>
  <c r="C89" i="16" s="1"/>
  <c r="F89" i="16" l="1"/>
  <c r="I89" i="16"/>
  <c r="K89" i="16" s="1"/>
  <c r="G89" i="16"/>
  <c r="H89" i="16" s="1"/>
  <c r="J89" i="16" s="1"/>
  <c r="C90" i="16" s="1"/>
  <c r="A114" i="16"/>
  <c r="B113" i="16"/>
  <c r="D113" i="16"/>
  <c r="F90" i="16" l="1"/>
  <c r="I90" i="16"/>
  <c r="K90" i="16" s="1"/>
  <c r="G90" i="16"/>
  <c r="H90" i="16" s="1"/>
  <c r="J90" i="16" s="1"/>
  <c r="C91" i="16" s="1"/>
  <c r="B114" i="16"/>
  <c r="D114" i="16"/>
  <c r="A115" i="16"/>
  <c r="F91" i="16" l="1"/>
  <c r="I91" i="16"/>
  <c r="K91" i="16" s="1"/>
  <c r="G91" i="16"/>
  <c r="H91" i="16" s="1"/>
  <c r="J91" i="16" s="1"/>
  <c r="C92" i="16" s="1"/>
  <c r="D115" i="16"/>
  <c r="A116" i="16"/>
  <c r="B115" i="16"/>
  <c r="F92" i="16" l="1"/>
  <c r="I92" i="16"/>
  <c r="K92" i="16" s="1"/>
  <c r="G92" i="16"/>
  <c r="H92" i="16" s="1"/>
  <c r="J92" i="16"/>
  <c r="C93" i="16" s="1"/>
  <c r="B116" i="16"/>
  <c r="D116" i="16"/>
  <c r="A117" i="16"/>
  <c r="F93" i="16" l="1"/>
  <c r="G93" i="16"/>
  <c r="I93" i="16"/>
  <c r="K93" i="16" s="1"/>
  <c r="A118" i="16"/>
  <c r="D117" i="16"/>
  <c r="B117" i="16"/>
  <c r="H93" i="16" l="1"/>
  <c r="J93" i="16" s="1"/>
  <c r="C94" i="16" s="1"/>
  <c r="B118" i="16"/>
  <c r="A119" i="16"/>
  <c r="D118" i="16"/>
  <c r="A120" i="16" l="1"/>
  <c r="D119" i="16"/>
  <c r="B119" i="16"/>
  <c r="F94" i="16"/>
  <c r="I94" i="16"/>
  <c r="K94" i="16" s="1"/>
  <c r="G94" i="16"/>
  <c r="H94" i="16" s="1"/>
  <c r="J94" i="16" s="1"/>
  <c r="C95" i="16" s="1"/>
  <c r="F95" i="16" l="1"/>
  <c r="I95" i="16"/>
  <c r="K95" i="16" s="1"/>
  <c r="G95" i="16"/>
  <c r="A121" i="16"/>
  <c r="D120" i="16"/>
  <c r="B120" i="16"/>
  <c r="D121" i="16" l="1"/>
  <c r="A122" i="16"/>
  <c r="B121" i="16"/>
  <c r="H95" i="16"/>
  <c r="J95" i="16" s="1"/>
  <c r="C96" i="16" s="1"/>
  <c r="A123" i="16" l="1"/>
  <c r="B122" i="16"/>
  <c r="D122" i="16"/>
  <c r="F96" i="16"/>
  <c r="G96" i="16"/>
  <c r="I96" i="16"/>
  <c r="K96" i="16" s="1"/>
  <c r="B123" i="16" l="1"/>
  <c r="D123" i="16"/>
  <c r="A124" i="16"/>
  <c r="H96" i="16"/>
  <c r="J96" i="16" s="1"/>
  <c r="C97" i="16" s="1"/>
  <c r="B124" i="16" l="1"/>
  <c r="D124" i="16"/>
  <c r="A125" i="16"/>
  <c r="F97" i="16"/>
  <c r="I97" i="16"/>
  <c r="K97" i="16" s="1"/>
  <c r="J97" i="16"/>
  <c r="C98" i="16" s="1"/>
  <c r="G97" i="16"/>
  <c r="H97" i="16" s="1"/>
  <c r="D125" i="16" l="1"/>
  <c r="A126" i="16"/>
  <c r="B125" i="16"/>
  <c r="F98" i="16"/>
  <c r="I98" i="16"/>
  <c r="K98" i="16" s="1"/>
  <c r="G98" i="16"/>
  <c r="H98" i="16" l="1"/>
  <c r="J98" i="16" s="1"/>
  <c r="C99" i="16" s="1"/>
  <c r="D126" i="16"/>
  <c r="B126" i="16"/>
  <c r="A127" i="16"/>
  <c r="F99" i="16" l="1"/>
  <c r="G99" i="16"/>
  <c r="I99" i="16"/>
  <c r="K99" i="16" s="1"/>
  <c r="B127" i="16"/>
  <c r="A128" i="16"/>
  <c r="D127" i="16"/>
  <c r="A129" i="16" l="1"/>
  <c r="B128" i="16"/>
  <c r="D128" i="16"/>
  <c r="H99" i="16"/>
  <c r="J99" i="16" s="1"/>
  <c r="C100" i="16" s="1"/>
  <c r="F100" i="16" l="1"/>
  <c r="I100" i="16"/>
  <c r="K100" i="16" s="1"/>
  <c r="G100" i="16"/>
  <c r="H100" i="16" s="1"/>
  <c r="J100" i="16" s="1"/>
  <c r="C101" i="16" s="1"/>
  <c r="B129" i="16"/>
  <c r="D129" i="16"/>
  <c r="A130" i="16"/>
  <c r="F101" i="16" l="1"/>
  <c r="G101" i="16"/>
  <c r="H101" i="16" s="1"/>
  <c r="J101" i="16" s="1"/>
  <c r="C102" i="16" s="1"/>
  <c r="I101" i="16"/>
  <c r="K101" i="16" s="1"/>
  <c r="B130" i="16"/>
  <c r="A131" i="16"/>
  <c r="D130" i="16"/>
  <c r="F102" i="16" l="1"/>
  <c r="I102" i="16"/>
  <c r="K102" i="16" s="1"/>
  <c r="J102" i="16"/>
  <c r="C103" i="16" s="1"/>
  <c r="G102" i="16"/>
  <c r="H102" i="16" s="1"/>
  <c r="A132" i="16"/>
  <c r="B131" i="16"/>
  <c r="D131" i="16"/>
  <c r="A133" i="16" l="1"/>
  <c r="D132" i="16"/>
  <c r="B132" i="16"/>
  <c r="F103" i="16"/>
  <c r="I103" i="16"/>
  <c r="K103" i="16" s="1"/>
  <c r="G103" i="16"/>
  <c r="H103" i="16" s="1"/>
  <c r="J103" i="16" s="1"/>
  <c r="C104" i="16" s="1"/>
  <c r="F104" i="16" l="1"/>
  <c r="G104" i="16"/>
  <c r="H104" i="16" s="1"/>
  <c r="J104" i="16" s="1"/>
  <c r="C105" i="16" s="1"/>
  <c r="I104" i="16"/>
  <c r="K104" i="16" s="1"/>
  <c r="D133" i="16"/>
  <c r="B133" i="16"/>
  <c r="A134" i="16"/>
  <c r="F105" i="16" l="1"/>
  <c r="I105" i="16"/>
  <c r="K105" i="16" s="1"/>
  <c r="G105" i="16"/>
  <c r="H105" i="16" s="1"/>
  <c r="J105" i="16"/>
  <c r="C106" i="16" s="1"/>
  <c r="D134" i="16"/>
  <c r="A135" i="16"/>
  <c r="B134" i="16"/>
  <c r="D135" i="16" l="1"/>
  <c r="A136" i="16"/>
  <c r="B135" i="16"/>
  <c r="F106" i="16"/>
  <c r="I106" i="16"/>
  <c r="K106" i="16" s="1"/>
  <c r="G106" i="16"/>
  <c r="H106" i="16" s="1"/>
  <c r="J106" i="16" s="1"/>
  <c r="C107" i="16" s="1"/>
  <c r="F107" i="16" l="1"/>
  <c r="G107" i="16"/>
  <c r="H107" i="16" s="1"/>
  <c r="J107" i="16" s="1"/>
  <c r="C108" i="16" s="1"/>
  <c r="I107" i="16"/>
  <c r="K107" i="16" s="1"/>
  <c r="D136" i="16"/>
  <c r="A137" i="16"/>
  <c r="B136" i="16"/>
  <c r="F108" i="16" l="1"/>
  <c r="I108" i="16"/>
  <c r="K108" i="16" s="1"/>
  <c r="G108" i="16"/>
  <c r="H108" i="16" s="1"/>
  <c r="J108" i="16" s="1"/>
  <c r="C109" i="16" s="1"/>
  <c r="B137" i="16"/>
  <c r="D137" i="16"/>
  <c r="A138" i="16"/>
  <c r="F109" i="16" l="1"/>
  <c r="I109" i="16"/>
  <c r="K109" i="16" s="1"/>
  <c r="J109" i="16"/>
  <c r="C110" i="16" s="1"/>
  <c r="G109" i="16"/>
  <c r="H109" i="16" s="1"/>
  <c r="A139" i="16"/>
  <c r="D138" i="16"/>
  <c r="B138" i="16"/>
  <c r="F110" i="16" l="1"/>
  <c r="I110" i="16"/>
  <c r="K110" i="16" s="1"/>
  <c r="G110" i="16"/>
  <c r="H110" i="16" s="1"/>
  <c r="J110" i="16" s="1"/>
  <c r="C111" i="16" s="1"/>
  <c r="B139" i="16"/>
  <c r="D139" i="16"/>
  <c r="A140" i="16"/>
  <c r="F111" i="16" l="1"/>
  <c r="I111" i="16"/>
  <c r="K111" i="16" s="1"/>
  <c r="G111" i="16"/>
  <c r="H111" i="16" s="1"/>
  <c r="J111" i="16" s="1"/>
  <c r="C112" i="16" s="1"/>
  <c r="A141" i="16"/>
  <c r="B140" i="16"/>
  <c r="D140" i="16"/>
  <c r="F112" i="16" l="1"/>
  <c r="I112" i="16"/>
  <c r="K112" i="16" s="1"/>
  <c r="G112" i="16"/>
  <c r="H112" i="16" s="1"/>
  <c r="J112" i="16" s="1"/>
  <c r="C113" i="16" s="1"/>
  <c r="A142" i="16"/>
  <c r="B141" i="16"/>
  <c r="D141" i="16"/>
  <c r="F113" i="16" l="1"/>
  <c r="I113" i="16"/>
  <c r="K113" i="16" s="1"/>
  <c r="G113" i="16"/>
  <c r="H113" i="16" s="1"/>
  <c r="J113" i="16" s="1"/>
  <c r="C114" i="16" s="1"/>
  <c r="B142" i="16"/>
  <c r="D142" i="16"/>
  <c r="A143" i="16"/>
  <c r="F114" i="16" l="1"/>
  <c r="I114" i="16"/>
  <c r="K114" i="16" s="1"/>
  <c r="G114" i="16"/>
  <c r="H114" i="16" s="1"/>
  <c r="J114" i="16" s="1"/>
  <c r="C115" i="16" s="1"/>
  <c r="D143" i="16"/>
  <c r="B143" i="16"/>
  <c r="A144" i="16"/>
  <c r="F115" i="16" l="1"/>
  <c r="I115" i="16"/>
  <c r="K115" i="16" s="1"/>
  <c r="G115" i="16"/>
  <c r="H115" i="16" s="1"/>
  <c r="J115" i="16" s="1"/>
  <c r="C116" i="16" s="1"/>
  <c r="A145" i="16"/>
  <c r="B144" i="16"/>
  <c r="D144" i="16"/>
  <c r="F116" i="16" l="1"/>
  <c r="I116" i="16"/>
  <c r="K116" i="16" s="1"/>
  <c r="G116" i="16"/>
  <c r="H116" i="16" s="1"/>
  <c r="J116" i="16"/>
  <c r="C117" i="16" s="1"/>
  <c r="D145" i="16"/>
  <c r="A146" i="16"/>
  <c r="B145" i="16"/>
  <c r="D146" i="16" l="1"/>
  <c r="A147" i="16"/>
  <c r="B146" i="16"/>
  <c r="F117" i="16"/>
  <c r="I117" i="16"/>
  <c r="K117" i="16" s="1"/>
  <c r="G117" i="16"/>
  <c r="H117" i="16" s="1"/>
  <c r="J117" i="16" s="1"/>
  <c r="C118" i="16" s="1"/>
  <c r="F118" i="16" l="1"/>
  <c r="I118" i="16"/>
  <c r="K118" i="16" s="1"/>
  <c r="G118" i="16"/>
  <c r="H118" i="16" s="1"/>
  <c r="J118" i="16"/>
  <c r="C119" i="16" s="1"/>
  <c r="D147" i="16"/>
  <c r="A148" i="16"/>
  <c r="B147" i="16"/>
  <c r="F119" i="16" l="1"/>
  <c r="G119" i="16"/>
  <c r="H119" i="16" s="1"/>
  <c r="J119" i="16" s="1"/>
  <c r="C120" i="16" s="1"/>
  <c r="I119" i="16"/>
  <c r="K119" i="16" s="1"/>
  <c r="B148" i="16"/>
  <c r="D148" i="16"/>
  <c r="A149" i="16"/>
  <c r="F120" i="16" l="1"/>
  <c r="I120" i="16"/>
  <c r="K120" i="16" s="1"/>
  <c r="G120" i="16"/>
  <c r="H120" i="16" s="1"/>
  <c r="J120" i="16" s="1"/>
  <c r="C121" i="16" s="1"/>
  <c r="A150" i="16"/>
  <c r="B149" i="16"/>
  <c r="D149" i="16"/>
  <c r="F121" i="16" l="1"/>
  <c r="I121" i="16"/>
  <c r="K121" i="16" s="1"/>
  <c r="G121" i="16"/>
  <c r="H121" i="16" s="1"/>
  <c r="J121" i="16"/>
  <c r="C122" i="16" s="1"/>
  <c r="B150" i="16"/>
  <c r="A151" i="16"/>
  <c r="D150" i="16"/>
  <c r="B151" i="16" l="1"/>
  <c r="D151" i="16"/>
  <c r="A152" i="16"/>
  <c r="F122" i="16"/>
  <c r="I122" i="16"/>
  <c r="K122" i="16" s="1"/>
  <c r="G122" i="16"/>
  <c r="H122" i="16" s="1"/>
  <c r="J122" i="16" s="1"/>
  <c r="C123" i="16" s="1"/>
  <c r="F123" i="16" l="1"/>
  <c r="I123" i="16"/>
  <c r="K123" i="16" s="1"/>
  <c r="G123" i="16"/>
  <c r="H123" i="16" s="1"/>
  <c r="J123" i="16" s="1"/>
  <c r="C124" i="16" s="1"/>
  <c r="A153" i="16"/>
  <c r="B152" i="16"/>
  <c r="D152" i="16"/>
  <c r="F124" i="16" l="1"/>
  <c r="I124" i="16"/>
  <c r="K124" i="16" s="1"/>
  <c r="G124" i="16"/>
  <c r="H124" i="16" s="1"/>
  <c r="J124" i="16" s="1"/>
  <c r="C125" i="16" s="1"/>
  <c r="A154" i="16"/>
  <c r="D153" i="16"/>
  <c r="B153" i="16"/>
  <c r="F125" i="16" l="1"/>
  <c r="G125" i="16"/>
  <c r="I125" i="16"/>
  <c r="K125" i="16" s="1"/>
  <c r="D154" i="16"/>
  <c r="A155" i="16"/>
  <c r="B154" i="16"/>
  <c r="H125" i="16" l="1"/>
  <c r="J125" i="16" s="1"/>
  <c r="C126" i="16" s="1"/>
  <c r="A156" i="16"/>
  <c r="B155" i="16"/>
  <c r="D155" i="16"/>
  <c r="A157" i="16" l="1"/>
  <c r="D156" i="16"/>
  <c r="B156" i="16"/>
  <c r="F126" i="16"/>
  <c r="I126" i="16"/>
  <c r="K126" i="16" s="1"/>
  <c r="G126" i="16"/>
  <c r="H126" i="16" s="1"/>
  <c r="J126" i="16" s="1"/>
  <c r="C127" i="16" s="1"/>
  <c r="F127" i="16" l="1"/>
  <c r="I127" i="16"/>
  <c r="K127" i="16" s="1"/>
  <c r="G127" i="16"/>
  <c r="H127" i="16" s="1"/>
  <c r="J127" i="16" s="1"/>
  <c r="C128" i="16" s="1"/>
  <c r="D157" i="16"/>
  <c r="B157" i="16"/>
  <c r="A158" i="16"/>
  <c r="F128" i="16" l="1"/>
  <c r="G128" i="16"/>
  <c r="I128" i="16"/>
  <c r="K128" i="16" s="1"/>
  <c r="A159" i="16"/>
  <c r="D158" i="16"/>
  <c r="B158" i="16"/>
  <c r="H128" i="16" l="1"/>
  <c r="J128" i="16" s="1"/>
  <c r="C129" i="16" s="1"/>
  <c r="B159" i="16"/>
  <c r="A160" i="16"/>
  <c r="D159" i="16"/>
  <c r="B160" i="16" l="1"/>
  <c r="D160" i="16"/>
  <c r="A161" i="16"/>
  <c r="F129" i="16"/>
  <c r="I129" i="16"/>
  <c r="K129" i="16" s="1"/>
  <c r="G129" i="16"/>
  <c r="H129" i="16" s="1"/>
  <c r="J129" i="16" s="1"/>
  <c r="C130" i="16" s="1"/>
  <c r="F130" i="16" l="1"/>
  <c r="I130" i="16"/>
  <c r="K130" i="16" s="1"/>
  <c r="G130" i="16"/>
  <c r="H130" i="16" s="1"/>
  <c r="J130" i="16"/>
  <c r="C131" i="16" s="1"/>
  <c r="B161" i="16"/>
  <c r="D161" i="16"/>
  <c r="A162" i="16"/>
  <c r="A163" i="16" l="1"/>
  <c r="D162" i="16"/>
  <c r="B162" i="16"/>
  <c r="F131" i="16"/>
  <c r="I131" i="16"/>
  <c r="K131" i="16" s="1"/>
  <c r="G131" i="16"/>
  <c r="H131" i="16" s="1"/>
  <c r="J131" i="16"/>
  <c r="C132" i="16" s="1"/>
  <c r="F132" i="16" l="1"/>
  <c r="I132" i="16"/>
  <c r="K132" i="16" s="1"/>
  <c r="G132" i="16"/>
  <c r="H132" i="16" s="1"/>
  <c r="J132" i="16"/>
  <c r="C133" i="16" s="1"/>
  <c r="B163" i="16"/>
  <c r="D163" i="16"/>
  <c r="A164" i="16"/>
  <c r="F133" i="16" l="1"/>
  <c r="I133" i="16"/>
  <c r="K133" i="16" s="1"/>
  <c r="G133" i="16"/>
  <c r="H133" i="16" s="1"/>
  <c r="J133" i="16"/>
  <c r="C134" i="16" s="1"/>
  <c r="A165" i="16"/>
  <c r="B164" i="16"/>
  <c r="D164" i="16"/>
  <c r="A166" i="16" l="1"/>
  <c r="B165" i="16"/>
  <c r="D165" i="16"/>
  <c r="F134" i="16"/>
  <c r="I134" i="16"/>
  <c r="K134" i="16" s="1"/>
  <c r="G134" i="16"/>
  <c r="H134" i="16" s="1"/>
  <c r="J134" i="16" s="1"/>
  <c r="C135" i="16" s="1"/>
  <c r="F135" i="16" l="1"/>
  <c r="I135" i="16"/>
  <c r="K135" i="16" s="1"/>
  <c r="G135" i="16"/>
  <c r="H135" i="16" s="1"/>
  <c r="J135" i="16" s="1"/>
  <c r="C136" i="16" s="1"/>
  <c r="A167" i="16"/>
  <c r="D166" i="16"/>
  <c r="B166" i="16"/>
  <c r="F136" i="16" l="1"/>
  <c r="I136" i="16"/>
  <c r="K136" i="16" s="1"/>
  <c r="G136" i="16"/>
  <c r="H136" i="16" s="1"/>
  <c r="J136" i="16" s="1"/>
  <c r="C137" i="16" s="1"/>
  <c r="A168" i="16"/>
  <c r="D167" i="16"/>
  <c r="B167" i="16"/>
  <c r="F137" i="16" l="1"/>
  <c r="I137" i="16"/>
  <c r="K137" i="16" s="1"/>
  <c r="G137" i="16"/>
  <c r="H137" i="16" s="1"/>
  <c r="J137" i="16" s="1"/>
  <c r="C138" i="16" s="1"/>
  <c r="A169" i="16"/>
  <c r="B168" i="16"/>
  <c r="D168" i="16"/>
  <c r="F138" i="16" l="1"/>
  <c r="I138" i="16"/>
  <c r="K138" i="16" s="1"/>
  <c r="G138" i="16"/>
  <c r="H138" i="16" s="1"/>
  <c r="J138" i="16" s="1"/>
  <c r="C139" i="16" s="1"/>
  <c r="D169" i="16"/>
  <c r="B169" i="16"/>
  <c r="A170" i="16"/>
  <c r="F139" i="16" l="1"/>
  <c r="I139" i="16"/>
  <c r="K139" i="16" s="1"/>
  <c r="G139" i="16"/>
  <c r="H139" i="16" s="1"/>
  <c r="J139" i="16"/>
  <c r="C140" i="16" s="1"/>
  <c r="D170" i="16"/>
  <c r="B170" i="16"/>
  <c r="A171" i="16"/>
  <c r="D171" i="16" l="1"/>
  <c r="B171" i="16"/>
  <c r="A172" i="16"/>
  <c r="F140" i="16"/>
  <c r="I140" i="16"/>
  <c r="K140" i="16" s="1"/>
  <c r="G140" i="16"/>
  <c r="H140" i="16" s="1"/>
  <c r="J140" i="16" s="1"/>
  <c r="C141" i="16" s="1"/>
  <c r="F141" i="16" l="1"/>
  <c r="I141" i="16"/>
  <c r="K141" i="16" s="1"/>
  <c r="G141" i="16"/>
  <c r="H141" i="16" s="1"/>
  <c r="J141" i="16" s="1"/>
  <c r="C142" i="16" s="1"/>
  <c r="B172" i="16"/>
  <c r="D172" i="16"/>
  <c r="A173" i="16"/>
  <c r="F142" i="16" l="1"/>
  <c r="I142" i="16"/>
  <c r="K142" i="16" s="1"/>
  <c r="G142" i="16"/>
  <c r="B173" i="16"/>
  <c r="A174" i="16"/>
  <c r="D173" i="16"/>
  <c r="A175" i="16" l="1"/>
  <c r="B174" i="16"/>
  <c r="D174" i="16"/>
  <c r="H142" i="16"/>
  <c r="J142" i="16" s="1"/>
  <c r="C143" i="16" s="1"/>
  <c r="A176" i="16" l="1"/>
  <c r="B175" i="16"/>
  <c r="D175" i="16"/>
  <c r="F143" i="16"/>
  <c r="I143" i="16"/>
  <c r="K143" i="16" s="1"/>
  <c r="G143" i="16"/>
  <c r="H143" i="16" s="1"/>
  <c r="J143" i="16" s="1"/>
  <c r="C144" i="16" s="1"/>
  <c r="F144" i="16" l="1"/>
  <c r="I144" i="16"/>
  <c r="K144" i="16" s="1"/>
  <c r="G144" i="16"/>
  <c r="H144" i="16" s="1"/>
  <c r="J144" i="16" s="1"/>
  <c r="C145" i="16" s="1"/>
  <c r="B176" i="16"/>
  <c r="D176" i="16"/>
  <c r="A177" i="16"/>
  <c r="F145" i="16" l="1"/>
  <c r="I145" i="16"/>
  <c r="K145" i="16" s="1"/>
  <c r="G145" i="16"/>
  <c r="H145" i="16" s="1"/>
  <c r="J145" i="16"/>
  <c r="C146" i="16" s="1"/>
  <c r="D177" i="16"/>
  <c r="B177" i="16"/>
  <c r="A178" i="16"/>
  <c r="F146" i="16" l="1"/>
  <c r="I146" i="16"/>
  <c r="K146" i="16" s="1"/>
  <c r="G146" i="16"/>
  <c r="H146" i="16" s="1"/>
  <c r="J146" i="16" s="1"/>
  <c r="C147" i="16" s="1"/>
  <c r="B178" i="16"/>
  <c r="A179" i="16"/>
  <c r="D178" i="16"/>
  <c r="F147" i="16" l="1"/>
  <c r="G147" i="16"/>
  <c r="I147" i="16"/>
  <c r="K147" i="16" s="1"/>
  <c r="D179" i="16"/>
  <c r="A180" i="16"/>
  <c r="B179" i="16"/>
  <c r="H147" i="16" l="1"/>
  <c r="J147" i="16" s="1"/>
  <c r="C148" i="16" s="1"/>
  <c r="A181" i="16"/>
  <c r="B180" i="16"/>
  <c r="D180" i="16"/>
  <c r="B181" i="16" l="1"/>
  <c r="A182" i="16"/>
  <c r="D181" i="16"/>
  <c r="F148" i="16"/>
  <c r="I148" i="16"/>
  <c r="K148" i="16" s="1"/>
  <c r="G148" i="16"/>
  <c r="H148" i="16" s="1"/>
  <c r="J148" i="16"/>
  <c r="C149" i="16" s="1"/>
  <c r="F149" i="16" l="1"/>
  <c r="I149" i="16"/>
  <c r="K149" i="16" s="1"/>
  <c r="G149" i="16"/>
  <c r="H149" i="16" s="1"/>
  <c r="J149" i="16" s="1"/>
  <c r="C150" i="16" s="1"/>
  <c r="A183" i="16"/>
  <c r="B182" i="16"/>
  <c r="D182" i="16"/>
  <c r="F150" i="16" l="1"/>
  <c r="I150" i="16"/>
  <c r="K150" i="16" s="1"/>
  <c r="G150" i="16"/>
  <c r="H150" i="16" s="1"/>
  <c r="J150" i="16"/>
  <c r="C151" i="16" s="1"/>
  <c r="D183" i="16"/>
  <c r="A184" i="16"/>
  <c r="B183" i="16"/>
  <c r="F151" i="16" l="1"/>
  <c r="I151" i="16"/>
  <c r="K151" i="16" s="1"/>
  <c r="G151" i="16"/>
  <c r="H151" i="16" s="1"/>
  <c r="J151" i="16" s="1"/>
  <c r="C152" i="16" s="1"/>
  <c r="B184" i="16"/>
  <c r="A185" i="16"/>
  <c r="D184" i="16"/>
  <c r="F152" i="16" l="1"/>
  <c r="I152" i="16"/>
  <c r="K152" i="16" s="1"/>
  <c r="G152" i="16"/>
  <c r="H152" i="16" s="1"/>
  <c r="J152" i="16" s="1"/>
  <c r="C153" i="16" s="1"/>
  <c r="A186" i="16"/>
  <c r="D185" i="16"/>
  <c r="B185" i="16"/>
  <c r="F153" i="16" l="1"/>
  <c r="I153" i="16"/>
  <c r="K153" i="16" s="1"/>
  <c r="G153" i="16"/>
  <c r="H153" i="16" s="1"/>
  <c r="J153" i="16"/>
  <c r="C154" i="16" s="1"/>
  <c r="A187" i="16"/>
  <c r="D186" i="16"/>
  <c r="B186" i="16"/>
  <c r="A188" i="16" l="1"/>
  <c r="D187" i="16"/>
  <c r="B187" i="16"/>
  <c r="F154" i="16"/>
  <c r="I154" i="16"/>
  <c r="K154" i="16" s="1"/>
  <c r="G154" i="16"/>
  <c r="H154" i="16" s="1"/>
  <c r="J154" i="16" s="1"/>
  <c r="C155" i="16" s="1"/>
  <c r="F155" i="16" l="1"/>
  <c r="I155" i="16"/>
  <c r="K155" i="16" s="1"/>
  <c r="G155" i="16"/>
  <c r="H155" i="16" s="1"/>
  <c r="J155" i="16" s="1"/>
  <c r="C156" i="16" s="1"/>
  <c r="D188" i="16"/>
  <c r="B188" i="16"/>
  <c r="A189" i="16"/>
  <c r="F156" i="16" l="1"/>
  <c r="I156" i="16"/>
  <c r="K156" i="16" s="1"/>
  <c r="G156" i="16"/>
  <c r="H156" i="16" s="1"/>
  <c r="J156" i="16"/>
  <c r="C157" i="16" s="1"/>
  <c r="D189" i="16"/>
  <c r="B189" i="16"/>
  <c r="A190" i="16"/>
  <c r="F157" i="16" l="1"/>
  <c r="I157" i="16"/>
  <c r="K157" i="16" s="1"/>
  <c r="G157" i="16"/>
  <c r="H157" i="16" s="1"/>
  <c r="J157" i="16" s="1"/>
  <c r="C158" i="16" s="1"/>
  <c r="A191" i="16"/>
  <c r="D190" i="16"/>
  <c r="B190" i="16"/>
  <c r="F158" i="16" l="1"/>
  <c r="I158" i="16"/>
  <c r="K158" i="16" s="1"/>
  <c r="G158" i="16"/>
  <c r="H158" i="16" s="1"/>
  <c r="J158" i="16" s="1"/>
  <c r="C159" i="16" s="1"/>
  <c r="B191" i="16"/>
  <c r="D191" i="16"/>
  <c r="A192" i="16"/>
  <c r="F159" i="16" l="1"/>
  <c r="G159" i="16"/>
  <c r="I159" i="16"/>
  <c r="K159" i="16" s="1"/>
  <c r="A193" i="16"/>
  <c r="D192" i="16"/>
  <c r="B192" i="16"/>
  <c r="D193" i="16" l="1"/>
  <c r="B193" i="16"/>
  <c r="A194" i="16"/>
  <c r="H159" i="16"/>
  <c r="J159" i="16" s="1"/>
  <c r="C160" i="16" s="1"/>
  <c r="A195" i="16" l="1"/>
  <c r="B194" i="16"/>
  <c r="D194" i="16"/>
  <c r="F160" i="16"/>
  <c r="I160" i="16"/>
  <c r="K160" i="16" s="1"/>
  <c r="G160" i="16"/>
  <c r="H160" i="16" s="1"/>
  <c r="J160" i="16"/>
  <c r="C161" i="16" s="1"/>
  <c r="F161" i="16" l="1"/>
  <c r="I161" i="16"/>
  <c r="K161" i="16" s="1"/>
  <c r="G161" i="16"/>
  <c r="H161" i="16" s="1"/>
  <c r="J161" i="16" s="1"/>
  <c r="C162" i="16" s="1"/>
  <c r="B195" i="16"/>
  <c r="A196" i="16"/>
  <c r="D195" i="16"/>
  <c r="F162" i="16" l="1"/>
  <c r="G162" i="16"/>
  <c r="H162" i="16" s="1"/>
  <c r="J162" i="16" s="1"/>
  <c r="C163" i="16" s="1"/>
  <c r="I162" i="16"/>
  <c r="K162" i="16" s="1"/>
  <c r="B196" i="16"/>
  <c r="D196" i="16"/>
  <c r="A197" i="16"/>
  <c r="F163" i="16" l="1"/>
  <c r="G163" i="16"/>
  <c r="I163" i="16"/>
  <c r="K163" i="16" s="1"/>
  <c r="B197" i="16"/>
  <c r="D197" i="16"/>
  <c r="A198" i="16"/>
  <c r="H163" i="16" l="1"/>
  <c r="J163" i="16" s="1"/>
  <c r="C164" i="16" s="1"/>
  <c r="D198" i="16"/>
  <c r="A199" i="16"/>
  <c r="B198" i="16"/>
  <c r="D199" i="16" l="1"/>
  <c r="A200" i="16"/>
  <c r="B199" i="16"/>
  <c r="F164" i="16"/>
  <c r="I164" i="16"/>
  <c r="K164" i="16" s="1"/>
  <c r="G164" i="16"/>
  <c r="H164" i="16" l="1"/>
  <c r="J164" i="16" s="1"/>
  <c r="C165" i="16" s="1"/>
  <c r="A201" i="16"/>
  <c r="B200" i="16"/>
  <c r="D200" i="16"/>
  <c r="B201" i="16" l="1"/>
  <c r="D201" i="16"/>
  <c r="A202" i="16"/>
  <c r="F165" i="16"/>
  <c r="I165" i="16"/>
  <c r="K165" i="16" s="1"/>
  <c r="G165" i="16"/>
  <c r="H165" i="16" s="1"/>
  <c r="J165" i="16"/>
  <c r="C166" i="16" s="1"/>
  <c r="A203" i="16" l="1"/>
  <c r="D202" i="16"/>
  <c r="B202" i="16"/>
  <c r="F166" i="16"/>
  <c r="G166" i="16"/>
  <c r="I166" i="16"/>
  <c r="K166" i="16" s="1"/>
  <c r="H166" i="16" l="1"/>
  <c r="J166" i="16" s="1"/>
  <c r="C167" i="16" s="1"/>
  <c r="D203" i="16"/>
  <c r="A204" i="16"/>
  <c r="B203" i="16"/>
  <c r="B204" i="16" l="1"/>
  <c r="D204" i="16"/>
  <c r="A205" i="16"/>
  <c r="F167" i="16"/>
  <c r="I167" i="16"/>
  <c r="K167" i="16" s="1"/>
  <c r="G167" i="16"/>
  <c r="H167" i="16" s="1"/>
  <c r="J167" i="16"/>
  <c r="C168" i="16" s="1"/>
  <c r="A206" i="16" l="1"/>
  <c r="D205" i="16"/>
  <c r="B205" i="16"/>
  <c r="F168" i="16"/>
  <c r="I168" i="16"/>
  <c r="K168" i="16" s="1"/>
  <c r="G168" i="16"/>
  <c r="H168" i="16" s="1"/>
  <c r="J168" i="16" s="1"/>
  <c r="C169" i="16" s="1"/>
  <c r="F169" i="16" l="1"/>
  <c r="I169" i="16"/>
  <c r="K169" i="16" s="1"/>
  <c r="G169" i="16"/>
  <c r="H169" i="16" s="1"/>
  <c r="J169" i="16" s="1"/>
  <c r="C170" i="16" s="1"/>
  <c r="A207" i="16"/>
  <c r="D206" i="16"/>
  <c r="B206" i="16"/>
  <c r="F170" i="16" l="1"/>
  <c r="I170" i="16"/>
  <c r="K170" i="16" s="1"/>
  <c r="G170" i="16"/>
  <c r="H170" i="16" s="1"/>
  <c r="J170" i="16" s="1"/>
  <c r="C171" i="16" s="1"/>
  <c r="A208" i="16"/>
  <c r="D207" i="16"/>
  <c r="B207" i="16"/>
  <c r="F171" i="16" l="1"/>
  <c r="G171" i="16"/>
  <c r="H171" i="16" s="1"/>
  <c r="I171" i="16"/>
  <c r="K171" i="16" s="1"/>
  <c r="J171" i="16"/>
  <c r="C172" i="16" s="1"/>
  <c r="B208" i="16"/>
  <c r="A209" i="16"/>
  <c r="D208" i="16"/>
  <c r="D209" i="16" l="1"/>
  <c r="A210" i="16"/>
  <c r="B209" i="16"/>
  <c r="F172" i="16"/>
  <c r="I172" i="16"/>
  <c r="K172" i="16" s="1"/>
  <c r="G172" i="16"/>
  <c r="H172" i="16" l="1"/>
  <c r="J172" i="16" s="1"/>
  <c r="C173" i="16" s="1"/>
  <c r="B210" i="16"/>
  <c r="D210" i="16"/>
  <c r="A211" i="16"/>
  <c r="A212" i="16" l="1"/>
  <c r="B211" i="16"/>
  <c r="D211" i="16"/>
  <c r="F173" i="16"/>
  <c r="I173" i="16"/>
  <c r="K173" i="16" s="1"/>
  <c r="G173" i="16"/>
  <c r="H173" i="16" l="1"/>
  <c r="J173" i="16" s="1"/>
  <c r="C174" i="16" s="1"/>
  <c r="B212" i="16"/>
  <c r="D212" i="16"/>
  <c r="A213" i="16"/>
  <c r="F174" i="16" l="1"/>
  <c r="I174" i="16"/>
  <c r="K174" i="16" s="1"/>
  <c r="G174" i="16"/>
  <c r="H174" i="16" s="1"/>
  <c r="J174" i="16" s="1"/>
  <c r="C175" i="16" s="1"/>
  <c r="B213" i="16"/>
  <c r="A214" i="16"/>
  <c r="D213" i="16"/>
  <c r="F175" i="16" l="1"/>
  <c r="I175" i="16"/>
  <c r="K175" i="16" s="1"/>
  <c r="G175" i="16"/>
  <c r="H175" i="16" s="1"/>
  <c r="J175" i="16"/>
  <c r="C176" i="16" s="1"/>
  <c r="B214" i="16"/>
  <c r="D214" i="16"/>
  <c r="A215" i="16"/>
  <c r="A216" i="16" l="1"/>
  <c r="B215" i="16"/>
  <c r="D215" i="16"/>
  <c r="F176" i="16"/>
  <c r="I176" i="16"/>
  <c r="K176" i="16" s="1"/>
  <c r="G176" i="16"/>
  <c r="H176" i="16" s="1"/>
  <c r="J176" i="16" s="1"/>
  <c r="C177" i="16" s="1"/>
  <c r="F177" i="16" l="1"/>
  <c r="G177" i="16"/>
  <c r="I177" i="16"/>
  <c r="K177" i="16" s="1"/>
  <c r="B216" i="16"/>
  <c r="A217" i="16"/>
  <c r="D216" i="16"/>
  <c r="A218" i="16" l="1"/>
  <c r="B217" i="16"/>
  <c r="D217" i="16"/>
  <c r="H177" i="16"/>
  <c r="J177" i="16" s="1"/>
  <c r="C178" i="16" s="1"/>
  <c r="F178" i="16" l="1"/>
  <c r="G178" i="16"/>
  <c r="I178" i="16"/>
  <c r="K178" i="16" s="1"/>
  <c r="B218" i="16"/>
  <c r="D218" i="16"/>
  <c r="A219" i="16"/>
  <c r="D219" i="16" l="1"/>
  <c r="A220" i="16"/>
  <c r="B219" i="16"/>
  <c r="H178" i="16"/>
  <c r="J178" i="16" s="1"/>
  <c r="C179" i="16" s="1"/>
  <c r="A221" i="16" l="1"/>
  <c r="D220" i="16"/>
  <c r="B220" i="16"/>
  <c r="F179" i="16"/>
  <c r="I179" i="16"/>
  <c r="K179" i="16" s="1"/>
  <c r="G179" i="16"/>
  <c r="H179" i="16" s="1"/>
  <c r="J179" i="16" s="1"/>
  <c r="C180" i="16" s="1"/>
  <c r="F180" i="16" l="1"/>
  <c r="I180" i="16"/>
  <c r="K180" i="16" s="1"/>
  <c r="G180" i="16"/>
  <c r="H180" i="16" s="1"/>
  <c r="J180" i="16" s="1"/>
  <c r="C181" i="16" s="1"/>
  <c r="B221" i="16"/>
  <c r="A222" i="16"/>
  <c r="D221" i="16"/>
  <c r="F181" i="16" l="1"/>
  <c r="I181" i="16"/>
  <c r="K181" i="16" s="1"/>
  <c r="G181" i="16"/>
  <c r="H181" i="16" s="1"/>
  <c r="J181" i="16" s="1"/>
  <c r="C182" i="16" s="1"/>
  <c r="A223" i="16"/>
  <c r="B222" i="16"/>
  <c r="D222" i="16"/>
  <c r="F182" i="16" l="1"/>
  <c r="G182" i="16"/>
  <c r="H182" i="16" s="1"/>
  <c r="I182" i="16"/>
  <c r="K182" i="16" s="1"/>
  <c r="J182" i="16"/>
  <c r="C183" i="16" s="1"/>
  <c r="A224" i="16"/>
  <c r="D223" i="16"/>
  <c r="B223" i="16"/>
  <c r="F183" i="16" l="1"/>
  <c r="I183" i="16"/>
  <c r="K183" i="16" s="1"/>
  <c r="J183" i="16"/>
  <c r="C184" i="16" s="1"/>
  <c r="G183" i="16"/>
  <c r="H183" i="16" s="1"/>
  <c r="A225" i="16"/>
  <c r="D224" i="16"/>
  <c r="B224" i="16"/>
  <c r="D225" i="16" l="1"/>
  <c r="B225" i="16"/>
  <c r="A226" i="16"/>
  <c r="F184" i="16"/>
  <c r="I184" i="16"/>
  <c r="K184" i="16" s="1"/>
  <c r="G184" i="16"/>
  <c r="H184" i="16" s="1"/>
  <c r="J184" i="16" s="1"/>
  <c r="C185" i="16" s="1"/>
  <c r="F185" i="16" l="1"/>
  <c r="I185" i="16"/>
  <c r="K185" i="16" s="1"/>
  <c r="G185" i="16"/>
  <c r="H185" i="16" s="1"/>
  <c r="J185" i="16" s="1"/>
  <c r="C186" i="16" s="1"/>
  <c r="A227" i="16"/>
  <c r="B226" i="16"/>
  <c r="D226" i="16"/>
  <c r="F186" i="16" l="1"/>
  <c r="I186" i="16"/>
  <c r="K186" i="16" s="1"/>
  <c r="G186" i="16"/>
  <c r="H186" i="16" s="1"/>
  <c r="J186" i="16" s="1"/>
  <c r="C187" i="16" s="1"/>
  <c r="A228" i="16"/>
  <c r="B227" i="16"/>
  <c r="D227" i="16"/>
  <c r="F187" i="16" l="1"/>
  <c r="I187" i="16"/>
  <c r="K187" i="16" s="1"/>
  <c r="G187" i="16"/>
  <c r="H187" i="16" s="1"/>
  <c r="J187" i="16"/>
  <c r="C188" i="16" s="1"/>
  <c r="B228" i="16"/>
  <c r="A229" i="16"/>
  <c r="D228" i="16"/>
  <c r="F188" i="16" l="1"/>
  <c r="G188" i="16"/>
  <c r="H188" i="16" s="1"/>
  <c r="J188" i="16" s="1"/>
  <c r="C189" i="16" s="1"/>
  <c r="I188" i="16"/>
  <c r="K188" i="16" s="1"/>
  <c r="B229" i="16"/>
  <c r="D229" i="16"/>
  <c r="A230" i="16"/>
  <c r="F189" i="16" l="1"/>
  <c r="I189" i="16"/>
  <c r="K189" i="16" s="1"/>
  <c r="G189" i="16"/>
  <c r="H189" i="16" s="1"/>
  <c r="J189" i="16" s="1"/>
  <c r="C190" i="16" s="1"/>
  <c r="A231" i="16"/>
  <c r="D230" i="16"/>
  <c r="B230" i="16"/>
  <c r="F190" i="16" l="1"/>
  <c r="I190" i="16"/>
  <c r="K190" i="16" s="1"/>
  <c r="G190" i="16"/>
  <c r="H190" i="16" s="1"/>
  <c r="J190" i="16" s="1"/>
  <c r="C191" i="16" s="1"/>
  <c r="D231" i="16"/>
  <c r="B231" i="16"/>
  <c r="A232" i="16"/>
  <c r="F191" i="16" l="1"/>
  <c r="I191" i="16"/>
  <c r="K191" i="16" s="1"/>
  <c r="G191" i="16"/>
  <c r="H191" i="16" s="1"/>
  <c r="J191" i="16" s="1"/>
  <c r="C192" i="16" s="1"/>
  <c r="B232" i="16"/>
  <c r="A233" i="16"/>
  <c r="D232" i="16"/>
  <c r="F192" i="16" l="1"/>
  <c r="I192" i="16"/>
  <c r="K192" i="16" s="1"/>
  <c r="G192" i="16"/>
  <c r="H192" i="16" s="1"/>
  <c r="J192" i="16" s="1"/>
  <c r="C193" i="16" s="1"/>
  <c r="D233" i="16"/>
  <c r="B233" i="16"/>
  <c r="A234" i="16"/>
  <c r="F193" i="16" l="1"/>
  <c r="I193" i="16"/>
  <c r="K193" i="16" s="1"/>
  <c r="G193" i="16"/>
  <c r="H193" i="16" s="1"/>
  <c r="J193" i="16" s="1"/>
  <c r="C194" i="16" s="1"/>
  <c r="A235" i="16"/>
  <c r="B234" i="16"/>
  <c r="D234" i="16"/>
  <c r="F194" i="16" l="1"/>
  <c r="I194" i="16"/>
  <c r="K194" i="16" s="1"/>
  <c r="G194" i="16"/>
  <c r="H194" i="16" s="1"/>
  <c r="J194" i="16"/>
  <c r="C195" i="16" s="1"/>
  <c r="A236" i="16"/>
  <c r="D235" i="16"/>
  <c r="B235" i="16"/>
  <c r="B236" i="16" l="1"/>
  <c r="A237" i="16"/>
  <c r="D236" i="16"/>
  <c r="F195" i="16"/>
  <c r="G195" i="16"/>
  <c r="H195" i="16" s="1"/>
  <c r="I195" i="16"/>
  <c r="K195" i="16" s="1"/>
  <c r="J195" i="16"/>
  <c r="C196" i="16" s="1"/>
  <c r="F196" i="16" l="1"/>
  <c r="I196" i="16"/>
  <c r="K196" i="16" s="1"/>
  <c r="G196" i="16"/>
  <c r="H196" i="16" s="1"/>
  <c r="J196" i="16"/>
  <c r="C197" i="16" s="1"/>
  <c r="A238" i="16"/>
  <c r="B237" i="16"/>
  <c r="D237" i="16"/>
  <c r="D238" i="16" l="1"/>
  <c r="B238" i="16"/>
  <c r="A239" i="16"/>
  <c r="F197" i="16"/>
  <c r="I197" i="16"/>
  <c r="K197" i="16" s="1"/>
  <c r="G197" i="16"/>
  <c r="H197" i="16" s="1"/>
  <c r="J197" i="16"/>
  <c r="C198" i="16" s="1"/>
  <c r="D239" i="16" l="1"/>
  <c r="B239" i="16"/>
  <c r="A240" i="16"/>
  <c r="F198" i="16"/>
  <c r="I198" i="16"/>
  <c r="K198" i="16" s="1"/>
  <c r="G198" i="16"/>
  <c r="B240" i="16" l="1"/>
  <c r="A241" i="16"/>
  <c r="D240" i="16"/>
  <c r="H198" i="16"/>
  <c r="J198" i="16" s="1"/>
  <c r="C199" i="16" s="1"/>
  <c r="A242" i="16" l="1"/>
  <c r="D241" i="16"/>
  <c r="B241" i="16"/>
  <c r="F199" i="16"/>
  <c r="I199" i="16"/>
  <c r="K199" i="16" s="1"/>
  <c r="G199" i="16"/>
  <c r="H199" i="16" s="1"/>
  <c r="J199" i="16" s="1"/>
  <c r="C200" i="16" s="1"/>
  <c r="F200" i="16" l="1"/>
  <c r="I200" i="16"/>
  <c r="K200" i="16" s="1"/>
  <c r="G200" i="16"/>
  <c r="D242" i="16"/>
  <c r="B242" i="16"/>
  <c r="A243" i="16"/>
  <c r="H200" i="16" l="1"/>
  <c r="J200" i="16" s="1"/>
  <c r="C201" i="16" s="1"/>
  <c r="A244" i="16"/>
  <c r="D243" i="16"/>
  <c r="B243" i="16"/>
  <c r="B244" i="16" l="1"/>
  <c r="A245" i="16"/>
  <c r="D244" i="16"/>
  <c r="F201" i="16"/>
  <c r="G201" i="16"/>
  <c r="H201" i="16" s="1"/>
  <c r="I201" i="16"/>
  <c r="K201" i="16" s="1"/>
  <c r="J201" i="16"/>
  <c r="C202" i="16" s="1"/>
  <c r="F202" i="16" l="1"/>
  <c r="J202" i="16"/>
  <c r="C203" i="16" s="1"/>
  <c r="G202" i="16"/>
  <c r="H202" i="16" s="1"/>
  <c r="I202" i="16"/>
  <c r="K202" i="16" s="1"/>
  <c r="B245" i="16"/>
  <c r="A246" i="16"/>
  <c r="D245" i="16"/>
  <c r="F203" i="16" l="1"/>
  <c r="G203" i="16"/>
  <c r="H203" i="16" s="1"/>
  <c r="J203" i="16" s="1"/>
  <c r="C204" i="16" s="1"/>
  <c r="I203" i="16"/>
  <c r="K203" i="16" s="1"/>
  <c r="D246" i="16"/>
  <c r="B246" i="16"/>
  <c r="A247" i="16"/>
  <c r="F204" i="16" l="1"/>
  <c r="I204" i="16"/>
  <c r="K204" i="16" s="1"/>
  <c r="G204" i="16"/>
  <c r="H204" i="16" s="1"/>
  <c r="J204" i="16"/>
  <c r="C205" i="16" s="1"/>
  <c r="D247" i="16"/>
  <c r="A248" i="16"/>
  <c r="B247" i="16"/>
  <c r="F205" i="16" l="1"/>
  <c r="G205" i="16"/>
  <c r="H205" i="16" s="1"/>
  <c r="J205" i="16" s="1"/>
  <c r="C206" i="16" s="1"/>
  <c r="I205" i="16"/>
  <c r="K205" i="16" s="1"/>
  <c r="A249" i="16"/>
  <c r="B248" i="16"/>
  <c r="D248" i="16"/>
  <c r="F206" i="16" l="1"/>
  <c r="I206" i="16"/>
  <c r="K206" i="16" s="1"/>
  <c r="G206" i="16"/>
  <c r="H206" i="16" s="1"/>
  <c r="J206" i="16" s="1"/>
  <c r="C207" i="16" s="1"/>
  <c r="D249" i="16"/>
  <c r="B249" i="16"/>
  <c r="A250" i="16"/>
  <c r="F207" i="16" l="1"/>
  <c r="I207" i="16"/>
  <c r="K207" i="16" s="1"/>
  <c r="G207" i="16"/>
  <c r="H207" i="16" s="1"/>
  <c r="J207" i="16"/>
  <c r="C208" i="16" s="1"/>
  <c r="B250" i="16"/>
  <c r="D250" i="16"/>
  <c r="A251" i="16"/>
  <c r="F208" i="16" l="1"/>
  <c r="I208" i="16"/>
  <c r="K208" i="16" s="1"/>
  <c r="J208" i="16"/>
  <c r="C209" i="16" s="1"/>
  <c r="G208" i="16"/>
  <c r="H208" i="16" s="1"/>
  <c r="A252" i="16"/>
  <c r="D251" i="16"/>
  <c r="B251" i="16"/>
  <c r="B252" i="16" l="1"/>
  <c r="A253" i="16"/>
  <c r="D252" i="16"/>
  <c r="F209" i="16"/>
  <c r="I209" i="16"/>
  <c r="K209" i="16" s="1"/>
  <c r="G209" i="16"/>
  <c r="H209" i="16" s="1"/>
  <c r="J209" i="16" s="1"/>
  <c r="C210" i="16" s="1"/>
  <c r="F210" i="16" l="1"/>
  <c r="I210" i="16"/>
  <c r="K210" i="16" s="1"/>
  <c r="G210" i="16"/>
  <c r="H210" i="16" s="1"/>
  <c r="J210" i="16" s="1"/>
  <c r="C211" i="16" s="1"/>
  <c r="A254" i="16"/>
  <c r="D253" i="16"/>
  <c r="B253" i="16"/>
  <c r="F211" i="16" l="1"/>
  <c r="G211" i="16"/>
  <c r="H211" i="16" s="1"/>
  <c r="I211" i="16"/>
  <c r="K211" i="16" s="1"/>
  <c r="J211" i="16"/>
  <c r="C212" i="16" s="1"/>
  <c r="B254" i="16"/>
  <c r="D254" i="16"/>
  <c r="A255" i="16"/>
  <c r="D255" i="16" l="1"/>
  <c r="B255" i="16"/>
  <c r="A256" i="16"/>
  <c r="F212" i="16"/>
  <c r="I212" i="16"/>
  <c r="K212" i="16" s="1"/>
  <c r="G212" i="16"/>
  <c r="H212" i="16" s="1"/>
  <c r="J212" i="16"/>
  <c r="C213" i="16" s="1"/>
  <c r="A257" i="16" l="1"/>
  <c r="D256" i="16"/>
  <c r="B256" i="16"/>
  <c r="F213" i="16"/>
  <c r="I213" i="16"/>
  <c r="K213" i="16" s="1"/>
  <c r="G213" i="16"/>
  <c r="H213" i="16" s="1"/>
  <c r="J213" i="16"/>
  <c r="C214" i="16" s="1"/>
  <c r="F214" i="16" l="1"/>
  <c r="I214" i="16"/>
  <c r="K214" i="16" s="1"/>
  <c r="J214" i="16"/>
  <c r="C215" i="16" s="1"/>
  <c r="G214" i="16"/>
  <c r="H214" i="16" s="1"/>
  <c r="B257" i="16"/>
  <c r="A258" i="16"/>
  <c r="D257" i="16"/>
  <c r="A259" i="16" l="1"/>
  <c r="B258" i="16"/>
  <c r="D258" i="16"/>
  <c r="F215" i="16"/>
  <c r="I215" i="16"/>
  <c r="K215" i="16" s="1"/>
  <c r="G215" i="16"/>
  <c r="H215" i="16" s="1"/>
  <c r="J215" i="16" s="1"/>
  <c r="C216" i="16" s="1"/>
  <c r="F216" i="16" l="1"/>
  <c r="I216" i="16"/>
  <c r="K216" i="16" s="1"/>
  <c r="G216" i="16"/>
  <c r="H216" i="16" s="1"/>
  <c r="J216" i="16" s="1"/>
  <c r="C217" i="16" s="1"/>
  <c r="B259" i="16"/>
  <c r="D259" i="16"/>
  <c r="A260" i="16"/>
  <c r="F217" i="16" l="1"/>
  <c r="I217" i="16"/>
  <c r="K217" i="16" s="1"/>
  <c r="G217" i="16"/>
  <c r="H217" i="16" s="1"/>
  <c r="J217" i="16" s="1"/>
  <c r="C218" i="16" s="1"/>
  <c r="B260" i="16"/>
  <c r="A261" i="16"/>
  <c r="D260" i="16"/>
  <c r="F218" i="16" l="1"/>
  <c r="I218" i="16"/>
  <c r="K218" i="16" s="1"/>
  <c r="G218" i="16"/>
  <c r="H218" i="16" s="1"/>
  <c r="J218" i="16"/>
  <c r="C219" i="16" s="1"/>
  <c r="B261" i="16"/>
  <c r="D261" i="16"/>
  <c r="A262" i="16"/>
  <c r="F219" i="16" l="1"/>
  <c r="I219" i="16"/>
  <c r="K219" i="16" s="1"/>
  <c r="J219" i="16"/>
  <c r="C220" i="16" s="1"/>
  <c r="G219" i="16"/>
  <c r="H219" i="16" s="1"/>
  <c r="B262" i="16"/>
  <c r="A263" i="16"/>
  <c r="D262" i="16"/>
  <c r="F220" i="16" l="1"/>
  <c r="I220" i="16"/>
  <c r="K220" i="16" s="1"/>
  <c r="G220" i="16"/>
  <c r="B263" i="16"/>
  <c r="D263" i="16"/>
  <c r="A264" i="16"/>
  <c r="H220" i="16" l="1"/>
  <c r="J220" i="16" s="1"/>
  <c r="C221" i="16" s="1"/>
  <c r="D264" i="16"/>
  <c r="A265" i="16"/>
  <c r="B264" i="16"/>
  <c r="B265" i="16" l="1"/>
  <c r="D265" i="16"/>
  <c r="A266" i="16"/>
  <c r="F221" i="16"/>
  <c r="I221" i="16"/>
  <c r="K221" i="16" s="1"/>
  <c r="G221" i="16"/>
  <c r="H221" i="16" s="1"/>
  <c r="J221" i="16"/>
  <c r="C222" i="16" s="1"/>
  <c r="F222" i="16" l="1"/>
  <c r="I222" i="16"/>
  <c r="K222" i="16" s="1"/>
  <c r="G222" i="16"/>
  <c r="H222" i="16" s="1"/>
  <c r="J222" i="16" s="1"/>
  <c r="C223" i="16" s="1"/>
  <c r="A267" i="16"/>
  <c r="D266" i="16"/>
  <c r="B266" i="16"/>
  <c r="F223" i="16" l="1"/>
  <c r="I223" i="16"/>
  <c r="K223" i="16" s="1"/>
  <c r="G223" i="16"/>
  <c r="H223" i="16" s="1"/>
  <c r="J223" i="16" s="1"/>
  <c r="C224" i="16" s="1"/>
  <c r="B267" i="16"/>
  <c r="A268" i="16"/>
  <c r="D267" i="16"/>
  <c r="F224" i="16" l="1"/>
  <c r="I224" i="16"/>
  <c r="K224" i="16" s="1"/>
  <c r="J224" i="16"/>
  <c r="C225" i="16" s="1"/>
  <c r="G224" i="16"/>
  <c r="H224" i="16" s="1"/>
  <c r="A269" i="16"/>
  <c r="D268" i="16"/>
  <c r="B268" i="16"/>
  <c r="F225" i="16" l="1"/>
  <c r="I225" i="16"/>
  <c r="K225" i="16" s="1"/>
  <c r="G225" i="16"/>
  <c r="H225" i="16" s="1"/>
  <c r="J225" i="16" s="1"/>
  <c r="C226" i="16" s="1"/>
  <c r="B269" i="16"/>
  <c r="A270" i="16"/>
  <c r="D269" i="16"/>
  <c r="F226" i="16" l="1"/>
  <c r="I226" i="16"/>
  <c r="K226" i="16" s="1"/>
  <c r="G226" i="16"/>
  <c r="H226" i="16" s="1"/>
  <c r="J226" i="16"/>
  <c r="C227" i="16" s="1"/>
  <c r="D270" i="16"/>
  <c r="A271" i="16"/>
  <c r="B270" i="16"/>
  <c r="F227" i="16" l="1"/>
  <c r="I227" i="16"/>
  <c r="K227" i="16" s="1"/>
  <c r="G227" i="16"/>
  <c r="H227" i="16" s="1"/>
  <c r="J227" i="16"/>
  <c r="C228" i="16" s="1"/>
  <c r="D271" i="16"/>
  <c r="B271" i="16"/>
  <c r="A272" i="16"/>
  <c r="D272" i="16" l="1"/>
  <c r="B272" i="16"/>
  <c r="A273" i="16"/>
  <c r="F228" i="16"/>
  <c r="I228" i="16"/>
  <c r="K228" i="16" s="1"/>
  <c r="G228" i="16"/>
  <c r="H228" i="16" s="1"/>
  <c r="J228" i="16" s="1"/>
  <c r="C229" i="16" s="1"/>
  <c r="F229" i="16" l="1"/>
  <c r="I229" i="16"/>
  <c r="K229" i="16" s="1"/>
  <c r="G229" i="16"/>
  <c r="A274" i="16"/>
  <c r="D273" i="16"/>
  <c r="B273" i="16"/>
  <c r="H229" i="16" l="1"/>
  <c r="J229" i="16" s="1"/>
  <c r="C230" i="16" s="1"/>
  <c r="B274" i="16"/>
  <c r="A275" i="16"/>
  <c r="D274" i="16"/>
  <c r="A276" i="16" l="1"/>
  <c r="D275" i="16"/>
  <c r="B275" i="16"/>
  <c r="F230" i="16"/>
  <c r="I230" i="16"/>
  <c r="K230" i="16" s="1"/>
  <c r="G230" i="16"/>
  <c r="H230" i="16" s="1"/>
  <c r="J230" i="16" s="1"/>
  <c r="C231" i="16" s="1"/>
  <c r="F231" i="16" l="1"/>
  <c r="I231" i="16"/>
  <c r="K231" i="16" s="1"/>
  <c r="G231" i="16"/>
  <c r="H231" i="16" s="1"/>
  <c r="J231" i="16" s="1"/>
  <c r="C232" i="16" s="1"/>
  <c r="D276" i="16"/>
  <c r="A277" i="16"/>
  <c r="B276" i="16"/>
  <c r="F232" i="16" l="1"/>
  <c r="G232" i="16"/>
  <c r="H232" i="16" s="1"/>
  <c r="J232" i="16" s="1"/>
  <c r="C233" i="16" s="1"/>
  <c r="I232" i="16"/>
  <c r="K232" i="16" s="1"/>
  <c r="A278" i="16"/>
  <c r="D277" i="16"/>
  <c r="B277" i="16"/>
  <c r="F233" i="16" l="1"/>
  <c r="I233" i="16"/>
  <c r="K233" i="16" s="1"/>
  <c r="G233" i="16"/>
  <c r="H233" i="16" s="1"/>
  <c r="J233" i="16" s="1"/>
  <c r="C234" i="16" s="1"/>
  <c r="A279" i="16"/>
  <c r="B278" i="16"/>
  <c r="D278" i="16"/>
  <c r="F234" i="16" l="1"/>
  <c r="G234" i="16"/>
  <c r="H234" i="16" s="1"/>
  <c r="J234" i="16" s="1"/>
  <c r="C235" i="16" s="1"/>
  <c r="I234" i="16"/>
  <c r="K234" i="16" s="1"/>
  <c r="A280" i="16"/>
  <c r="B279" i="16"/>
  <c r="D279" i="16"/>
  <c r="F235" i="16" l="1"/>
  <c r="G235" i="16"/>
  <c r="I235" i="16"/>
  <c r="K235" i="16" s="1"/>
  <c r="B280" i="16"/>
  <c r="D280" i="16"/>
  <c r="A281" i="16"/>
  <c r="B281" i="16" l="1"/>
  <c r="D281" i="16"/>
  <c r="A282" i="16"/>
  <c r="H235" i="16"/>
  <c r="J235" i="16" s="1"/>
  <c r="C236" i="16" s="1"/>
  <c r="F236" i="16" l="1"/>
  <c r="G236" i="16"/>
  <c r="I236" i="16"/>
  <c r="K236" i="16" s="1"/>
  <c r="D282" i="16"/>
  <c r="A283" i="16"/>
  <c r="B282" i="16"/>
  <c r="D283" i="16" l="1"/>
  <c r="A284" i="16"/>
  <c r="B283" i="16"/>
  <c r="H236" i="16"/>
  <c r="J236" i="16" s="1"/>
  <c r="C237" i="16" s="1"/>
  <c r="F237" i="16" l="1"/>
  <c r="I237" i="16"/>
  <c r="K237" i="16" s="1"/>
  <c r="G237" i="16"/>
  <c r="H237" i="16" s="1"/>
  <c r="J237" i="16" s="1"/>
  <c r="C238" i="16" s="1"/>
  <c r="A285" i="16"/>
  <c r="D284" i="16"/>
  <c r="B284" i="16"/>
  <c r="F238" i="16" l="1"/>
  <c r="I238" i="16"/>
  <c r="K238" i="16" s="1"/>
  <c r="G238" i="16"/>
  <c r="H238" i="16" s="1"/>
  <c r="J238" i="16"/>
  <c r="C239" i="16" s="1"/>
  <c r="B285" i="16"/>
  <c r="D285" i="16"/>
  <c r="A286" i="16"/>
  <c r="F239" i="16" l="1"/>
  <c r="I239" i="16"/>
  <c r="K239" i="16" s="1"/>
  <c r="G239" i="16"/>
  <c r="H239" i="16" s="1"/>
  <c r="J239" i="16" s="1"/>
  <c r="C240" i="16" s="1"/>
  <c r="D286" i="16"/>
  <c r="A287" i="16"/>
  <c r="B286" i="16"/>
  <c r="F240" i="16" l="1"/>
  <c r="G240" i="16"/>
  <c r="H240" i="16" s="1"/>
  <c r="I240" i="16"/>
  <c r="K240" i="16" s="1"/>
  <c r="J240" i="16"/>
  <c r="C241" i="16" s="1"/>
  <c r="D287" i="16"/>
  <c r="B287" i="16"/>
  <c r="A288" i="16"/>
  <c r="F241" i="16" l="1"/>
  <c r="I241" i="16"/>
  <c r="K241" i="16" s="1"/>
  <c r="G241" i="16"/>
  <c r="H241" i="16" s="1"/>
  <c r="J241" i="16" s="1"/>
  <c r="C242" i="16" s="1"/>
  <c r="A289" i="16"/>
  <c r="B288" i="16"/>
  <c r="D288" i="16"/>
  <c r="F242" i="16" l="1"/>
  <c r="G242" i="16"/>
  <c r="H242" i="16" s="1"/>
  <c r="J242" i="16" s="1"/>
  <c r="C243" i="16" s="1"/>
  <c r="I242" i="16"/>
  <c r="K242" i="16" s="1"/>
  <c r="B289" i="16"/>
  <c r="A290" i="16"/>
  <c r="D289" i="16"/>
  <c r="F243" i="16" l="1"/>
  <c r="I243" i="16"/>
  <c r="K243" i="16" s="1"/>
  <c r="J243" i="16"/>
  <c r="C244" i="16" s="1"/>
  <c r="G243" i="16"/>
  <c r="H243" i="16" s="1"/>
  <c r="B290" i="16"/>
  <c r="D290" i="16"/>
  <c r="A291" i="16"/>
  <c r="F244" i="16" l="1"/>
  <c r="I244" i="16"/>
  <c r="K244" i="16" s="1"/>
  <c r="G244" i="16"/>
  <c r="H244" i="16" s="1"/>
  <c r="J244" i="16"/>
  <c r="C245" i="16" s="1"/>
  <c r="A292" i="16"/>
  <c r="B291" i="16"/>
  <c r="D291" i="16"/>
  <c r="F245" i="16" l="1"/>
  <c r="I245" i="16"/>
  <c r="K245" i="16" s="1"/>
  <c r="G245" i="16"/>
  <c r="H245" i="16" s="1"/>
  <c r="J245" i="16"/>
  <c r="C246" i="16" s="1"/>
  <c r="B292" i="16"/>
  <c r="D292" i="16"/>
  <c r="A293" i="16"/>
  <c r="F246" i="16" l="1"/>
  <c r="I246" i="16"/>
  <c r="K246" i="16" s="1"/>
  <c r="G246" i="16"/>
  <c r="H246" i="16" s="1"/>
  <c r="J246" i="16"/>
  <c r="C247" i="16" s="1"/>
  <c r="B293" i="16"/>
  <c r="D293" i="16"/>
  <c r="A294" i="16"/>
  <c r="A295" i="16" l="1"/>
  <c r="D294" i="16"/>
  <c r="B294" i="16"/>
  <c r="F247" i="16"/>
  <c r="I247" i="16"/>
  <c r="K247" i="16" s="1"/>
  <c r="G247" i="16"/>
  <c r="H247" i="16" s="1"/>
  <c r="J247" i="16" s="1"/>
  <c r="C248" i="16" s="1"/>
  <c r="F248" i="16" l="1"/>
  <c r="I248" i="16"/>
  <c r="K248" i="16" s="1"/>
  <c r="G248" i="16"/>
  <c r="H248" i="16" s="1"/>
  <c r="J248" i="16"/>
  <c r="C249" i="16" s="1"/>
  <c r="A296" i="16"/>
  <c r="B295" i="16"/>
  <c r="D295" i="16"/>
  <c r="F249" i="16" l="1"/>
  <c r="I249" i="16"/>
  <c r="K249" i="16" s="1"/>
  <c r="G249" i="16"/>
  <c r="H249" i="16" s="1"/>
  <c r="J249" i="16" s="1"/>
  <c r="C250" i="16" s="1"/>
  <c r="D296" i="16"/>
  <c r="B296" i="16"/>
  <c r="A297" i="16"/>
  <c r="F250" i="16" l="1"/>
  <c r="I250" i="16"/>
  <c r="K250" i="16" s="1"/>
  <c r="J250" i="16"/>
  <c r="C251" i="16" s="1"/>
  <c r="G250" i="16"/>
  <c r="H250" i="16" s="1"/>
  <c r="D297" i="16"/>
  <c r="B297" i="16"/>
  <c r="A298" i="16"/>
  <c r="F251" i="16" l="1"/>
  <c r="I251" i="16"/>
  <c r="K251" i="16" s="1"/>
  <c r="G251" i="16"/>
  <c r="H251" i="16" s="1"/>
  <c r="J251" i="16" s="1"/>
  <c r="C252" i="16" s="1"/>
  <c r="A299" i="16"/>
  <c r="D298" i="16"/>
  <c r="B298" i="16"/>
  <c r="F252" i="16" l="1"/>
  <c r="I252" i="16"/>
  <c r="K252" i="16" s="1"/>
  <c r="G252" i="16"/>
  <c r="H252" i="16" s="1"/>
  <c r="J252" i="16" s="1"/>
  <c r="C253" i="16" s="1"/>
  <c r="B299" i="16"/>
  <c r="D299" i="16"/>
  <c r="A300" i="16"/>
  <c r="F253" i="16" l="1"/>
  <c r="I253" i="16"/>
  <c r="K253" i="16" s="1"/>
  <c r="G253" i="16"/>
  <c r="H253" i="16" s="1"/>
  <c r="J253" i="16"/>
  <c r="C254" i="16" s="1"/>
  <c r="D300" i="16"/>
  <c r="A301" i="16"/>
  <c r="B300" i="16"/>
  <c r="A302" i="16" l="1"/>
  <c r="D301" i="16"/>
  <c r="B301" i="16"/>
  <c r="F254" i="16"/>
  <c r="I254" i="16"/>
  <c r="K254" i="16" s="1"/>
  <c r="G254" i="16"/>
  <c r="H254" i="16" s="1"/>
  <c r="J254" i="16"/>
  <c r="C255" i="16" s="1"/>
  <c r="F255" i="16" l="1"/>
  <c r="G255" i="16"/>
  <c r="I255" i="16"/>
  <c r="K255" i="16" s="1"/>
  <c r="D302" i="16"/>
  <c r="A303" i="16"/>
  <c r="B302" i="16"/>
  <c r="A304" i="16" l="1"/>
  <c r="B303" i="16"/>
  <c r="D303" i="16"/>
  <c r="H255" i="16"/>
  <c r="J255" i="16" s="1"/>
  <c r="C256" i="16" s="1"/>
  <c r="B304" i="16" l="1"/>
  <c r="D304" i="16"/>
  <c r="A305" i="16"/>
  <c r="F256" i="16"/>
  <c r="I256" i="16"/>
  <c r="K256" i="16" s="1"/>
  <c r="G256" i="16"/>
  <c r="H256" i="16" s="1"/>
  <c r="J256" i="16"/>
  <c r="C257" i="16" s="1"/>
  <c r="B305" i="16" l="1"/>
  <c r="A306" i="16"/>
  <c r="D305" i="16"/>
  <c r="F257" i="16"/>
  <c r="I257" i="16"/>
  <c r="K257" i="16" s="1"/>
  <c r="G257" i="16"/>
  <c r="H257" i="16" s="1"/>
  <c r="J257" i="16" s="1"/>
  <c r="C258" i="16" s="1"/>
  <c r="F258" i="16" l="1"/>
  <c r="I258" i="16"/>
  <c r="K258" i="16" s="1"/>
  <c r="G258" i="16"/>
  <c r="H258" i="16" s="1"/>
  <c r="J258" i="16" s="1"/>
  <c r="C259" i="16" s="1"/>
  <c r="D306" i="16"/>
  <c r="A307" i="16"/>
  <c r="B306" i="16"/>
  <c r="F259" i="16" l="1"/>
  <c r="I259" i="16"/>
  <c r="K259" i="16" s="1"/>
  <c r="J259" i="16"/>
  <c r="C260" i="16" s="1"/>
  <c r="G259" i="16"/>
  <c r="H259" i="16" s="1"/>
  <c r="B307" i="16"/>
  <c r="A308" i="16"/>
  <c r="D307" i="16"/>
  <c r="F260" i="16" l="1"/>
  <c r="I260" i="16"/>
  <c r="K260" i="16" s="1"/>
  <c r="J260" i="16"/>
  <c r="C261" i="16" s="1"/>
  <c r="G260" i="16"/>
  <c r="H260" i="16" s="1"/>
  <c r="B308" i="16"/>
  <c r="A309" i="16"/>
  <c r="D308" i="16"/>
  <c r="F261" i="16" l="1"/>
  <c r="J261" i="16"/>
  <c r="C262" i="16" s="1"/>
  <c r="G261" i="16"/>
  <c r="I261" i="16"/>
  <c r="K261" i="16" s="1"/>
  <c r="B309" i="16"/>
  <c r="A310" i="16"/>
  <c r="D309" i="16"/>
  <c r="A311" i="16" l="1"/>
  <c r="D310" i="16"/>
  <c r="B310" i="16"/>
  <c r="F262" i="16"/>
  <c r="I262" i="16"/>
  <c r="K262" i="16" s="1"/>
  <c r="G262" i="16"/>
  <c r="H262" i="16" s="1"/>
  <c r="J262" i="16"/>
  <c r="C263" i="16" s="1"/>
  <c r="H261" i="16"/>
  <c r="F263" i="16" l="1"/>
  <c r="I263" i="16"/>
  <c r="K263" i="16" s="1"/>
  <c r="G263" i="16"/>
  <c r="H263" i="16" s="1"/>
  <c r="J263" i="16"/>
  <c r="C264" i="16" s="1"/>
  <c r="D311" i="16"/>
  <c r="A312" i="16"/>
  <c r="B311" i="16"/>
  <c r="A313" i="16" l="1"/>
  <c r="B312" i="16"/>
  <c r="D312" i="16"/>
  <c r="F264" i="16"/>
  <c r="J264" i="16"/>
  <c r="C265" i="16" s="1"/>
  <c r="I264" i="16"/>
  <c r="K264" i="16" s="1"/>
  <c r="G264" i="16"/>
  <c r="H264" i="16" s="1"/>
  <c r="F265" i="16" l="1"/>
  <c r="J265" i="16"/>
  <c r="C266" i="16" s="1"/>
  <c r="I265" i="16"/>
  <c r="K265" i="16" s="1"/>
  <c r="G265" i="16"/>
  <c r="H265" i="16" s="1"/>
  <c r="A314" i="16"/>
  <c r="D313" i="16"/>
  <c r="B313" i="16"/>
  <c r="D314" i="16" l="1"/>
  <c r="B314" i="16"/>
  <c r="A315" i="16"/>
  <c r="F266" i="16"/>
  <c r="I266" i="16"/>
  <c r="K266" i="16" s="1"/>
  <c r="J266" i="16"/>
  <c r="C267" i="16" s="1"/>
  <c r="G266" i="16"/>
  <c r="H266" i="16" s="1"/>
  <c r="B315" i="16" l="1"/>
  <c r="A316" i="16"/>
  <c r="D315" i="16"/>
  <c r="F267" i="16"/>
  <c r="I267" i="16"/>
  <c r="K267" i="16" s="1"/>
  <c r="G267" i="16"/>
  <c r="H267" i="16" s="1"/>
  <c r="J267" i="16"/>
  <c r="C268" i="16" s="1"/>
  <c r="D316" i="16" l="1"/>
  <c r="A317" i="16"/>
  <c r="B316" i="16"/>
  <c r="F268" i="16"/>
  <c r="I268" i="16"/>
  <c r="K268" i="16" s="1"/>
  <c r="G268" i="16"/>
  <c r="H268" i="16" s="1"/>
  <c r="J268" i="16"/>
  <c r="C269" i="16" s="1"/>
  <c r="F269" i="16" l="1"/>
  <c r="I269" i="16"/>
  <c r="K269" i="16" s="1"/>
  <c r="J269" i="16"/>
  <c r="C270" i="16" s="1"/>
  <c r="G269" i="16"/>
  <c r="H269" i="16" s="1"/>
  <c r="A318" i="16"/>
  <c r="D317" i="16"/>
  <c r="B317" i="16"/>
  <c r="D318" i="16" l="1"/>
  <c r="A319" i="16"/>
  <c r="B318" i="16"/>
  <c r="F270" i="16"/>
  <c r="I270" i="16"/>
  <c r="K270" i="16" s="1"/>
  <c r="J270" i="16"/>
  <c r="C271" i="16" s="1"/>
  <c r="G270" i="16"/>
  <c r="H270" i="16" s="1"/>
  <c r="F271" i="16" l="1"/>
  <c r="I271" i="16"/>
  <c r="K271" i="16" s="1"/>
  <c r="J271" i="16"/>
  <c r="C272" i="16" s="1"/>
  <c r="G271" i="16"/>
  <c r="H271" i="16" s="1"/>
  <c r="A320" i="16"/>
  <c r="D319" i="16"/>
  <c r="B319" i="16"/>
  <c r="F272" i="16" l="1"/>
  <c r="J272" i="16"/>
  <c r="C273" i="16" s="1"/>
  <c r="I272" i="16"/>
  <c r="K272" i="16" s="1"/>
  <c r="G272" i="16"/>
  <c r="H272" i="16" s="1"/>
  <c r="A321" i="16"/>
  <c r="B320" i="16"/>
  <c r="D320" i="16"/>
  <c r="B321" i="16" l="1"/>
  <c r="D321" i="16"/>
  <c r="A322" i="16"/>
  <c r="F273" i="16"/>
  <c r="I273" i="16"/>
  <c r="K273" i="16" s="1"/>
  <c r="G273" i="16"/>
  <c r="H273" i="16" s="1"/>
  <c r="J273" i="16"/>
  <c r="C274" i="16" s="1"/>
  <c r="B322" i="16" l="1"/>
  <c r="A323" i="16"/>
  <c r="D322" i="16"/>
  <c r="F274" i="16"/>
  <c r="I274" i="16"/>
  <c r="K274" i="16" s="1"/>
  <c r="J274" i="16"/>
  <c r="C275" i="16" s="1"/>
  <c r="G274" i="16"/>
  <c r="H274" i="16" s="1"/>
  <c r="A324" i="16" l="1"/>
  <c r="B323" i="16"/>
  <c r="D323" i="16"/>
  <c r="F275" i="16"/>
  <c r="I275" i="16"/>
  <c r="K275" i="16" s="1"/>
  <c r="G275" i="16"/>
  <c r="H275" i="16" s="1"/>
  <c r="J275" i="16"/>
  <c r="C276" i="16" s="1"/>
  <c r="A325" i="16" l="1"/>
  <c r="B324" i="16"/>
  <c r="D324" i="16"/>
  <c r="F276" i="16"/>
  <c r="I276" i="16"/>
  <c r="K276" i="16" s="1"/>
  <c r="G276" i="16"/>
  <c r="H276" i="16" s="1"/>
  <c r="J276" i="16"/>
  <c r="C277" i="16" s="1"/>
  <c r="B325" i="16" l="1"/>
  <c r="A326" i="16"/>
  <c r="D325" i="16"/>
  <c r="F277" i="16"/>
  <c r="I277" i="16"/>
  <c r="K277" i="16" s="1"/>
  <c r="G277" i="16"/>
  <c r="H277" i="16" s="1"/>
  <c r="J277" i="16"/>
  <c r="C278" i="16" s="1"/>
  <c r="A327" i="16" l="1"/>
  <c r="B326" i="16"/>
  <c r="D326" i="16"/>
  <c r="F278" i="16"/>
  <c r="G278" i="16"/>
  <c r="H278" i="16" s="1"/>
  <c r="I278" i="16"/>
  <c r="K278" i="16" s="1"/>
  <c r="J278" i="16"/>
  <c r="C279" i="16" s="1"/>
  <c r="F279" i="16" l="1"/>
  <c r="I279" i="16"/>
  <c r="K279" i="16" s="1"/>
  <c r="J279" i="16"/>
  <c r="C280" i="16" s="1"/>
  <c r="G279" i="16"/>
  <c r="H279" i="16" s="1"/>
  <c r="D327" i="16"/>
  <c r="B327" i="16"/>
  <c r="A328" i="16"/>
  <c r="A329" i="16" l="1"/>
  <c r="B328" i="16"/>
  <c r="D328" i="16"/>
  <c r="F280" i="16"/>
  <c r="I280" i="16"/>
  <c r="K280" i="16" s="1"/>
  <c r="J280" i="16"/>
  <c r="C281" i="16" s="1"/>
  <c r="G280" i="16"/>
  <c r="H280" i="16" s="1"/>
  <c r="F281" i="16" l="1"/>
  <c r="I281" i="16"/>
  <c r="K281" i="16" s="1"/>
  <c r="J281" i="16"/>
  <c r="C282" i="16" s="1"/>
  <c r="G281" i="16"/>
  <c r="H281" i="16" s="1"/>
  <c r="A330" i="16"/>
  <c r="D329" i="16"/>
  <c r="B329" i="16"/>
  <c r="F282" i="16" l="1"/>
  <c r="I282" i="16"/>
  <c r="K282" i="16" s="1"/>
  <c r="G282" i="16"/>
  <c r="H282" i="16" s="1"/>
  <c r="J282" i="16"/>
  <c r="C283" i="16" s="1"/>
  <c r="B330" i="16"/>
  <c r="A331" i="16"/>
  <c r="D330" i="16"/>
  <c r="F283" i="16" l="1"/>
  <c r="I283" i="16"/>
  <c r="K283" i="16" s="1"/>
  <c r="G283" i="16"/>
  <c r="H283" i="16" s="1"/>
  <c r="J283" i="16"/>
  <c r="C284" i="16" s="1"/>
  <c r="B331" i="16"/>
  <c r="D331" i="16"/>
  <c r="A332" i="16"/>
  <c r="F284" i="16" l="1"/>
  <c r="I284" i="16"/>
  <c r="K284" i="16" s="1"/>
  <c r="J284" i="16"/>
  <c r="C285" i="16" s="1"/>
  <c r="G284" i="16"/>
  <c r="H284" i="16" s="1"/>
  <c r="D332" i="16"/>
  <c r="A333" i="16"/>
  <c r="B332" i="16"/>
  <c r="B333" i="16" l="1"/>
  <c r="D333" i="16"/>
  <c r="A334" i="16"/>
  <c r="F285" i="16"/>
  <c r="I285" i="16"/>
  <c r="K285" i="16" s="1"/>
  <c r="G285" i="16"/>
  <c r="H285" i="16" s="1"/>
  <c r="J285" i="16"/>
  <c r="C286" i="16" s="1"/>
  <c r="B334" i="16" l="1"/>
  <c r="A335" i="16"/>
  <c r="D334" i="16"/>
  <c r="F286" i="16"/>
  <c r="I286" i="16"/>
  <c r="K286" i="16" s="1"/>
  <c r="G286" i="16"/>
  <c r="H286" i="16" s="1"/>
  <c r="J286" i="16"/>
  <c r="C287" i="16" s="1"/>
  <c r="F287" i="16" l="1"/>
  <c r="I287" i="16"/>
  <c r="K287" i="16" s="1"/>
  <c r="J287" i="16"/>
  <c r="C288" i="16" s="1"/>
  <c r="G287" i="16"/>
  <c r="H287" i="16" s="1"/>
  <c r="B335" i="16"/>
  <c r="A336" i="16"/>
  <c r="D335" i="16"/>
  <c r="A337" i="16" l="1"/>
  <c r="D336" i="16"/>
  <c r="B336" i="16"/>
  <c r="F288" i="16"/>
  <c r="I288" i="16"/>
  <c r="K288" i="16" s="1"/>
  <c r="G288" i="16"/>
  <c r="H288" i="16" s="1"/>
  <c r="J288" i="16"/>
  <c r="C289" i="16" s="1"/>
  <c r="F289" i="16" l="1"/>
  <c r="J289" i="16"/>
  <c r="C290" i="16" s="1"/>
  <c r="G289" i="16"/>
  <c r="H289" i="16" s="1"/>
  <c r="I289" i="16"/>
  <c r="K289" i="16" s="1"/>
  <c r="A338" i="16"/>
  <c r="B337" i="16"/>
  <c r="D337" i="16"/>
  <c r="F290" i="16" l="1"/>
  <c r="I290" i="16"/>
  <c r="K290" i="16" s="1"/>
  <c r="J290" i="16"/>
  <c r="C291" i="16" s="1"/>
  <c r="G290" i="16"/>
  <c r="A339" i="16"/>
  <c r="D338" i="16"/>
  <c r="B338" i="16"/>
  <c r="D339" i="16" l="1"/>
  <c r="B339" i="16"/>
  <c r="A340" i="16"/>
  <c r="H290" i="16"/>
  <c r="F291" i="16"/>
  <c r="I291" i="16"/>
  <c r="K291" i="16" s="1"/>
  <c r="J291" i="16"/>
  <c r="C292" i="16" s="1"/>
  <c r="G291" i="16"/>
  <c r="H291" i="16" s="1"/>
  <c r="F292" i="16" l="1"/>
  <c r="I292" i="16"/>
  <c r="K292" i="16" s="1"/>
  <c r="G292" i="16"/>
  <c r="H292" i="16" s="1"/>
  <c r="J292" i="16"/>
  <c r="C293" i="16" s="1"/>
  <c r="B340" i="16"/>
  <c r="A341" i="16"/>
  <c r="D340" i="16"/>
  <c r="A342" i="16" l="1"/>
  <c r="D341" i="16"/>
  <c r="B341" i="16"/>
  <c r="F293" i="16"/>
  <c r="I293" i="16"/>
  <c r="K293" i="16" s="1"/>
  <c r="G293" i="16"/>
  <c r="J293" i="16"/>
  <c r="C294" i="16" s="1"/>
  <c r="F294" i="16" l="1"/>
  <c r="G294" i="16"/>
  <c r="H294" i="16" s="1"/>
  <c r="I294" i="16"/>
  <c r="K294" i="16" s="1"/>
  <c r="J294" i="16"/>
  <c r="C295" i="16" s="1"/>
  <c r="H293" i="16"/>
  <c r="B342" i="16"/>
  <c r="A343" i="16"/>
  <c r="D342" i="16"/>
  <c r="F295" i="16" l="1"/>
  <c r="I295" i="16"/>
  <c r="K295" i="16" s="1"/>
  <c r="J295" i="16"/>
  <c r="C296" i="16" s="1"/>
  <c r="G295" i="16"/>
  <c r="H295" i="16" s="1"/>
  <c r="D343" i="16"/>
  <c r="A344" i="16"/>
  <c r="B343" i="16"/>
  <c r="F296" i="16" l="1"/>
  <c r="I296" i="16"/>
  <c r="K296" i="16" s="1"/>
  <c r="J296" i="16"/>
  <c r="C297" i="16" s="1"/>
  <c r="G296" i="16"/>
  <c r="H296" i="16" s="1"/>
  <c r="A345" i="16"/>
  <c r="D344" i="16"/>
  <c r="B344" i="16"/>
  <c r="B345" i="16" l="1"/>
  <c r="A346" i="16"/>
  <c r="D345" i="16"/>
  <c r="F297" i="16"/>
  <c r="I297" i="16"/>
  <c r="K297" i="16" s="1"/>
  <c r="G297" i="16"/>
  <c r="H297" i="16" s="1"/>
  <c r="J297" i="16"/>
  <c r="C298" i="16" s="1"/>
  <c r="F298" i="16" l="1"/>
  <c r="I298" i="16"/>
  <c r="K298" i="16" s="1"/>
  <c r="J298" i="16"/>
  <c r="C299" i="16" s="1"/>
  <c r="G298" i="16"/>
  <c r="H298" i="16" s="1"/>
  <c r="A347" i="16"/>
  <c r="D346" i="16"/>
  <c r="B346" i="16"/>
  <c r="F299" i="16" l="1"/>
  <c r="I299" i="16"/>
  <c r="K299" i="16" s="1"/>
  <c r="G299" i="16"/>
  <c r="H299" i="16" s="1"/>
  <c r="J299" i="16"/>
  <c r="C300" i="16" s="1"/>
  <c r="D347" i="16"/>
  <c r="B347" i="16"/>
  <c r="A348" i="16"/>
  <c r="F300" i="16" l="1"/>
  <c r="I300" i="16"/>
  <c r="K300" i="16" s="1"/>
  <c r="G300" i="16"/>
  <c r="H300" i="16" s="1"/>
  <c r="J300" i="16"/>
  <c r="C301" i="16" s="1"/>
  <c r="A349" i="16"/>
  <c r="D348" i="16"/>
  <c r="B348" i="16"/>
  <c r="F301" i="16" l="1"/>
  <c r="I301" i="16"/>
  <c r="K301" i="16" s="1"/>
  <c r="G301" i="16"/>
  <c r="H301" i="16" s="1"/>
  <c r="J301" i="16"/>
  <c r="C302" i="16" s="1"/>
  <c r="D349" i="16"/>
  <c r="B349" i="16"/>
  <c r="A350" i="16"/>
  <c r="F302" i="16" l="1"/>
  <c r="I302" i="16"/>
  <c r="K302" i="16" s="1"/>
  <c r="G302" i="16"/>
  <c r="H302" i="16" s="1"/>
  <c r="J302" i="16"/>
  <c r="C303" i="16" s="1"/>
  <c r="A351" i="16"/>
  <c r="B350" i="16"/>
  <c r="D350" i="16"/>
  <c r="D351" i="16" l="1"/>
  <c r="B351" i="16"/>
  <c r="A352" i="16"/>
  <c r="F303" i="16"/>
  <c r="I303" i="16"/>
  <c r="K303" i="16" s="1"/>
  <c r="G303" i="16"/>
  <c r="H303" i="16" s="1"/>
  <c r="J303" i="16"/>
  <c r="C304" i="16" s="1"/>
  <c r="F304" i="16" l="1"/>
  <c r="I304" i="16"/>
  <c r="K304" i="16" s="1"/>
  <c r="J304" i="16"/>
  <c r="C305" i="16" s="1"/>
  <c r="G304" i="16"/>
  <c r="H304" i="16" s="1"/>
  <c r="B352" i="16"/>
  <c r="A353" i="16"/>
  <c r="D352" i="16"/>
  <c r="F305" i="16" l="1"/>
  <c r="I305" i="16"/>
  <c r="K305" i="16" s="1"/>
  <c r="J305" i="16"/>
  <c r="C306" i="16" s="1"/>
  <c r="G305" i="16"/>
  <c r="H305" i="16" s="1"/>
  <c r="D353" i="16"/>
  <c r="B353" i="16"/>
  <c r="A354" i="16"/>
  <c r="D354" i="16" l="1"/>
  <c r="A355" i="16"/>
  <c r="B354" i="16"/>
  <c r="F306" i="16"/>
  <c r="I306" i="16"/>
  <c r="K306" i="16" s="1"/>
  <c r="G306" i="16"/>
  <c r="H306" i="16" s="1"/>
  <c r="J306" i="16"/>
  <c r="C307" i="16" s="1"/>
  <c r="F307" i="16" l="1"/>
  <c r="I307" i="16"/>
  <c r="K307" i="16" s="1"/>
  <c r="J307" i="16"/>
  <c r="C308" i="16" s="1"/>
  <c r="G307" i="16"/>
  <c r="H307" i="16" s="1"/>
  <c r="A356" i="16"/>
  <c r="D355" i="16"/>
  <c r="B355" i="16"/>
  <c r="F308" i="16" l="1"/>
  <c r="I308" i="16"/>
  <c r="K308" i="16" s="1"/>
  <c r="G308" i="16"/>
  <c r="H308" i="16" s="1"/>
  <c r="J308" i="16"/>
  <c r="C309" i="16" s="1"/>
  <c r="B356" i="16"/>
  <c r="A357" i="16"/>
  <c r="D356" i="16"/>
  <c r="D357" i="16" l="1"/>
  <c r="A358" i="16"/>
  <c r="B357" i="16"/>
  <c r="F309" i="16"/>
  <c r="I309" i="16"/>
  <c r="K309" i="16" s="1"/>
  <c r="J309" i="16"/>
  <c r="C310" i="16" s="1"/>
  <c r="G309" i="16"/>
  <c r="H309" i="16" s="1"/>
  <c r="F310" i="16" l="1"/>
  <c r="I310" i="16"/>
  <c r="K310" i="16" s="1"/>
  <c r="J310" i="16"/>
  <c r="C311" i="16" s="1"/>
  <c r="G310" i="16"/>
  <c r="H310" i="16" s="1"/>
  <c r="B358" i="16"/>
  <c r="D358" i="16"/>
  <c r="A359" i="16"/>
  <c r="B359" i="16" l="1"/>
  <c r="A360" i="16"/>
  <c r="D359" i="16"/>
  <c r="F311" i="16"/>
  <c r="I311" i="16"/>
  <c r="K311" i="16" s="1"/>
  <c r="J311" i="16"/>
  <c r="C312" i="16" s="1"/>
  <c r="G311" i="16"/>
  <c r="H311" i="16" s="1"/>
  <c r="D360" i="16" l="1"/>
  <c r="B360" i="16"/>
  <c r="A361" i="16"/>
  <c r="F312" i="16"/>
  <c r="G312" i="16"/>
  <c r="J312" i="16"/>
  <c r="C313" i="16" s="1"/>
  <c r="I312" i="16"/>
  <c r="K312" i="16" s="1"/>
  <c r="F313" i="16" l="1"/>
  <c r="I313" i="16"/>
  <c r="K313" i="16" s="1"/>
  <c r="J313" i="16"/>
  <c r="C314" i="16" s="1"/>
  <c r="G313" i="16"/>
  <c r="H313" i="16" s="1"/>
  <c r="H312" i="16"/>
  <c r="A362" i="16"/>
  <c r="D361" i="16"/>
  <c r="B361" i="16"/>
  <c r="A363" i="16" l="1"/>
  <c r="D362" i="16"/>
  <c r="B362" i="16"/>
  <c r="F314" i="16"/>
  <c r="I314" i="16"/>
  <c r="K314" i="16" s="1"/>
  <c r="G314" i="16"/>
  <c r="J314" i="16"/>
  <c r="C315" i="16" s="1"/>
  <c r="B363" i="16" l="1"/>
  <c r="D363" i="16"/>
  <c r="A364" i="16"/>
  <c r="H314" i="16"/>
  <c r="F315" i="16"/>
  <c r="J315" i="16"/>
  <c r="C316" i="16" s="1"/>
  <c r="G315" i="16"/>
  <c r="I315" i="16"/>
  <c r="K315" i="16" s="1"/>
  <c r="F316" i="16" l="1"/>
  <c r="G316" i="16"/>
  <c r="J316" i="16"/>
  <c r="C317" i="16" s="1"/>
  <c r="I316" i="16"/>
  <c r="K316" i="16" s="1"/>
  <c r="A365" i="16"/>
  <c r="B364" i="16"/>
  <c r="D364" i="16"/>
  <c r="H315" i="16"/>
  <c r="F317" i="16" l="1"/>
  <c r="I317" i="16"/>
  <c r="K317" i="16" s="1"/>
  <c r="J317" i="16"/>
  <c r="C318" i="16" s="1"/>
  <c r="G317" i="16"/>
  <c r="H317" i="16" s="1"/>
  <c r="H316" i="16"/>
  <c r="D365" i="16"/>
  <c r="B365" i="16"/>
  <c r="A366" i="16"/>
  <c r="A367" i="16" l="1"/>
  <c r="D366" i="16"/>
  <c r="B366" i="16"/>
  <c r="F318" i="16"/>
  <c r="G318" i="16"/>
  <c r="J318" i="16"/>
  <c r="C319" i="16" s="1"/>
  <c r="I318" i="16"/>
  <c r="K318" i="16" s="1"/>
  <c r="F319" i="16" l="1"/>
  <c r="I319" i="16"/>
  <c r="K319" i="16" s="1"/>
  <c r="J319" i="16"/>
  <c r="C320" i="16" s="1"/>
  <c r="G319" i="16"/>
  <c r="H319" i="16" s="1"/>
  <c r="A368" i="16"/>
  <c r="B367" i="16"/>
  <c r="D367" i="16"/>
  <c r="H318" i="16"/>
  <c r="A369" i="16" l="1"/>
  <c r="B368" i="16"/>
  <c r="D368" i="16"/>
  <c r="F320" i="16"/>
  <c r="I320" i="16"/>
  <c r="K320" i="16" s="1"/>
  <c r="G320" i="16"/>
  <c r="H320" i="16" s="1"/>
  <c r="J320" i="16"/>
  <c r="C321" i="16" s="1"/>
  <c r="F321" i="16" l="1"/>
  <c r="I321" i="16"/>
  <c r="K321" i="16" s="1"/>
  <c r="J321" i="16"/>
  <c r="C322" i="16" s="1"/>
  <c r="G321" i="16"/>
  <c r="H321" i="16" s="1"/>
  <c r="B369" i="16"/>
  <c r="D369" i="16"/>
  <c r="A370" i="16"/>
  <c r="F322" i="16" l="1"/>
  <c r="I322" i="16"/>
  <c r="K322" i="16" s="1"/>
  <c r="G322" i="16"/>
  <c r="H322" i="16" s="1"/>
  <c r="J322" i="16"/>
  <c r="C323" i="16" s="1"/>
  <c r="A371" i="16"/>
  <c r="D370" i="16"/>
  <c r="B370" i="16"/>
  <c r="F323" i="16" l="1"/>
  <c r="I323" i="16"/>
  <c r="K323" i="16" s="1"/>
  <c r="G323" i="16"/>
  <c r="H323" i="16" s="1"/>
  <c r="J323" i="16"/>
  <c r="C324" i="16" s="1"/>
  <c r="D371" i="16"/>
  <c r="A372" i="16"/>
  <c r="B371" i="16"/>
  <c r="F324" i="16" l="1"/>
  <c r="G324" i="16"/>
  <c r="I324" i="16"/>
  <c r="K324" i="16" s="1"/>
  <c r="J324" i="16"/>
  <c r="C325" i="16" s="1"/>
  <c r="B372" i="16"/>
  <c r="A373" i="16"/>
  <c r="D372" i="16"/>
  <c r="D373" i="16" l="1"/>
  <c r="B373" i="16"/>
  <c r="A374" i="16"/>
  <c r="F325" i="16"/>
  <c r="G325" i="16"/>
  <c r="H325" i="16" s="1"/>
  <c r="I325" i="16"/>
  <c r="K325" i="16" s="1"/>
  <c r="J325" i="16"/>
  <c r="C326" i="16" s="1"/>
  <c r="H324" i="16"/>
  <c r="A375" i="16" l="1"/>
  <c r="B374" i="16"/>
  <c r="D374" i="16"/>
  <c r="F326" i="16"/>
  <c r="I326" i="16"/>
  <c r="K326" i="16" s="1"/>
  <c r="G326" i="16"/>
  <c r="H326" i="16" s="1"/>
  <c r="J326" i="16"/>
  <c r="C327" i="16" s="1"/>
  <c r="F327" i="16" l="1"/>
  <c r="I327" i="16"/>
  <c r="K327" i="16" s="1"/>
  <c r="J327" i="16"/>
  <c r="C328" i="16" s="1"/>
  <c r="G327" i="16"/>
  <c r="H327" i="16" s="1"/>
  <c r="D375" i="16"/>
  <c r="B375" i="16"/>
  <c r="A376" i="16"/>
  <c r="D376" i="16" l="1"/>
  <c r="B376" i="16"/>
  <c r="A377" i="16"/>
  <c r="F328" i="16"/>
  <c r="I328" i="16"/>
  <c r="K328" i="16" s="1"/>
  <c r="J328" i="16"/>
  <c r="C329" i="16" s="1"/>
  <c r="G328" i="16"/>
  <c r="H328" i="16" s="1"/>
  <c r="D377" i="16" l="1"/>
  <c r="A378" i="16"/>
  <c r="B377" i="16"/>
  <c r="F329" i="16"/>
  <c r="I329" i="16"/>
  <c r="K329" i="16" s="1"/>
  <c r="J329" i="16"/>
  <c r="C330" i="16" s="1"/>
  <c r="G329" i="16"/>
  <c r="H329" i="16" s="1"/>
  <c r="F330" i="16" l="1"/>
  <c r="I330" i="16"/>
  <c r="K330" i="16" s="1"/>
  <c r="G330" i="16"/>
  <c r="H330" i="16" s="1"/>
  <c r="J330" i="16"/>
  <c r="C331" i="16" s="1"/>
  <c r="D378" i="16"/>
  <c r="B378" i="16"/>
  <c r="A379" i="16"/>
  <c r="F331" i="16" l="1"/>
  <c r="I331" i="16"/>
  <c r="K331" i="16" s="1"/>
  <c r="G331" i="16"/>
  <c r="H331" i="16" s="1"/>
  <c r="J331" i="16"/>
  <c r="C332" i="16" s="1"/>
  <c r="B379" i="16"/>
  <c r="D379" i="16"/>
  <c r="A380" i="16"/>
  <c r="F332" i="16" l="1"/>
  <c r="I332" i="16"/>
  <c r="K332" i="16" s="1"/>
  <c r="J332" i="16"/>
  <c r="C333" i="16" s="1"/>
  <c r="G332" i="16"/>
  <c r="H332" i="16" s="1"/>
  <c r="D380" i="16"/>
  <c r="B380" i="16"/>
  <c r="A381" i="16"/>
  <c r="A382" i="16" l="1"/>
  <c r="B381" i="16"/>
  <c r="D381" i="16"/>
  <c r="F333" i="16"/>
  <c r="J333" i="16"/>
  <c r="C334" i="16" s="1"/>
  <c r="G333" i="16"/>
  <c r="H333" i="16" s="1"/>
  <c r="I333" i="16"/>
  <c r="K333" i="16" s="1"/>
  <c r="B382" i="16" l="1"/>
  <c r="D382" i="16"/>
  <c r="A383" i="16"/>
  <c r="F334" i="16"/>
  <c r="G334" i="16"/>
  <c r="H334" i="16" s="1"/>
  <c r="I334" i="16"/>
  <c r="K334" i="16" s="1"/>
  <c r="J334" i="16"/>
  <c r="C335" i="16" s="1"/>
  <c r="D383" i="16" l="1"/>
  <c r="A384" i="16"/>
  <c r="B383" i="16"/>
  <c r="F335" i="16"/>
  <c r="I335" i="16"/>
  <c r="K335" i="16" s="1"/>
  <c r="G335" i="16"/>
  <c r="H335" i="16" s="1"/>
  <c r="J335" i="16"/>
  <c r="C336" i="16" s="1"/>
  <c r="F336" i="16" l="1"/>
  <c r="J336" i="16"/>
  <c r="C337" i="16" s="1"/>
  <c r="I336" i="16"/>
  <c r="K336" i="16" s="1"/>
  <c r="G336" i="16"/>
  <c r="H336" i="16" s="1"/>
  <c r="D384" i="16"/>
  <c r="B384" i="16"/>
  <c r="A385" i="16"/>
  <c r="F337" i="16" l="1"/>
  <c r="I337" i="16"/>
  <c r="K337" i="16" s="1"/>
  <c r="J337" i="16"/>
  <c r="C338" i="16" s="1"/>
  <c r="G337" i="16"/>
  <c r="H337" i="16" s="1"/>
  <c r="B385" i="16"/>
  <c r="D385" i="16"/>
  <c r="A386" i="16"/>
  <c r="B386" i="16" l="1"/>
  <c r="A387" i="16"/>
  <c r="D386" i="16"/>
  <c r="F338" i="16"/>
  <c r="J338" i="16"/>
  <c r="C339" i="16" s="1"/>
  <c r="G338" i="16"/>
  <c r="I338" i="16"/>
  <c r="K338" i="16" s="1"/>
  <c r="D387" i="16" l="1"/>
  <c r="A388" i="16"/>
  <c r="B387" i="16"/>
  <c r="F339" i="16"/>
  <c r="I339" i="16"/>
  <c r="K339" i="16" s="1"/>
  <c r="G339" i="16"/>
  <c r="H339" i="16" s="1"/>
  <c r="J339" i="16"/>
  <c r="C340" i="16" s="1"/>
  <c r="H338" i="16"/>
  <c r="F340" i="16" l="1"/>
  <c r="I340" i="16"/>
  <c r="K340" i="16" s="1"/>
  <c r="G340" i="16"/>
  <c r="H340" i="16" s="1"/>
  <c r="J340" i="16"/>
  <c r="C341" i="16" s="1"/>
  <c r="A389" i="16"/>
  <c r="D388" i="16"/>
  <c r="B388" i="16"/>
  <c r="B389" i="16" l="1"/>
  <c r="D389" i="16"/>
  <c r="A390" i="16"/>
  <c r="F341" i="16"/>
  <c r="J341" i="16"/>
  <c r="C342" i="16" s="1"/>
  <c r="I341" i="16"/>
  <c r="K341" i="16" s="1"/>
  <c r="G341" i="16"/>
  <c r="H341" i="16" s="1"/>
  <c r="F342" i="16" l="1"/>
  <c r="I342" i="16"/>
  <c r="K342" i="16" s="1"/>
  <c r="J342" i="16"/>
  <c r="C343" i="16" s="1"/>
  <c r="G342" i="16"/>
  <c r="H342" i="16" s="1"/>
  <c r="B390" i="16"/>
  <c r="A391" i="16"/>
  <c r="D390" i="16"/>
  <c r="A392" i="16" l="1"/>
  <c r="D391" i="16"/>
  <c r="B391" i="16"/>
  <c r="F343" i="16"/>
  <c r="I343" i="16"/>
  <c r="K343" i="16" s="1"/>
  <c r="J343" i="16"/>
  <c r="C344" i="16" s="1"/>
  <c r="G343" i="16"/>
  <c r="H343" i="16" s="1"/>
  <c r="F344" i="16" l="1"/>
  <c r="I344" i="16"/>
  <c r="K344" i="16" s="1"/>
  <c r="G344" i="16"/>
  <c r="H344" i="16" s="1"/>
  <c r="J344" i="16"/>
  <c r="C345" i="16" s="1"/>
  <c r="A393" i="16"/>
  <c r="D392" i="16"/>
  <c r="B392" i="16"/>
  <c r="F345" i="16" l="1"/>
  <c r="I345" i="16"/>
  <c r="K345" i="16" s="1"/>
  <c r="G345" i="16"/>
  <c r="H345" i="16" s="1"/>
  <c r="J345" i="16"/>
  <c r="C346" i="16" s="1"/>
  <c r="B393" i="16"/>
  <c r="D393" i="16"/>
  <c r="A394" i="16"/>
  <c r="B394" i="16" l="1"/>
  <c r="D394" i="16"/>
  <c r="A395" i="16"/>
  <c r="F346" i="16"/>
  <c r="I346" i="16"/>
  <c r="K346" i="16" s="1"/>
  <c r="J346" i="16"/>
  <c r="C347" i="16" s="1"/>
  <c r="G346" i="16"/>
  <c r="H346" i="16" s="1"/>
  <c r="D395" i="16" l="1"/>
  <c r="A396" i="16"/>
  <c r="B395" i="16"/>
  <c r="F347" i="16"/>
  <c r="I347" i="16"/>
  <c r="K347" i="16" s="1"/>
  <c r="J347" i="16"/>
  <c r="C348" i="16" s="1"/>
  <c r="G347" i="16"/>
  <c r="H347" i="16" s="1"/>
  <c r="F348" i="16" l="1"/>
  <c r="I348" i="16"/>
  <c r="K348" i="16" s="1"/>
  <c r="G348" i="16"/>
  <c r="H348" i="16" s="1"/>
  <c r="J348" i="16"/>
  <c r="C349" i="16" s="1"/>
  <c r="B396" i="16"/>
  <c r="D396" i="16"/>
  <c r="A397" i="16"/>
  <c r="D397" i="16" l="1"/>
  <c r="A398" i="16"/>
  <c r="B397" i="16"/>
  <c r="F349" i="16"/>
  <c r="I349" i="16"/>
  <c r="K349" i="16" s="1"/>
  <c r="J349" i="16"/>
  <c r="C350" i="16" s="1"/>
  <c r="G349" i="16"/>
  <c r="H349" i="16" s="1"/>
  <c r="F350" i="16" l="1"/>
  <c r="I350" i="16"/>
  <c r="K350" i="16" s="1"/>
  <c r="J350" i="16"/>
  <c r="C351" i="16" s="1"/>
  <c r="G350" i="16"/>
  <c r="H350" i="16" s="1"/>
  <c r="A399" i="16"/>
  <c r="B398" i="16"/>
  <c r="D398" i="16"/>
  <c r="A400" i="16" l="1"/>
  <c r="B399" i="16"/>
  <c r="D399" i="16"/>
  <c r="F351" i="16"/>
  <c r="G351" i="16"/>
  <c r="H351" i="16" s="1"/>
  <c r="I351" i="16"/>
  <c r="K351" i="16" s="1"/>
  <c r="J351" i="16"/>
  <c r="C352" i="16" s="1"/>
  <c r="F352" i="16" l="1"/>
  <c r="I352" i="16"/>
  <c r="K352" i="16" s="1"/>
  <c r="J352" i="16"/>
  <c r="C353" i="16" s="1"/>
  <c r="G352" i="16"/>
  <c r="D400" i="16"/>
  <c r="B400" i="16"/>
  <c r="A401" i="16"/>
  <c r="F353" i="16" l="1"/>
  <c r="I353" i="16"/>
  <c r="K353" i="16" s="1"/>
  <c r="G353" i="16"/>
  <c r="H353" i="16" s="1"/>
  <c r="J353" i="16"/>
  <c r="C354" i="16" s="1"/>
  <c r="H352" i="16"/>
  <c r="D401" i="16"/>
  <c r="B401" i="16"/>
  <c r="A402" i="16"/>
  <c r="F354" i="16" l="1"/>
  <c r="I354" i="16"/>
  <c r="K354" i="16" s="1"/>
  <c r="J354" i="16"/>
  <c r="C355" i="16" s="1"/>
  <c r="G354" i="16"/>
  <c r="H354" i="16" s="1"/>
  <c r="A403" i="16"/>
  <c r="B402" i="16"/>
  <c r="D402" i="16"/>
  <c r="A404" i="16" l="1"/>
  <c r="B403" i="16"/>
  <c r="D403" i="16"/>
  <c r="F355" i="16"/>
  <c r="I355" i="16"/>
  <c r="K355" i="16" s="1"/>
  <c r="G355" i="16"/>
  <c r="H355" i="16" s="1"/>
  <c r="J355" i="16"/>
  <c r="C356" i="16" s="1"/>
  <c r="F356" i="16" l="1"/>
  <c r="I356" i="16"/>
  <c r="K356" i="16" s="1"/>
  <c r="G356" i="16"/>
  <c r="H356" i="16" s="1"/>
  <c r="J356" i="16"/>
  <c r="C357" i="16" s="1"/>
  <c r="B404" i="16"/>
  <c r="D404" i="16"/>
  <c r="A405" i="16"/>
  <c r="F357" i="16" l="1"/>
  <c r="I357" i="16"/>
  <c r="K357" i="16" s="1"/>
  <c r="G357" i="16"/>
  <c r="H357" i="16" s="1"/>
  <c r="J357" i="16"/>
  <c r="C358" i="16" s="1"/>
  <c r="B405" i="16"/>
  <c r="A406" i="16"/>
  <c r="D405" i="16"/>
  <c r="F358" i="16" l="1"/>
  <c r="J358" i="16"/>
  <c r="C359" i="16" s="1"/>
  <c r="I358" i="16"/>
  <c r="K358" i="16" s="1"/>
  <c r="G358" i="16"/>
  <c r="H358" i="16" s="1"/>
  <c r="B406" i="16"/>
  <c r="A407" i="16"/>
  <c r="D406" i="16"/>
  <c r="D407" i="16" l="1"/>
  <c r="A408" i="16"/>
  <c r="B407" i="16"/>
  <c r="F359" i="16"/>
  <c r="I359" i="16"/>
  <c r="K359" i="16" s="1"/>
  <c r="J359" i="16"/>
  <c r="C360" i="16" s="1"/>
  <c r="G359" i="16"/>
  <c r="H359" i="16" s="1"/>
  <c r="A409" i="16" l="1"/>
  <c r="D408" i="16"/>
  <c r="B408" i="16"/>
  <c r="F360" i="16"/>
  <c r="I360" i="16"/>
  <c r="K360" i="16" s="1"/>
  <c r="J360" i="16"/>
  <c r="C361" i="16" s="1"/>
  <c r="G360" i="16"/>
  <c r="H360" i="16" s="1"/>
  <c r="F361" i="16" l="1"/>
  <c r="I361" i="16"/>
  <c r="K361" i="16" s="1"/>
  <c r="G361" i="16"/>
  <c r="H361" i="16" s="1"/>
  <c r="J361" i="16"/>
  <c r="C362" i="16" s="1"/>
  <c r="A410" i="16"/>
  <c r="B409" i="16"/>
  <c r="D409" i="16"/>
  <c r="A411" i="16" l="1"/>
  <c r="B410" i="16"/>
  <c r="D410" i="16"/>
  <c r="F362" i="16"/>
  <c r="I362" i="16"/>
  <c r="K362" i="16" s="1"/>
  <c r="G362" i="16"/>
  <c r="H362" i="16" s="1"/>
  <c r="J362" i="16"/>
  <c r="C363" i="16" s="1"/>
  <c r="F363" i="16" l="1"/>
  <c r="I363" i="16"/>
  <c r="K363" i="16" s="1"/>
  <c r="J363" i="16"/>
  <c r="C364" i="16" s="1"/>
  <c r="G363" i="16"/>
  <c r="H363" i="16" s="1"/>
  <c r="D411" i="16"/>
  <c r="A412" i="16"/>
  <c r="B411" i="16"/>
  <c r="A413" i="16" l="1"/>
  <c r="B412" i="16"/>
  <c r="D412" i="16"/>
  <c r="F364" i="16"/>
  <c r="I364" i="16"/>
  <c r="K364" i="16" s="1"/>
  <c r="G364" i="16"/>
  <c r="H364" i="16" s="1"/>
  <c r="J364" i="16"/>
  <c r="C365" i="16" s="1"/>
  <c r="F365" i="16" l="1"/>
  <c r="I365" i="16"/>
  <c r="K365" i="16" s="1"/>
  <c r="G365" i="16"/>
  <c r="H365" i="16" s="1"/>
  <c r="J365" i="16"/>
  <c r="C366" i="16" s="1"/>
  <c r="D413" i="16"/>
  <c r="A414" i="16"/>
  <c r="B413" i="16"/>
  <c r="B414" i="16" l="1"/>
  <c r="A415" i="16"/>
  <c r="D414" i="16"/>
  <c r="F366" i="16"/>
  <c r="I366" i="16"/>
  <c r="K366" i="16" s="1"/>
  <c r="J366" i="16"/>
  <c r="C367" i="16" s="1"/>
  <c r="G366" i="16"/>
  <c r="H366" i="16" s="1"/>
  <c r="B415" i="16" l="1"/>
  <c r="A416" i="16"/>
  <c r="D415" i="16"/>
  <c r="F367" i="16"/>
  <c r="J367" i="16"/>
  <c r="C368" i="16" s="1"/>
  <c r="G367" i="16"/>
  <c r="H367" i="16" s="1"/>
  <c r="I367" i="16"/>
  <c r="K367" i="16" s="1"/>
  <c r="D416" i="16" l="1"/>
  <c r="A417" i="16"/>
  <c r="B416" i="16"/>
  <c r="F368" i="16"/>
  <c r="G368" i="16"/>
  <c r="H368" i="16" s="1"/>
  <c r="I368" i="16"/>
  <c r="K368" i="16" s="1"/>
  <c r="J368" i="16"/>
  <c r="C369" i="16" s="1"/>
  <c r="A418" i="16" l="1"/>
  <c r="D417" i="16"/>
  <c r="B417" i="16"/>
  <c r="F369" i="16"/>
  <c r="I369" i="16"/>
  <c r="K369" i="16" s="1"/>
  <c r="J369" i="16"/>
  <c r="C370" i="16" s="1"/>
  <c r="G369" i="16"/>
  <c r="H369" i="16" s="1"/>
  <c r="F370" i="16" l="1"/>
  <c r="I370" i="16"/>
  <c r="K370" i="16" s="1"/>
  <c r="J370" i="16"/>
  <c r="C371" i="16" s="1"/>
  <c r="G370" i="16"/>
  <c r="H370" i="16" s="1"/>
  <c r="D418" i="16"/>
  <c r="B418" i="16"/>
  <c r="A419" i="16"/>
  <c r="F371" i="16" l="1"/>
  <c r="I371" i="16"/>
  <c r="K371" i="16" s="1"/>
  <c r="J371" i="16"/>
  <c r="C372" i="16" s="1"/>
  <c r="G371" i="16"/>
  <c r="H371" i="16" s="1"/>
  <c r="A420" i="16"/>
  <c r="B419" i="16"/>
  <c r="D419" i="16"/>
  <c r="B420" i="16" l="1"/>
  <c r="A421" i="16"/>
  <c r="D420" i="16"/>
  <c r="F372" i="16"/>
  <c r="I372" i="16"/>
  <c r="K372" i="16" s="1"/>
  <c r="J372" i="16"/>
  <c r="C373" i="16" s="1"/>
  <c r="G372" i="16"/>
  <c r="H372" i="16" s="1"/>
  <c r="F373" i="16" l="1"/>
  <c r="G373" i="16"/>
  <c r="I373" i="16"/>
  <c r="K373" i="16" s="1"/>
  <c r="J373" i="16"/>
  <c r="C374" i="16" s="1"/>
  <c r="B421" i="16"/>
  <c r="A422" i="16"/>
  <c r="D421" i="16"/>
  <c r="F374" i="16" l="1"/>
  <c r="I374" i="16"/>
  <c r="K374" i="16" s="1"/>
  <c r="G374" i="16"/>
  <c r="H374" i="16" s="1"/>
  <c r="J374" i="16"/>
  <c r="C375" i="16" s="1"/>
  <c r="H373" i="16"/>
  <c r="B422" i="16"/>
  <c r="D422" i="16"/>
  <c r="A423" i="16"/>
  <c r="D423" i="16" l="1"/>
  <c r="B423" i="16"/>
  <c r="A424" i="16"/>
  <c r="F375" i="16"/>
  <c r="I375" i="16"/>
  <c r="K375" i="16" s="1"/>
  <c r="J375" i="16"/>
  <c r="C376" i="16" s="1"/>
  <c r="G375" i="16"/>
  <c r="H375" i="16" s="1"/>
  <c r="F376" i="16" l="1"/>
  <c r="I376" i="16"/>
  <c r="K376" i="16" s="1"/>
  <c r="J376" i="16"/>
  <c r="C377" i="16" s="1"/>
  <c r="G376" i="16"/>
  <c r="H376" i="16" s="1"/>
  <c r="B424" i="16"/>
  <c r="A425" i="16"/>
  <c r="D424" i="16"/>
  <c r="D425" i="16" l="1"/>
  <c r="A426" i="16"/>
  <c r="B425" i="16"/>
  <c r="F377" i="16"/>
  <c r="J377" i="16"/>
  <c r="C378" i="16" s="1"/>
  <c r="I377" i="16"/>
  <c r="K377" i="16" s="1"/>
  <c r="G377" i="16"/>
  <c r="H377" i="16" s="1"/>
  <c r="F378" i="16" l="1"/>
  <c r="I378" i="16"/>
  <c r="K378" i="16" s="1"/>
  <c r="G378" i="16"/>
  <c r="H378" i="16" s="1"/>
  <c r="J378" i="16"/>
  <c r="C379" i="16" s="1"/>
  <c r="D426" i="16"/>
  <c r="A427" i="16"/>
  <c r="B426" i="16"/>
  <c r="F379" i="16" l="1"/>
  <c r="I379" i="16"/>
  <c r="K379" i="16" s="1"/>
  <c r="J379" i="16"/>
  <c r="C380" i="16" s="1"/>
  <c r="G379" i="16"/>
  <c r="H379" i="16" s="1"/>
  <c r="D427" i="16"/>
  <c r="B427" i="16"/>
  <c r="A428" i="16"/>
  <c r="B428" i="16" l="1"/>
  <c r="D428" i="16"/>
  <c r="A429" i="16"/>
  <c r="F380" i="16"/>
  <c r="I380" i="16"/>
  <c r="K380" i="16" s="1"/>
  <c r="G380" i="16"/>
  <c r="J380" i="16"/>
  <c r="C381" i="16" s="1"/>
  <c r="F381" i="16" l="1"/>
  <c r="I381" i="16"/>
  <c r="K381" i="16" s="1"/>
  <c r="J381" i="16"/>
  <c r="C382" i="16" s="1"/>
  <c r="G381" i="16"/>
  <c r="H381" i="16" s="1"/>
  <c r="H380" i="16"/>
  <c r="D429" i="16"/>
  <c r="B429" i="16"/>
  <c r="A430" i="16"/>
  <c r="A431" i="16" l="1"/>
  <c r="B430" i="16"/>
  <c r="D430" i="16"/>
  <c r="F382" i="16"/>
  <c r="J382" i="16"/>
  <c r="C383" i="16" s="1"/>
  <c r="I382" i="16"/>
  <c r="K382" i="16" s="1"/>
  <c r="G382" i="16"/>
  <c r="H382" i="16" s="1"/>
  <c r="F383" i="16" l="1"/>
  <c r="I383" i="16"/>
  <c r="K383" i="16" s="1"/>
  <c r="J383" i="16"/>
  <c r="C384" i="16" s="1"/>
  <c r="G383" i="16"/>
  <c r="H383" i="16" s="1"/>
  <c r="D431" i="16"/>
  <c r="B431" i="16"/>
  <c r="A432" i="16"/>
  <c r="B432" i="16" l="1"/>
  <c r="D432" i="16"/>
  <c r="A433" i="16"/>
  <c r="F384" i="16"/>
  <c r="I384" i="16"/>
  <c r="K384" i="16" s="1"/>
  <c r="G384" i="16"/>
  <c r="H384" i="16" s="1"/>
  <c r="J384" i="16"/>
  <c r="C385" i="16" s="1"/>
  <c r="B433" i="16" l="1"/>
  <c r="D433" i="16"/>
  <c r="A434" i="16"/>
  <c r="F385" i="16"/>
  <c r="I385" i="16"/>
  <c r="K385" i="16" s="1"/>
  <c r="G385" i="16"/>
  <c r="H385" i="16" s="1"/>
  <c r="J385" i="16"/>
  <c r="C386" i="16" s="1"/>
  <c r="F386" i="16" l="1"/>
  <c r="I386" i="16"/>
  <c r="K386" i="16" s="1"/>
  <c r="J386" i="16"/>
  <c r="C387" i="16" s="1"/>
  <c r="G386" i="16"/>
  <c r="H386" i="16" s="1"/>
  <c r="A435" i="16"/>
  <c r="D434" i="16"/>
  <c r="B434" i="16"/>
  <c r="B435" i="16" l="1"/>
  <c r="D435" i="16"/>
  <c r="A436" i="16"/>
  <c r="F387" i="16"/>
  <c r="I387" i="16"/>
  <c r="K387" i="16" s="1"/>
  <c r="G387" i="16"/>
  <c r="H387" i="16" s="1"/>
  <c r="J387" i="16"/>
  <c r="C388" i="16" s="1"/>
  <c r="F388" i="16" l="1"/>
  <c r="I388" i="16"/>
  <c r="K388" i="16" s="1"/>
  <c r="G388" i="16"/>
  <c r="J388" i="16"/>
  <c r="C389" i="16" s="1"/>
  <c r="A437" i="16"/>
  <c r="D436" i="16"/>
  <c r="B436" i="16"/>
  <c r="A438" i="16" l="1"/>
  <c r="D437" i="16"/>
  <c r="B437" i="16"/>
  <c r="H388" i="16"/>
  <c r="F389" i="16"/>
  <c r="I389" i="16"/>
  <c r="K389" i="16" s="1"/>
  <c r="G389" i="16"/>
  <c r="H389" i="16" s="1"/>
  <c r="J389" i="16"/>
  <c r="C390" i="16" s="1"/>
  <c r="F390" i="16" l="1"/>
  <c r="I390" i="16"/>
  <c r="K390" i="16" s="1"/>
  <c r="J390" i="16"/>
  <c r="C391" i="16" s="1"/>
  <c r="G390" i="16"/>
  <c r="H390" i="16" s="1"/>
  <c r="D438" i="16"/>
  <c r="B438" i="16"/>
  <c r="A439" i="16"/>
  <c r="D439" i="16" l="1"/>
  <c r="A440" i="16"/>
  <c r="B439" i="16"/>
  <c r="F391" i="16"/>
  <c r="G391" i="16"/>
  <c r="I391" i="16"/>
  <c r="K391" i="16" s="1"/>
  <c r="J391" i="16"/>
  <c r="C392" i="16" s="1"/>
  <c r="F392" i="16" l="1"/>
  <c r="I392" i="16"/>
  <c r="K392" i="16" s="1"/>
  <c r="J392" i="16"/>
  <c r="C393" i="16" s="1"/>
  <c r="G392" i="16"/>
  <c r="H392" i="16" s="1"/>
  <c r="H391" i="16"/>
  <c r="A441" i="16"/>
  <c r="B440" i="16"/>
  <c r="D440" i="16"/>
  <c r="F393" i="16" l="1"/>
  <c r="I393" i="16"/>
  <c r="K393" i="16" s="1"/>
  <c r="J393" i="16"/>
  <c r="C394" i="16" s="1"/>
  <c r="G393" i="16"/>
  <c r="H393" i="16" s="1"/>
  <c r="A442" i="16"/>
  <c r="D441" i="16"/>
  <c r="B441" i="16"/>
  <c r="F394" i="16" l="1"/>
  <c r="I394" i="16"/>
  <c r="K394" i="16" s="1"/>
  <c r="G394" i="16"/>
  <c r="H394" i="16" s="1"/>
  <c r="J394" i="16"/>
  <c r="C395" i="16" s="1"/>
  <c r="B442" i="16"/>
  <c r="D442" i="16"/>
  <c r="A443" i="16"/>
  <c r="A444" i="16" l="1"/>
  <c r="B443" i="16"/>
  <c r="D443" i="16"/>
  <c r="F395" i="16"/>
  <c r="G395" i="16"/>
  <c r="I395" i="16"/>
  <c r="K395" i="16" s="1"/>
  <c r="J395" i="16"/>
  <c r="C396" i="16" s="1"/>
  <c r="F396" i="16" l="1"/>
  <c r="I396" i="16"/>
  <c r="K396" i="16" s="1"/>
  <c r="J396" i="16"/>
  <c r="C397" i="16" s="1"/>
  <c r="G396" i="16"/>
  <c r="H396" i="16" s="1"/>
  <c r="H395" i="16"/>
  <c r="D444" i="16"/>
  <c r="A445" i="16"/>
  <c r="B444" i="16"/>
  <c r="D445" i="16" l="1"/>
  <c r="A446" i="16"/>
  <c r="B445" i="16"/>
  <c r="F397" i="16"/>
  <c r="G397" i="16"/>
  <c r="J397" i="16"/>
  <c r="C398" i="16" s="1"/>
  <c r="I397" i="16"/>
  <c r="K397" i="16" s="1"/>
  <c r="B446" i="16" l="1"/>
  <c r="A447" i="16"/>
  <c r="D446" i="16"/>
  <c r="F398" i="16"/>
  <c r="I398" i="16"/>
  <c r="K398" i="16" s="1"/>
  <c r="G398" i="16"/>
  <c r="H398" i="16" s="1"/>
  <c r="J398" i="16"/>
  <c r="C399" i="16" s="1"/>
  <c r="H397" i="16"/>
  <c r="F399" i="16" l="1"/>
  <c r="I399" i="16"/>
  <c r="K399" i="16" s="1"/>
  <c r="J399" i="16"/>
  <c r="C400" i="16" s="1"/>
  <c r="G399" i="16"/>
  <c r="H399" i="16" s="1"/>
  <c r="B447" i="16"/>
  <c r="D447" i="16"/>
  <c r="A448" i="16"/>
  <c r="F400" i="16" l="1"/>
  <c r="I400" i="16"/>
  <c r="K400" i="16" s="1"/>
  <c r="G400" i="16"/>
  <c r="H400" i="16" s="1"/>
  <c r="J400" i="16"/>
  <c r="C401" i="16" s="1"/>
  <c r="D448" i="16"/>
  <c r="A449" i="16"/>
  <c r="B448" i="16"/>
  <c r="B449" i="16" l="1"/>
  <c r="A450" i="16"/>
  <c r="D449" i="16"/>
  <c r="F401" i="16"/>
  <c r="I401" i="16"/>
  <c r="K401" i="16" s="1"/>
  <c r="J401" i="16"/>
  <c r="C402" i="16" s="1"/>
  <c r="G401" i="16"/>
  <c r="H401" i="16" s="1"/>
  <c r="F402" i="16" l="1"/>
  <c r="I402" i="16"/>
  <c r="K402" i="16" s="1"/>
  <c r="J402" i="16"/>
  <c r="C403" i="16" s="1"/>
  <c r="G402" i="16"/>
  <c r="H402" i="16" s="1"/>
  <c r="D450" i="16"/>
  <c r="A451" i="16"/>
  <c r="B450" i="16"/>
  <c r="D451" i="16" l="1"/>
  <c r="A452" i="16"/>
  <c r="B451" i="16"/>
  <c r="F403" i="16"/>
  <c r="I403" i="16"/>
  <c r="K403" i="16" s="1"/>
  <c r="J403" i="16"/>
  <c r="C404" i="16" s="1"/>
  <c r="G403" i="16"/>
  <c r="H403" i="16" s="1"/>
  <c r="F404" i="16" l="1"/>
  <c r="I404" i="16"/>
  <c r="K404" i="16" s="1"/>
  <c r="G404" i="16"/>
  <c r="H404" i="16" s="1"/>
  <c r="J404" i="16"/>
  <c r="C405" i="16" s="1"/>
  <c r="A453" i="16"/>
  <c r="D452" i="16"/>
  <c r="B452" i="16"/>
  <c r="F405" i="16" l="1"/>
  <c r="G405" i="16"/>
  <c r="I405" i="16"/>
  <c r="K405" i="16" s="1"/>
  <c r="J405" i="16"/>
  <c r="C406" i="16" s="1"/>
  <c r="A454" i="16"/>
  <c r="D453" i="16"/>
  <c r="B453" i="16"/>
  <c r="D454" i="16" l="1"/>
  <c r="A455" i="16"/>
  <c r="B454" i="16"/>
  <c r="H405" i="16"/>
  <c r="F406" i="16"/>
  <c r="I406" i="16"/>
  <c r="K406" i="16" s="1"/>
  <c r="J406" i="16"/>
  <c r="C407" i="16" s="1"/>
  <c r="G406" i="16"/>
  <c r="H406" i="16" s="1"/>
  <c r="F407" i="16" l="1"/>
  <c r="I407" i="16"/>
  <c r="K407" i="16" s="1"/>
  <c r="G407" i="16"/>
  <c r="H407" i="16" s="1"/>
  <c r="J407" i="16"/>
  <c r="C408" i="16" s="1"/>
  <c r="D455" i="16"/>
  <c r="A456" i="16"/>
  <c r="B455" i="16"/>
  <c r="B456" i="16" l="1"/>
  <c r="A457" i="16"/>
  <c r="D456" i="16"/>
  <c r="F408" i="16"/>
  <c r="J408" i="16"/>
  <c r="C409" i="16" s="1"/>
  <c r="I408" i="16"/>
  <c r="K408" i="16" s="1"/>
  <c r="G408" i="16"/>
  <c r="H408" i="16" s="1"/>
  <c r="F409" i="16" l="1"/>
  <c r="I409" i="16"/>
  <c r="K409" i="16" s="1"/>
  <c r="G409" i="16"/>
  <c r="H409" i="16" s="1"/>
  <c r="J409" i="16"/>
  <c r="C410" i="16" s="1"/>
  <c r="D457" i="16"/>
  <c r="B457" i="16"/>
  <c r="A458" i="16"/>
  <c r="D458" i="16" l="1"/>
  <c r="A459" i="16"/>
  <c r="B458" i="16"/>
  <c r="F410" i="16"/>
  <c r="I410" i="16"/>
  <c r="K410" i="16" s="1"/>
  <c r="J410" i="16"/>
  <c r="C411" i="16" s="1"/>
  <c r="G410" i="16"/>
  <c r="H410" i="16" s="1"/>
  <c r="A460" i="16" l="1"/>
  <c r="B459" i="16"/>
  <c r="D459" i="16"/>
  <c r="F411" i="16"/>
  <c r="I411" i="16"/>
  <c r="K411" i="16" s="1"/>
  <c r="J411" i="16"/>
  <c r="C412" i="16" s="1"/>
  <c r="G411" i="16"/>
  <c r="H411" i="16" s="1"/>
  <c r="F412" i="16" l="1"/>
  <c r="J412" i="16"/>
  <c r="C413" i="16" s="1"/>
  <c r="I412" i="16"/>
  <c r="K412" i="16" s="1"/>
  <c r="G412" i="16"/>
  <c r="H412" i="16" s="1"/>
  <c r="D460" i="16"/>
  <c r="B460" i="16"/>
  <c r="A461" i="16"/>
  <c r="B461" i="16" l="1"/>
  <c r="A462" i="16"/>
  <c r="D461" i="16"/>
  <c r="F413" i="16"/>
  <c r="I413" i="16"/>
  <c r="K413" i="16" s="1"/>
  <c r="J413" i="16"/>
  <c r="C414" i="16" s="1"/>
  <c r="G413" i="16"/>
  <c r="H413" i="16" s="1"/>
  <c r="D462" i="16" l="1"/>
  <c r="B462" i="16"/>
  <c r="A463" i="16"/>
  <c r="F414" i="16"/>
  <c r="I414" i="16"/>
  <c r="K414" i="16" s="1"/>
  <c r="J414" i="16"/>
  <c r="C415" i="16" s="1"/>
  <c r="G414" i="16"/>
  <c r="H414" i="16" s="1"/>
  <c r="F415" i="16" l="1"/>
  <c r="I415" i="16"/>
  <c r="K415" i="16" s="1"/>
  <c r="J415" i="16"/>
  <c r="C416" i="16" s="1"/>
  <c r="G415" i="16"/>
  <c r="H415" i="16" s="1"/>
  <c r="A464" i="16"/>
  <c r="D463" i="16"/>
  <c r="B463" i="16"/>
  <c r="F416" i="16" l="1"/>
  <c r="J416" i="16"/>
  <c r="C417" i="16" s="1"/>
  <c r="G416" i="16"/>
  <c r="H416" i="16" s="1"/>
  <c r="I416" i="16"/>
  <c r="K416" i="16" s="1"/>
  <c r="B464" i="16"/>
  <c r="A465" i="16"/>
  <c r="D464" i="16"/>
  <c r="A466" i="16" l="1"/>
  <c r="B465" i="16"/>
  <c r="D465" i="16"/>
  <c r="F417" i="16"/>
  <c r="G417" i="16"/>
  <c r="J417" i="16"/>
  <c r="C418" i="16" s="1"/>
  <c r="I417" i="16"/>
  <c r="K417" i="16" s="1"/>
  <c r="F418" i="16" l="1"/>
  <c r="I418" i="16"/>
  <c r="K418" i="16" s="1"/>
  <c r="G418" i="16"/>
  <c r="H418" i="16" s="1"/>
  <c r="J418" i="16"/>
  <c r="C419" i="16" s="1"/>
  <c r="H417" i="16"/>
  <c r="D466" i="16"/>
  <c r="B466" i="16"/>
  <c r="A467" i="16"/>
  <c r="B467" i="16" l="1"/>
  <c r="D467" i="16"/>
  <c r="A468" i="16"/>
  <c r="F419" i="16"/>
  <c r="G419" i="16"/>
  <c r="I419" i="16"/>
  <c r="K419" i="16" s="1"/>
  <c r="J419" i="16"/>
  <c r="C420" i="16" s="1"/>
  <c r="F420" i="16" l="1"/>
  <c r="G420" i="16"/>
  <c r="H420" i="16" s="1"/>
  <c r="I420" i="16"/>
  <c r="K420" i="16" s="1"/>
  <c r="J420" i="16"/>
  <c r="C421" i="16" s="1"/>
  <c r="B468" i="16"/>
  <c r="A469" i="16"/>
  <c r="D468" i="16"/>
  <c r="H419" i="16"/>
  <c r="D469" i="16" l="1"/>
  <c r="B469" i="16"/>
  <c r="A470" i="16"/>
  <c r="F421" i="16"/>
  <c r="I421" i="16"/>
  <c r="K421" i="16" s="1"/>
  <c r="G421" i="16"/>
  <c r="H421" i="16" s="1"/>
  <c r="J421" i="16"/>
  <c r="C422" i="16" s="1"/>
  <c r="F422" i="16" l="1"/>
  <c r="I422" i="16"/>
  <c r="K422" i="16" s="1"/>
  <c r="G422" i="16"/>
  <c r="H422" i="16" s="1"/>
  <c r="J422" i="16"/>
  <c r="C423" i="16" s="1"/>
  <c r="B470" i="16"/>
  <c r="D470" i="16"/>
  <c r="A471" i="16"/>
  <c r="A472" i="16" l="1"/>
  <c r="D471" i="16"/>
  <c r="B471" i="16"/>
  <c r="F423" i="16"/>
  <c r="J423" i="16"/>
  <c r="C424" i="16" s="1"/>
  <c r="I423" i="16"/>
  <c r="K423" i="16" s="1"/>
  <c r="G423" i="16"/>
  <c r="H423" i="16" s="1"/>
  <c r="B472" i="16" l="1"/>
  <c r="D472" i="16"/>
  <c r="A473" i="16"/>
  <c r="F424" i="16"/>
  <c r="I424" i="16"/>
  <c r="K424" i="16" s="1"/>
  <c r="G424" i="16"/>
  <c r="H424" i="16" s="1"/>
  <c r="J424" i="16"/>
  <c r="C425" i="16" s="1"/>
  <c r="F425" i="16" l="1"/>
  <c r="I425" i="16"/>
  <c r="K425" i="16" s="1"/>
  <c r="J425" i="16"/>
  <c r="C426" i="16" s="1"/>
  <c r="G425" i="16"/>
  <c r="H425" i="16" s="1"/>
  <c r="A474" i="16"/>
  <c r="B473" i="16"/>
  <c r="D473" i="16"/>
  <c r="F426" i="16" l="1"/>
  <c r="I426" i="16"/>
  <c r="K426" i="16" s="1"/>
  <c r="J426" i="16"/>
  <c r="C427" i="16" s="1"/>
  <c r="G426" i="16"/>
  <c r="H426" i="16" s="1"/>
  <c r="B474" i="16"/>
  <c r="D474" i="16"/>
  <c r="A475" i="16"/>
  <c r="F427" i="16" l="1"/>
  <c r="I427" i="16"/>
  <c r="K427" i="16" s="1"/>
  <c r="J427" i="16"/>
  <c r="C428" i="16" s="1"/>
  <c r="G427" i="16"/>
  <c r="H427" i="16" s="1"/>
  <c r="A476" i="16"/>
  <c r="B475" i="16"/>
  <c r="D475" i="16"/>
  <c r="D476" i="16" l="1"/>
  <c r="B476" i="16"/>
  <c r="A477" i="16"/>
  <c r="F428" i="16"/>
  <c r="G428" i="16"/>
  <c r="I428" i="16"/>
  <c r="K428" i="16" s="1"/>
  <c r="J428" i="16"/>
  <c r="C429" i="16" s="1"/>
  <c r="B477" i="16" l="1"/>
  <c r="A478" i="16"/>
  <c r="D477" i="16"/>
  <c r="F429" i="16"/>
  <c r="I429" i="16"/>
  <c r="K429" i="16" s="1"/>
  <c r="G429" i="16"/>
  <c r="H429" i="16" s="1"/>
  <c r="J429" i="16"/>
  <c r="C430" i="16" s="1"/>
  <c r="H428" i="16"/>
  <c r="F430" i="16" l="1"/>
  <c r="I430" i="16"/>
  <c r="K430" i="16" s="1"/>
  <c r="G430" i="16"/>
  <c r="H430" i="16" s="1"/>
  <c r="J430" i="16"/>
  <c r="C431" i="16" s="1"/>
  <c r="B478" i="16"/>
  <c r="D478" i="16"/>
  <c r="A479" i="16"/>
  <c r="F431" i="16" l="1"/>
  <c r="I431" i="16"/>
  <c r="K431" i="16" s="1"/>
  <c r="G431" i="16"/>
  <c r="H431" i="16" s="1"/>
  <c r="J431" i="16"/>
  <c r="C432" i="16" s="1"/>
  <c r="A480" i="16"/>
  <c r="B479" i="16"/>
  <c r="D479" i="16"/>
  <c r="A481" i="16" l="1"/>
  <c r="B480" i="16"/>
  <c r="D480" i="16"/>
  <c r="F432" i="16"/>
  <c r="J432" i="16"/>
  <c r="C433" i="16" s="1"/>
  <c r="I432" i="16"/>
  <c r="K432" i="16" s="1"/>
  <c r="G432" i="16"/>
  <c r="H432" i="16" s="1"/>
  <c r="D481" i="16" l="1"/>
  <c r="A482" i="16"/>
  <c r="B481" i="16"/>
  <c r="F433" i="16"/>
  <c r="I433" i="16"/>
  <c r="K433" i="16" s="1"/>
  <c r="G433" i="16"/>
  <c r="H433" i="16" s="1"/>
  <c r="J433" i="16"/>
  <c r="C434" i="16" s="1"/>
  <c r="D482" i="16" l="1"/>
  <c r="B482" i="16"/>
  <c r="A483" i="16"/>
  <c r="F434" i="16"/>
  <c r="I434" i="16"/>
  <c r="K434" i="16" s="1"/>
  <c r="G434" i="16"/>
  <c r="H434" i="16" s="1"/>
  <c r="J434" i="16"/>
  <c r="C435" i="16" s="1"/>
  <c r="B483" i="16" l="1"/>
  <c r="D483" i="16"/>
  <c r="A484" i="16"/>
  <c r="F435" i="16"/>
  <c r="I435" i="16"/>
  <c r="K435" i="16" s="1"/>
  <c r="G435" i="16"/>
  <c r="H435" i="16" s="1"/>
  <c r="J435" i="16"/>
  <c r="C436" i="16" s="1"/>
  <c r="A485" i="16" l="1"/>
  <c r="B484" i="16"/>
  <c r="D484" i="16"/>
  <c r="F436" i="16"/>
  <c r="I436" i="16"/>
  <c r="K436" i="16" s="1"/>
  <c r="G436" i="16"/>
  <c r="H436" i="16" s="1"/>
  <c r="J436" i="16"/>
  <c r="C437" i="16" s="1"/>
  <c r="F437" i="16" l="1"/>
  <c r="I437" i="16"/>
  <c r="K437" i="16" s="1"/>
  <c r="G437" i="16"/>
  <c r="H437" i="16" s="1"/>
  <c r="J437" i="16"/>
  <c r="C438" i="16" s="1"/>
  <c r="D485" i="16"/>
  <c r="B485" i="16"/>
  <c r="A486" i="16"/>
  <c r="F438" i="16" l="1"/>
  <c r="I438" i="16"/>
  <c r="K438" i="16" s="1"/>
  <c r="G438" i="16"/>
  <c r="H438" i="16" s="1"/>
  <c r="J438" i="16"/>
  <c r="C439" i="16" s="1"/>
  <c r="B486" i="16"/>
  <c r="A487" i="16"/>
  <c r="D486" i="16"/>
  <c r="A488" i="16" l="1"/>
  <c r="D487" i="16"/>
  <c r="B487" i="16"/>
  <c r="F439" i="16"/>
  <c r="I439" i="16"/>
  <c r="K439" i="16" s="1"/>
  <c r="G439" i="16"/>
  <c r="H439" i="16" s="1"/>
  <c r="J439" i="16"/>
  <c r="C440" i="16" s="1"/>
  <c r="F440" i="16" l="1"/>
  <c r="I440" i="16"/>
  <c r="K440" i="16" s="1"/>
  <c r="J440" i="16"/>
  <c r="C441" i="16" s="1"/>
  <c r="G440" i="16"/>
  <c r="H440" i="16" s="1"/>
  <c r="D488" i="16"/>
  <c r="B488" i="16"/>
  <c r="A489" i="16"/>
  <c r="D489" i="16" l="1"/>
  <c r="B489" i="16"/>
  <c r="A490" i="16"/>
  <c r="F441" i="16"/>
  <c r="I441" i="16"/>
  <c r="K441" i="16" s="1"/>
  <c r="G441" i="16"/>
  <c r="H441" i="16" s="1"/>
  <c r="J441" i="16"/>
  <c r="C442" i="16" s="1"/>
  <c r="F442" i="16" l="1"/>
  <c r="I442" i="16"/>
  <c r="K442" i="16" s="1"/>
  <c r="J442" i="16"/>
  <c r="C443" i="16" s="1"/>
  <c r="G442" i="16"/>
  <c r="H442" i="16" s="1"/>
  <c r="D490" i="16"/>
  <c r="A491" i="16"/>
  <c r="B490" i="16"/>
  <c r="B491" i="16" l="1"/>
  <c r="D491" i="16"/>
  <c r="A492" i="16"/>
  <c r="F443" i="16"/>
  <c r="I443" i="16"/>
  <c r="K443" i="16" s="1"/>
  <c r="J443" i="16"/>
  <c r="C444" i="16" s="1"/>
  <c r="G443" i="16"/>
  <c r="H443" i="16" s="1"/>
  <c r="F444" i="16" l="1"/>
  <c r="I444" i="16"/>
  <c r="K444" i="16" s="1"/>
  <c r="J444" i="16"/>
  <c r="C445" i="16" s="1"/>
  <c r="G444" i="16"/>
  <c r="H444" i="16" s="1"/>
  <c r="A493" i="16"/>
  <c r="B492" i="16"/>
  <c r="D492" i="16"/>
  <c r="F445" i="16" l="1"/>
  <c r="J445" i="16"/>
  <c r="C446" i="16" s="1"/>
  <c r="I445" i="16"/>
  <c r="K445" i="16" s="1"/>
  <c r="G445" i="16"/>
  <c r="H445" i="16" s="1"/>
  <c r="D493" i="16"/>
  <c r="A494" i="16"/>
  <c r="B493" i="16"/>
  <c r="F446" i="16" l="1"/>
  <c r="G446" i="16"/>
  <c r="I446" i="16"/>
  <c r="K446" i="16" s="1"/>
  <c r="J446" i="16"/>
  <c r="C447" i="16" s="1"/>
  <c r="D494" i="16"/>
  <c r="A495" i="16"/>
  <c r="B494" i="16"/>
  <c r="F447" i="16" l="1"/>
  <c r="I447" i="16"/>
  <c r="K447" i="16" s="1"/>
  <c r="J447" i="16"/>
  <c r="C448" i="16" s="1"/>
  <c r="G447" i="16"/>
  <c r="H447" i="16" s="1"/>
  <c r="B495" i="16"/>
  <c r="A496" i="16"/>
  <c r="D495" i="16"/>
  <c r="H446" i="16"/>
  <c r="D496" i="16" l="1"/>
  <c r="A497" i="16"/>
  <c r="B496" i="16"/>
  <c r="F448" i="16"/>
  <c r="I448" i="16"/>
  <c r="K448" i="16" s="1"/>
  <c r="G448" i="16"/>
  <c r="H448" i="16" s="1"/>
  <c r="J448" i="16"/>
  <c r="C449" i="16" s="1"/>
  <c r="A498" i="16" l="1"/>
  <c r="B497" i="16"/>
  <c r="D497" i="16"/>
  <c r="F449" i="16"/>
  <c r="I449" i="16"/>
  <c r="K449" i="16" s="1"/>
  <c r="G449" i="16"/>
  <c r="H449" i="16" s="1"/>
  <c r="J449" i="16"/>
  <c r="C450" i="16" s="1"/>
  <c r="F450" i="16" l="1"/>
  <c r="I450" i="16"/>
  <c r="K450" i="16" s="1"/>
  <c r="G450" i="16"/>
  <c r="H450" i="16" s="1"/>
  <c r="J450" i="16"/>
  <c r="C451" i="16" s="1"/>
  <c r="B498" i="16"/>
  <c r="D498" i="16"/>
  <c r="F451" i="16" l="1"/>
  <c r="I451" i="16"/>
  <c r="K451" i="16" s="1"/>
  <c r="J451" i="16"/>
  <c r="C452" i="16" s="1"/>
  <c r="G451" i="16"/>
  <c r="H451" i="16" s="1"/>
  <c r="F452" i="16" l="1"/>
  <c r="I452" i="16"/>
  <c r="K452" i="16" s="1"/>
  <c r="G452" i="16"/>
  <c r="H452" i="16" s="1"/>
  <c r="J452" i="16"/>
  <c r="C453" i="16" s="1"/>
  <c r="F453" i="16" l="1"/>
  <c r="I453" i="16"/>
  <c r="K453" i="16" s="1"/>
  <c r="G453" i="16"/>
  <c r="H453" i="16" s="1"/>
  <c r="J453" i="16"/>
  <c r="C454" i="16" s="1"/>
  <c r="F454" i="16" l="1"/>
  <c r="G454" i="16"/>
  <c r="J454" i="16"/>
  <c r="C455" i="16" s="1"/>
  <c r="I454" i="16"/>
  <c r="K454" i="16" s="1"/>
  <c r="H454" i="16" l="1"/>
  <c r="F455" i="16"/>
  <c r="I455" i="16"/>
  <c r="K455" i="16" s="1"/>
  <c r="G455" i="16"/>
  <c r="H455" i="16" s="1"/>
  <c r="J455" i="16"/>
  <c r="C456" i="16" s="1"/>
  <c r="F456" i="16" l="1"/>
  <c r="G456" i="16"/>
  <c r="H456" i="16" s="1"/>
  <c r="I456" i="16"/>
  <c r="K456" i="16" s="1"/>
  <c r="J456" i="16"/>
  <c r="C457" i="16" s="1"/>
  <c r="F457" i="16" l="1"/>
  <c r="I457" i="16"/>
  <c r="K457" i="16" s="1"/>
  <c r="G457" i="16"/>
  <c r="H457" i="16" s="1"/>
  <c r="J457" i="16"/>
  <c r="C458" i="16" s="1"/>
  <c r="F458" i="16" l="1"/>
  <c r="G458" i="16"/>
  <c r="H458" i="16" s="1"/>
  <c r="J458" i="16"/>
  <c r="C459" i="16" s="1"/>
  <c r="I458" i="16"/>
  <c r="K458" i="16" s="1"/>
  <c r="F459" i="16" l="1"/>
  <c r="J459" i="16"/>
  <c r="C460" i="16" s="1"/>
  <c r="I459" i="16"/>
  <c r="K459" i="16" s="1"/>
  <c r="G459" i="16"/>
  <c r="H459" i="16" s="1"/>
  <c r="F460" i="16" l="1"/>
  <c r="G460" i="16"/>
  <c r="H460" i="16" s="1"/>
  <c r="I460" i="16"/>
  <c r="K460" i="16" s="1"/>
  <c r="J460" i="16"/>
  <c r="C461" i="16" s="1"/>
  <c r="F461" i="16" l="1"/>
  <c r="I461" i="16"/>
  <c r="K461" i="16" s="1"/>
  <c r="G461" i="16"/>
  <c r="H461" i="16" s="1"/>
  <c r="J461" i="16"/>
  <c r="C462" i="16" s="1"/>
  <c r="F462" i="16" l="1"/>
  <c r="I462" i="16"/>
  <c r="K462" i="16" s="1"/>
  <c r="J462" i="16"/>
  <c r="C463" i="16" s="1"/>
  <c r="G462" i="16"/>
  <c r="H462" i="16" s="1"/>
  <c r="F463" i="16" l="1"/>
  <c r="I463" i="16"/>
  <c r="K463" i="16" s="1"/>
  <c r="J463" i="16"/>
  <c r="C464" i="16" s="1"/>
  <c r="G463" i="16"/>
  <c r="H463" i="16" s="1"/>
  <c r="F464" i="16" l="1"/>
  <c r="I464" i="16"/>
  <c r="K464" i="16" s="1"/>
  <c r="J464" i="16"/>
  <c r="C465" i="16" s="1"/>
  <c r="G464" i="16"/>
  <c r="H464" i="16" s="1"/>
  <c r="F465" i="16" l="1"/>
  <c r="I465" i="16"/>
  <c r="K465" i="16" s="1"/>
  <c r="J465" i="16"/>
  <c r="C466" i="16" s="1"/>
  <c r="G465" i="16"/>
  <c r="H465" i="16" s="1"/>
  <c r="F466" i="16" l="1"/>
  <c r="I466" i="16"/>
  <c r="K466" i="16" s="1"/>
  <c r="G466" i="16"/>
  <c r="H466" i="16" s="1"/>
  <c r="J466" i="16"/>
  <c r="C467" i="16" s="1"/>
  <c r="F467" i="16" l="1"/>
  <c r="I467" i="16"/>
  <c r="K467" i="16" s="1"/>
  <c r="G467" i="16"/>
  <c r="H467" i="16" s="1"/>
  <c r="J467" i="16"/>
  <c r="C468" i="16" s="1"/>
  <c r="F468" i="16" l="1"/>
  <c r="I468" i="16"/>
  <c r="K468" i="16" s="1"/>
  <c r="G468" i="16"/>
  <c r="H468" i="16" s="1"/>
  <c r="J468" i="16"/>
  <c r="C469" i="16" s="1"/>
  <c r="F469" i="16" l="1"/>
  <c r="I469" i="16"/>
  <c r="K469" i="16" s="1"/>
  <c r="G469" i="16"/>
  <c r="H469" i="16" s="1"/>
  <c r="J469" i="16"/>
  <c r="C470" i="16" s="1"/>
  <c r="F470" i="16" l="1"/>
  <c r="I470" i="16"/>
  <c r="K470" i="16" s="1"/>
  <c r="G470" i="16"/>
  <c r="H470" i="16" s="1"/>
  <c r="J470" i="16"/>
  <c r="C471" i="16" s="1"/>
  <c r="F471" i="16" l="1"/>
  <c r="I471" i="16"/>
  <c r="K471" i="16" s="1"/>
  <c r="J471" i="16"/>
  <c r="C472" i="16" s="1"/>
  <c r="G471" i="16"/>
  <c r="H471" i="16" s="1"/>
  <c r="F472" i="16" l="1"/>
  <c r="I472" i="16"/>
  <c r="K472" i="16" s="1"/>
  <c r="J472" i="16"/>
  <c r="C473" i="16" s="1"/>
  <c r="G472" i="16"/>
  <c r="H472" i="16" s="1"/>
  <c r="F473" i="16" l="1"/>
  <c r="I473" i="16"/>
  <c r="K473" i="16" s="1"/>
  <c r="G473" i="16"/>
  <c r="H473" i="16" s="1"/>
  <c r="J473" i="16"/>
  <c r="C474" i="16" s="1"/>
  <c r="F474" i="16" l="1"/>
  <c r="I474" i="16"/>
  <c r="K474" i="16" s="1"/>
  <c r="G474" i="16"/>
  <c r="H474" i="16" s="1"/>
  <c r="J474" i="16"/>
  <c r="C475" i="16" s="1"/>
  <c r="F475" i="16" l="1"/>
  <c r="J475" i="16"/>
  <c r="C476" i="16" s="1"/>
  <c r="I475" i="16"/>
  <c r="K475" i="16" s="1"/>
  <c r="G475" i="16"/>
  <c r="H475" i="16" s="1"/>
  <c r="F476" i="16" l="1"/>
  <c r="J476" i="16"/>
  <c r="C477" i="16" s="1"/>
  <c r="G476" i="16"/>
  <c r="H476" i="16" s="1"/>
  <c r="I476" i="16"/>
  <c r="K476" i="16" s="1"/>
  <c r="F477" i="16" l="1"/>
  <c r="J477" i="16"/>
  <c r="C478" i="16" s="1"/>
  <c r="G477" i="16"/>
  <c r="H477" i="16" s="1"/>
  <c r="I477" i="16"/>
  <c r="K477" i="16" s="1"/>
  <c r="F478" i="16" l="1"/>
  <c r="I478" i="16"/>
  <c r="K478" i="16" s="1"/>
  <c r="J478" i="16"/>
  <c r="C479" i="16" s="1"/>
  <c r="G478" i="16"/>
  <c r="H478" i="16" s="1"/>
  <c r="F479" i="16" l="1"/>
  <c r="I479" i="16"/>
  <c r="K479" i="16" s="1"/>
  <c r="J479" i="16"/>
  <c r="C480" i="16" s="1"/>
  <c r="G479" i="16"/>
  <c r="H479" i="16" s="1"/>
  <c r="F480" i="16" l="1"/>
  <c r="J480" i="16"/>
  <c r="C481" i="16" s="1"/>
  <c r="I480" i="16"/>
  <c r="K480" i="16" s="1"/>
  <c r="G480" i="16"/>
  <c r="H480" i="16" s="1"/>
  <c r="F481" i="16" l="1"/>
  <c r="I481" i="16"/>
  <c r="K481" i="16" s="1"/>
  <c r="J481" i="16"/>
  <c r="C482" i="16" s="1"/>
  <c r="G481" i="16"/>
  <c r="H481" i="16" s="1"/>
  <c r="F482" i="16" l="1"/>
  <c r="J482" i="16"/>
  <c r="C483" i="16" s="1"/>
  <c r="G482" i="16"/>
  <c r="H482" i="16" s="1"/>
  <c r="I482" i="16"/>
  <c r="K482" i="16" s="1"/>
  <c r="F483" i="16" l="1"/>
  <c r="I483" i="16"/>
  <c r="K483" i="16" s="1"/>
  <c r="J483" i="16"/>
  <c r="C484" i="16" s="1"/>
  <c r="G483" i="16"/>
  <c r="H483" i="16" s="1"/>
  <c r="F484" i="16" l="1"/>
  <c r="G484" i="16"/>
  <c r="H484" i="16" s="1"/>
  <c r="I484" i="16"/>
  <c r="K484" i="16" s="1"/>
  <c r="J484" i="16"/>
  <c r="C485" i="16" s="1"/>
  <c r="F485" i="16" l="1"/>
  <c r="I485" i="16"/>
  <c r="K485" i="16" s="1"/>
  <c r="J485" i="16"/>
  <c r="C486" i="16" s="1"/>
  <c r="G485" i="16"/>
  <c r="H485" i="16" s="1"/>
  <c r="F486" i="16" l="1"/>
  <c r="I486" i="16"/>
  <c r="K486" i="16" s="1"/>
  <c r="J486" i="16"/>
  <c r="C487" i="16" s="1"/>
  <c r="G486" i="16"/>
  <c r="H486" i="16" s="1"/>
  <c r="F487" i="16" l="1"/>
  <c r="G487" i="16"/>
  <c r="H487" i="16" s="1"/>
  <c r="I487" i="16"/>
  <c r="K487" i="16" s="1"/>
  <c r="J487" i="16"/>
  <c r="C488" i="16" s="1"/>
  <c r="F488" i="16" l="1"/>
  <c r="I488" i="16"/>
  <c r="K488" i="16" s="1"/>
  <c r="J488" i="16"/>
  <c r="C489" i="16" s="1"/>
  <c r="G488" i="16"/>
  <c r="H488" i="16" s="1"/>
  <c r="F489" i="16" l="1"/>
  <c r="I489" i="16"/>
  <c r="K489" i="16" s="1"/>
  <c r="J489" i="16"/>
  <c r="C490" i="16" s="1"/>
  <c r="G489" i="16"/>
  <c r="H489" i="16" s="1"/>
  <c r="F490" i="16" l="1"/>
  <c r="I490" i="16"/>
  <c r="K490" i="16" s="1"/>
  <c r="J490" i="16"/>
  <c r="C491" i="16" s="1"/>
  <c r="G490" i="16"/>
  <c r="H490" i="16" s="1"/>
  <c r="F491" i="16" l="1"/>
  <c r="G491" i="16"/>
  <c r="I491" i="16"/>
  <c r="K491" i="16" s="1"/>
  <c r="J491" i="16"/>
  <c r="C492" i="16" s="1"/>
  <c r="F492" i="16" l="1"/>
  <c r="G492" i="16"/>
  <c r="J492" i="16"/>
  <c r="C493" i="16" s="1"/>
  <c r="I492" i="16"/>
  <c r="K492" i="16" s="1"/>
  <c r="H491" i="16"/>
  <c r="H492" i="16" l="1"/>
  <c r="F493" i="16"/>
  <c r="I493" i="16"/>
  <c r="K493" i="16" s="1"/>
  <c r="J493" i="16"/>
  <c r="C494" i="16" s="1"/>
  <c r="G493" i="16"/>
  <c r="H493" i="16" s="1"/>
  <c r="F494" i="16" l="1"/>
  <c r="I494" i="16"/>
  <c r="K494" i="16" s="1"/>
  <c r="G494" i="16"/>
  <c r="H494" i="16" s="1"/>
  <c r="J494" i="16"/>
  <c r="C495" i="16" s="1"/>
  <c r="F495" i="16" l="1"/>
  <c r="I495" i="16"/>
  <c r="K495" i="16" s="1"/>
  <c r="G495" i="16"/>
  <c r="H495" i="16" s="1"/>
  <c r="J495" i="16"/>
  <c r="C496" i="16" s="1"/>
  <c r="F496" i="16" l="1"/>
  <c r="J496" i="16"/>
  <c r="C497" i="16" s="1"/>
  <c r="G496" i="16"/>
  <c r="I496" i="16"/>
  <c r="K496" i="16" s="1"/>
  <c r="H496" i="16" l="1"/>
  <c r="F497" i="16"/>
  <c r="I497" i="16"/>
  <c r="K497" i="16" s="1"/>
  <c r="J497" i="16"/>
  <c r="C498" i="16" s="1"/>
  <c r="G497" i="16"/>
  <c r="H497" i="16" s="1"/>
  <c r="F498" i="16" l="1"/>
  <c r="K9" i="16"/>
  <c r="G498" i="16"/>
  <c r="J498" i="16"/>
  <c r="K7" i="16" s="1"/>
  <c r="I498" i="16"/>
  <c r="K498" i="16" s="1"/>
  <c r="H498" i="16" l="1"/>
</calcChain>
</file>

<file path=xl/comments1.xml><?xml version="1.0" encoding="utf-8"?>
<comments xmlns="http://schemas.openxmlformats.org/spreadsheetml/2006/main">
  <authors>
    <author>Kevin Agent</author>
  </authors>
  <commentList>
    <comment ref="K15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discount rental to allow for costs 10%-20%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Positive number</t>
        </r>
      </text>
    </comment>
  </commentList>
</comments>
</file>

<file path=xl/comments2.xml><?xml version="1.0" encoding="utf-8"?>
<comments xmlns="http://schemas.openxmlformats.org/spreadsheetml/2006/main">
  <authors>
    <author>Kevin Agent</author>
  </authors>
  <commentList>
    <comment ref="K15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discount rental to allow for costs 10%-20%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Positive number</t>
        </r>
      </text>
    </comment>
  </commentList>
</comments>
</file>

<file path=xl/comments3.xml><?xml version="1.0" encoding="utf-8"?>
<comments xmlns="http://schemas.openxmlformats.org/spreadsheetml/2006/main">
  <authors>
    <author>Kevin Agent</author>
  </authors>
  <commentList>
    <comment ref="X6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will take maximum of % or flat fee below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will take maximum of % or flat fee below</t>
        </r>
      </text>
    </comment>
  </commentList>
</comments>
</file>

<file path=xl/comments4.xml><?xml version="1.0" encoding="utf-8"?>
<comments xmlns="http://schemas.openxmlformats.org/spreadsheetml/2006/main">
  <authors>
    <author>Kevin Agent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Kevin Agent:</t>
        </r>
        <r>
          <rPr>
            <sz val="9"/>
            <color indexed="81"/>
            <rFont val="Tahoma"/>
            <family val="2"/>
          </rPr>
          <t xml:space="preserve">
Xfiles</t>
        </r>
      </text>
    </comment>
  </commentList>
</comments>
</file>

<file path=xl/sharedStrings.xml><?xml version="1.0" encoding="utf-8"?>
<sst xmlns="http://schemas.openxmlformats.org/spreadsheetml/2006/main" count="360" uniqueCount="203">
  <si>
    <t>Loan amount</t>
  </si>
  <si>
    <t>Interest rate</t>
  </si>
  <si>
    <t>Offset account</t>
  </si>
  <si>
    <t>Net Balance</t>
  </si>
  <si>
    <t>years</t>
  </si>
  <si>
    <t>Repayment calculator</t>
  </si>
  <si>
    <t>Actual Costs</t>
  </si>
  <si>
    <t>Monthly costs</t>
  </si>
  <si>
    <t>Int only</t>
  </si>
  <si>
    <t>P&amp;I</t>
  </si>
  <si>
    <t>Loan Balance</t>
  </si>
  <si>
    <t>Interest</t>
  </si>
  <si>
    <t>Cumulative Interest</t>
  </si>
  <si>
    <t>Principal</t>
  </si>
  <si>
    <t>Total Payment</t>
  </si>
  <si>
    <t>Scheduled Payment</t>
  </si>
  <si>
    <t>Payment Date</t>
  </si>
  <si>
    <t>Pmt. No.</t>
  </si>
  <si>
    <t>Total interest</t>
  </si>
  <si>
    <t>Start date of loan</t>
  </si>
  <si>
    <t>Number of payments per year</t>
  </si>
  <si>
    <t>Actual number of payments</t>
  </si>
  <si>
    <t>Loan period in years</t>
  </si>
  <si>
    <t>Scheduled number of payments</t>
  </si>
  <si>
    <t>Annual interest rate</t>
  </si>
  <si>
    <t>Scheduled payment</t>
  </si>
  <si>
    <t>Loan summary</t>
  </si>
  <si>
    <t>Enter values</t>
  </si>
  <si>
    <t>Principal Balance</t>
  </si>
  <si>
    <t>Loan Amortisation Schedule with Offset account</t>
  </si>
  <si>
    <t>Client Name</t>
  </si>
  <si>
    <t>Offset Balance</t>
  </si>
  <si>
    <t>Regular payments to Offset account PM</t>
  </si>
  <si>
    <t>choose 12 (annual) or 26 (fortnightly)</t>
  </si>
  <si>
    <t>***********Only input into Yellow areas************</t>
  </si>
  <si>
    <t>Opening Offset Bal</t>
  </si>
  <si>
    <t>xx</t>
  </si>
  <si>
    <t>Per month</t>
  </si>
  <si>
    <t>Annually</t>
  </si>
  <si>
    <t>weekly</t>
  </si>
  <si>
    <t>fortnightly</t>
  </si>
  <si>
    <t>Fixed/VBL</t>
  </si>
  <si>
    <t>Term (years)</t>
  </si>
  <si>
    <t>Fixed rate term</t>
  </si>
  <si>
    <t>Int only term</t>
  </si>
  <si>
    <t>IO / P&amp;I</t>
  </si>
  <si>
    <t>***</t>
  </si>
  <si>
    <t>costs say</t>
  </si>
  <si>
    <t>off gross rental for costs</t>
  </si>
  <si>
    <t>Rental</t>
  </si>
  <si>
    <t>per week</t>
  </si>
  <si>
    <t>Total rental</t>
  </si>
  <si>
    <t>Net cash costs (pre tax)</t>
  </si>
  <si>
    <t>rental</t>
  </si>
  <si>
    <r>
      <t xml:space="preserve">Per </t>
    </r>
    <r>
      <rPr>
        <u/>
        <sz val="11"/>
        <color theme="1"/>
        <rFont val="Calibri"/>
        <family val="2"/>
        <scheme val="minor"/>
      </rPr>
      <t>week</t>
    </r>
  </si>
  <si>
    <t>Car lease</t>
  </si>
  <si>
    <t>per month</t>
  </si>
  <si>
    <t>Net outgoings</t>
  </si>
  <si>
    <t xml:space="preserve">net Income </t>
  </si>
  <si>
    <t>Net position</t>
  </si>
  <si>
    <t>spending</t>
  </si>
  <si>
    <t>Living available</t>
  </si>
  <si>
    <t>Comments</t>
  </si>
  <si>
    <t>sec</t>
  </si>
  <si>
    <t>debt</t>
  </si>
  <si>
    <t>Purchase costs</t>
  </si>
  <si>
    <t>Purchase price</t>
  </si>
  <si>
    <t>Costs</t>
  </si>
  <si>
    <t>Buyers Advocate</t>
  </si>
  <si>
    <t>Total</t>
  </si>
  <si>
    <t>Funded by</t>
  </si>
  <si>
    <t>deposit</t>
  </si>
  <si>
    <t>Stage 1</t>
  </si>
  <si>
    <t>stage 2</t>
  </si>
  <si>
    <t>stage 3</t>
  </si>
  <si>
    <t>Cash held</t>
  </si>
  <si>
    <t>LVR</t>
  </si>
  <si>
    <t>Surplus</t>
  </si>
  <si>
    <t>LMI</t>
  </si>
  <si>
    <t>Regear</t>
  </si>
  <si>
    <t>Stamp duty</t>
  </si>
  <si>
    <t>redraw</t>
  </si>
  <si>
    <t>LMI %</t>
  </si>
  <si>
    <t>Total cash</t>
  </si>
  <si>
    <t>Total available</t>
  </si>
  <si>
    <t>LMI fee</t>
  </si>
  <si>
    <t>Difference</t>
  </si>
  <si>
    <t>Benefit Assessment</t>
  </si>
  <si>
    <t>current</t>
  </si>
  <si>
    <t>new</t>
  </si>
  <si>
    <t>Purpose</t>
  </si>
  <si>
    <t>OO</t>
  </si>
  <si>
    <t>Investment</t>
  </si>
  <si>
    <t>Rate</t>
  </si>
  <si>
    <t>home</t>
  </si>
  <si>
    <t>Home loan</t>
  </si>
  <si>
    <t>inv</t>
  </si>
  <si>
    <t>Offset account Bal</t>
  </si>
  <si>
    <t>Net balance</t>
  </si>
  <si>
    <t>int rate</t>
  </si>
  <si>
    <t>Int costs</t>
  </si>
  <si>
    <t>Annual Fee</t>
  </si>
  <si>
    <t>Savings/Loss</t>
  </si>
  <si>
    <t>per annum with new</t>
  </si>
  <si>
    <t>Avg rate</t>
  </si>
  <si>
    <t>Security Value</t>
  </si>
  <si>
    <t>System response</t>
  </si>
  <si>
    <t>Annual int savings</t>
  </si>
  <si>
    <t>a)</t>
  </si>
  <si>
    <t>10 years - int saving</t>
  </si>
  <si>
    <t>Compares Interest only funding vs P&amp;I funding costs</t>
  </si>
  <si>
    <t>Interest only</t>
  </si>
  <si>
    <t>P&amp;I repayments</t>
  </si>
  <si>
    <t>Cashflow benefit/Costs</t>
  </si>
  <si>
    <t>Property 1</t>
  </si>
  <si>
    <t>Property 2</t>
  </si>
  <si>
    <t>Actual costs</t>
  </si>
  <si>
    <t>Other</t>
  </si>
  <si>
    <t>Childcare</t>
  </si>
  <si>
    <t>Groceries</t>
  </si>
  <si>
    <t>Repay</t>
  </si>
  <si>
    <t>Remainder</t>
  </si>
  <si>
    <t>Sell (net)</t>
  </si>
  <si>
    <t>To offset/reduce debt</t>
  </si>
  <si>
    <t>Minimum BA fee</t>
  </si>
  <si>
    <t>Current Funder</t>
  </si>
  <si>
    <t>Proposed Funder</t>
  </si>
  <si>
    <t>BOM</t>
  </si>
  <si>
    <t>CBA</t>
  </si>
  <si>
    <t>Gift</t>
  </si>
  <si>
    <t>stage 1</t>
  </si>
  <si>
    <t>return to work</t>
  </si>
  <si>
    <t>Ongoing Living Expenses</t>
  </si>
  <si>
    <t>Category</t>
  </si>
  <si>
    <t>Description</t>
  </si>
  <si>
    <t>Weekly</t>
  </si>
  <si>
    <t>Fortnightly</t>
  </si>
  <si>
    <t>Monthly</t>
  </si>
  <si>
    <t>Quarterly</t>
  </si>
  <si>
    <t>Monthly for the category</t>
  </si>
  <si>
    <r>
      <t xml:space="preserve">Clothing and Personal care </t>
    </r>
    <r>
      <rPr>
        <b/>
        <sz val="11"/>
        <color rgb="FFFF0000"/>
        <rFont val="Calibri"/>
        <family val="2"/>
        <scheme val="minor"/>
      </rPr>
      <t>(mandatory)</t>
    </r>
  </si>
  <si>
    <t>Clothing</t>
  </si>
  <si>
    <t>Footwear</t>
  </si>
  <si>
    <t>Other personal care</t>
  </si>
  <si>
    <t>Education</t>
  </si>
  <si>
    <t>Text books</t>
  </si>
  <si>
    <t>Enrolment fees</t>
  </si>
  <si>
    <t>Uniforms</t>
  </si>
  <si>
    <r>
      <t xml:space="preserve">Groceries </t>
    </r>
    <r>
      <rPr>
        <b/>
        <sz val="11"/>
        <color rgb="FFFF0000"/>
        <rFont val="Calibri"/>
        <family val="2"/>
        <scheme val="minor"/>
      </rPr>
      <t>(mandatory)</t>
    </r>
  </si>
  <si>
    <t>Home and Contents insurance</t>
  </si>
  <si>
    <t>Income protection</t>
  </si>
  <si>
    <t>Life insurance</t>
  </si>
  <si>
    <t>Investment Property expenses</t>
  </si>
  <si>
    <t>Council Rates &amp; Land tax</t>
  </si>
  <si>
    <t>Body Corporate (if applicable)</t>
  </si>
  <si>
    <t>Water charges</t>
  </si>
  <si>
    <t>General maintenance</t>
  </si>
  <si>
    <t xml:space="preserve">Medical and health </t>
  </si>
  <si>
    <t>Medical/Pharmaceutical</t>
  </si>
  <si>
    <t>Natural therapies</t>
  </si>
  <si>
    <r>
      <t xml:space="preserve">Owner Occupied Property expenses </t>
    </r>
    <r>
      <rPr>
        <b/>
        <sz val="11"/>
        <color rgb="FFFF0000"/>
        <rFont val="Calibri"/>
        <family val="2"/>
        <scheme val="minor"/>
      </rPr>
      <t>(mandatory)</t>
    </r>
  </si>
  <si>
    <t>Gas</t>
  </si>
  <si>
    <t>Electricity</t>
  </si>
  <si>
    <r>
      <t xml:space="preserve">Rent </t>
    </r>
    <r>
      <rPr>
        <b/>
        <sz val="9"/>
        <color theme="1"/>
        <rFont val="Calibri"/>
        <family val="2"/>
        <scheme val="minor"/>
      </rPr>
      <t>(only include if this is an ongoing expense)</t>
    </r>
  </si>
  <si>
    <t xml:space="preserve">Recreation and Entertainment </t>
  </si>
  <si>
    <t>Holidays/travel</t>
  </si>
  <si>
    <t xml:space="preserve">Gym membership </t>
  </si>
  <si>
    <t>Subscriptions - magazines, websites etc.</t>
  </si>
  <si>
    <t>Cinema/Theatre/Concerts</t>
  </si>
  <si>
    <t>General entertainment</t>
  </si>
  <si>
    <r>
      <t xml:space="preserve">Communication &amp; media </t>
    </r>
    <r>
      <rPr>
        <b/>
        <sz val="11"/>
        <color rgb="FFFF0000"/>
        <rFont val="Calibri"/>
        <family val="2"/>
        <scheme val="minor"/>
      </rPr>
      <t>(mandatory)</t>
    </r>
  </si>
  <si>
    <r>
      <t>Mobile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</si>
  <si>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Internet </t>
  </si>
  <si>
    <r>
      <t xml:space="preserve">Transport </t>
    </r>
    <r>
      <rPr>
        <b/>
        <sz val="11"/>
        <color rgb="FFFF0000"/>
        <rFont val="Calibri"/>
        <family val="2"/>
        <scheme val="minor"/>
      </rPr>
      <t>(mandatory)</t>
    </r>
  </si>
  <si>
    <t>Parking</t>
  </si>
  <si>
    <t>Fuel</t>
  </si>
  <si>
    <t>Car Insurance</t>
  </si>
  <si>
    <t xml:space="preserve">Maintenance </t>
  </si>
  <si>
    <t>Spousal</t>
  </si>
  <si>
    <t>Child support</t>
  </si>
  <si>
    <t>Monthly living expenses</t>
  </si>
  <si>
    <t>Version 18/12/18 KA</t>
  </si>
  <si>
    <t>Total figure (annually)</t>
  </si>
  <si>
    <t>Being sold</t>
  </si>
  <si>
    <t>New structure</t>
  </si>
  <si>
    <t>Stage 2 Land</t>
  </si>
  <si>
    <t>Stage 3 construction</t>
  </si>
  <si>
    <t>New</t>
  </si>
  <si>
    <t>repay help/pepper</t>
  </si>
  <si>
    <t>Guarantee</t>
  </si>
  <si>
    <t>Dining out</t>
  </si>
  <si>
    <t>Vehicle registration</t>
  </si>
  <si>
    <t>Public transport</t>
  </si>
  <si>
    <t>Vehicle maintenance / servicing</t>
  </si>
  <si>
    <t>Cable TV, Netflix, Spotify, Stan</t>
  </si>
  <si>
    <t>Comments (if applicable)</t>
  </si>
  <si>
    <t>Other (insert description)</t>
  </si>
  <si>
    <t>Version JY Dec 18 V2</t>
  </si>
  <si>
    <t>Version 24/01/19 KA</t>
  </si>
  <si>
    <t>Savings available</t>
  </si>
  <si>
    <t>Other costs</t>
  </si>
  <si>
    <r>
      <t xml:space="preserve">Insurances </t>
    </r>
    <r>
      <rPr>
        <b/>
        <sz val="11"/>
        <color rgb="FFFF0000"/>
        <rFont val="Calibri"/>
        <family val="2"/>
        <scheme val="minor"/>
      </rPr>
      <t>(mandatory)</t>
    </r>
  </si>
  <si>
    <t>Health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</si>
</sst>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$&quot;* #,##0_-;\-&quot;$&quot;* #,##0_-;_-&quot;$&quot;* &quot;-&quot;??_-;_-@_-"/>
    <numFmt numFmtId="168" formatCode="_-* #,##0_-;\-* #,##0_-;_-* &quot;-&quot;??_-;_-@_-"/>
    <numFmt numFmtId="169" formatCode="0_)"/>
    <numFmt numFmtId="170" formatCode="0.00?%_)"/>
    <numFmt numFmtId="171" formatCode="0.0%"/>
    <numFmt numFmtId="172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8"/>
      <name val="Cambria"/>
      <family val="2"/>
      <scheme val="maj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1"/>
      <scheme val="minor"/>
    </font>
    <font>
      <b/>
      <sz val="10"/>
      <color rgb="FFFF0000"/>
      <name val="Calibri"/>
      <family val="1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  <xf numFmtId="0" fontId="11" fillId="6" borderId="0" applyNumberFormat="0" applyBorder="0" applyAlignment="0" applyProtection="0"/>
    <xf numFmtId="0" fontId="15" fillId="3" borderId="3" applyNumberFormat="0" applyAlignment="0" applyProtection="0"/>
    <xf numFmtId="0" fontId="17" fillId="4" borderId="3" applyNumberFormat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/>
    <xf numFmtId="167" fontId="0" fillId="0" borderId="0" xfId="2" applyNumberFormat="1" applyFont="1"/>
    <xf numFmtId="167" fontId="2" fillId="0" borderId="0" xfId="2" applyNumberFormat="1" applyFont="1"/>
    <xf numFmtId="0" fontId="5" fillId="0" borderId="0" xfId="0" applyFont="1"/>
    <xf numFmtId="164" fontId="4" fillId="0" borderId="0" xfId="0" applyNumberFormat="1" applyFont="1"/>
    <xf numFmtId="165" fontId="4" fillId="0" borderId="0" xfId="2" applyFont="1"/>
    <xf numFmtId="0" fontId="8" fillId="0" borderId="0" xfId="0" applyFont="1"/>
    <xf numFmtId="167" fontId="4" fillId="0" borderId="0" xfId="2" applyNumberFormat="1" applyFont="1"/>
    <xf numFmtId="165" fontId="4" fillId="0" borderId="2" xfId="0" applyNumberFormat="1" applyFont="1" applyBorder="1"/>
    <xf numFmtId="165" fontId="2" fillId="0" borderId="0" xfId="2" applyFont="1"/>
    <xf numFmtId="0" fontId="9" fillId="0" borderId="0" xfId="3"/>
    <xf numFmtId="0" fontId="9" fillId="0" borderId="0" xfId="3" applyAlignment="1">
      <alignment horizontal="center"/>
    </xf>
    <xf numFmtId="0" fontId="9" fillId="0" borderId="0" xfId="3" applyAlignment="1">
      <alignment horizontal="left"/>
    </xf>
    <xf numFmtId="0" fontId="9" fillId="0" borderId="0" xfId="3" applyAlignment="1">
      <alignment wrapText="1"/>
    </xf>
    <xf numFmtId="0" fontId="12" fillId="6" borderId="4" xfId="5" applyFont="1" applyBorder="1" applyAlignment="1">
      <alignment horizontal="left" wrapText="1" indent="3"/>
    </xf>
    <xf numFmtId="0" fontId="12" fillId="6" borderId="4" xfId="5" applyFont="1" applyBorder="1" applyAlignment="1">
      <alignment horizontal="left" wrapText="1" indent="2"/>
    </xf>
    <xf numFmtId="0" fontId="12" fillId="6" borderId="4" xfId="5" applyFont="1" applyBorder="1" applyAlignment="1">
      <alignment horizontal="left"/>
    </xf>
    <xf numFmtId="0" fontId="13" fillId="6" borderId="5" xfId="5" applyFont="1" applyBorder="1" applyAlignment="1">
      <alignment horizontal="center" vertical="center" wrapText="1"/>
    </xf>
    <xf numFmtId="0" fontId="13" fillId="6" borderId="6" xfId="5" applyFont="1" applyBorder="1" applyAlignment="1">
      <alignment horizontal="center" vertical="center" wrapText="1"/>
    </xf>
    <xf numFmtId="0" fontId="13" fillId="6" borderId="7" xfId="5" applyFont="1" applyBorder="1" applyAlignment="1">
      <alignment horizontal="center" vertical="center" wrapText="1"/>
    </xf>
    <xf numFmtId="0" fontId="12" fillId="6" borderId="0" xfId="5" applyFont="1"/>
    <xf numFmtId="0" fontId="12" fillId="6" borderId="0" xfId="5" applyFont="1" applyAlignment="1">
      <alignment horizontal="left"/>
    </xf>
    <xf numFmtId="0" fontId="9" fillId="5" borderId="4" xfId="3" applyFill="1" applyBorder="1"/>
    <xf numFmtId="0" fontId="9" fillId="5" borderId="4" xfId="3" applyFill="1" applyBorder="1" applyAlignment="1">
      <alignment horizontal="left"/>
    </xf>
    <xf numFmtId="0" fontId="9" fillId="5" borderId="0" xfId="3" applyFill="1"/>
    <xf numFmtId="0" fontId="9" fillId="5" borderId="8" xfId="3" applyFill="1" applyBorder="1" applyAlignment="1">
      <alignment horizontal="left"/>
    </xf>
    <xf numFmtId="0" fontId="14" fillId="5" borderId="0" xfId="3" applyFont="1" applyFill="1" applyAlignment="1">
      <alignment horizontal="right"/>
    </xf>
    <xf numFmtId="0" fontId="9" fillId="5" borderId="0" xfId="3" applyFill="1" applyAlignment="1">
      <alignment horizontal="left"/>
    </xf>
    <xf numFmtId="0" fontId="9" fillId="5" borderId="4" xfId="3" applyFill="1" applyBorder="1" applyAlignment="1">
      <alignment horizontal="right"/>
    </xf>
    <xf numFmtId="0" fontId="9" fillId="5" borderId="11" xfId="3" applyFill="1" applyBorder="1" applyAlignment="1">
      <alignment horizontal="left"/>
    </xf>
    <xf numFmtId="0" fontId="9" fillId="5" borderId="0" xfId="3" applyFill="1" applyAlignment="1">
      <alignment horizontal="right"/>
    </xf>
    <xf numFmtId="0" fontId="9" fillId="5" borderId="12" xfId="3" applyFill="1" applyBorder="1" applyAlignment="1">
      <alignment horizontal="left"/>
    </xf>
    <xf numFmtId="0" fontId="18" fillId="5" borderId="0" xfId="3" applyFont="1" applyFill="1"/>
    <xf numFmtId="44" fontId="9" fillId="0" borderId="0" xfId="3" applyNumberFormat="1"/>
    <xf numFmtId="0" fontId="20" fillId="5" borderId="0" xfId="3" applyFont="1" applyFill="1" applyAlignment="1">
      <alignment horizontal="right"/>
    </xf>
    <xf numFmtId="0" fontId="20" fillId="5" borderId="4" xfId="3" applyFont="1" applyFill="1" applyBorder="1" applyAlignment="1">
      <alignment horizontal="right"/>
    </xf>
    <xf numFmtId="0" fontId="20" fillId="5" borderId="0" xfId="3" applyFont="1" applyFill="1" applyAlignment="1">
      <alignment horizontal="center"/>
    </xf>
    <xf numFmtId="0" fontId="20" fillId="5" borderId="0" xfId="3" applyFont="1" applyFill="1" applyAlignment="1">
      <alignment horizontal="left"/>
    </xf>
    <xf numFmtId="0" fontId="21" fillId="5" borderId="0" xfId="3" applyFont="1" applyFill="1" applyAlignment="1">
      <alignment horizontal="left"/>
    </xf>
    <xf numFmtId="14" fontId="21" fillId="5" borderId="0" xfId="3" applyNumberFormat="1" applyFont="1" applyFill="1" applyAlignment="1">
      <alignment horizontal="right"/>
    </xf>
    <xf numFmtId="44" fontId="21" fillId="5" borderId="0" xfId="4" applyFont="1" applyFill="1" applyAlignment="1">
      <alignment horizontal="right"/>
    </xf>
    <xf numFmtId="44" fontId="21" fillId="5" borderId="0" xfId="4" applyFont="1" applyFill="1" applyAlignment="1" applyProtection="1">
      <alignment horizontal="right"/>
      <protection locked="0"/>
    </xf>
    <xf numFmtId="44" fontId="22" fillId="5" borderId="0" xfId="4" applyFont="1" applyFill="1" applyAlignment="1" applyProtection="1">
      <alignment horizontal="right"/>
      <protection locked="0"/>
    </xf>
    <xf numFmtId="44" fontId="22" fillId="4" borderId="3" xfId="7" applyNumberFormat="1" applyFont="1" applyAlignment="1">
      <alignment horizontal="right"/>
    </xf>
    <xf numFmtId="169" fontId="22" fillId="4" borderId="3" xfId="7" applyNumberFormat="1" applyFont="1" applyAlignment="1">
      <alignment horizontal="right"/>
    </xf>
    <xf numFmtId="0" fontId="19" fillId="5" borderId="0" xfId="3" applyFont="1" applyFill="1"/>
    <xf numFmtId="14" fontId="9" fillId="5" borderId="0" xfId="3" applyNumberForma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center" wrapText="1"/>
    </xf>
    <xf numFmtId="167" fontId="1" fillId="7" borderId="0" xfId="2" applyNumberFormat="1" applyFill="1" applyProtection="1">
      <protection locked="0"/>
    </xf>
    <xf numFmtId="47" fontId="2" fillId="8" borderId="0" xfId="2" applyNumberFormat="1" applyFont="1" applyFill="1" applyProtection="1">
      <protection locked="0"/>
    </xf>
    <xf numFmtId="10" fontId="1" fillId="7" borderId="0" xfId="0" applyNumberFormat="1" applyFont="1" applyFill="1" applyProtection="1">
      <protection locked="0"/>
    </xf>
    <xf numFmtId="168" fontId="1" fillId="7" borderId="0" xfId="1" applyNumberFormat="1" applyFill="1" applyProtection="1">
      <protection locked="0"/>
    </xf>
    <xf numFmtId="0" fontId="4" fillId="0" borderId="0" xfId="0" applyFont="1"/>
    <xf numFmtId="167" fontId="1" fillId="0" borderId="0" xfId="2" applyNumberFormat="1"/>
    <xf numFmtId="167" fontId="4" fillId="0" borderId="2" xfId="2" applyNumberFormat="1" applyFont="1" applyBorder="1"/>
    <xf numFmtId="0" fontId="3" fillId="8" borderId="0" xfId="0" applyFont="1" applyFill="1" applyProtection="1">
      <protection locked="0"/>
    </xf>
    <xf numFmtId="167" fontId="2" fillId="8" borderId="0" xfId="2" applyNumberFormat="1" applyFont="1" applyFill="1" applyProtection="1">
      <protection locked="0"/>
    </xf>
    <xf numFmtId="167" fontId="4" fillId="0" borderId="2" xfId="0" applyNumberFormat="1" applyFont="1" applyBorder="1"/>
    <xf numFmtId="167" fontId="1" fillId="7" borderId="0" xfId="2" applyNumberFormat="1" applyFill="1"/>
    <xf numFmtId="167" fontId="2" fillId="8" borderId="0" xfId="2" applyNumberFormat="1" applyFont="1" applyFill="1"/>
    <xf numFmtId="167" fontId="4" fillId="2" borderId="16" xfId="0" applyNumberFormat="1" applyFont="1" applyFill="1" applyBorder="1"/>
    <xf numFmtId="167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167" fontId="2" fillId="9" borderId="0" xfId="2" applyNumberFormat="1" applyFont="1" applyFill="1"/>
    <xf numFmtId="10" fontId="0" fillId="9" borderId="0" xfId="0" applyNumberFormat="1" applyFill="1"/>
    <xf numFmtId="0" fontId="0" fillId="0" borderId="18" xfId="0" applyBorder="1"/>
    <xf numFmtId="167" fontId="4" fillId="0" borderId="18" xfId="2" applyNumberFormat="1" applyFont="1" applyBorder="1"/>
    <xf numFmtId="0" fontId="23" fillId="0" borderId="0" xfId="0" applyFont="1"/>
    <xf numFmtId="0" fontId="0" fillId="0" borderId="0" xfId="0" quotePrefix="1"/>
    <xf numFmtId="167" fontId="24" fillId="0" borderId="0" xfId="2" applyNumberFormat="1" applyFont="1"/>
    <xf numFmtId="167" fontId="0" fillId="8" borderId="0" xfId="2" applyNumberFormat="1" applyFont="1" applyFill="1"/>
    <xf numFmtId="167" fontId="4" fillId="8" borderId="2" xfId="2" applyNumberFormat="1" applyFont="1" applyFill="1" applyBorder="1"/>
    <xf numFmtId="167" fontId="2" fillId="0" borderId="2" xfId="2" applyNumberFormat="1" applyFont="1" applyBorder="1"/>
    <xf numFmtId="167" fontId="4" fillId="2" borderId="18" xfId="2" applyNumberFormat="1" applyFont="1" applyFill="1" applyBorder="1"/>
    <xf numFmtId="0" fontId="3" fillId="8" borderId="0" xfId="0" applyFont="1" applyFill="1"/>
    <xf numFmtId="10" fontId="4" fillId="8" borderId="0" xfId="8" applyNumberFormat="1" applyFont="1" applyFill="1"/>
    <xf numFmtId="171" fontId="4" fillId="8" borderId="0" xfId="8" applyNumberFormat="1" applyFont="1" applyFill="1"/>
    <xf numFmtId="171" fontId="2" fillId="10" borderId="0" xfId="0" applyNumberFormat="1" applyFont="1" applyFill="1"/>
    <xf numFmtId="171" fontId="2" fillId="0" borderId="0" xfId="0" applyNumberFormat="1" applyFont="1"/>
    <xf numFmtId="10" fontId="4" fillId="0" borderId="0" xfId="8" applyNumberFormat="1" applyFont="1"/>
    <xf numFmtId="167" fontId="4" fillId="0" borderId="0" xfId="0" applyNumberFormat="1" applyFont="1"/>
    <xf numFmtId="167" fontId="25" fillId="0" borderId="0" xfId="2" applyNumberFormat="1" applyFont="1"/>
    <xf numFmtId="167" fontId="24" fillId="0" borderId="0" xfId="0" applyNumberFormat="1" applyFont="1"/>
    <xf numFmtId="0" fontId="0" fillId="10" borderId="0" xfId="0" applyFill="1"/>
    <xf numFmtId="10" fontId="0" fillId="0" borderId="0" xfId="0" applyNumberFormat="1"/>
    <xf numFmtId="0" fontId="0" fillId="0" borderId="2" xfId="0" applyBorder="1"/>
    <xf numFmtId="167" fontId="25" fillId="0" borderId="0" xfId="0" applyNumberFormat="1" applyFont="1"/>
    <xf numFmtId="171" fontId="3" fillId="0" borderId="0" xfId="8" applyNumberFormat="1" applyFont="1"/>
    <xf numFmtId="167" fontId="4" fillId="0" borderId="19" xfId="0" applyNumberFormat="1" applyFont="1" applyBorder="1"/>
    <xf numFmtId="171" fontId="0" fillId="0" borderId="0" xfId="0" applyNumberFormat="1"/>
    <xf numFmtId="167" fontId="3" fillId="0" borderId="0" xfId="2" applyNumberFormat="1" applyFont="1"/>
    <xf numFmtId="10" fontId="2" fillId="8" borderId="0" xfId="8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7" fontId="3" fillId="0" borderId="19" xfId="2" applyNumberFormat="1" applyFont="1" applyBorder="1" applyAlignment="1">
      <alignment horizontal="center"/>
    </xf>
    <xf numFmtId="167" fontId="3" fillId="12" borderId="2" xfId="2" applyNumberFormat="1" applyFont="1" applyFill="1" applyBorder="1"/>
    <xf numFmtId="0" fontId="4" fillId="0" borderId="20" xfId="0" applyFont="1" applyBorder="1" applyAlignment="1">
      <alignment horizontal="center"/>
    </xf>
    <xf numFmtId="0" fontId="0" fillId="0" borderId="21" xfId="0" applyBorder="1"/>
    <xf numFmtId="10" fontId="0" fillId="12" borderId="0" xfId="8" applyNumberFormat="1" applyFont="1" applyFill="1"/>
    <xf numFmtId="0" fontId="0" fillId="0" borderId="24" xfId="0" applyBorder="1"/>
    <xf numFmtId="10" fontId="2" fillId="8" borderId="0" xfId="0" applyNumberFormat="1" applyFont="1" applyFill="1"/>
    <xf numFmtId="0" fontId="0" fillId="0" borderId="26" xfId="0" applyBorder="1"/>
    <xf numFmtId="167" fontId="2" fillId="0" borderId="0" xfId="0" applyNumberFormat="1" applyFont="1"/>
    <xf numFmtId="0" fontId="26" fillId="0" borderId="0" xfId="0" applyFont="1"/>
    <xf numFmtId="10" fontId="2" fillId="0" borderId="0" xfId="8" applyNumberFormat="1" applyFont="1"/>
    <xf numFmtId="9" fontId="4" fillId="0" borderId="0" xfId="8" applyFont="1"/>
    <xf numFmtId="9" fontId="25" fillId="0" borderId="0" xfId="8" applyFont="1"/>
    <xf numFmtId="0" fontId="19" fillId="12" borderId="0" xfId="0" applyFont="1" applyFill="1"/>
    <xf numFmtId="0" fontId="27" fillId="0" borderId="0" xfId="0" applyFont="1" applyAlignment="1">
      <alignment horizontal="center"/>
    </xf>
    <xf numFmtId="0" fontId="0" fillId="8" borderId="0" xfId="0" applyFill="1"/>
    <xf numFmtId="167" fontId="4" fillId="2" borderId="19" xfId="0" applyNumberFormat="1" applyFont="1" applyFill="1" applyBorder="1"/>
    <xf numFmtId="167" fontId="2" fillId="8" borderId="2" xfId="2" applyNumberFormat="1" applyFont="1" applyFill="1" applyBorder="1"/>
    <xf numFmtId="167" fontId="4" fillId="11" borderId="2" xfId="0" applyNumberFormat="1" applyFont="1" applyFill="1" applyBorder="1"/>
    <xf numFmtId="0" fontId="28" fillId="0" borderId="0" xfId="0" applyFont="1" applyAlignment="1">
      <alignment horizontal="left" vertical="center"/>
    </xf>
    <xf numFmtId="0" fontId="8" fillId="2" borderId="0" xfId="0" applyFont="1" applyFill="1"/>
    <xf numFmtId="0" fontId="1" fillId="2" borderId="0" xfId="0" applyFont="1" applyFill="1"/>
    <xf numFmtId="0" fontId="29" fillId="0" borderId="0" xfId="0" applyFont="1"/>
    <xf numFmtId="168" fontId="1" fillId="13" borderId="0" xfId="1" applyNumberFormat="1" applyFill="1" applyProtection="1">
      <protection locked="0"/>
    </xf>
    <xf numFmtId="0" fontId="30" fillId="0" borderId="0" xfId="0" applyFont="1"/>
    <xf numFmtId="165" fontId="31" fillId="0" borderId="30" xfId="0" applyNumberFormat="1" applyFont="1" applyBorder="1"/>
    <xf numFmtId="167" fontId="0" fillId="7" borderId="0" xfId="2" applyNumberFormat="1" applyFont="1" applyFill="1"/>
    <xf numFmtId="10" fontId="0" fillId="7" borderId="0" xfId="0" applyNumberFormat="1" applyFill="1"/>
    <xf numFmtId="167" fontId="3" fillId="7" borderId="0" xfId="2" applyNumberFormat="1" applyFont="1" applyFill="1"/>
    <xf numFmtId="0" fontId="0" fillId="14" borderId="0" xfId="0" applyFill="1"/>
    <xf numFmtId="10" fontId="0" fillId="7" borderId="23" xfId="8" applyNumberFormat="1" applyFont="1" applyFill="1" applyBorder="1"/>
    <xf numFmtId="10" fontId="0" fillId="7" borderId="25" xfId="8" applyNumberFormat="1" applyFont="1" applyFill="1" applyBorder="1"/>
    <xf numFmtId="10" fontId="0" fillId="7" borderId="27" xfId="8" applyNumberFormat="1" applyFont="1" applyFill="1" applyBorder="1"/>
    <xf numFmtId="167" fontId="0" fillId="7" borderId="22" xfId="2" applyNumberFormat="1" applyFont="1" applyFill="1" applyBorder="1"/>
    <xf numFmtId="167" fontId="0" fillId="7" borderId="24" xfId="2" applyNumberFormat="1" applyFont="1" applyFill="1" applyBorder="1"/>
    <xf numFmtId="167" fontId="0" fillId="7" borderId="26" xfId="2" applyNumberFormat="1" applyFont="1" applyFill="1" applyBorder="1"/>
    <xf numFmtId="167" fontId="0" fillId="7" borderId="17" xfId="2" applyNumberFormat="1" applyFont="1" applyFill="1" applyBorder="1"/>
    <xf numFmtId="44" fontId="16" fillId="7" borderId="3" xfId="6" applyNumberFormat="1" applyFont="1" applyFill="1" applyAlignment="1" applyProtection="1">
      <alignment horizontal="right"/>
      <protection locked="0"/>
    </xf>
    <xf numFmtId="170" fontId="16" fillId="7" borderId="3" xfId="6" applyNumberFormat="1" applyFont="1" applyFill="1" applyAlignment="1" applyProtection="1">
      <alignment horizontal="right"/>
      <protection locked="0"/>
    </xf>
    <xf numFmtId="169" fontId="16" fillId="7" borderId="3" xfId="6" applyNumberFormat="1" applyFont="1" applyFill="1" applyAlignment="1" applyProtection="1">
      <alignment horizontal="right"/>
      <protection locked="0"/>
    </xf>
    <xf numFmtId="14" fontId="16" fillId="7" borderId="3" xfId="6" applyNumberFormat="1" applyFont="1" applyFill="1" applyAlignment="1" applyProtection="1">
      <alignment horizontal="right"/>
      <protection locked="0"/>
    </xf>
    <xf numFmtId="0" fontId="5" fillId="0" borderId="0" xfId="0" applyFont="1" applyAlignment="1">
      <alignment horizontal="left"/>
    </xf>
    <xf numFmtId="167" fontId="1" fillId="7" borderId="21" xfId="2" applyNumberFormat="1" applyFill="1" applyBorder="1" applyProtection="1">
      <protection locked="0"/>
    </xf>
    <xf numFmtId="167" fontId="1" fillId="7" borderId="24" xfId="2" applyNumberFormat="1" applyFill="1" applyBorder="1" applyProtection="1">
      <protection locked="0"/>
    </xf>
    <xf numFmtId="10" fontId="0" fillId="7" borderId="0" xfId="0" applyNumberFormat="1" applyFill="1" applyProtection="1">
      <protection locked="0"/>
    </xf>
    <xf numFmtId="167" fontId="4" fillId="2" borderId="2" xfId="2" applyNumberFormat="1" applyFont="1" applyFill="1" applyBorder="1"/>
    <xf numFmtId="0" fontId="33" fillId="0" borderId="0" xfId="0" applyFont="1" applyAlignment="1">
      <alignment horizontal="left"/>
    </xf>
    <xf numFmtId="171" fontId="1" fillId="7" borderId="0" xfId="0" applyNumberFormat="1" applyFont="1" applyFill="1" applyAlignment="1">
      <alignment horizontal="center"/>
    </xf>
    <xf numFmtId="168" fontId="0" fillId="7" borderId="0" xfId="1" applyNumberFormat="1" applyFont="1" applyFill="1" applyProtection="1">
      <protection locked="0"/>
    </xf>
    <xf numFmtId="167" fontId="0" fillId="15" borderId="0" xfId="2" applyNumberFormat="1" applyFont="1" applyFill="1"/>
    <xf numFmtId="0" fontId="32" fillId="0" borderId="0" xfId="0" applyFont="1"/>
    <xf numFmtId="0" fontId="3" fillId="17" borderId="36" xfId="0" applyFont="1" applyFill="1" applyBorder="1"/>
    <xf numFmtId="0" fontId="3" fillId="17" borderId="37" xfId="0" applyFont="1" applyFill="1" applyBorder="1"/>
    <xf numFmtId="0" fontId="3" fillId="17" borderId="38" xfId="0" applyFont="1" applyFill="1" applyBorder="1"/>
    <xf numFmtId="0" fontId="3" fillId="17" borderId="39" xfId="0" applyFont="1" applyFill="1" applyBorder="1"/>
    <xf numFmtId="0" fontId="3" fillId="17" borderId="30" xfId="0" applyFont="1" applyFill="1" applyBorder="1"/>
    <xf numFmtId="0" fontId="3" fillId="17" borderId="40" xfId="0" applyFont="1" applyFill="1" applyBorder="1" applyAlignment="1">
      <alignment horizontal="center" vertical="center" wrapText="1"/>
    </xf>
    <xf numFmtId="0" fontId="3" fillId="17" borderId="29" xfId="0" applyFont="1" applyFill="1" applyBorder="1"/>
    <xf numFmtId="172" fontId="0" fillId="0" borderId="41" xfId="0" applyNumberFormat="1" applyBorder="1" applyProtection="1">
      <protection locked="0"/>
    </xf>
    <xf numFmtId="172" fontId="0" fillId="0" borderId="42" xfId="0" applyNumberFormat="1" applyBorder="1" applyProtection="1">
      <protection locked="0"/>
    </xf>
    <xf numFmtId="172" fontId="0" fillId="0" borderId="43" xfId="0" applyNumberFormat="1" applyBorder="1" applyProtection="1">
      <protection locked="0"/>
    </xf>
    <xf numFmtId="0" fontId="3" fillId="17" borderId="44" xfId="0" applyFont="1" applyFill="1" applyBorder="1"/>
    <xf numFmtId="172" fontId="0" fillId="0" borderId="45" xfId="0" applyNumberFormat="1" applyBorder="1" applyProtection="1">
      <protection locked="0"/>
    </xf>
    <xf numFmtId="172" fontId="0" fillId="0" borderId="46" xfId="0" applyNumberFormat="1" applyBorder="1" applyProtection="1">
      <protection locked="0"/>
    </xf>
    <xf numFmtId="172" fontId="0" fillId="0" borderId="47" xfId="0" applyNumberFormat="1" applyBorder="1" applyProtection="1">
      <protection locked="0"/>
    </xf>
    <xf numFmtId="0" fontId="3" fillId="17" borderId="50" xfId="0" applyFont="1" applyFill="1" applyBorder="1"/>
    <xf numFmtId="172" fontId="0" fillId="0" borderId="33" xfId="0" applyNumberFormat="1" applyBorder="1" applyProtection="1">
      <protection locked="0"/>
    </xf>
    <xf numFmtId="172" fontId="0" fillId="0" borderId="1" xfId="0" applyNumberFormat="1" applyBorder="1" applyProtection="1">
      <protection locked="0"/>
    </xf>
    <xf numFmtId="172" fontId="0" fillId="0" borderId="51" xfId="0" applyNumberFormat="1" applyBorder="1" applyProtection="1">
      <protection locked="0"/>
    </xf>
    <xf numFmtId="0" fontId="3" fillId="17" borderId="53" xfId="0" applyFont="1" applyFill="1" applyBorder="1"/>
    <xf numFmtId="172" fontId="0" fillId="0" borderId="54" xfId="0" applyNumberFormat="1" applyBorder="1" applyProtection="1">
      <protection locked="0"/>
    </xf>
    <xf numFmtId="172" fontId="0" fillId="0" borderId="55" xfId="0" applyNumberFormat="1" applyBorder="1" applyProtection="1">
      <protection locked="0"/>
    </xf>
    <xf numFmtId="172" fontId="0" fillId="0" borderId="56" xfId="0" applyNumberFormat="1" applyBorder="1" applyProtection="1">
      <protection locked="0"/>
    </xf>
    <xf numFmtId="0" fontId="25" fillId="17" borderId="40" xfId="0" applyFont="1" applyFill="1" applyBorder="1" applyAlignment="1">
      <alignment horizontal="center" vertical="center" wrapText="1"/>
    </xf>
    <xf numFmtId="0" fontId="3" fillId="17" borderId="60" xfId="0" applyFont="1" applyFill="1" applyBorder="1"/>
    <xf numFmtId="172" fontId="0" fillId="0" borderId="34" xfId="0" applyNumberFormat="1" applyBorder="1" applyProtection="1">
      <protection locked="0"/>
    </xf>
    <xf numFmtId="172" fontId="0" fillId="0" borderId="32" xfId="0" applyNumberFormat="1" applyBorder="1" applyProtection="1">
      <protection locked="0"/>
    </xf>
    <xf numFmtId="172" fontId="0" fillId="0" borderId="61" xfId="0" applyNumberFormat="1" applyBorder="1" applyProtection="1">
      <protection locked="0"/>
    </xf>
    <xf numFmtId="0" fontId="3" fillId="17" borderId="62" xfId="0" applyFont="1" applyFill="1" applyBorder="1"/>
    <xf numFmtId="172" fontId="0" fillId="0" borderId="35" xfId="0" applyNumberFormat="1" applyBorder="1" applyProtection="1">
      <protection locked="0"/>
    </xf>
    <xf numFmtId="172" fontId="0" fillId="0" borderId="31" xfId="0" applyNumberFormat="1" applyBorder="1" applyProtection="1">
      <protection locked="0"/>
    </xf>
    <xf numFmtId="172" fontId="0" fillId="0" borderId="63" xfId="0" applyNumberFormat="1" applyBorder="1" applyProtection="1">
      <protection locked="0"/>
    </xf>
    <xf numFmtId="172" fontId="0" fillId="0" borderId="64" xfId="0" applyNumberFormat="1" applyBorder="1" applyProtection="1">
      <protection locked="0"/>
    </xf>
    <xf numFmtId="172" fontId="0" fillId="0" borderId="65" xfId="0" applyNumberFormat="1" applyBorder="1" applyProtection="1">
      <protection locked="0"/>
    </xf>
    <xf numFmtId="172" fontId="2" fillId="0" borderId="51" xfId="0" applyNumberFormat="1" applyFont="1" applyBorder="1" applyProtection="1">
      <protection locked="0"/>
    </xf>
    <xf numFmtId="172" fontId="24" fillId="0" borderId="1" xfId="0" applyNumberFormat="1" applyFont="1" applyBorder="1" applyProtection="1">
      <protection locked="0"/>
    </xf>
    <xf numFmtId="172" fontId="24" fillId="0" borderId="55" xfId="0" applyNumberFormat="1" applyFont="1" applyBorder="1" applyProtection="1">
      <protection locked="0"/>
    </xf>
    <xf numFmtId="172" fontId="2" fillId="0" borderId="1" xfId="0" applyNumberFormat="1" applyFont="1" applyBorder="1" applyProtection="1">
      <protection locked="0"/>
    </xf>
    <xf numFmtId="0" fontId="25" fillId="17" borderId="52" xfId="0" applyFont="1" applyFill="1" applyBorder="1" applyAlignment="1">
      <alignment horizontal="center" vertical="center" wrapText="1"/>
    </xf>
    <xf numFmtId="0" fontId="36" fillId="0" borderId="0" xfId="0" applyFont="1"/>
    <xf numFmtId="172" fontId="35" fillId="17" borderId="42" xfId="0" applyNumberFormat="1" applyFont="1" applyFill="1" applyBorder="1" applyAlignment="1">
      <alignment horizontal="right" vertical="center"/>
    </xf>
    <xf numFmtId="172" fontId="35" fillId="17" borderId="43" xfId="0" applyNumberFormat="1" applyFont="1" applyFill="1" applyBorder="1" applyAlignment="1">
      <alignment horizontal="right" vertical="center"/>
    </xf>
    <xf numFmtId="0" fontId="3" fillId="8" borderId="53" xfId="0" applyFont="1" applyFill="1" applyBorder="1" applyProtection="1">
      <protection locked="0"/>
    </xf>
    <xf numFmtId="172" fontId="2" fillId="17" borderId="28" xfId="0" applyNumberFormat="1" applyFont="1" applyFill="1" applyBorder="1"/>
    <xf numFmtId="0" fontId="2" fillId="17" borderId="21" xfId="0" applyFont="1" applyFill="1" applyBorder="1"/>
    <xf numFmtId="0" fontId="2" fillId="17" borderId="24" xfId="0" applyFont="1" applyFill="1" applyBorder="1"/>
    <xf numFmtId="172" fontId="2" fillId="17" borderId="26" xfId="0" applyNumberFormat="1" applyFont="1" applyFill="1" applyBorder="1"/>
    <xf numFmtId="0" fontId="3" fillId="17" borderId="48" xfId="0" applyFont="1" applyFill="1" applyBorder="1"/>
    <xf numFmtId="0" fontId="0" fillId="0" borderId="1" xfId="0" applyBorder="1" applyAlignment="1" applyProtection="1">
      <alignment wrapText="1"/>
      <protection locked="0"/>
    </xf>
    <xf numFmtId="172" fontId="0" fillId="0" borderId="1" xfId="0" applyNumberFormat="1" applyBorder="1" applyAlignment="1" applyProtection="1">
      <alignment wrapText="1"/>
      <protection locked="0"/>
    </xf>
    <xf numFmtId="47" fontId="2" fillId="8" borderId="0" xfId="2" applyNumberFormat="1" applyFont="1" applyFill="1"/>
    <xf numFmtId="0" fontId="2" fillId="0" borderId="0" xfId="0" applyFont="1"/>
    <xf numFmtId="172" fontId="0" fillId="0" borderId="7" xfId="0" applyNumberFormat="1" applyBorder="1" applyProtection="1">
      <protection locked="0"/>
    </xf>
    <xf numFmtId="172" fontId="0" fillId="0" borderId="6" xfId="0" applyNumberFormat="1" applyBorder="1" applyProtection="1">
      <protection locked="0"/>
    </xf>
    <xf numFmtId="172" fontId="0" fillId="0" borderId="5" xfId="0" applyNumberFormat="1" applyBorder="1" applyProtection="1">
      <protection locked="0"/>
    </xf>
    <xf numFmtId="0" fontId="3" fillId="17" borderId="47" xfId="0" applyFont="1" applyFill="1" applyBorder="1"/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0" fontId="3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7" borderId="10" xfId="3" applyFill="1" applyBorder="1" applyAlignment="1" applyProtection="1">
      <alignment horizontal="left"/>
      <protection locked="0"/>
    </xf>
    <xf numFmtId="0" fontId="9" fillId="7" borderId="9" xfId="3" applyFill="1" applyBorder="1" applyAlignment="1" applyProtection="1">
      <alignment horizontal="left"/>
      <protection locked="0"/>
    </xf>
    <xf numFmtId="0" fontId="13" fillId="6" borderId="15" xfId="5" applyFont="1" applyBorder="1" applyAlignment="1">
      <alignment horizontal="right"/>
    </xf>
    <xf numFmtId="0" fontId="13" fillId="6" borderId="14" xfId="5" applyFont="1" applyBorder="1" applyAlignment="1">
      <alignment horizontal="right"/>
    </xf>
    <xf numFmtId="0" fontId="13" fillId="6" borderId="13" xfId="5" applyFont="1" applyBorder="1" applyAlignment="1">
      <alignment horizontal="right"/>
    </xf>
    <xf numFmtId="0" fontId="30" fillId="17" borderId="2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172" fontId="35" fillId="17" borderId="68" xfId="0" applyNumberFormat="1" applyFont="1" applyFill="1" applyBorder="1" applyAlignment="1">
      <alignment horizontal="center"/>
    </xf>
    <xf numFmtId="172" fontId="35" fillId="17" borderId="69" xfId="0" applyNumberFormat="1" applyFont="1" applyFill="1" applyBorder="1" applyAlignment="1">
      <alignment horizontal="center"/>
    </xf>
    <xf numFmtId="0" fontId="25" fillId="17" borderId="36" xfId="0" applyFont="1" applyFill="1" applyBorder="1" applyAlignment="1">
      <alignment horizontal="center" vertical="center" wrapText="1"/>
    </xf>
    <xf numFmtId="0" fontId="25" fillId="17" borderId="49" xfId="0" applyFont="1" applyFill="1" applyBorder="1" applyAlignment="1">
      <alignment horizontal="center" vertical="center" wrapText="1"/>
    </xf>
    <xf numFmtId="0" fontId="3" fillId="17" borderId="57" xfId="0" applyFont="1" applyFill="1" applyBorder="1" applyAlignment="1">
      <alignment horizontal="center" vertical="center" wrapText="1"/>
    </xf>
    <xf numFmtId="0" fontId="3" fillId="17" borderId="58" xfId="0" applyFont="1" applyFill="1" applyBorder="1" applyAlignment="1">
      <alignment horizontal="center" vertical="center" wrapText="1"/>
    </xf>
    <xf numFmtId="0" fontId="3" fillId="17" borderId="59" xfId="0" applyFont="1" applyFill="1" applyBorder="1" applyAlignment="1">
      <alignment horizontal="center" vertical="center" wrapText="1"/>
    </xf>
    <xf numFmtId="0" fontId="25" fillId="17" borderId="52" xfId="0" applyFont="1" applyFill="1" applyBorder="1" applyAlignment="1">
      <alignment horizontal="center" vertical="center" wrapText="1"/>
    </xf>
    <xf numFmtId="0" fontId="25" fillId="17" borderId="57" xfId="0" applyFont="1" applyFill="1" applyBorder="1" applyAlignment="1">
      <alignment horizontal="center" vertical="center" wrapText="1"/>
    </xf>
    <xf numFmtId="0" fontId="25" fillId="17" borderId="58" xfId="0" applyFont="1" applyFill="1" applyBorder="1" applyAlignment="1">
      <alignment horizontal="center" vertical="center" wrapText="1"/>
    </xf>
    <xf numFmtId="0" fontId="25" fillId="17" borderId="66" xfId="0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vertical="center" wrapText="1"/>
    </xf>
    <xf numFmtId="0" fontId="3" fillId="17" borderId="28" xfId="0" applyFont="1" applyFill="1" applyBorder="1" applyAlignment="1">
      <alignment horizontal="right" vertical="center"/>
    </xf>
    <xf numFmtId="0" fontId="3" fillId="17" borderId="41" xfId="0" applyFont="1" applyFill="1" applyBorder="1" applyAlignment="1">
      <alignment horizontal="right" vertical="center"/>
    </xf>
    <xf numFmtId="167" fontId="3" fillId="8" borderId="0" xfId="2" applyNumberFormat="1" applyFont="1" applyFill="1" applyAlignment="1">
      <alignment horizontal="right"/>
    </xf>
    <xf numFmtId="0" fontId="4" fillId="16" borderId="0" xfId="0" applyFont="1" applyFill="1" applyAlignment="1">
      <alignment horizontal="center"/>
    </xf>
    <xf numFmtId="167" fontId="4" fillId="11" borderId="28" xfId="0" applyNumberFormat="1" applyFont="1" applyFill="1" applyBorder="1"/>
    <xf numFmtId="0" fontId="4" fillId="11" borderId="29" xfId="0" applyFont="1" applyFill="1" applyBorder="1"/>
  </cellXfs>
  <cellStyles count="9">
    <cellStyle name="20% - Accent3 2" xfId="5"/>
    <cellStyle name="Calculation 2" xfId="7"/>
    <cellStyle name="Comma" xfId="1" builtinId="3"/>
    <cellStyle name="Currency" xfId="2" builtinId="4"/>
    <cellStyle name="Currency 2" xfId="4"/>
    <cellStyle name="Input 2" xfId="6"/>
    <cellStyle name="Normal" xfId="0" builtinId="0"/>
    <cellStyle name="Normal 2" xfId="3"/>
    <cellStyle name="Percent" xfId="8" builtinId="5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357188</xdr:colOff>
      <xdr:row>0</xdr:row>
      <xdr:rowOff>42863</xdr:rowOff>
    </xdr:from>
    <xdr:to>
      <xdr:col>8</xdr:col>
      <xdr:colOff>1643063</xdr:colOff>
      <xdr:row>3</xdr:row>
      <xdr:rowOff>71438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119FC-C118-49F9-A413-29B10E09833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451" y="42863"/>
          <a:ext cx="1285875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opLeftCell="B1" zoomScale="85" zoomScaleNormal="85" workbookViewId="0">
      <selection activeCell="M31" sqref="M31"/>
    </sheetView>
  </sheetViews>
  <sheetFormatPr defaultColWidth="9.140625" defaultRowHeight="15" x14ac:dyDescent="0.25"/>
  <cols>
    <col min="1" max="1" width="16.7109375" style="50" hidden="1" customWidth="1"/>
    <col min="2" max="2" width="14.28515625" style="50" bestFit="1" customWidth="1"/>
    <col min="3" max="4" width="14.28515625" style="50" customWidth="1"/>
    <col min="5" max="5" width="11.7109375" style="50" customWidth="1"/>
    <col min="6" max="6" width="12.85546875" style="50" customWidth="1"/>
    <col min="7" max="8" width="13" style="50" customWidth="1"/>
    <col min="9" max="9" width="10.28515625" style="50" customWidth="1"/>
    <col min="10" max="10" width="15.42578125" style="50" customWidth="1"/>
    <col min="11" max="11" width="14.5703125" style="50" customWidth="1"/>
    <col min="12" max="12" width="12.42578125" style="50" customWidth="1"/>
    <col min="13" max="13" width="16.7109375" style="50" customWidth="1"/>
    <col min="14" max="14" width="13.42578125" style="50" customWidth="1"/>
    <col min="15" max="15" width="11.140625" style="50" customWidth="1"/>
    <col min="16" max="16" width="12.140625" style="50" customWidth="1"/>
    <col min="17" max="16384" width="9.140625" style="50"/>
  </cols>
  <sheetData>
    <row r="1" spans="2:16" ht="33.75" customHeight="1" x14ac:dyDescent="0.25">
      <c r="B1" s="49" t="s">
        <v>181</v>
      </c>
      <c r="M1" s="208" t="s">
        <v>116</v>
      </c>
      <c r="N1" s="208"/>
      <c r="O1" s="208"/>
      <c r="P1" s="208"/>
    </row>
    <row r="2" spans="2:16" ht="21" x14ac:dyDescent="0.35">
      <c r="B2" s="7" t="s">
        <v>5</v>
      </c>
      <c r="J2" s="209" t="s">
        <v>7</v>
      </c>
      <c r="K2" s="209"/>
      <c r="M2" s="48" t="s">
        <v>37</v>
      </c>
      <c r="N2" s="48" t="s">
        <v>38</v>
      </c>
      <c r="O2" s="48" t="s">
        <v>39</v>
      </c>
      <c r="P2" s="48" t="s">
        <v>40</v>
      </c>
    </row>
    <row r="3" spans="2:16" ht="30" x14ac:dyDescent="0.25">
      <c r="B3" s="51" t="s">
        <v>0</v>
      </c>
      <c r="C3" s="51" t="s">
        <v>2</v>
      </c>
      <c r="D3" s="51" t="s">
        <v>3</v>
      </c>
      <c r="E3" s="51" t="s">
        <v>41</v>
      </c>
      <c r="F3" s="51" t="s">
        <v>1</v>
      </c>
      <c r="G3" s="51" t="s">
        <v>42</v>
      </c>
      <c r="H3" s="51" t="s">
        <v>43</v>
      </c>
      <c r="I3" s="51" t="s">
        <v>44</v>
      </c>
      <c r="J3" s="48" t="s">
        <v>8</v>
      </c>
      <c r="K3" s="48" t="s">
        <v>9</v>
      </c>
      <c r="L3" s="143" t="s">
        <v>45</v>
      </c>
      <c r="M3" s="48" t="s">
        <v>6</v>
      </c>
      <c r="N3" s="48" t="s">
        <v>6</v>
      </c>
      <c r="O3" s="48" t="s">
        <v>6</v>
      </c>
      <c r="P3" s="48" t="s">
        <v>6</v>
      </c>
    </row>
    <row r="4" spans="2:16" x14ac:dyDescent="0.25">
      <c r="B4" s="52">
        <v>0</v>
      </c>
      <c r="C4" s="52">
        <v>0</v>
      </c>
      <c r="D4" s="8">
        <f>+B4+C4</f>
        <v>0</v>
      </c>
      <c r="E4" s="53" t="str">
        <f>IF(H4&gt;0,"Fixed","Variable")</f>
        <v>Fixed</v>
      </c>
      <c r="F4" s="54">
        <v>3.8899999999999997E-2</v>
      </c>
      <c r="G4" s="55">
        <v>30</v>
      </c>
      <c r="H4" s="55">
        <v>3</v>
      </c>
      <c r="I4" s="55">
        <v>0</v>
      </c>
      <c r="J4" s="6">
        <f>(D4*F4)/12</f>
        <v>0</v>
      </c>
      <c r="K4" s="5">
        <f>PMT(F4/12,G4*12,-B4)</f>
        <v>0</v>
      </c>
      <c r="L4" s="56" t="str">
        <f>IF(I4&gt;0,"Int only","P&amp;I")</f>
        <v>P&amp;I</v>
      </c>
      <c r="M4" s="3">
        <f>IF(L4=$J$3,+J4,IF(L4=$K$3,+K4," "))</f>
        <v>0</v>
      </c>
      <c r="N4" s="3">
        <f>+M4*12</f>
        <v>0</v>
      </c>
      <c r="O4" s="3">
        <f>+(M4*12)/52</f>
        <v>0</v>
      </c>
      <c r="P4" s="3">
        <f>+O4*2</f>
        <v>0</v>
      </c>
    </row>
    <row r="5" spans="2:16" x14ac:dyDescent="0.25">
      <c r="B5" s="52">
        <v>0</v>
      </c>
      <c r="C5" s="52">
        <v>0</v>
      </c>
      <c r="D5" s="8">
        <f>+B5+C5</f>
        <v>0</v>
      </c>
      <c r="E5" s="53" t="str">
        <f>IF(H5&gt;0,"Fixed","Variable")</f>
        <v>Fixed</v>
      </c>
      <c r="F5" s="146">
        <v>4.19E-2</v>
      </c>
      <c r="G5" s="55">
        <v>30</v>
      </c>
      <c r="H5" s="55">
        <v>2</v>
      </c>
      <c r="I5" s="55">
        <v>2</v>
      </c>
      <c r="J5" s="6">
        <f>(D5*F5)/12</f>
        <v>0</v>
      </c>
      <c r="K5" s="5">
        <f>PMT(F5/12,G5*12,-B5)</f>
        <v>0</v>
      </c>
      <c r="L5" s="56" t="str">
        <f t="shared" ref="L5:L12" si="0">IF(I5&gt;0,"Int only","P&amp;I")</f>
        <v>Int only</v>
      </c>
      <c r="M5" s="3">
        <f>IF(L5=$J$3,+J5,IF(L5=$K$3,+K5," "))</f>
        <v>0</v>
      </c>
      <c r="N5" s="3">
        <f>+M5*12</f>
        <v>0</v>
      </c>
      <c r="O5" s="3">
        <f>+(M5*12)/52</f>
        <v>0</v>
      </c>
      <c r="P5" s="3">
        <f t="shared" ref="P5:P12" si="1">+O5*2</f>
        <v>0</v>
      </c>
    </row>
    <row r="6" spans="2:16" x14ac:dyDescent="0.25">
      <c r="B6" s="52">
        <v>520000</v>
      </c>
      <c r="C6" s="52">
        <v>0</v>
      </c>
      <c r="D6" s="8">
        <f>+B6+C6</f>
        <v>520000</v>
      </c>
      <c r="E6" s="53" t="str">
        <f t="shared" ref="E6:E12" si="2">IF(H6&gt;0,"Fixed","Variable")</f>
        <v>Variable</v>
      </c>
      <c r="F6" s="54">
        <v>0.04</v>
      </c>
      <c r="G6" s="55">
        <v>30</v>
      </c>
      <c r="H6" s="55">
        <v>0</v>
      </c>
      <c r="I6" s="55">
        <v>0</v>
      </c>
      <c r="J6" s="6">
        <f t="shared" ref="J6:J12" si="3">(D6*F6)/12</f>
        <v>1733.3333333333333</v>
      </c>
      <c r="K6" s="5">
        <f t="shared" ref="K6:K12" si="4">PMT(F6/12,G6*12,-B6)</f>
        <v>2482.5595364203896</v>
      </c>
      <c r="L6" s="56" t="str">
        <f t="shared" si="0"/>
        <v>P&amp;I</v>
      </c>
      <c r="M6" s="3">
        <f t="shared" ref="M6:M12" si="5">IF(L6=$J$3,+J6,IF(L6=$K$3,+K6," "))</f>
        <v>2482.5595364203896</v>
      </c>
      <c r="N6" s="3">
        <f t="shared" ref="N6:N7" si="6">+M6*12</f>
        <v>29790.714437044677</v>
      </c>
      <c r="O6" s="3">
        <f>+(M6*12)/52</f>
        <v>572.89835455855143</v>
      </c>
      <c r="P6" s="3">
        <f t="shared" si="1"/>
        <v>1145.7967091171029</v>
      </c>
    </row>
    <row r="7" spans="2:16" x14ac:dyDescent="0.25">
      <c r="B7" s="52">
        <f>145000-100000</f>
        <v>45000</v>
      </c>
      <c r="C7" s="52">
        <v>0</v>
      </c>
      <c r="D7" s="8">
        <f t="shared" ref="D7:D12" si="7">+B7+C7</f>
        <v>45000</v>
      </c>
      <c r="E7" s="53" t="str">
        <f t="shared" si="2"/>
        <v>Variable</v>
      </c>
      <c r="F7" s="54">
        <v>0.04</v>
      </c>
      <c r="G7" s="55">
        <v>30</v>
      </c>
      <c r="H7" s="55">
        <v>0</v>
      </c>
      <c r="I7" s="55">
        <v>0</v>
      </c>
      <c r="J7" s="6">
        <f t="shared" si="3"/>
        <v>150</v>
      </c>
      <c r="K7" s="5">
        <f t="shared" si="4"/>
        <v>214.83688295945677</v>
      </c>
      <c r="L7" s="56" t="str">
        <f t="shared" si="0"/>
        <v>P&amp;I</v>
      </c>
      <c r="M7" s="3">
        <f t="shared" si="5"/>
        <v>214.83688295945677</v>
      </c>
      <c r="N7" s="3">
        <f t="shared" si="6"/>
        <v>2578.0425955134815</v>
      </c>
      <c r="O7" s="3">
        <f t="shared" ref="O7:O12" si="8">+(M7*12)/52</f>
        <v>49.577742221413104</v>
      </c>
      <c r="P7" s="3">
        <f t="shared" si="1"/>
        <v>99.155484442826207</v>
      </c>
    </row>
    <row r="8" spans="2:16" x14ac:dyDescent="0.25">
      <c r="B8" s="52">
        <v>0</v>
      </c>
      <c r="C8" s="52">
        <v>0</v>
      </c>
      <c r="D8" s="8">
        <f t="shared" si="7"/>
        <v>0</v>
      </c>
      <c r="E8" s="53" t="str">
        <f t="shared" si="2"/>
        <v>Variable</v>
      </c>
      <c r="F8" s="54">
        <v>4.2900000000000001E-2</v>
      </c>
      <c r="G8" s="150">
        <v>30</v>
      </c>
      <c r="H8" s="55">
        <v>0</v>
      </c>
      <c r="I8" s="55">
        <v>5</v>
      </c>
      <c r="J8" s="6">
        <f t="shared" si="3"/>
        <v>0</v>
      </c>
      <c r="K8" s="5">
        <f t="shared" si="4"/>
        <v>0</v>
      </c>
      <c r="L8" s="56" t="str">
        <f t="shared" si="0"/>
        <v>Int only</v>
      </c>
      <c r="M8" s="3">
        <f>IF(L8=$J$3,+J8,IF(L8=$K$3,+K8," "))</f>
        <v>0</v>
      </c>
      <c r="N8" s="3">
        <f>+M8*12</f>
        <v>0</v>
      </c>
      <c r="O8" s="3">
        <f t="shared" si="8"/>
        <v>0</v>
      </c>
      <c r="P8" s="3">
        <f t="shared" si="1"/>
        <v>0</v>
      </c>
    </row>
    <row r="9" spans="2:16" ht="14.25" customHeight="1" x14ac:dyDescent="0.25">
      <c r="B9" s="52">
        <v>0</v>
      </c>
      <c r="C9" s="52">
        <v>0</v>
      </c>
      <c r="D9" s="8">
        <f t="shared" si="7"/>
        <v>0</v>
      </c>
      <c r="E9" s="53" t="str">
        <f t="shared" si="2"/>
        <v>Variable</v>
      </c>
      <c r="F9" s="54">
        <v>4.4999999999999998E-2</v>
      </c>
      <c r="G9" s="55">
        <v>30</v>
      </c>
      <c r="H9" s="55">
        <v>0</v>
      </c>
      <c r="I9" s="55">
        <v>5</v>
      </c>
      <c r="J9" s="6">
        <f t="shared" si="3"/>
        <v>0</v>
      </c>
      <c r="K9" s="5">
        <f t="shared" si="4"/>
        <v>0</v>
      </c>
      <c r="L9" s="56" t="str">
        <f t="shared" si="0"/>
        <v>Int only</v>
      </c>
      <c r="M9" s="3">
        <f>IF(L9=$J$3,+J9,IF(L9=$K$3,+K9," "))</f>
        <v>0</v>
      </c>
      <c r="N9" s="3">
        <f>+M9*12</f>
        <v>0</v>
      </c>
      <c r="O9" s="3">
        <f t="shared" si="8"/>
        <v>0</v>
      </c>
      <c r="P9" s="3">
        <f t="shared" si="1"/>
        <v>0</v>
      </c>
    </row>
    <row r="10" spans="2:16" x14ac:dyDescent="0.25">
      <c r="B10" s="52">
        <v>0</v>
      </c>
      <c r="C10" s="52">
        <v>0</v>
      </c>
      <c r="D10" s="8">
        <f t="shared" si="7"/>
        <v>0</v>
      </c>
      <c r="E10" s="53" t="str">
        <f t="shared" si="2"/>
        <v>Fixed</v>
      </c>
      <c r="F10" s="54">
        <v>4.7600000000000003E-2</v>
      </c>
      <c r="G10" s="55">
        <v>30</v>
      </c>
      <c r="H10" s="55">
        <v>2</v>
      </c>
      <c r="I10" s="55">
        <v>0</v>
      </c>
      <c r="J10" s="6">
        <f t="shared" si="3"/>
        <v>0</v>
      </c>
      <c r="K10" s="5">
        <f t="shared" si="4"/>
        <v>0</v>
      </c>
      <c r="L10" s="56" t="str">
        <f t="shared" si="0"/>
        <v>P&amp;I</v>
      </c>
      <c r="M10" s="3">
        <f>IF(L10=$J$3,+J10,IF(L10=$K$3,+K10," "))</f>
        <v>0</v>
      </c>
      <c r="N10" s="3">
        <f t="shared" ref="N10:N12" si="9">+M10*12</f>
        <v>0</v>
      </c>
      <c r="O10" s="3">
        <f t="shared" si="8"/>
        <v>0</v>
      </c>
      <c r="P10" s="3">
        <f t="shared" si="1"/>
        <v>0</v>
      </c>
    </row>
    <row r="11" spans="2:16" x14ac:dyDescent="0.25">
      <c r="B11" s="52">
        <v>0</v>
      </c>
      <c r="C11" s="52">
        <v>0</v>
      </c>
      <c r="D11" s="8">
        <f t="shared" si="7"/>
        <v>0</v>
      </c>
      <c r="E11" s="53" t="str">
        <f t="shared" si="2"/>
        <v>Fixed</v>
      </c>
      <c r="F11" s="54">
        <v>0.04</v>
      </c>
      <c r="G11" s="55">
        <v>30</v>
      </c>
      <c r="H11" s="55">
        <v>2</v>
      </c>
      <c r="I11" s="55">
        <v>0</v>
      </c>
      <c r="J11" s="6">
        <f t="shared" si="3"/>
        <v>0</v>
      </c>
      <c r="K11" s="5">
        <f t="shared" si="4"/>
        <v>0</v>
      </c>
      <c r="L11" s="56" t="str">
        <f t="shared" si="0"/>
        <v>P&amp;I</v>
      </c>
      <c r="M11" s="3">
        <f t="shared" si="5"/>
        <v>0</v>
      </c>
      <c r="N11" s="3">
        <f t="shared" si="9"/>
        <v>0</v>
      </c>
      <c r="O11" s="3">
        <f t="shared" si="8"/>
        <v>0</v>
      </c>
      <c r="P11" s="3">
        <f t="shared" si="1"/>
        <v>0</v>
      </c>
    </row>
    <row r="12" spans="2:16" x14ac:dyDescent="0.25">
      <c r="B12" s="52">
        <v>0</v>
      </c>
      <c r="C12" s="52">
        <v>0</v>
      </c>
      <c r="D12" s="8">
        <f t="shared" si="7"/>
        <v>0</v>
      </c>
      <c r="E12" s="53" t="str">
        <f t="shared" si="2"/>
        <v>Variable</v>
      </c>
      <c r="F12" s="54">
        <v>0.04</v>
      </c>
      <c r="G12" s="55">
        <v>30</v>
      </c>
      <c r="H12" s="55">
        <v>0</v>
      </c>
      <c r="I12" s="55">
        <v>2</v>
      </c>
      <c r="J12" s="6">
        <f t="shared" si="3"/>
        <v>0</v>
      </c>
      <c r="K12" s="5">
        <f t="shared" si="4"/>
        <v>0</v>
      </c>
      <c r="L12" s="56" t="str">
        <f t="shared" si="0"/>
        <v>Int only</v>
      </c>
      <c r="M12" s="3">
        <f t="shared" si="5"/>
        <v>0</v>
      </c>
      <c r="N12" s="3">
        <f t="shared" si="9"/>
        <v>0</v>
      </c>
      <c r="O12" s="3">
        <f t="shared" si="8"/>
        <v>0</v>
      </c>
      <c r="P12" s="3">
        <f t="shared" si="1"/>
        <v>0</v>
      </c>
    </row>
    <row r="13" spans="2:16" ht="15.75" thickBot="1" x14ac:dyDescent="0.3">
      <c r="C13" s="57"/>
      <c r="D13" s="3"/>
      <c r="E13" s="3"/>
      <c r="F13" s="3"/>
      <c r="G13" s="3"/>
      <c r="H13" s="3"/>
      <c r="I13" s="3"/>
      <c r="J13" s="9">
        <f>SUM(J4:J12)</f>
        <v>1883.3333333333333</v>
      </c>
      <c r="K13" s="9">
        <f>SUM(K4:K12)</f>
        <v>2697.3964193798465</v>
      </c>
      <c r="M13" s="147">
        <f>SUM(M4:M12)</f>
        <v>2697.3964193798465</v>
      </c>
      <c r="N13" s="147">
        <f>SUM(N4:N12)</f>
        <v>32368.757032558158</v>
      </c>
      <c r="O13" s="147">
        <f>SUM(O4:O12)</f>
        <v>622.47609677996456</v>
      </c>
      <c r="P13" s="147">
        <f>SUM(P4:P12)</f>
        <v>1244.9521935599291</v>
      </c>
    </row>
    <row r="14" spans="2:16" ht="15.75" thickTop="1" x14ac:dyDescent="0.25"/>
    <row r="15" spans="2:16" x14ac:dyDescent="0.25">
      <c r="J15" s="1" t="s">
        <v>47</v>
      </c>
      <c r="K15" s="149">
        <v>0.2</v>
      </c>
      <c r="L15" s="59" t="s">
        <v>48</v>
      </c>
    </row>
    <row r="16" spans="2:16" x14ac:dyDescent="0.25">
      <c r="H16"/>
      <c r="I16"/>
      <c r="J16" s="50" t="s">
        <v>49</v>
      </c>
      <c r="K16" s="52">
        <v>0</v>
      </c>
      <c r="L16" s="50" t="s">
        <v>50</v>
      </c>
      <c r="M16" s="3">
        <f>+((K16*52)/12)*(1-$K$15)</f>
        <v>0</v>
      </c>
      <c r="N16" s="3">
        <f>+M16*12</f>
        <v>0</v>
      </c>
      <c r="O16" s="3">
        <f>+N16/52</f>
        <v>0</v>
      </c>
      <c r="P16" s="3">
        <f>+O16*2</f>
        <v>0</v>
      </c>
    </row>
    <row r="17" spans="8:16" x14ac:dyDescent="0.25">
      <c r="H17"/>
      <c r="I17"/>
      <c r="J17" s="50" t="s">
        <v>49</v>
      </c>
      <c r="K17" s="52">
        <v>0</v>
      </c>
      <c r="L17" s="50" t="s">
        <v>50</v>
      </c>
      <c r="M17" s="3">
        <f>+((K17*52)/12)*(1-$K$15)</f>
        <v>0</v>
      </c>
      <c r="N17" s="3">
        <f t="shared" ref="N17:N20" si="10">+M17*12</f>
        <v>0</v>
      </c>
      <c r="O17" s="3">
        <f t="shared" ref="O17:O20" si="11">+N17/52</f>
        <v>0</v>
      </c>
      <c r="P17" s="3">
        <f t="shared" ref="P17:P20" si="12">+O17*2</f>
        <v>0</v>
      </c>
    </row>
    <row r="18" spans="8:16" x14ac:dyDescent="0.25">
      <c r="H18"/>
      <c r="I18"/>
      <c r="J18" s="50" t="s">
        <v>49</v>
      </c>
      <c r="K18" s="52">
        <v>0</v>
      </c>
      <c r="L18" s="50" t="s">
        <v>50</v>
      </c>
      <c r="M18" s="3">
        <f t="shared" ref="M18:M20" si="13">+((K18*52)/12)*(1-$K$15)</f>
        <v>0</v>
      </c>
      <c r="N18" s="3">
        <f t="shared" si="10"/>
        <v>0</v>
      </c>
      <c r="O18" s="3">
        <f t="shared" si="11"/>
        <v>0</v>
      </c>
      <c r="P18" s="3">
        <f t="shared" si="12"/>
        <v>0</v>
      </c>
    </row>
    <row r="19" spans="8:16" x14ac:dyDescent="0.25">
      <c r="J19" s="50" t="s">
        <v>49</v>
      </c>
      <c r="K19" s="52">
        <v>0</v>
      </c>
      <c r="L19" s="50" t="s">
        <v>50</v>
      </c>
      <c r="M19" s="3">
        <f t="shared" si="13"/>
        <v>0</v>
      </c>
      <c r="N19" s="3">
        <f t="shared" si="10"/>
        <v>0</v>
      </c>
      <c r="O19" s="3">
        <f t="shared" si="11"/>
        <v>0</v>
      </c>
      <c r="P19" s="3">
        <f t="shared" si="12"/>
        <v>0</v>
      </c>
    </row>
    <row r="20" spans="8:16" x14ac:dyDescent="0.25">
      <c r="J20" s="50" t="s">
        <v>49</v>
      </c>
      <c r="K20" s="52">
        <v>0</v>
      </c>
      <c r="L20" s="50" t="s">
        <v>50</v>
      </c>
      <c r="M20" s="3">
        <f t="shared" si="13"/>
        <v>0</v>
      </c>
      <c r="N20" s="3">
        <f t="shared" si="10"/>
        <v>0</v>
      </c>
      <c r="O20" s="3">
        <f t="shared" si="11"/>
        <v>0</v>
      </c>
      <c r="P20" s="3">
        <f t="shared" si="12"/>
        <v>0</v>
      </c>
    </row>
    <row r="21" spans="8:16" ht="15.75" thickBot="1" x14ac:dyDescent="0.3">
      <c r="J21" s="1" t="s">
        <v>51</v>
      </c>
      <c r="M21" s="58">
        <f>SUM(M16:M20)</f>
        <v>0</v>
      </c>
      <c r="N21" s="58">
        <f>SUM(N16:N20)</f>
        <v>0</v>
      </c>
      <c r="O21" s="58">
        <f>SUM(O16:O20)</f>
        <v>0</v>
      </c>
      <c r="P21" s="58">
        <f>SUM(P16:P20)</f>
        <v>0</v>
      </c>
    </row>
    <row r="22" spans="8:16" ht="15.75" thickTop="1" x14ac:dyDescent="0.25">
      <c r="M22" s="57"/>
      <c r="N22" s="57"/>
      <c r="O22" s="57"/>
      <c r="P22" s="57"/>
    </row>
    <row r="23" spans="8:16" ht="15.75" thickBot="1" x14ac:dyDescent="0.3">
      <c r="J23" s="1" t="s">
        <v>52</v>
      </c>
      <c r="M23" s="147">
        <f>+M21-M13</f>
        <v>-2697.3964193798465</v>
      </c>
      <c r="N23" s="147">
        <f>+N21-N13</f>
        <v>-32368.757032558158</v>
      </c>
      <c r="O23" s="147">
        <f>+O21-O13</f>
        <v>-622.47609677996456</v>
      </c>
      <c r="P23" s="147">
        <f>+P21-P13</f>
        <v>-1244.9521935599291</v>
      </c>
    </row>
    <row r="24" spans="8:16" ht="15.75" thickTop="1" x14ac:dyDescent="0.25">
      <c r="J24" s="50" t="s">
        <v>53</v>
      </c>
      <c r="K24" s="62">
        <v>0</v>
      </c>
      <c r="L24" s="1" t="s">
        <v>54</v>
      </c>
      <c r="M24" s="60">
        <f>+(K24*52)/-12</f>
        <v>0</v>
      </c>
      <c r="N24" s="60">
        <f>+K24*-52</f>
        <v>0</v>
      </c>
      <c r="O24" s="60">
        <f>-K24</f>
        <v>0</v>
      </c>
      <c r="P24" s="60">
        <f>+(K24*52)/-26</f>
        <v>0</v>
      </c>
    </row>
    <row r="25" spans="8:16" x14ac:dyDescent="0.25">
      <c r="J25" s="1" t="s">
        <v>55</v>
      </c>
      <c r="K25" s="62">
        <v>600</v>
      </c>
      <c r="L25" s="1" t="s">
        <v>56</v>
      </c>
      <c r="M25" s="60">
        <f>-K25</f>
        <v>-600</v>
      </c>
      <c r="N25" s="60">
        <f>-K25*12</f>
        <v>-7200</v>
      </c>
      <c r="O25" s="60">
        <f>(-K25*12)/52</f>
        <v>-138.46153846153845</v>
      </c>
      <c r="P25" s="60">
        <f>+(K25*12)/-26</f>
        <v>-276.92307692307691</v>
      </c>
    </row>
    <row r="26" spans="8:16" x14ac:dyDescent="0.25">
      <c r="J26" s="1" t="s">
        <v>117</v>
      </c>
      <c r="K26" s="62">
        <v>0</v>
      </c>
      <c r="L26" s="1" t="s">
        <v>56</v>
      </c>
      <c r="M26" s="60">
        <f>-K26</f>
        <v>0</v>
      </c>
      <c r="N26" s="60">
        <f>-K26*12</f>
        <v>0</v>
      </c>
      <c r="O26" s="60">
        <f>(-K26*12)/52</f>
        <v>0</v>
      </c>
      <c r="P26" s="60">
        <f>+(K26*12)/-26</f>
        <v>0</v>
      </c>
    </row>
    <row r="27" spans="8:16" ht="15.75" thickBot="1" x14ac:dyDescent="0.3">
      <c r="J27" s="50" t="s">
        <v>57</v>
      </c>
      <c r="M27" s="61">
        <f>SUM(M23:M26)</f>
        <v>-3297.3964193798465</v>
      </c>
      <c r="N27" s="61">
        <f t="shared" ref="N27:P27" si="14">SUM(N23:N26)</f>
        <v>-39568.757032558162</v>
      </c>
      <c r="O27" s="61">
        <f t="shared" si="14"/>
        <v>-760.93763524150302</v>
      </c>
      <c r="P27" s="61">
        <f t="shared" si="14"/>
        <v>-1521.875270483006</v>
      </c>
    </row>
    <row r="28" spans="8:16" ht="15.75" thickTop="1" x14ac:dyDescent="0.25">
      <c r="J28" s="1" t="s">
        <v>58</v>
      </c>
      <c r="L28" s="1" t="s">
        <v>37</v>
      </c>
      <c r="M28" s="62">
        <f>4452+5077</f>
        <v>9529</v>
      </c>
      <c r="N28" s="3">
        <f>+M28*12</f>
        <v>114348</v>
      </c>
      <c r="O28" s="3">
        <f>+(M28*12)/52</f>
        <v>2199</v>
      </c>
      <c r="P28" s="3">
        <f>+(M28*12)/26</f>
        <v>4398</v>
      </c>
    </row>
    <row r="29" spans="8:16" x14ac:dyDescent="0.25">
      <c r="J29" s="50" t="s">
        <v>59</v>
      </c>
      <c r="L29" s="1"/>
      <c r="M29" s="8">
        <f>+M28+M27</f>
        <v>6231.6035806201535</v>
      </c>
      <c r="N29" s="8">
        <f>+N28+N27</f>
        <v>74779.242967441838</v>
      </c>
      <c r="O29" s="8">
        <f t="shared" ref="O29:P29" si="15">+O28+O27</f>
        <v>1438.0623647584971</v>
      </c>
      <c r="P29" s="8">
        <f t="shared" si="15"/>
        <v>2876.1247295169942</v>
      </c>
    </row>
    <row r="30" spans="8:16" x14ac:dyDescent="0.25">
      <c r="J30" s="1" t="s">
        <v>60</v>
      </c>
      <c r="L30" s="1" t="s">
        <v>37</v>
      </c>
      <c r="M30" s="62">
        <v>-3000</v>
      </c>
      <c r="N30" s="63">
        <f>+M30*12</f>
        <v>-36000</v>
      </c>
      <c r="O30" s="63">
        <f>+(M30*12)/52</f>
        <v>-692.30769230769226</v>
      </c>
      <c r="P30" s="63">
        <f>+(M30*12)/26</f>
        <v>-1384.6153846153845</v>
      </c>
    </row>
    <row r="31" spans="8:16" x14ac:dyDescent="0.25">
      <c r="J31" s="50" t="s">
        <v>61</v>
      </c>
      <c r="M31" s="64">
        <f>+M29+M30</f>
        <v>3231.6035806201535</v>
      </c>
      <c r="N31" s="64">
        <f t="shared" ref="N31:P31" si="16">+N29+N30</f>
        <v>38779.242967441838</v>
      </c>
      <c r="O31" s="64">
        <f t="shared" si="16"/>
        <v>745.75467245080483</v>
      </c>
      <c r="P31" s="64">
        <f t="shared" si="16"/>
        <v>1491.5093449016097</v>
      </c>
    </row>
    <row r="32" spans="8:16" x14ac:dyDescent="0.25">
      <c r="J32" s="1" t="s">
        <v>131</v>
      </c>
      <c r="M32" s="62">
        <v>0</v>
      </c>
    </row>
    <row r="33" spans="10:13" x14ac:dyDescent="0.25">
      <c r="J33" t="s">
        <v>58</v>
      </c>
      <c r="M33" s="110">
        <f>+M31+M32</f>
        <v>3231.6035806201535</v>
      </c>
    </row>
  </sheetData>
  <mergeCells count="2">
    <mergeCell ref="M1:P1"/>
    <mergeCell ref="J2:K2"/>
  </mergeCells>
  <dataValidations count="3">
    <dataValidation type="list" allowBlank="1" showInputMessage="1" showErrorMessage="1" sqref="E4:E12">
      <formula1>"Fixed,Variable,Line of Credit"</formula1>
    </dataValidation>
    <dataValidation type="whole" allowBlank="1" showInputMessage="1" showErrorMessage="1" errorTitle="Must be $0 or negative" error="Must be $0 or negative" sqref="C4:C12">
      <formula1>-10000000</formula1>
      <formula2>0</formula2>
    </dataValidation>
    <dataValidation type="decimal" allowBlank="1" showInputMessage="1" showErrorMessage="1" error="Must be positive $" promptTitle="Must be positive $" prompt="Must be positive $" sqref="K24:K26">
      <formula1>0</formula1>
      <formula2>100000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topLeftCell="B1" zoomScale="115" zoomScaleNormal="115" workbookViewId="0">
      <selection activeCell="F26" sqref="F26"/>
    </sheetView>
  </sheetViews>
  <sheetFormatPr defaultColWidth="9.140625" defaultRowHeight="15" x14ac:dyDescent="0.25"/>
  <cols>
    <col min="1" max="1" width="16.7109375" style="50" hidden="1" customWidth="1"/>
    <col min="2" max="2" width="14.28515625" style="50" bestFit="1" customWidth="1"/>
    <col min="3" max="4" width="14.28515625" style="50" customWidth="1"/>
    <col min="5" max="5" width="11.7109375" style="50" customWidth="1"/>
    <col min="6" max="6" width="12.85546875" style="50" customWidth="1"/>
    <col min="7" max="8" width="13" style="50" customWidth="1"/>
    <col min="9" max="9" width="10.28515625" style="50" customWidth="1"/>
    <col min="10" max="10" width="15.42578125" style="50" customWidth="1"/>
    <col min="11" max="11" width="14.5703125" style="50" customWidth="1"/>
    <col min="12" max="12" width="12.42578125" style="50" customWidth="1"/>
    <col min="13" max="13" width="16.7109375" style="50" customWidth="1"/>
    <col min="14" max="14" width="13.42578125" style="50" customWidth="1"/>
    <col min="15" max="15" width="11.140625" style="50" customWidth="1"/>
    <col min="16" max="16" width="12.140625" style="50" customWidth="1"/>
    <col min="17" max="16384" width="9.140625" style="50"/>
  </cols>
  <sheetData>
    <row r="1" spans="2:16" ht="33.75" customHeight="1" x14ac:dyDescent="0.25">
      <c r="B1" s="49" t="s">
        <v>198</v>
      </c>
      <c r="M1" s="208" t="s">
        <v>116</v>
      </c>
      <c r="N1" s="208"/>
      <c r="O1" s="208"/>
      <c r="P1" s="208"/>
    </row>
    <row r="2" spans="2:16" ht="21" x14ac:dyDescent="0.35">
      <c r="B2" s="7" t="s">
        <v>5</v>
      </c>
      <c r="J2" s="209" t="s">
        <v>7</v>
      </c>
      <c r="K2" s="209"/>
      <c r="M2" s="48" t="s">
        <v>37</v>
      </c>
      <c r="N2" s="48" t="s">
        <v>38</v>
      </c>
      <c r="O2" s="48" t="s">
        <v>39</v>
      </c>
      <c r="P2" s="48" t="s">
        <v>40</v>
      </c>
    </row>
    <row r="3" spans="2:16" ht="30" x14ac:dyDescent="0.25">
      <c r="B3" s="51" t="s">
        <v>0</v>
      </c>
      <c r="C3" s="51" t="s">
        <v>2</v>
      </c>
      <c r="D3" s="51" t="s">
        <v>3</v>
      </c>
      <c r="E3" s="51" t="s">
        <v>41</v>
      </c>
      <c r="F3" s="51" t="s">
        <v>1</v>
      </c>
      <c r="G3" s="51" t="s">
        <v>42</v>
      </c>
      <c r="H3" s="51" t="s">
        <v>43</v>
      </c>
      <c r="I3" s="51" t="s">
        <v>44</v>
      </c>
      <c r="J3" s="48" t="s">
        <v>8</v>
      </c>
      <c r="K3" s="48" t="s">
        <v>9</v>
      </c>
      <c r="L3" s="143" t="s">
        <v>45</v>
      </c>
      <c r="M3" s="48" t="s">
        <v>6</v>
      </c>
      <c r="N3" s="48" t="s">
        <v>6</v>
      </c>
      <c r="O3" s="48" t="s">
        <v>6</v>
      </c>
      <c r="P3" s="48" t="s">
        <v>6</v>
      </c>
    </row>
    <row r="4" spans="2:16" x14ac:dyDescent="0.25">
      <c r="B4" s="52">
        <v>0</v>
      </c>
      <c r="C4" s="52">
        <v>0</v>
      </c>
      <c r="D4" s="8">
        <f>+B4+C4</f>
        <v>0</v>
      </c>
      <c r="E4" s="203" t="str">
        <f>IF(H4&gt;0,"Fixed","Variable")</f>
        <v>Variable</v>
      </c>
      <c r="F4" s="54">
        <v>3.8899999999999997E-2</v>
      </c>
      <c r="G4" s="55">
        <v>30</v>
      </c>
      <c r="H4" s="55">
        <v>0</v>
      </c>
      <c r="I4" s="55">
        <v>0</v>
      </c>
      <c r="J4" s="6">
        <f>(D4*F4)/12</f>
        <v>0</v>
      </c>
      <c r="K4" s="5">
        <f>PMT(F4/12,G4*12,-B4)</f>
        <v>0</v>
      </c>
      <c r="L4" s="56" t="str">
        <f>IF(I4&gt;0,"Int only","P&amp;I")</f>
        <v>P&amp;I</v>
      </c>
      <c r="M4" s="3">
        <f>IF(L4=$J$3,+J4,IF(L4=$K$3,+K4," "))</f>
        <v>0</v>
      </c>
      <c r="N4" s="3">
        <f>+M4*12</f>
        <v>0</v>
      </c>
      <c r="O4" s="3">
        <f>+(M4*12)/52</f>
        <v>0</v>
      </c>
      <c r="P4" s="3">
        <f>+O4*2</f>
        <v>0</v>
      </c>
    </row>
    <row r="5" spans="2:16" x14ac:dyDescent="0.25">
      <c r="B5" s="52">
        <v>0</v>
      </c>
      <c r="C5" s="52">
        <v>0</v>
      </c>
      <c r="D5" s="8">
        <f>+B5+C5</f>
        <v>0</v>
      </c>
      <c r="E5" s="203" t="str">
        <f t="shared" ref="E5:E12" si="0">IF(H5&gt;0,"Fixed","Variable")</f>
        <v>Variable</v>
      </c>
      <c r="F5" s="146">
        <v>4.19E-2</v>
      </c>
      <c r="G5" s="55">
        <v>30</v>
      </c>
      <c r="H5" s="55">
        <v>0</v>
      </c>
      <c r="I5" s="55">
        <v>0</v>
      </c>
      <c r="J5" s="6">
        <f>(D5*F5)/12</f>
        <v>0</v>
      </c>
      <c r="K5" s="5">
        <f>PMT(F5/12,G5*12,-B5)</f>
        <v>0</v>
      </c>
      <c r="L5" s="56" t="str">
        <f t="shared" ref="L5:L12" si="1">IF(I5&gt;0,"Int only","P&amp;I")</f>
        <v>P&amp;I</v>
      </c>
      <c r="M5" s="3">
        <f>IF(L5=$J$3,+J5,IF(L5=$K$3,+K5," "))</f>
        <v>0</v>
      </c>
      <c r="N5" s="3">
        <f>+M5*12</f>
        <v>0</v>
      </c>
      <c r="O5" s="3">
        <f>+(M5*12)/52</f>
        <v>0</v>
      </c>
      <c r="P5" s="3">
        <f t="shared" ref="P5:P12" si="2">+O5*2</f>
        <v>0</v>
      </c>
    </row>
    <row r="6" spans="2:16" x14ac:dyDescent="0.25">
      <c r="B6" s="52">
        <v>0</v>
      </c>
      <c r="C6" s="52">
        <v>0</v>
      </c>
      <c r="D6" s="8">
        <f>+B6+C6</f>
        <v>0</v>
      </c>
      <c r="E6" s="203" t="str">
        <f t="shared" si="0"/>
        <v>Variable</v>
      </c>
      <c r="F6" s="54">
        <v>3.7999999999999999E-2</v>
      </c>
      <c r="G6" s="55">
        <v>30</v>
      </c>
      <c r="H6" s="55">
        <v>0</v>
      </c>
      <c r="I6" s="55">
        <v>0</v>
      </c>
      <c r="J6" s="6">
        <f t="shared" ref="J6:J12" si="3">(D6*F6)/12</f>
        <v>0</v>
      </c>
      <c r="K6" s="5">
        <f t="shared" ref="K6:K12" si="4">PMT(F6/12,G6*12,-B6)</f>
        <v>0</v>
      </c>
      <c r="L6" s="56" t="str">
        <f t="shared" si="1"/>
        <v>P&amp;I</v>
      </c>
      <c r="M6" s="3">
        <f t="shared" ref="M6:M12" si="5">IF(L6=$J$3,+J6,IF(L6=$K$3,+K6," "))</f>
        <v>0</v>
      </c>
      <c r="N6" s="3">
        <f t="shared" ref="N6:N7" si="6">+M6*12</f>
        <v>0</v>
      </c>
      <c r="O6" s="3">
        <f>+(M6*12)/52</f>
        <v>0</v>
      </c>
      <c r="P6" s="3">
        <f t="shared" si="2"/>
        <v>0</v>
      </c>
    </row>
    <row r="7" spans="2:16" x14ac:dyDescent="0.25">
      <c r="B7" s="52">
        <v>0</v>
      </c>
      <c r="C7" s="52">
        <v>0</v>
      </c>
      <c r="D7" s="8">
        <f t="shared" ref="D7:D12" si="7">+B7+C7</f>
        <v>0</v>
      </c>
      <c r="E7" s="203" t="str">
        <f t="shared" si="0"/>
        <v>Variable</v>
      </c>
      <c r="F7" s="54">
        <v>3.9E-2</v>
      </c>
      <c r="G7" s="55">
        <v>30</v>
      </c>
      <c r="H7" s="55">
        <v>0</v>
      </c>
      <c r="I7" s="55">
        <v>0</v>
      </c>
      <c r="J7" s="6">
        <f t="shared" si="3"/>
        <v>0</v>
      </c>
      <c r="K7" s="5">
        <f t="shared" si="4"/>
        <v>0</v>
      </c>
      <c r="L7" s="56" t="str">
        <f t="shared" si="1"/>
        <v>P&amp;I</v>
      </c>
      <c r="M7" s="3">
        <f t="shared" si="5"/>
        <v>0</v>
      </c>
      <c r="N7" s="3">
        <f t="shared" si="6"/>
        <v>0</v>
      </c>
      <c r="O7" s="3">
        <f t="shared" ref="O7:O12" si="8">+(M7*12)/52</f>
        <v>0</v>
      </c>
      <c r="P7" s="3">
        <f t="shared" si="2"/>
        <v>0</v>
      </c>
    </row>
    <row r="8" spans="2:16" x14ac:dyDescent="0.25">
      <c r="B8" s="52">
        <v>0</v>
      </c>
      <c r="C8" s="52">
        <v>0</v>
      </c>
      <c r="D8" s="8">
        <f t="shared" si="7"/>
        <v>0</v>
      </c>
      <c r="E8" s="203" t="str">
        <f t="shared" si="0"/>
        <v>Variable</v>
      </c>
      <c r="F8" s="54">
        <v>4.2900000000000001E-2</v>
      </c>
      <c r="G8" s="150">
        <v>30</v>
      </c>
      <c r="H8" s="55">
        <v>0</v>
      </c>
      <c r="I8" s="55">
        <v>0</v>
      </c>
      <c r="J8" s="6">
        <f t="shared" si="3"/>
        <v>0</v>
      </c>
      <c r="K8" s="5">
        <f t="shared" si="4"/>
        <v>0</v>
      </c>
      <c r="L8" s="56" t="str">
        <f t="shared" si="1"/>
        <v>P&amp;I</v>
      </c>
      <c r="M8" s="3">
        <f>IF(L8=$J$3,+J8,IF(L8=$K$3,+K8," "))</f>
        <v>0</v>
      </c>
      <c r="N8" s="3">
        <f>+M8*12</f>
        <v>0</v>
      </c>
      <c r="O8" s="3">
        <f t="shared" si="8"/>
        <v>0</v>
      </c>
      <c r="P8" s="3">
        <f t="shared" si="2"/>
        <v>0</v>
      </c>
    </row>
    <row r="9" spans="2:16" ht="14.25" customHeight="1" x14ac:dyDescent="0.25">
      <c r="B9" s="52">
        <v>0</v>
      </c>
      <c r="C9" s="52">
        <v>0</v>
      </c>
      <c r="D9" s="8">
        <f t="shared" si="7"/>
        <v>0</v>
      </c>
      <c r="E9" s="203" t="str">
        <f t="shared" si="0"/>
        <v>Variable</v>
      </c>
      <c r="F9" s="54">
        <v>4.4999999999999998E-2</v>
      </c>
      <c r="G9" s="55">
        <v>30</v>
      </c>
      <c r="H9" s="55">
        <v>0</v>
      </c>
      <c r="I9" s="55">
        <v>0</v>
      </c>
      <c r="J9" s="6">
        <f t="shared" si="3"/>
        <v>0</v>
      </c>
      <c r="K9" s="5">
        <f t="shared" si="4"/>
        <v>0</v>
      </c>
      <c r="L9" s="56" t="str">
        <f t="shared" si="1"/>
        <v>P&amp;I</v>
      </c>
      <c r="M9" s="3">
        <f>IF(L9=$J$3,+J9,IF(L9=$K$3,+K9," "))</f>
        <v>0</v>
      </c>
      <c r="N9" s="3">
        <f>+M9*12</f>
        <v>0</v>
      </c>
      <c r="O9" s="3">
        <f t="shared" si="8"/>
        <v>0</v>
      </c>
      <c r="P9" s="3">
        <f t="shared" si="2"/>
        <v>0</v>
      </c>
    </row>
    <row r="10" spans="2:16" x14ac:dyDescent="0.25">
      <c r="B10" s="52">
        <v>0</v>
      </c>
      <c r="C10" s="52">
        <v>0</v>
      </c>
      <c r="D10" s="8">
        <f t="shared" si="7"/>
        <v>0</v>
      </c>
      <c r="E10" s="203" t="str">
        <f t="shared" si="0"/>
        <v>Variable</v>
      </c>
      <c r="F10" s="54">
        <v>4.7600000000000003E-2</v>
      </c>
      <c r="G10" s="55">
        <v>30</v>
      </c>
      <c r="H10" s="55">
        <v>0</v>
      </c>
      <c r="I10" s="55">
        <v>0</v>
      </c>
      <c r="J10" s="6">
        <f t="shared" si="3"/>
        <v>0</v>
      </c>
      <c r="K10" s="5">
        <f t="shared" si="4"/>
        <v>0</v>
      </c>
      <c r="L10" s="56" t="str">
        <f t="shared" si="1"/>
        <v>P&amp;I</v>
      </c>
      <c r="M10" s="3">
        <f>IF(L10=$J$3,+J10,IF(L10=$K$3,+K10," "))</f>
        <v>0</v>
      </c>
      <c r="N10" s="3">
        <f t="shared" ref="N10:N12" si="9">+M10*12</f>
        <v>0</v>
      </c>
      <c r="O10" s="3">
        <f t="shared" si="8"/>
        <v>0</v>
      </c>
      <c r="P10" s="3">
        <f t="shared" si="2"/>
        <v>0</v>
      </c>
    </row>
    <row r="11" spans="2:16" x14ac:dyDescent="0.25">
      <c r="B11" s="52">
        <v>0</v>
      </c>
      <c r="C11" s="52">
        <v>0</v>
      </c>
      <c r="D11" s="8">
        <f t="shared" si="7"/>
        <v>0</v>
      </c>
      <c r="E11" s="203" t="str">
        <f t="shared" si="0"/>
        <v>Variable</v>
      </c>
      <c r="F11" s="54">
        <v>0.04</v>
      </c>
      <c r="G11" s="55">
        <v>30</v>
      </c>
      <c r="H11" s="55">
        <v>0</v>
      </c>
      <c r="I11" s="55">
        <v>0</v>
      </c>
      <c r="J11" s="6">
        <f t="shared" si="3"/>
        <v>0</v>
      </c>
      <c r="K11" s="5">
        <f t="shared" si="4"/>
        <v>0</v>
      </c>
      <c r="L11" s="56" t="str">
        <f t="shared" si="1"/>
        <v>P&amp;I</v>
      </c>
      <c r="M11" s="3">
        <f t="shared" si="5"/>
        <v>0</v>
      </c>
      <c r="N11" s="3">
        <f t="shared" si="9"/>
        <v>0</v>
      </c>
      <c r="O11" s="3">
        <f t="shared" si="8"/>
        <v>0</v>
      </c>
      <c r="P11" s="3">
        <f t="shared" si="2"/>
        <v>0</v>
      </c>
    </row>
    <row r="12" spans="2:16" x14ac:dyDescent="0.25">
      <c r="B12" s="52">
        <v>0</v>
      </c>
      <c r="C12" s="52">
        <v>0</v>
      </c>
      <c r="D12" s="8">
        <f t="shared" si="7"/>
        <v>0</v>
      </c>
      <c r="E12" s="203" t="str">
        <f t="shared" si="0"/>
        <v>Variable</v>
      </c>
      <c r="F12" s="54">
        <v>0.04</v>
      </c>
      <c r="G12" s="55">
        <v>30</v>
      </c>
      <c r="H12" s="55">
        <v>0</v>
      </c>
      <c r="I12" s="55">
        <v>0</v>
      </c>
      <c r="J12" s="6">
        <f t="shared" si="3"/>
        <v>0</v>
      </c>
      <c r="K12" s="5">
        <f t="shared" si="4"/>
        <v>0</v>
      </c>
      <c r="L12" s="56" t="str">
        <f t="shared" si="1"/>
        <v>P&amp;I</v>
      </c>
      <c r="M12" s="3">
        <f t="shared" si="5"/>
        <v>0</v>
      </c>
      <c r="N12" s="3">
        <f t="shared" si="9"/>
        <v>0</v>
      </c>
      <c r="O12" s="3">
        <f t="shared" si="8"/>
        <v>0</v>
      </c>
      <c r="P12" s="3">
        <f t="shared" si="2"/>
        <v>0</v>
      </c>
    </row>
    <row r="13" spans="2:16" ht="15.75" thickBot="1" x14ac:dyDescent="0.3">
      <c r="C13" s="57"/>
      <c r="D13" s="3"/>
      <c r="E13" s="202"/>
      <c r="F13" s="3"/>
      <c r="G13" s="3"/>
      <c r="H13" s="3"/>
      <c r="I13" s="3"/>
      <c r="J13" s="9">
        <f>SUM(J4:J12)</f>
        <v>0</v>
      </c>
      <c r="K13" s="9">
        <f>SUM(K4:K12)</f>
        <v>0</v>
      </c>
      <c r="M13" s="147">
        <f>SUM(M4:M12)</f>
        <v>0</v>
      </c>
      <c r="N13" s="147">
        <f>SUM(N4:N12)</f>
        <v>0</v>
      </c>
      <c r="O13" s="147">
        <f>SUM(O4:O12)</f>
        <v>0</v>
      </c>
      <c r="P13" s="147">
        <f>SUM(P4:P12)</f>
        <v>0</v>
      </c>
    </row>
    <row r="14" spans="2:16" ht="15.75" thickTop="1" x14ac:dyDescent="0.25"/>
    <row r="15" spans="2:16" x14ac:dyDescent="0.25">
      <c r="J15" s="1" t="s">
        <v>47</v>
      </c>
      <c r="K15" s="149">
        <v>0.2</v>
      </c>
      <c r="L15" s="59" t="s">
        <v>48</v>
      </c>
    </row>
    <row r="16" spans="2:16" x14ac:dyDescent="0.25">
      <c r="H16"/>
      <c r="I16"/>
      <c r="J16" s="50" t="s">
        <v>49</v>
      </c>
      <c r="K16" s="52">
        <v>0</v>
      </c>
      <c r="L16" s="50" t="s">
        <v>50</v>
      </c>
      <c r="M16" s="3">
        <f>+((K16*52)/12)*(1-$K$15)</f>
        <v>0</v>
      </c>
      <c r="N16" s="3">
        <f>+M16*12</f>
        <v>0</v>
      </c>
      <c r="O16" s="3">
        <f>+N16/52</f>
        <v>0</v>
      </c>
      <c r="P16" s="3">
        <f>+O16*2</f>
        <v>0</v>
      </c>
    </row>
    <row r="17" spans="8:16" x14ac:dyDescent="0.25">
      <c r="H17"/>
      <c r="I17"/>
      <c r="J17" s="50" t="s">
        <v>49</v>
      </c>
      <c r="K17" s="52">
        <v>0</v>
      </c>
      <c r="L17" s="50" t="s">
        <v>50</v>
      </c>
      <c r="M17" s="3">
        <f>+((K17*52)/12)*(1-$K$15)</f>
        <v>0</v>
      </c>
      <c r="N17" s="3">
        <f t="shared" ref="N17:N20" si="10">+M17*12</f>
        <v>0</v>
      </c>
      <c r="O17" s="3">
        <f t="shared" ref="O17:O20" si="11">+N17/52</f>
        <v>0</v>
      </c>
      <c r="P17" s="3">
        <f t="shared" ref="P17:P20" si="12">+O17*2</f>
        <v>0</v>
      </c>
    </row>
    <row r="18" spans="8:16" x14ac:dyDescent="0.25">
      <c r="H18"/>
      <c r="I18"/>
      <c r="J18" s="50" t="s">
        <v>49</v>
      </c>
      <c r="K18" s="52">
        <v>0</v>
      </c>
      <c r="L18" s="50" t="s">
        <v>50</v>
      </c>
      <c r="M18" s="3">
        <f t="shared" ref="M18:M20" si="13">+((K18*52)/12)*(1-$K$15)</f>
        <v>0</v>
      </c>
      <c r="N18" s="3">
        <f t="shared" si="10"/>
        <v>0</v>
      </c>
      <c r="O18" s="3">
        <f t="shared" si="11"/>
        <v>0</v>
      </c>
      <c r="P18" s="3">
        <f t="shared" si="12"/>
        <v>0</v>
      </c>
    </row>
    <row r="19" spans="8:16" x14ac:dyDescent="0.25">
      <c r="J19" s="50" t="s">
        <v>49</v>
      </c>
      <c r="K19" s="52">
        <v>0</v>
      </c>
      <c r="L19" s="50" t="s">
        <v>50</v>
      </c>
      <c r="M19" s="3">
        <f t="shared" si="13"/>
        <v>0</v>
      </c>
      <c r="N19" s="3">
        <f t="shared" si="10"/>
        <v>0</v>
      </c>
      <c r="O19" s="3">
        <f t="shared" si="11"/>
        <v>0</v>
      </c>
      <c r="P19" s="3">
        <f t="shared" si="12"/>
        <v>0</v>
      </c>
    </row>
    <row r="20" spans="8:16" x14ac:dyDescent="0.25">
      <c r="J20" s="50" t="s">
        <v>49</v>
      </c>
      <c r="K20" s="52">
        <v>0</v>
      </c>
      <c r="L20" s="50" t="s">
        <v>50</v>
      </c>
      <c r="M20" s="3">
        <f t="shared" si="13"/>
        <v>0</v>
      </c>
      <c r="N20" s="3">
        <f t="shared" si="10"/>
        <v>0</v>
      </c>
      <c r="O20" s="3">
        <f t="shared" si="11"/>
        <v>0</v>
      </c>
      <c r="P20" s="3">
        <f t="shared" si="12"/>
        <v>0</v>
      </c>
    </row>
    <row r="21" spans="8:16" ht="15.75" thickBot="1" x14ac:dyDescent="0.3">
      <c r="J21" s="1" t="s">
        <v>51</v>
      </c>
      <c r="M21" s="58">
        <f>SUM(M16:M20)</f>
        <v>0</v>
      </c>
      <c r="N21" s="58">
        <f>SUM(N16:N20)</f>
        <v>0</v>
      </c>
      <c r="O21" s="58">
        <f>SUM(O16:O20)</f>
        <v>0</v>
      </c>
      <c r="P21" s="58">
        <f>SUM(P16:P20)</f>
        <v>0</v>
      </c>
    </row>
    <row r="22" spans="8:16" ht="15.75" thickTop="1" x14ac:dyDescent="0.25">
      <c r="M22" s="57"/>
      <c r="N22" s="57"/>
      <c r="O22" s="57"/>
      <c r="P22" s="57"/>
    </row>
    <row r="23" spans="8:16" ht="15.75" thickBot="1" x14ac:dyDescent="0.3">
      <c r="J23" s="1" t="s">
        <v>52</v>
      </c>
      <c r="M23" s="147">
        <f>+M21-M13</f>
        <v>0</v>
      </c>
      <c r="N23" s="147">
        <f>+N21-N13</f>
        <v>0</v>
      </c>
      <c r="O23" s="147">
        <f>+O21-O13</f>
        <v>0</v>
      </c>
      <c r="P23" s="147">
        <f>+P21-P13</f>
        <v>0</v>
      </c>
    </row>
    <row r="24" spans="8:16" ht="15.75" thickTop="1" x14ac:dyDescent="0.25">
      <c r="J24" s="50" t="s">
        <v>53</v>
      </c>
      <c r="K24" s="62">
        <v>0</v>
      </c>
      <c r="L24" s="1" t="s">
        <v>54</v>
      </c>
      <c r="M24" s="60">
        <f>+(K24*52)/-12</f>
        <v>0</v>
      </c>
      <c r="N24" s="60">
        <f>+K24*-52</f>
        <v>0</v>
      </c>
      <c r="O24" s="60">
        <f>-K24</f>
        <v>0</v>
      </c>
      <c r="P24" s="60">
        <f>+(K24*52)/-26</f>
        <v>0</v>
      </c>
    </row>
    <row r="25" spans="8:16" x14ac:dyDescent="0.25">
      <c r="J25" s="1" t="s">
        <v>55</v>
      </c>
      <c r="K25" s="62">
        <v>0</v>
      </c>
      <c r="L25" s="1" t="s">
        <v>56</v>
      </c>
      <c r="M25" s="60">
        <f>-K25</f>
        <v>0</v>
      </c>
      <c r="N25" s="60">
        <f>-K25*12</f>
        <v>0</v>
      </c>
      <c r="O25" s="60">
        <f>(-K25*12)/52</f>
        <v>0</v>
      </c>
      <c r="P25" s="60">
        <f>+(K25*12)/-26</f>
        <v>0</v>
      </c>
    </row>
    <row r="26" spans="8:16" x14ac:dyDescent="0.25">
      <c r="J26" s="1" t="s">
        <v>117</v>
      </c>
      <c r="K26" s="62">
        <v>0</v>
      </c>
      <c r="L26" s="1" t="s">
        <v>56</v>
      </c>
      <c r="M26" s="60">
        <f>-K26</f>
        <v>0</v>
      </c>
      <c r="N26" s="60">
        <f>-K26*12</f>
        <v>0</v>
      </c>
      <c r="O26" s="60">
        <f>(-K26*12)/52</f>
        <v>0</v>
      </c>
      <c r="P26" s="60">
        <f>+(K26*12)/-26</f>
        <v>0</v>
      </c>
    </row>
    <row r="27" spans="8:16" ht="15.75" thickBot="1" x14ac:dyDescent="0.3">
      <c r="J27" s="50" t="s">
        <v>57</v>
      </c>
      <c r="M27" s="61">
        <f>SUM(M23:M26)</f>
        <v>0</v>
      </c>
      <c r="N27" s="61">
        <f t="shared" ref="N27:P27" si="14">SUM(N23:N26)</f>
        <v>0</v>
      </c>
      <c r="O27" s="61">
        <f t="shared" si="14"/>
        <v>0</v>
      </c>
      <c r="P27" s="61">
        <f t="shared" si="14"/>
        <v>0</v>
      </c>
    </row>
    <row r="28" spans="8:16" ht="15.75" thickTop="1" x14ac:dyDescent="0.25">
      <c r="J28" s="1" t="s">
        <v>58</v>
      </c>
      <c r="L28" s="1" t="s">
        <v>37</v>
      </c>
      <c r="M28" s="62">
        <v>0</v>
      </c>
      <c r="N28" s="3">
        <f>+M28*12</f>
        <v>0</v>
      </c>
      <c r="O28" s="3">
        <f>+(M28*12)/52</f>
        <v>0</v>
      </c>
      <c r="P28" s="3">
        <f>+(M28*12)/26</f>
        <v>0</v>
      </c>
    </row>
    <row r="29" spans="8:16" x14ac:dyDescent="0.25">
      <c r="J29" s="50" t="s">
        <v>59</v>
      </c>
      <c r="L29" s="1"/>
      <c r="M29" s="8">
        <f>+M28+M27</f>
        <v>0</v>
      </c>
      <c r="N29" s="8">
        <f>+N28+N27</f>
        <v>0</v>
      </c>
      <c r="O29" s="8">
        <f t="shared" ref="O29:P29" si="15">+O28+O27</f>
        <v>0</v>
      </c>
      <c r="P29" s="8">
        <f t="shared" si="15"/>
        <v>0</v>
      </c>
    </row>
    <row r="30" spans="8:16" x14ac:dyDescent="0.25">
      <c r="J30" s="1" t="s">
        <v>60</v>
      </c>
      <c r="L30" s="1" t="s">
        <v>37</v>
      </c>
      <c r="M30" s="62">
        <v>0</v>
      </c>
      <c r="N30" s="63">
        <f>+M30*12</f>
        <v>0</v>
      </c>
      <c r="O30" s="63">
        <f>+(M30*12)/52</f>
        <v>0</v>
      </c>
      <c r="P30" s="63">
        <f>+(M30*12)/26</f>
        <v>0</v>
      </c>
    </row>
    <row r="31" spans="8:16" x14ac:dyDescent="0.25">
      <c r="J31" t="s">
        <v>199</v>
      </c>
      <c r="M31" s="64">
        <f>+M29+M30</f>
        <v>0</v>
      </c>
      <c r="N31" s="64">
        <f t="shared" ref="N31:P33" si="16">+N29+N30</f>
        <v>0</v>
      </c>
      <c r="O31" s="64">
        <f t="shared" si="16"/>
        <v>0</v>
      </c>
      <c r="P31" s="64">
        <f t="shared" si="16"/>
        <v>0</v>
      </c>
    </row>
    <row r="32" spans="8:16" x14ac:dyDescent="0.25">
      <c r="J32" s="1" t="s">
        <v>200</v>
      </c>
      <c r="M32" s="62">
        <v>0</v>
      </c>
      <c r="N32" s="63">
        <f>+M32*12</f>
        <v>0</v>
      </c>
      <c r="O32" s="63">
        <f>+(M32*12)/52</f>
        <v>0</v>
      </c>
      <c r="P32" s="63">
        <f>+(M32*12)/26</f>
        <v>0</v>
      </c>
    </row>
    <row r="33" spans="10:16" x14ac:dyDescent="0.25">
      <c r="J33" t="s">
        <v>58</v>
      </c>
      <c r="M33" s="64">
        <f>+M31+M32</f>
        <v>0</v>
      </c>
      <c r="N33" s="64">
        <f t="shared" si="16"/>
        <v>0</v>
      </c>
      <c r="O33" s="64">
        <f t="shared" si="16"/>
        <v>0</v>
      </c>
      <c r="P33" s="64">
        <f t="shared" si="16"/>
        <v>0</v>
      </c>
    </row>
  </sheetData>
  <mergeCells count="2">
    <mergeCell ref="M1:P1"/>
    <mergeCell ref="J2:K2"/>
  </mergeCells>
  <dataValidations disablePrompts="1" count="3">
    <dataValidation type="decimal" allowBlank="1" showInputMessage="1" showErrorMessage="1" error="Must be positive $" promptTitle="Must be positive $" prompt="Must be positive $" sqref="K24:K26">
      <formula1>0</formula1>
      <formula2>100000</formula2>
    </dataValidation>
    <dataValidation type="whole" allowBlank="1" showInputMessage="1" showErrorMessage="1" errorTitle="Must be $0 or negative" error="Must be $0 or negative" sqref="C4:C12">
      <formula1>-10000000</formula1>
      <formula2>0</formula2>
    </dataValidation>
    <dataValidation type="list" allowBlank="1" showInputMessage="1" showErrorMessage="1" sqref="E13">
      <formula1>"Fixed,Variable,Line of Credit"</formula1>
    </dataValidation>
  </dataValidations>
  <pageMargins left="0.7" right="0.7" top="0.75" bottom="0.75" header="0.3" footer="0.3"/>
  <pageSetup scale="4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>
      <selection activeCell="C6" sqref="C6:C7"/>
    </sheetView>
  </sheetViews>
  <sheetFormatPr defaultColWidth="9.140625" defaultRowHeight="15" x14ac:dyDescent="0.25"/>
  <cols>
    <col min="1" max="1" width="15.28515625" customWidth="1"/>
    <col min="2" max="2" width="11.85546875" customWidth="1"/>
    <col min="3" max="3" width="15.42578125" customWidth="1"/>
    <col min="4" max="4" width="2.42578125" customWidth="1"/>
    <col min="5" max="5" width="11.85546875" customWidth="1"/>
    <col min="6" max="6" width="15.42578125" customWidth="1"/>
    <col min="7" max="7" width="2.42578125" customWidth="1"/>
    <col min="8" max="8" width="11.85546875" hidden="1" customWidth="1"/>
    <col min="9" max="9" width="15.42578125" hidden="1" customWidth="1"/>
    <col min="10" max="10" width="2.42578125" hidden="1" customWidth="1"/>
    <col min="11" max="11" width="11.42578125" hidden="1" customWidth="1"/>
    <col min="12" max="12" width="11.7109375" hidden="1" customWidth="1"/>
    <col min="13" max="13" width="2.7109375" hidden="1" customWidth="1"/>
    <col min="14" max="14" width="12.5703125" hidden="1" customWidth="1"/>
    <col min="15" max="15" width="11.28515625" hidden="1" customWidth="1"/>
    <col min="16" max="16" width="2.85546875" hidden="1" customWidth="1"/>
    <col min="17" max="17" width="12.5703125" hidden="1" customWidth="1"/>
    <col min="18" max="18" width="11.28515625" hidden="1" customWidth="1"/>
    <col min="19" max="19" width="2.85546875" hidden="1" customWidth="1"/>
    <col min="20" max="20" width="12.5703125" hidden="1" customWidth="1"/>
    <col min="21" max="21" width="11.28515625" hidden="1" customWidth="1"/>
    <col min="22" max="22" width="6.28515625" customWidth="1"/>
    <col min="23" max="23" width="17" customWidth="1"/>
    <col min="24" max="24" width="12.5703125" customWidth="1"/>
    <col min="25" max="25" width="9.7109375" customWidth="1"/>
    <col min="26" max="26" width="17" customWidth="1"/>
    <col min="27" max="27" width="12.5703125" customWidth="1"/>
    <col min="28" max="28" width="11.7109375" customWidth="1"/>
  </cols>
  <sheetData>
    <row r="1" spans="1:28" x14ac:dyDescent="0.25">
      <c r="A1" s="4"/>
      <c r="C1" s="65"/>
      <c r="D1" s="1"/>
      <c r="E1" s="213" t="s">
        <v>72</v>
      </c>
      <c r="F1" s="213"/>
      <c r="G1" s="1"/>
      <c r="H1" s="213"/>
      <c r="I1" s="213"/>
      <c r="J1" s="1"/>
      <c r="K1" s="210"/>
      <c r="L1" s="210"/>
      <c r="N1" s="1"/>
    </row>
    <row r="2" spans="1:28" x14ac:dyDescent="0.25">
      <c r="B2" s="211"/>
      <c r="C2" s="210"/>
      <c r="D2" s="66"/>
      <c r="E2" s="211" t="s">
        <v>184</v>
      </c>
      <c r="F2" s="210"/>
      <c r="G2" s="66"/>
      <c r="H2" s="211" t="s">
        <v>183</v>
      </c>
      <c r="I2" s="210"/>
      <c r="J2" s="66"/>
      <c r="K2" s="211" t="s">
        <v>183</v>
      </c>
      <c r="L2" s="210"/>
      <c r="M2" s="66"/>
      <c r="N2" s="212" t="s">
        <v>185</v>
      </c>
      <c r="O2" s="210"/>
      <c r="P2" s="66"/>
      <c r="Q2" s="210" t="s">
        <v>186</v>
      </c>
      <c r="R2" s="210"/>
      <c r="T2" s="210"/>
      <c r="U2" s="210"/>
      <c r="V2" s="66"/>
      <c r="W2" s="131" t="s">
        <v>114</v>
      </c>
      <c r="X2" s="131"/>
      <c r="Y2" s="131"/>
      <c r="Z2" s="131" t="s">
        <v>115</v>
      </c>
      <c r="AA2" s="131"/>
      <c r="AB2" s="131"/>
    </row>
    <row r="3" spans="1:28" ht="15.75" thickBot="1" x14ac:dyDescent="0.3">
      <c r="A3" s="4" t="s">
        <v>62</v>
      </c>
      <c r="B3" s="67" t="s">
        <v>63</v>
      </c>
      <c r="C3" s="67" t="s">
        <v>64</v>
      </c>
      <c r="D3" s="67"/>
      <c r="E3" s="67" t="s">
        <v>63</v>
      </c>
      <c r="F3" s="67" t="s">
        <v>64</v>
      </c>
      <c r="G3" s="67"/>
      <c r="H3" s="67" t="e">
        <f>+H:VH:S</f>
        <v>#NAME?</v>
      </c>
      <c r="I3" s="67" t="s">
        <v>64</v>
      </c>
      <c r="J3" s="67"/>
      <c r="K3" s="67" t="s">
        <v>63</v>
      </c>
      <c r="L3" s="67" t="s">
        <v>64</v>
      </c>
      <c r="M3" s="67"/>
      <c r="N3" s="67" t="s">
        <v>63</v>
      </c>
      <c r="O3" s="67" t="s">
        <v>64</v>
      </c>
      <c r="P3" s="68"/>
      <c r="Q3" s="67" t="s">
        <v>63</v>
      </c>
      <c r="R3" s="67" t="s">
        <v>64</v>
      </c>
      <c r="S3" s="67"/>
      <c r="T3" s="67" t="s">
        <v>63</v>
      </c>
      <c r="U3" s="67" t="s">
        <v>64</v>
      </c>
      <c r="V3" s="66"/>
      <c r="W3" s="4" t="s">
        <v>65</v>
      </c>
      <c r="X3" s="69"/>
      <c r="Z3" s="4" t="s">
        <v>65</v>
      </c>
      <c r="AA3" s="69"/>
    </row>
    <row r="4" spans="1:28" x14ac:dyDescent="0.25">
      <c r="B4" s="128"/>
      <c r="C4" s="128"/>
      <c r="D4" s="151"/>
      <c r="E4" s="128"/>
      <c r="F4" s="128"/>
      <c r="G4" s="151"/>
      <c r="H4" s="128"/>
      <c r="I4" s="128"/>
      <c r="J4" s="151"/>
      <c r="K4" s="128"/>
      <c r="L4" s="128"/>
      <c r="M4" s="151"/>
      <c r="N4" s="128"/>
      <c r="O4" s="128"/>
      <c r="P4" s="151"/>
      <c r="Q4" s="128"/>
      <c r="R4" s="128"/>
      <c r="S4" s="151"/>
      <c r="T4" s="128"/>
      <c r="U4" s="128"/>
      <c r="W4" t="s">
        <v>66</v>
      </c>
      <c r="X4" s="70">
        <f>+B6</f>
        <v>670000</v>
      </c>
      <c r="Z4" t="s">
        <v>66</v>
      </c>
      <c r="AA4" s="70">
        <v>0</v>
      </c>
    </row>
    <row r="5" spans="1:28" x14ac:dyDescent="0.25">
      <c r="B5" s="128"/>
      <c r="C5" s="128"/>
      <c r="D5" s="151"/>
      <c r="E5" s="128"/>
      <c r="F5" s="128"/>
      <c r="G5" s="151"/>
      <c r="H5" s="128"/>
      <c r="I5" s="128"/>
      <c r="J5" s="151"/>
      <c r="K5" s="128"/>
      <c r="L5" s="128"/>
      <c r="M5" s="151"/>
      <c r="N5" s="128"/>
      <c r="O5" s="128"/>
      <c r="P5" s="151"/>
      <c r="Q5" s="128"/>
      <c r="R5" s="128"/>
      <c r="S5" s="151"/>
      <c r="T5" s="128"/>
      <c r="U5" s="128"/>
      <c r="W5" t="s">
        <v>67</v>
      </c>
      <c r="X5" s="3">
        <f>+X4*Y5</f>
        <v>20100</v>
      </c>
      <c r="Y5" s="71">
        <v>0.03</v>
      </c>
      <c r="Z5" t="s">
        <v>67</v>
      </c>
      <c r="AA5" s="3">
        <f>+AA4*AB5</f>
        <v>0</v>
      </c>
      <c r="AB5" s="71">
        <v>5.5E-2</v>
      </c>
    </row>
    <row r="6" spans="1:28" x14ac:dyDescent="0.25">
      <c r="A6" t="s">
        <v>187</v>
      </c>
      <c r="B6" s="128">
        <v>670000</v>
      </c>
      <c r="C6" s="128">
        <f>+B6*0.8</f>
        <v>536000</v>
      </c>
      <c r="D6" s="151"/>
      <c r="E6" s="128"/>
      <c r="F6" s="128"/>
      <c r="G6" s="151"/>
      <c r="H6" s="128"/>
      <c r="I6" s="128"/>
      <c r="J6" s="151"/>
      <c r="K6" s="128"/>
      <c r="L6" s="128"/>
      <c r="M6" s="151"/>
      <c r="N6" s="128"/>
      <c r="O6" s="128"/>
      <c r="P6" s="151"/>
      <c r="Q6" s="128"/>
      <c r="R6" s="128"/>
      <c r="S6" s="151"/>
      <c r="T6" s="128"/>
      <c r="U6" s="128"/>
      <c r="W6" t="s">
        <v>68</v>
      </c>
      <c r="X6" s="3">
        <f>IF(X4=0,0,MAX(X8,+X4*Y6))</f>
        <v>0</v>
      </c>
      <c r="Y6" s="71">
        <v>0</v>
      </c>
      <c r="Z6" t="s">
        <v>68</v>
      </c>
      <c r="AA6" s="3">
        <f>IF(AA4=0,0,MAX(AA8,+AA4*AB6))</f>
        <v>0</v>
      </c>
      <c r="AB6" s="71">
        <v>2.5000000000000001E-2</v>
      </c>
    </row>
    <row r="7" spans="1:28" ht="15.75" thickBot="1" x14ac:dyDescent="0.3">
      <c r="A7" t="s">
        <v>189</v>
      </c>
      <c r="B7" s="128"/>
      <c r="C7" s="128">
        <v>115000</v>
      </c>
      <c r="D7" s="151"/>
      <c r="E7" s="128"/>
      <c r="F7" s="128"/>
      <c r="G7" s="151"/>
      <c r="H7" s="128"/>
      <c r="I7" s="128"/>
      <c r="J7" s="151"/>
      <c r="K7" s="128"/>
      <c r="L7" s="128"/>
      <c r="M7" s="151"/>
      <c r="N7" s="128"/>
      <c r="O7" s="128"/>
      <c r="P7" s="151"/>
      <c r="Q7" s="128"/>
      <c r="R7" s="128"/>
      <c r="S7" s="151"/>
      <c r="T7" s="128"/>
      <c r="U7" s="128"/>
      <c r="W7" s="72" t="s">
        <v>69</v>
      </c>
      <c r="X7" s="73">
        <f>SUM(X4:X6)</f>
        <v>690100</v>
      </c>
      <c r="Z7" s="72" t="s">
        <v>69</v>
      </c>
      <c r="AA7" s="73">
        <f>SUM(AA4:AA6)</f>
        <v>0</v>
      </c>
    </row>
    <row r="8" spans="1:28" x14ac:dyDescent="0.25">
      <c r="B8" s="128"/>
      <c r="C8" s="128"/>
      <c r="D8" s="151">
        <v>0</v>
      </c>
      <c r="E8" s="128"/>
      <c r="F8" s="128"/>
      <c r="G8" s="151"/>
      <c r="H8" s="128"/>
      <c r="I8" s="128"/>
      <c r="J8" s="151"/>
      <c r="K8" s="128"/>
      <c r="L8" s="128"/>
      <c r="M8" s="151"/>
      <c r="N8" s="128"/>
      <c r="O8" s="128"/>
      <c r="P8" s="151"/>
      <c r="Q8" s="128"/>
      <c r="R8" s="128"/>
      <c r="S8" s="151"/>
      <c r="T8" s="128"/>
      <c r="U8" s="128"/>
      <c r="W8" t="s">
        <v>124</v>
      </c>
      <c r="X8" s="128">
        <v>0</v>
      </c>
      <c r="AA8" s="128">
        <v>0</v>
      </c>
    </row>
    <row r="9" spans="1:28" x14ac:dyDescent="0.25">
      <c r="B9" s="128"/>
      <c r="C9" s="128"/>
      <c r="D9" s="151"/>
      <c r="E9" s="128"/>
      <c r="F9" s="128"/>
      <c r="G9" s="151"/>
      <c r="H9" s="128"/>
      <c r="I9" s="128"/>
      <c r="J9" s="151"/>
      <c r="K9" s="128"/>
      <c r="L9" s="128"/>
      <c r="M9" s="151"/>
      <c r="N9" s="128"/>
      <c r="O9" s="128"/>
      <c r="P9" s="151"/>
      <c r="Q9" s="128"/>
      <c r="R9" s="128"/>
      <c r="S9" s="151"/>
      <c r="T9" s="128"/>
      <c r="U9" s="128"/>
      <c r="W9" s="74" t="s">
        <v>70</v>
      </c>
      <c r="X9" s="2"/>
      <c r="Y9" s="75"/>
      <c r="Z9" s="74" t="s">
        <v>70</v>
      </c>
      <c r="AA9" s="2"/>
      <c r="AB9" s="75"/>
    </row>
    <row r="10" spans="1:28" x14ac:dyDescent="0.25">
      <c r="B10" s="128"/>
      <c r="C10" s="128"/>
      <c r="D10" s="151"/>
      <c r="E10" s="128"/>
      <c r="F10" s="128"/>
      <c r="G10" s="151"/>
      <c r="H10" s="128"/>
      <c r="I10" s="128"/>
      <c r="J10" s="151"/>
      <c r="K10" s="128"/>
      <c r="L10" s="128"/>
      <c r="M10" s="151"/>
      <c r="N10" s="128"/>
      <c r="O10" s="128"/>
      <c r="P10" s="151"/>
      <c r="Q10" s="128"/>
      <c r="R10" s="128"/>
      <c r="S10" s="151"/>
      <c r="T10" s="128"/>
      <c r="U10" s="128"/>
      <c r="W10" t="s">
        <v>71</v>
      </c>
      <c r="X10" s="76">
        <v>0</v>
      </c>
      <c r="Z10" t="s">
        <v>36</v>
      </c>
      <c r="AA10" s="3"/>
    </row>
    <row r="11" spans="1:28" x14ac:dyDescent="0.25">
      <c r="B11" s="128"/>
      <c r="C11" s="128"/>
      <c r="D11" s="151"/>
      <c r="E11" s="128"/>
      <c r="F11" s="128"/>
      <c r="G11" s="151"/>
      <c r="H11" s="128"/>
      <c r="I11" s="128"/>
      <c r="J11" s="151"/>
      <c r="K11" s="128"/>
      <c r="L11" s="128"/>
      <c r="M11" s="151"/>
      <c r="N11" s="128"/>
      <c r="O11" s="128"/>
      <c r="P11" s="151"/>
      <c r="Q11" s="128"/>
      <c r="R11" s="128"/>
      <c r="S11" s="151"/>
      <c r="T11" s="128"/>
      <c r="U11" s="128"/>
      <c r="W11" t="s">
        <v>72</v>
      </c>
      <c r="X11" s="63">
        <f>+C6</f>
        <v>536000</v>
      </c>
      <c r="Z11" t="s">
        <v>72</v>
      </c>
      <c r="AA11" s="63">
        <f>+F6</f>
        <v>0</v>
      </c>
    </row>
    <row r="12" spans="1:28" x14ac:dyDescent="0.25">
      <c r="B12" s="128"/>
      <c r="C12" s="128"/>
      <c r="D12" s="151"/>
      <c r="E12" s="128"/>
      <c r="F12" s="128"/>
      <c r="G12" s="151"/>
      <c r="H12" s="128"/>
      <c r="I12" s="128"/>
      <c r="J12" s="151"/>
      <c r="K12" s="128"/>
      <c r="L12" s="128"/>
      <c r="M12" s="151"/>
      <c r="N12" s="128"/>
      <c r="O12" s="128"/>
      <c r="P12" s="151"/>
      <c r="Q12" s="128"/>
      <c r="R12" s="128"/>
      <c r="S12" s="151"/>
      <c r="T12" s="128"/>
      <c r="U12" s="128"/>
      <c r="W12" t="s">
        <v>130</v>
      </c>
      <c r="X12" s="63">
        <f>+C7</f>
        <v>115000</v>
      </c>
      <c r="Z12" t="s">
        <v>73</v>
      </c>
      <c r="AA12" s="63">
        <f>+F7</f>
        <v>0</v>
      </c>
    </row>
    <row r="13" spans="1:28" x14ac:dyDescent="0.25">
      <c r="B13" s="128"/>
      <c r="C13" s="128"/>
      <c r="D13" s="151"/>
      <c r="E13" s="128"/>
      <c r="F13" s="128"/>
      <c r="G13" s="151"/>
      <c r="H13" s="128"/>
      <c r="I13" s="128"/>
      <c r="J13" s="151"/>
      <c r="K13" s="128"/>
      <c r="L13" s="128"/>
      <c r="M13" s="151"/>
      <c r="N13" s="128"/>
      <c r="O13" s="128"/>
      <c r="P13" s="151"/>
      <c r="Q13" s="128"/>
      <c r="R13" s="128"/>
      <c r="S13" s="151"/>
      <c r="T13" s="128"/>
      <c r="U13" s="128"/>
      <c r="W13" t="s">
        <v>129</v>
      </c>
      <c r="X13" s="128">
        <v>100000</v>
      </c>
      <c r="Z13" t="s">
        <v>74</v>
      </c>
      <c r="AA13" s="2">
        <f>+L9</f>
        <v>0</v>
      </c>
    </row>
    <row r="14" spans="1:28" x14ac:dyDescent="0.25">
      <c r="B14" s="128"/>
      <c r="C14" s="128"/>
      <c r="D14" s="151"/>
      <c r="E14" s="128"/>
      <c r="F14" s="128"/>
      <c r="G14" s="151"/>
      <c r="H14" s="128"/>
      <c r="I14" s="128"/>
      <c r="J14" s="151"/>
      <c r="K14" s="128"/>
      <c r="L14" s="128"/>
      <c r="M14" s="151"/>
      <c r="N14" s="128"/>
      <c r="O14" s="128"/>
      <c r="P14" s="151"/>
      <c r="Q14" s="128"/>
      <c r="R14" s="128"/>
      <c r="S14" s="151"/>
      <c r="T14" s="128"/>
      <c r="U14" s="128"/>
      <c r="W14" t="s">
        <v>188</v>
      </c>
      <c r="X14" s="128">
        <v>-55000</v>
      </c>
      <c r="Z14" t="s">
        <v>75</v>
      </c>
      <c r="AA14" s="77">
        <v>0</v>
      </c>
    </row>
    <row r="15" spans="1:28" ht="15.75" thickBot="1" x14ac:dyDescent="0.3">
      <c r="B15" s="78">
        <f>SUM(B4:B14)</f>
        <v>670000</v>
      </c>
      <c r="C15" s="78">
        <f>SUM(C4:C14)</f>
        <v>651000</v>
      </c>
      <c r="D15" s="78"/>
      <c r="E15" s="78">
        <f>SUM(E4:E14)</f>
        <v>0</v>
      </c>
      <c r="F15" s="78">
        <f>SUM(F4:F14)</f>
        <v>0</v>
      </c>
      <c r="G15" s="78"/>
      <c r="H15" s="78">
        <f>SUM(H4:H14)</f>
        <v>0</v>
      </c>
      <c r="I15" s="78">
        <f>SUM(I4:I14)</f>
        <v>0</v>
      </c>
      <c r="J15" s="78"/>
      <c r="K15" s="78">
        <f>SUM(K4:K14)</f>
        <v>0</v>
      </c>
      <c r="L15" s="78">
        <f>SUM(L4:L14)</f>
        <v>0</v>
      </c>
      <c r="M15" s="79"/>
      <c r="N15" s="58">
        <f>SUM(N4:N14)</f>
        <v>0</v>
      </c>
      <c r="O15" s="58">
        <f>SUM(O4:O14)</f>
        <v>0</v>
      </c>
      <c r="P15" s="58"/>
      <c r="Q15" s="58">
        <f t="shared" ref="Q15:U15" si="0">SUM(Q4:Q14)</f>
        <v>0</v>
      </c>
      <c r="R15" s="58">
        <f t="shared" si="0"/>
        <v>0</v>
      </c>
      <c r="S15" s="58"/>
      <c r="T15" s="58">
        <f t="shared" si="0"/>
        <v>0</v>
      </c>
      <c r="U15" s="58">
        <f t="shared" si="0"/>
        <v>0</v>
      </c>
      <c r="W15" s="72" t="s">
        <v>69</v>
      </c>
      <c r="X15" s="80">
        <f>SUM(X10:X14)</f>
        <v>696000</v>
      </c>
      <c r="Z15" s="72" t="s">
        <v>69</v>
      </c>
      <c r="AA15" s="80">
        <f>SUM(AA10:AA14)</f>
        <v>0</v>
      </c>
    </row>
    <row r="16" spans="1:28" ht="15.75" thickTop="1" x14ac:dyDescent="0.25">
      <c r="A16" s="81" t="s">
        <v>76</v>
      </c>
      <c r="B16" s="84"/>
      <c r="C16" s="82">
        <f>+C15/B15</f>
        <v>0.9716417910447761</v>
      </c>
      <c r="D16" s="83"/>
      <c r="E16" s="84"/>
      <c r="F16" s="82" t="e">
        <f>+F15/E15</f>
        <v>#DIV/0!</v>
      </c>
      <c r="G16" s="83"/>
      <c r="H16" s="84"/>
      <c r="I16" s="82" t="e">
        <f>+I15/H15</f>
        <v>#DIV/0!</v>
      </c>
      <c r="J16" s="83"/>
      <c r="K16" s="84"/>
      <c r="L16" s="82" t="e">
        <f>+L15/K15</f>
        <v>#DIV/0!</v>
      </c>
      <c r="M16" s="85"/>
      <c r="N16" s="84"/>
      <c r="O16" s="82" t="e">
        <f>+O15/N15</f>
        <v>#DIV/0!</v>
      </c>
      <c r="Q16" s="84"/>
      <c r="R16" s="82" t="e">
        <f>+R15/Q15</f>
        <v>#DIV/0!</v>
      </c>
      <c r="T16" s="84"/>
      <c r="U16" s="82" t="e">
        <f>+U15/T15</f>
        <v>#DIV/0!</v>
      </c>
      <c r="V16" s="86"/>
      <c r="W16" t="s">
        <v>77</v>
      </c>
      <c r="X16" s="87">
        <f>+X15-X7</f>
        <v>5900</v>
      </c>
      <c r="Z16" t="s">
        <v>77</v>
      </c>
      <c r="AA16" s="87">
        <f>+AA15-AA7</f>
        <v>0</v>
      </c>
    </row>
    <row r="17" spans="1:28" x14ac:dyDescent="0.25">
      <c r="A17" t="s">
        <v>78</v>
      </c>
      <c r="B17" s="84"/>
      <c r="C17" s="8">
        <f>IF(C22&gt;0,+C22,(+C15*C20))</f>
        <v>0</v>
      </c>
      <c r="D17" s="8">
        <f t="shared" ref="D17" si="1">(+D15*D20)</f>
        <v>0</v>
      </c>
      <c r="E17" s="84"/>
      <c r="F17" s="8">
        <f>IF(F22&gt;0,+F22,(+F15*F20))</f>
        <v>0</v>
      </c>
      <c r="G17" s="8">
        <f t="shared" ref="G17" si="2">(+G15*G20)</f>
        <v>0</v>
      </c>
      <c r="H17" s="84"/>
      <c r="I17" s="8">
        <f>IF(I22&gt;0,+I22,(+I15*I20))</f>
        <v>0</v>
      </c>
      <c r="J17" s="8">
        <f t="shared" ref="J17" si="3">(+J15*J20)</f>
        <v>0</v>
      </c>
      <c r="K17" s="84"/>
      <c r="L17" s="8">
        <f>IF(L22&gt;0,+L22,(+L15*L20))</f>
        <v>0</v>
      </c>
      <c r="M17" s="8"/>
      <c r="N17" s="84"/>
      <c r="O17" s="8">
        <f>IF(O22&gt;0,+O22,(+O15*O20))</f>
        <v>0</v>
      </c>
      <c r="P17" s="8"/>
      <c r="Q17" s="84"/>
      <c r="R17" s="8">
        <f>IF(R22&gt;0,+R22,(+R15*R20))</f>
        <v>0</v>
      </c>
      <c r="T17" s="84"/>
      <c r="U17" s="8">
        <f>IF(U22&gt;0,+U22,(+U15*U20))</f>
        <v>0</v>
      </c>
      <c r="V17" s="88"/>
      <c r="W17" t="s">
        <v>79</v>
      </c>
      <c r="X17" s="89">
        <v>0</v>
      </c>
      <c r="Y17" s="75"/>
      <c r="Z17" t="s">
        <v>79</v>
      </c>
      <c r="AA17" s="89">
        <v>0</v>
      </c>
      <c r="AB17" s="75"/>
    </row>
    <row r="18" spans="1:28" x14ac:dyDescent="0.25">
      <c r="A18" t="s">
        <v>80</v>
      </c>
      <c r="B18" s="90"/>
      <c r="C18" s="8">
        <f t="shared" ref="C18:D18" si="4">+C17*C21</f>
        <v>0</v>
      </c>
      <c r="D18" s="8">
        <f t="shared" si="4"/>
        <v>0</v>
      </c>
      <c r="E18" s="90"/>
      <c r="F18" s="8">
        <f t="shared" ref="F18:G18" si="5">+F17*F21</f>
        <v>0</v>
      </c>
      <c r="G18" s="8">
        <f t="shared" si="5"/>
        <v>0</v>
      </c>
      <c r="H18" s="90"/>
      <c r="I18" s="8">
        <f t="shared" ref="I18:J18" si="6">+I17*I21</f>
        <v>0</v>
      </c>
      <c r="J18" s="8">
        <f t="shared" si="6"/>
        <v>0</v>
      </c>
      <c r="K18" s="90"/>
      <c r="L18" s="8">
        <f t="shared" ref="L18" si="7">+L17*L21</f>
        <v>0</v>
      </c>
      <c r="M18" s="8"/>
      <c r="N18" s="90"/>
      <c r="O18" s="8">
        <f t="shared" ref="O18" si="8">+O17*O21</f>
        <v>0</v>
      </c>
      <c r="P18" s="8"/>
      <c r="Q18" s="90"/>
      <c r="R18" s="8">
        <f t="shared" ref="R18" si="9">+R17*R21</f>
        <v>0</v>
      </c>
      <c r="T18" s="90"/>
      <c r="U18" s="8">
        <f t="shared" ref="U18" si="10">+U17*U21</f>
        <v>0</v>
      </c>
      <c r="V18" s="91"/>
      <c r="W18" t="s">
        <v>75</v>
      </c>
      <c r="X18" s="89">
        <v>0</v>
      </c>
      <c r="Z18" t="s">
        <v>75</v>
      </c>
      <c r="AA18" s="89">
        <v>0</v>
      </c>
    </row>
    <row r="19" spans="1:28" ht="15.75" thickBot="1" x14ac:dyDescent="0.3">
      <c r="A19" t="s">
        <v>69</v>
      </c>
      <c r="B19" s="90"/>
      <c r="C19" s="58">
        <f t="shared" ref="C19:D19" si="11">+C17+C18</f>
        <v>0</v>
      </c>
      <c r="D19" s="58">
        <f t="shared" si="11"/>
        <v>0</v>
      </c>
      <c r="E19" s="90"/>
      <c r="F19" s="58">
        <f t="shared" ref="F19:G19" si="12">+F17+F18</f>
        <v>0</v>
      </c>
      <c r="G19" s="58">
        <f t="shared" si="12"/>
        <v>0</v>
      </c>
      <c r="H19" s="90"/>
      <c r="I19" s="58">
        <f t="shared" ref="I19:J19" si="13">+I17+I18</f>
        <v>0</v>
      </c>
      <c r="J19" s="58">
        <f t="shared" si="13"/>
        <v>0</v>
      </c>
      <c r="K19" s="90"/>
      <c r="L19" s="58">
        <f t="shared" ref="L19" si="14">+L17+L18</f>
        <v>0</v>
      </c>
      <c r="M19" s="58"/>
      <c r="N19" s="90"/>
      <c r="O19" s="58">
        <f t="shared" ref="O19" si="15">+O17+O18</f>
        <v>0</v>
      </c>
      <c r="P19" s="58"/>
      <c r="Q19" s="90"/>
      <c r="R19" s="58">
        <f t="shared" ref="R19" si="16">+R17+R18</f>
        <v>0</v>
      </c>
      <c r="S19" s="92"/>
      <c r="T19" s="90"/>
      <c r="U19" s="58">
        <f t="shared" ref="U19" si="17">+U17+U18</f>
        <v>0</v>
      </c>
      <c r="W19" t="s">
        <v>81</v>
      </c>
      <c r="X19" s="93">
        <v>0</v>
      </c>
      <c r="Z19" t="s">
        <v>81</v>
      </c>
      <c r="AA19" s="93">
        <v>0</v>
      </c>
    </row>
    <row r="20" spans="1:28" ht="15.75" thickTop="1" x14ac:dyDescent="0.25">
      <c r="A20" t="s">
        <v>82</v>
      </c>
      <c r="B20" s="90"/>
      <c r="C20" s="129">
        <v>0</v>
      </c>
      <c r="D20" s="129"/>
      <c r="E20" s="90"/>
      <c r="F20" s="129">
        <v>0</v>
      </c>
      <c r="G20" s="129"/>
      <c r="H20" s="90"/>
      <c r="I20" s="129">
        <v>0</v>
      </c>
      <c r="J20" s="129"/>
      <c r="K20" s="90"/>
      <c r="L20" s="129">
        <v>0</v>
      </c>
      <c r="M20" s="129"/>
      <c r="N20" s="90"/>
      <c r="O20" s="129">
        <v>0</v>
      </c>
      <c r="P20" s="129"/>
      <c r="Q20" s="90"/>
      <c r="R20" s="129">
        <v>0</v>
      </c>
      <c r="S20" s="129"/>
      <c r="T20" s="90"/>
      <c r="U20" s="129">
        <v>0</v>
      </c>
      <c r="V20" s="94"/>
      <c r="W20" t="s">
        <v>83</v>
      </c>
      <c r="X20" s="95">
        <f>SUM(X17:X19)</f>
        <v>0</v>
      </c>
      <c r="Z20" t="s">
        <v>83</v>
      </c>
      <c r="AA20" s="95">
        <f>SUM(AA17:AA19)</f>
        <v>0</v>
      </c>
    </row>
    <row r="21" spans="1:28" x14ac:dyDescent="0.25">
      <c r="A21" t="s">
        <v>80</v>
      </c>
      <c r="B21" s="90"/>
      <c r="C21" s="129">
        <v>0</v>
      </c>
      <c r="D21" s="129"/>
      <c r="E21" s="90"/>
      <c r="F21" s="129">
        <v>0</v>
      </c>
      <c r="G21" s="129"/>
      <c r="H21" s="90"/>
      <c r="I21" s="129">
        <v>0</v>
      </c>
      <c r="J21" s="129"/>
      <c r="K21" s="90"/>
      <c r="L21" s="129">
        <v>0</v>
      </c>
      <c r="M21" s="129"/>
      <c r="N21" s="90"/>
      <c r="O21" s="129">
        <v>0</v>
      </c>
      <c r="P21" s="129"/>
      <c r="Q21" s="90"/>
      <c r="R21" s="129">
        <v>0</v>
      </c>
      <c r="S21" s="129"/>
      <c r="T21" s="90"/>
      <c r="U21" s="129">
        <v>0</v>
      </c>
      <c r="V21" s="94"/>
      <c r="W21" t="s">
        <v>84</v>
      </c>
      <c r="X21" s="95">
        <f>+X15+X20</f>
        <v>696000</v>
      </c>
      <c r="Z21" t="s">
        <v>84</v>
      </c>
      <c r="AA21" s="95">
        <f>+AA15+AA20</f>
        <v>0</v>
      </c>
    </row>
    <row r="22" spans="1:28" ht="15.75" thickBot="1" x14ac:dyDescent="0.3">
      <c r="A22" t="s">
        <v>85</v>
      </c>
      <c r="B22" s="90"/>
      <c r="C22" s="128">
        <v>0</v>
      </c>
      <c r="D22" s="128"/>
      <c r="E22" s="90"/>
      <c r="F22" s="128">
        <v>0</v>
      </c>
      <c r="G22" s="128"/>
      <c r="H22" s="90"/>
      <c r="I22" s="128">
        <v>0</v>
      </c>
      <c r="J22" s="128"/>
      <c r="K22" s="90"/>
      <c r="L22" s="128">
        <v>0</v>
      </c>
      <c r="M22" s="128"/>
      <c r="N22" s="90"/>
      <c r="O22" s="130"/>
      <c r="P22" s="130"/>
      <c r="Q22" s="90"/>
      <c r="R22" s="130"/>
      <c r="S22" s="130"/>
      <c r="T22" s="90"/>
      <c r="U22" s="130"/>
      <c r="V22" s="94"/>
      <c r="W22" t="s">
        <v>86</v>
      </c>
      <c r="X22" s="61">
        <f>+X7-X21</f>
        <v>-5900</v>
      </c>
      <c r="Z22" t="s">
        <v>86</v>
      </c>
      <c r="AA22" s="61">
        <f>+AA7-AA21</f>
        <v>0</v>
      </c>
    </row>
    <row r="23" spans="1:28" ht="15.75" thickTop="1" x14ac:dyDescent="0.25">
      <c r="B23" s="1"/>
      <c r="C23" s="94"/>
      <c r="D23" s="94"/>
      <c r="E23" s="1"/>
      <c r="F23" s="94"/>
      <c r="G23" s="94"/>
      <c r="H23" s="1"/>
      <c r="I23" s="94"/>
      <c r="J23" s="94"/>
      <c r="K23" s="96"/>
      <c r="L23" s="97"/>
      <c r="M23" s="96"/>
      <c r="N23" s="96"/>
      <c r="O23" s="94"/>
      <c r="Q23" s="96"/>
      <c r="R23" s="94"/>
      <c r="X23" s="87"/>
      <c r="AA23" s="87"/>
    </row>
    <row r="24" spans="1:28" x14ac:dyDescent="0.25">
      <c r="B24" s="1"/>
      <c r="C24" s="94"/>
      <c r="D24" s="94"/>
      <c r="E24" s="1"/>
      <c r="F24" s="94"/>
      <c r="G24" s="94"/>
      <c r="H24" s="1"/>
      <c r="I24" s="94"/>
      <c r="J24" s="94"/>
      <c r="K24" s="96"/>
      <c r="L24" s="94"/>
      <c r="M24" s="96"/>
      <c r="N24" s="96"/>
      <c r="O24" s="94"/>
      <c r="Q24" s="96"/>
      <c r="R24" s="94"/>
    </row>
    <row r="25" spans="1:28" x14ac:dyDescent="0.25">
      <c r="C25" s="94"/>
      <c r="D25" s="94"/>
      <c r="F25" s="94"/>
      <c r="G25" s="94"/>
      <c r="I25" s="94"/>
      <c r="J25" s="94"/>
      <c r="K25" s="96"/>
      <c r="L25" s="94"/>
      <c r="M25" s="96"/>
    </row>
    <row r="26" spans="1:28" x14ac:dyDescent="0.25">
      <c r="A26" t="s">
        <v>122</v>
      </c>
      <c r="B26" s="128"/>
      <c r="C26" s="94"/>
      <c r="D26" s="94"/>
      <c r="F26" s="94"/>
      <c r="G26" s="94"/>
      <c r="I26" s="94"/>
      <c r="J26" s="94"/>
      <c r="K26" s="96"/>
      <c r="L26" s="94"/>
      <c r="M26" s="96"/>
    </row>
    <row r="27" spans="1:28" x14ac:dyDescent="0.25">
      <c r="A27" t="s">
        <v>120</v>
      </c>
      <c r="B27" s="128"/>
      <c r="C27" s="94"/>
      <c r="D27" s="94"/>
      <c r="F27" s="94"/>
      <c r="G27" s="94"/>
      <c r="I27" s="94"/>
      <c r="J27" s="94"/>
      <c r="K27" s="96"/>
      <c r="L27" s="94"/>
      <c r="M27" s="96"/>
    </row>
    <row r="28" spans="1:28" x14ac:dyDescent="0.25">
      <c r="A28" t="s">
        <v>121</v>
      </c>
      <c r="B28" s="8">
        <f>+B26-B27</f>
        <v>0</v>
      </c>
      <c r="C28" s="94" t="s">
        <v>123</v>
      </c>
      <c r="D28" s="94"/>
      <c r="F28" s="94"/>
      <c r="G28" s="94"/>
      <c r="I28" s="94"/>
      <c r="J28" s="94"/>
      <c r="K28" s="96"/>
      <c r="L28" s="94"/>
      <c r="M28" s="96"/>
    </row>
    <row r="29" spans="1:28" x14ac:dyDescent="0.25">
      <c r="C29" s="94"/>
      <c r="D29" s="94"/>
      <c r="F29" s="94"/>
      <c r="G29" s="94"/>
      <c r="I29" s="94"/>
      <c r="J29" s="94"/>
      <c r="K29" s="96"/>
      <c r="L29" s="94"/>
      <c r="M29" s="96"/>
    </row>
    <row r="30" spans="1:28" x14ac:dyDescent="0.25">
      <c r="C30" s="94"/>
      <c r="D30" s="94"/>
      <c r="F30" s="94"/>
      <c r="G30" s="94"/>
      <c r="I30" s="94"/>
      <c r="J30" s="94"/>
      <c r="K30" s="96"/>
      <c r="L30" s="94"/>
      <c r="M30" s="96"/>
    </row>
    <row r="31" spans="1:28" x14ac:dyDescent="0.25">
      <c r="C31" s="94"/>
      <c r="D31" s="94"/>
      <c r="F31" s="94"/>
      <c r="G31" s="94"/>
      <c r="I31" s="94"/>
      <c r="J31" s="94"/>
      <c r="K31" s="96"/>
      <c r="L31" s="94"/>
      <c r="M31" s="96"/>
    </row>
    <row r="32" spans="1:28" x14ac:dyDescent="0.25">
      <c r="C32" s="94"/>
      <c r="D32" s="94"/>
      <c r="F32" s="94"/>
      <c r="G32" s="94"/>
      <c r="I32" s="94"/>
      <c r="J32" s="94"/>
      <c r="K32" s="96"/>
      <c r="L32" s="94"/>
    </row>
    <row r="33" spans="3:12" x14ac:dyDescent="0.25">
      <c r="C33" s="94"/>
      <c r="D33" s="94"/>
      <c r="F33" s="94"/>
      <c r="G33" s="94"/>
      <c r="I33" s="94"/>
      <c r="J33" s="94"/>
      <c r="K33" s="96"/>
      <c r="L33" s="94"/>
    </row>
    <row r="34" spans="3:12" x14ac:dyDescent="0.25">
      <c r="C34" s="94"/>
      <c r="D34" s="94"/>
      <c r="F34" s="94"/>
      <c r="G34" s="94"/>
      <c r="I34" s="94"/>
      <c r="J34" s="94"/>
      <c r="K34" s="96"/>
    </row>
    <row r="35" spans="3:12" x14ac:dyDescent="0.25">
      <c r="C35" s="97"/>
      <c r="F35" s="97"/>
      <c r="I35" s="97"/>
    </row>
    <row r="36" spans="3:12" x14ac:dyDescent="0.25">
      <c r="C36" s="97"/>
      <c r="F36" s="97"/>
      <c r="I36" s="97"/>
    </row>
  </sheetData>
  <mergeCells count="10">
    <mergeCell ref="T2:U2"/>
    <mergeCell ref="K1:L1"/>
    <mergeCell ref="B2:C2"/>
    <mergeCell ref="K2:L2"/>
    <mergeCell ref="N2:O2"/>
    <mergeCell ref="Q2:R2"/>
    <mergeCell ref="H2:I2"/>
    <mergeCell ref="H1:I1"/>
    <mergeCell ref="E2:F2"/>
    <mergeCell ref="E1:F1"/>
  </mergeCells>
  <pageMargins left="0.7" right="0.7" top="0.75" bottom="0.75" header="0.3" footer="0.3"/>
  <pageSetup scale="5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8"/>
  <sheetViews>
    <sheetView showGridLines="0" workbookViewId="0">
      <pane ySplit="18" topLeftCell="A19" activePane="bottomLeft" state="frozenSplit"/>
      <selection pane="bottomLeft" activeCell="D8" sqref="D8"/>
    </sheetView>
  </sheetViews>
  <sheetFormatPr defaultColWidth="9.140625" defaultRowHeight="12.75" x14ac:dyDescent="0.2"/>
  <cols>
    <col min="1" max="1" width="6.28515625" style="13" customWidth="1"/>
    <col min="2" max="2" width="15.7109375" style="12" customWidth="1"/>
    <col min="3" max="3" width="21.7109375" style="12" customWidth="1"/>
    <col min="4" max="9" width="14.7109375" style="12" customWidth="1"/>
    <col min="10" max="11" width="21.7109375" style="12" customWidth="1"/>
    <col min="12" max="16384" width="9.140625" style="11"/>
  </cols>
  <sheetData>
    <row r="1" spans="1:11" ht="24" customHeight="1" x14ac:dyDescent="0.3">
      <c r="A1" s="33" t="s">
        <v>29</v>
      </c>
      <c r="B1" s="11"/>
      <c r="C1" s="11"/>
      <c r="D1" s="11"/>
      <c r="E1" s="28"/>
      <c r="F1" s="28"/>
      <c r="G1" s="28"/>
      <c r="H1" s="28"/>
      <c r="I1" s="28"/>
      <c r="J1" s="28"/>
      <c r="K1" s="28"/>
    </row>
    <row r="2" spans="1:11" ht="3" customHeight="1" x14ac:dyDescent="0.2">
      <c r="A2" s="24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ht="20.25" customHeight="1" x14ac:dyDescent="0.2">
      <c r="A3" s="28"/>
      <c r="B3" s="46" t="s">
        <v>34</v>
      </c>
      <c r="C3" s="25"/>
      <c r="D3" s="25"/>
      <c r="E3" s="25"/>
      <c r="F3" s="25"/>
      <c r="G3" s="25"/>
      <c r="H3" s="25"/>
      <c r="I3" s="25"/>
      <c r="J3" s="25"/>
      <c r="K3" s="25"/>
    </row>
    <row r="4" spans="1:11" ht="14.25" customHeight="1" x14ac:dyDescent="0.2">
      <c r="A4" s="28"/>
      <c r="B4" s="216" t="s">
        <v>27</v>
      </c>
      <c r="C4" s="217"/>
      <c r="D4" s="218"/>
      <c r="E4" s="28"/>
      <c r="F4" s="28"/>
      <c r="G4" s="11"/>
      <c r="H4" s="11"/>
      <c r="I4" s="216" t="s">
        <v>26</v>
      </c>
      <c r="J4" s="217"/>
      <c r="K4" s="218"/>
    </row>
    <row r="5" spans="1:11" x14ac:dyDescent="0.2">
      <c r="A5" s="28"/>
      <c r="B5" s="32"/>
      <c r="C5" s="35" t="s">
        <v>0</v>
      </c>
      <c r="D5" s="139">
        <v>1000000</v>
      </c>
      <c r="E5" s="28"/>
      <c r="F5" s="28"/>
      <c r="G5" s="11"/>
      <c r="H5" s="11"/>
      <c r="I5" s="32"/>
      <c r="J5" s="31" t="s">
        <v>25</v>
      </c>
      <c r="K5" s="44">
        <f>IF(Values_Entered,-PMT(Interest_Rate/Num_Pmt_Per_Year,Loan_Years*Num_Pmt_Per_Year,Loan_Amount),"")</f>
        <v>4659.5735099457142</v>
      </c>
    </row>
    <row r="6" spans="1:11" x14ac:dyDescent="0.2">
      <c r="A6" s="28"/>
      <c r="B6" s="32"/>
      <c r="C6" s="35" t="s">
        <v>24</v>
      </c>
      <c r="D6" s="140">
        <v>3.7999999999999999E-2</v>
      </c>
      <c r="E6" s="28"/>
      <c r="F6" s="28"/>
      <c r="G6" s="11"/>
      <c r="H6" s="11"/>
      <c r="I6" s="32"/>
      <c r="J6" s="31" t="s">
        <v>23</v>
      </c>
      <c r="K6" s="45">
        <f>IF(Values_Entered,Loan_Years*Num_Pmt_Per_Year,"")</f>
        <v>360</v>
      </c>
    </row>
    <row r="7" spans="1:11" x14ac:dyDescent="0.2">
      <c r="A7" s="28"/>
      <c r="B7" s="32"/>
      <c r="C7" s="35" t="s">
        <v>22</v>
      </c>
      <c r="D7" s="141">
        <v>30</v>
      </c>
      <c r="E7" s="28" t="s">
        <v>4</v>
      </c>
      <c r="F7" s="28"/>
      <c r="G7" s="11"/>
      <c r="H7" s="11"/>
      <c r="I7" s="32"/>
      <c r="J7" s="31" t="s">
        <v>21</v>
      </c>
      <c r="K7" s="45">
        <f>IF(Values_Entered,Number_of_Payments,"")</f>
        <v>241</v>
      </c>
    </row>
    <row r="8" spans="1:11" x14ac:dyDescent="0.2">
      <c r="A8" s="28"/>
      <c r="B8" s="32"/>
      <c r="C8" s="35" t="s">
        <v>20</v>
      </c>
      <c r="D8" s="141">
        <v>12</v>
      </c>
      <c r="E8" s="28" t="s">
        <v>33</v>
      </c>
      <c r="F8" s="28"/>
      <c r="G8" s="34"/>
      <c r="H8" s="11"/>
      <c r="I8" s="32"/>
      <c r="J8" s="31" t="s">
        <v>31</v>
      </c>
      <c r="K8" s="44">
        <f>+Scheduled_Extra_Payments</f>
        <v>50000</v>
      </c>
    </row>
    <row r="9" spans="1:11" x14ac:dyDescent="0.2">
      <c r="A9" s="28"/>
      <c r="B9" s="32"/>
      <c r="C9" s="35" t="s">
        <v>19</v>
      </c>
      <c r="D9" s="142">
        <v>43497</v>
      </c>
      <c r="E9" s="28"/>
      <c r="F9" s="28"/>
      <c r="G9" s="11"/>
      <c r="H9" s="11"/>
      <c r="I9" s="30"/>
      <c r="J9" s="29" t="s">
        <v>18</v>
      </c>
      <c r="K9" s="44">
        <f>IF(Values_Entered,SUMIF(Beg_Bal,"&gt;0",Int),"")</f>
        <v>407440.10278785852</v>
      </c>
    </row>
    <row r="10" spans="1:11" x14ac:dyDescent="0.2">
      <c r="A10" s="28"/>
      <c r="B10" s="30"/>
      <c r="C10" s="36" t="s">
        <v>35</v>
      </c>
      <c r="D10" s="139">
        <v>50000</v>
      </c>
      <c r="E10" s="28"/>
      <c r="F10" s="28"/>
      <c r="G10" s="25"/>
      <c r="H10" s="25"/>
      <c r="I10" s="25"/>
      <c r="J10" s="25"/>
      <c r="K10" s="28"/>
    </row>
    <row r="11" spans="1:11" x14ac:dyDescent="0.2">
      <c r="A11" s="28"/>
      <c r="B11" s="30"/>
      <c r="C11" s="36" t="s">
        <v>32</v>
      </c>
      <c r="D11" s="139">
        <v>1000</v>
      </c>
      <c r="E11" s="37">
        <f>+Num_Pmt_Per_Year</f>
        <v>12</v>
      </c>
      <c r="F11" s="38" t="str">
        <f>IF(E11=12,"Monthly","Fortnightly")</f>
        <v>Monthly</v>
      </c>
      <c r="G11" s="25"/>
      <c r="H11" s="25"/>
      <c r="I11" s="25"/>
      <c r="J11" s="25"/>
      <c r="K11" s="28"/>
    </row>
    <row r="12" spans="1:11" x14ac:dyDescent="0.2">
      <c r="A12" s="28"/>
      <c r="B12" s="25"/>
      <c r="C12" s="25"/>
      <c r="D12" s="25"/>
      <c r="E12" s="25"/>
      <c r="F12" s="25"/>
      <c r="G12" s="25"/>
      <c r="H12" s="25"/>
      <c r="I12" s="25"/>
      <c r="J12" s="47"/>
      <c r="K12" s="25"/>
    </row>
    <row r="13" spans="1:11" x14ac:dyDescent="0.2">
      <c r="A13" s="28"/>
      <c r="B13" s="27" t="s">
        <v>30</v>
      </c>
      <c r="C13" s="214" t="s">
        <v>36</v>
      </c>
      <c r="D13" s="215"/>
      <c r="E13" s="25"/>
      <c r="F13" s="25"/>
      <c r="G13" s="25"/>
      <c r="H13" s="25"/>
      <c r="I13" s="25"/>
      <c r="J13" s="25"/>
      <c r="K13" s="25"/>
    </row>
    <row r="14" spans="1:11" x14ac:dyDescent="0.2">
      <c r="A14" s="28"/>
      <c r="B14" s="27"/>
      <c r="C14" s="26"/>
      <c r="D14" s="26"/>
      <c r="E14" s="25"/>
      <c r="F14" s="25"/>
      <c r="G14" s="25"/>
      <c r="H14" s="25"/>
      <c r="I14" s="25"/>
      <c r="J14" s="25"/>
      <c r="K14" s="25"/>
    </row>
    <row r="15" spans="1:11" ht="6" customHeight="1" x14ac:dyDescent="0.2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3.75" customHeight="1" x14ac:dyDescent="0.25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1:12" s="14" customFormat="1" ht="25.5" x14ac:dyDescent="0.2">
      <c r="A17" s="20" t="s">
        <v>17</v>
      </c>
      <c r="B17" s="19" t="s">
        <v>16</v>
      </c>
      <c r="C17" s="19" t="s">
        <v>10</v>
      </c>
      <c r="D17" s="19" t="s">
        <v>15</v>
      </c>
      <c r="E17" s="19" t="str">
        <f>+C10</f>
        <v>Opening Offset Bal</v>
      </c>
      <c r="F17" s="19" t="s">
        <v>3</v>
      </c>
      <c r="G17" s="19" t="s">
        <v>14</v>
      </c>
      <c r="H17" s="19" t="s">
        <v>13</v>
      </c>
      <c r="I17" s="19" t="s">
        <v>11</v>
      </c>
      <c r="J17" s="19" t="s">
        <v>28</v>
      </c>
      <c r="K17" s="18" t="s">
        <v>12</v>
      </c>
    </row>
    <row r="18" spans="1:12" s="14" customFormat="1" ht="6" customHeight="1" x14ac:dyDescent="0.25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5"/>
    </row>
    <row r="19" spans="1:12" s="14" customFormat="1" x14ac:dyDescent="0.2">
      <c r="A19" s="39">
        <f>IF(Values_Entered,1,"")</f>
        <v>1</v>
      </c>
      <c r="B19" s="40">
        <f t="shared" ref="B19:B82" si="0">IF(Pay_Num&lt;&gt;"",DATE(YEAR(Loan_Start),MONTH(Loan_Start)+(Pay_Num)*12/Num_Pmt_Per_Year,DAY(Loan_Start)),"")</f>
        <v>43525</v>
      </c>
      <c r="C19" s="41">
        <f>IF(Values_Entered,Loan_Amount,"")</f>
        <v>1000000</v>
      </c>
      <c r="D19" s="41">
        <f t="shared" ref="D19:D82" si="1">IF(Pay_Num&lt;&gt;"",Scheduled_Monthly_Payment,"")</f>
        <v>4659.5735099457142</v>
      </c>
      <c r="E19" s="42">
        <f>+Scheduled_Extra_Payments</f>
        <v>50000</v>
      </c>
      <c r="F19" s="43">
        <f>+C19-E19</f>
        <v>950000</v>
      </c>
      <c r="G19" s="41">
        <f t="shared" ref="G19:G82" si="2">IF(AND(Pay_Num&lt;&gt;"",Sched_Pay&lt;Beg_Bal),Sched_Pay,IF(Pay_Num&lt;&gt;"",Beg_Bal,""))</f>
        <v>4659.5735099457142</v>
      </c>
      <c r="H19" s="41">
        <f t="shared" ref="H19:H82" si="3">IF(Pay_Num&lt;&gt;"",Total_Pay-Int,"")</f>
        <v>1651.2401766123808</v>
      </c>
      <c r="I19" s="41">
        <f t="shared" ref="I19:I82" si="4">IF(Pay_Num&lt;&gt;"",(Beg_Bal-E19)*(Interest_Rate/Num_Pmt_Per_Year),"")</f>
        <v>3008.3333333333335</v>
      </c>
      <c r="J19" s="41">
        <f>IF(AND(Pay_Num&lt;&gt;"",Sched_Pay&lt;Beg_Bal),Beg_Bal-Princ,IF(Pay_Num&lt;&gt;"",0,""))</f>
        <v>998348.75982338761</v>
      </c>
      <c r="K19" s="41">
        <f>SUM($I$19:$I19)</f>
        <v>3008.3333333333335</v>
      </c>
    </row>
    <row r="20" spans="1:12" s="14" customFormat="1" ht="12.75" customHeight="1" x14ac:dyDescent="0.2">
      <c r="A20" s="39">
        <f>IF(Values_Entered,A19+1,"")</f>
        <v>2</v>
      </c>
      <c r="B20" s="40">
        <f t="shared" si="0"/>
        <v>43556</v>
      </c>
      <c r="C20" s="41">
        <f t="shared" ref="C20:C83" si="5">IF(Pay_Num&lt;&gt;"",J19,"")</f>
        <v>998348.75982338761</v>
      </c>
      <c r="D20" s="41">
        <f t="shared" si="1"/>
        <v>4659.5735099457142</v>
      </c>
      <c r="E20" s="42">
        <f>+E19+$D$11</f>
        <v>51000</v>
      </c>
      <c r="F20" s="43">
        <f t="shared" ref="F20:F83" si="6">+C20-E20</f>
        <v>947348.75982338761</v>
      </c>
      <c r="G20" s="41">
        <f t="shared" si="2"/>
        <v>4659.5735099457142</v>
      </c>
      <c r="H20" s="41">
        <f t="shared" si="3"/>
        <v>1659.6357705049868</v>
      </c>
      <c r="I20" s="41">
        <f t="shared" si="4"/>
        <v>2999.9377394407275</v>
      </c>
      <c r="J20" s="41">
        <f t="shared" ref="J20:J83" si="7">IF(AND(Pay_Num&lt;&gt;"",Sched_Pay+Extra_Pay&lt;Beg_Bal),Beg_Bal-Princ,IF(Pay_Num&lt;&gt;"",0,""))</f>
        <v>996689.12405288266</v>
      </c>
      <c r="K20" s="41">
        <f t="shared" ref="K20:K22" si="8">IF(I20&lt;0,0,+K19+I20)</f>
        <v>6008.2710727740614</v>
      </c>
    </row>
    <row r="21" spans="1:12" s="14" customFormat="1" ht="12.75" customHeight="1" x14ac:dyDescent="0.2">
      <c r="A21" s="39">
        <f>IF(Values_Entered,A20+1,"")</f>
        <v>3</v>
      </c>
      <c r="B21" s="40">
        <f t="shared" si="0"/>
        <v>43586</v>
      </c>
      <c r="C21" s="41">
        <f t="shared" si="5"/>
        <v>996689.12405288266</v>
      </c>
      <c r="D21" s="41">
        <f t="shared" si="1"/>
        <v>4659.5735099457142</v>
      </c>
      <c r="E21" s="42">
        <f t="shared" ref="E21:E84" si="9">+E20+$D$11</f>
        <v>52000</v>
      </c>
      <c r="F21" s="43">
        <f t="shared" si="6"/>
        <v>944689.12405288266</v>
      </c>
      <c r="G21" s="41">
        <f t="shared" si="2"/>
        <v>4659.5735099457142</v>
      </c>
      <c r="H21" s="41">
        <f t="shared" si="3"/>
        <v>1668.0579504449192</v>
      </c>
      <c r="I21" s="41">
        <f t="shared" si="4"/>
        <v>2991.515559500795</v>
      </c>
      <c r="J21" s="41">
        <f t="shared" si="7"/>
        <v>995021.06610243779</v>
      </c>
      <c r="K21" s="41">
        <f t="shared" si="8"/>
        <v>8999.7866322748559</v>
      </c>
    </row>
    <row r="22" spans="1:12" s="14" customFormat="1" x14ac:dyDescent="0.2">
      <c r="A22" s="39">
        <f>IF(Values_Entered,A21+1,"")</f>
        <v>4</v>
      </c>
      <c r="B22" s="40">
        <f t="shared" si="0"/>
        <v>43617</v>
      </c>
      <c r="C22" s="41">
        <f t="shared" si="5"/>
        <v>995021.06610243779</v>
      </c>
      <c r="D22" s="41">
        <f t="shared" si="1"/>
        <v>4659.5735099457142</v>
      </c>
      <c r="E22" s="42">
        <f t="shared" si="9"/>
        <v>53000</v>
      </c>
      <c r="F22" s="43">
        <f t="shared" si="6"/>
        <v>942021.06610243779</v>
      </c>
      <c r="G22" s="41">
        <f t="shared" si="2"/>
        <v>4659.5735099457142</v>
      </c>
      <c r="H22" s="41">
        <f t="shared" si="3"/>
        <v>1676.5068006213278</v>
      </c>
      <c r="I22" s="41">
        <f t="shared" si="4"/>
        <v>2983.0667093243865</v>
      </c>
      <c r="J22" s="41">
        <f t="shared" si="7"/>
        <v>993344.55930181651</v>
      </c>
      <c r="K22" s="41">
        <f t="shared" si="8"/>
        <v>11982.853341599242</v>
      </c>
    </row>
    <row r="23" spans="1:12" s="14" customFormat="1" x14ac:dyDescent="0.2">
      <c r="A23" s="39">
        <f>IF(Values_Entered,A22+1,"")</f>
        <v>5</v>
      </c>
      <c r="B23" s="40">
        <f t="shared" si="0"/>
        <v>43647</v>
      </c>
      <c r="C23" s="41">
        <f t="shared" si="5"/>
        <v>993344.55930181651</v>
      </c>
      <c r="D23" s="41">
        <f t="shared" si="1"/>
        <v>4659.5735099457142</v>
      </c>
      <c r="E23" s="42">
        <f t="shared" si="9"/>
        <v>54000</v>
      </c>
      <c r="F23" s="43">
        <f t="shared" si="6"/>
        <v>939344.55930181651</v>
      </c>
      <c r="G23" s="41">
        <f t="shared" si="2"/>
        <v>4659.5735099457142</v>
      </c>
      <c r="H23" s="41">
        <f t="shared" si="3"/>
        <v>1684.9824054899618</v>
      </c>
      <c r="I23" s="41">
        <f t="shared" si="4"/>
        <v>2974.5911044557524</v>
      </c>
      <c r="J23" s="41">
        <f t="shared" si="7"/>
        <v>991659.5768963265</v>
      </c>
      <c r="K23" s="41">
        <f>IF(I23&lt;0,0,+K22+I23)</f>
        <v>14957.444446054995</v>
      </c>
    </row>
    <row r="24" spans="1:12" x14ac:dyDescent="0.2">
      <c r="A24" s="39">
        <f>IF(Values_Entered,A23+1,"")</f>
        <v>6</v>
      </c>
      <c r="B24" s="40">
        <f t="shared" si="0"/>
        <v>43678</v>
      </c>
      <c r="C24" s="41">
        <f t="shared" si="5"/>
        <v>991659.5768963265</v>
      </c>
      <c r="D24" s="41">
        <f t="shared" si="1"/>
        <v>4659.5735099457142</v>
      </c>
      <c r="E24" s="42">
        <f t="shared" si="9"/>
        <v>55000</v>
      </c>
      <c r="F24" s="43">
        <f t="shared" si="6"/>
        <v>936659.5768963265</v>
      </c>
      <c r="G24" s="41">
        <f t="shared" si="2"/>
        <v>4659.5735099457142</v>
      </c>
      <c r="H24" s="41">
        <f t="shared" si="3"/>
        <v>1693.4848497740136</v>
      </c>
      <c r="I24" s="41">
        <f t="shared" si="4"/>
        <v>2966.0886601717007</v>
      </c>
      <c r="J24" s="41">
        <f t="shared" si="7"/>
        <v>989966.09204655245</v>
      </c>
      <c r="K24" s="41">
        <f t="shared" ref="K24:K87" si="10">IF(I24&lt;0,0,+K23+I24)</f>
        <v>17923.533106226696</v>
      </c>
      <c r="L24" s="14"/>
    </row>
    <row r="25" spans="1:12" x14ac:dyDescent="0.2">
      <c r="A25" s="39">
        <f>IF(Values_Entered,A24+1,"")</f>
        <v>7</v>
      </c>
      <c r="B25" s="40">
        <f t="shared" si="0"/>
        <v>43709</v>
      </c>
      <c r="C25" s="41">
        <f t="shared" si="5"/>
        <v>989966.09204655245</v>
      </c>
      <c r="D25" s="41">
        <f t="shared" si="1"/>
        <v>4659.5735099457142</v>
      </c>
      <c r="E25" s="42">
        <f t="shared" si="9"/>
        <v>56000</v>
      </c>
      <c r="F25" s="43">
        <f t="shared" si="6"/>
        <v>933966.09204655245</v>
      </c>
      <c r="G25" s="41">
        <f t="shared" si="2"/>
        <v>4659.5735099457142</v>
      </c>
      <c r="H25" s="41">
        <f t="shared" si="3"/>
        <v>1702.0142184649649</v>
      </c>
      <c r="I25" s="41">
        <f t="shared" si="4"/>
        <v>2957.5592914807494</v>
      </c>
      <c r="J25" s="41">
        <f t="shared" si="7"/>
        <v>988264.07782808749</v>
      </c>
      <c r="K25" s="41">
        <f t="shared" si="10"/>
        <v>20881.092397707445</v>
      </c>
      <c r="L25" s="14"/>
    </row>
    <row r="26" spans="1:12" x14ac:dyDescent="0.2">
      <c r="A26" s="39">
        <f>IF(Values_Entered,A25+1,"")</f>
        <v>8</v>
      </c>
      <c r="B26" s="40">
        <f t="shared" si="0"/>
        <v>43739</v>
      </c>
      <c r="C26" s="41">
        <f t="shared" si="5"/>
        <v>988264.07782808749</v>
      </c>
      <c r="D26" s="41">
        <f t="shared" si="1"/>
        <v>4659.5735099457142</v>
      </c>
      <c r="E26" s="42">
        <f t="shared" si="9"/>
        <v>57000</v>
      </c>
      <c r="F26" s="43">
        <f t="shared" si="6"/>
        <v>931264.07782808749</v>
      </c>
      <c r="G26" s="41">
        <f t="shared" si="2"/>
        <v>4659.5735099457142</v>
      </c>
      <c r="H26" s="41">
        <f t="shared" si="3"/>
        <v>1710.5705968234374</v>
      </c>
      <c r="I26" s="41">
        <f t="shared" si="4"/>
        <v>2949.0029131222768</v>
      </c>
      <c r="J26" s="41">
        <f t="shared" si="7"/>
        <v>986553.50723126403</v>
      </c>
      <c r="K26" s="41">
        <f t="shared" si="10"/>
        <v>23830.095310829722</v>
      </c>
      <c r="L26" s="14"/>
    </row>
    <row r="27" spans="1:12" x14ac:dyDescent="0.2">
      <c r="A27" s="39">
        <f>IF(Values_Entered,A26+1,"")</f>
        <v>9</v>
      </c>
      <c r="B27" s="40">
        <f t="shared" si="0"/>
        <v>43770</v>
      </c>
      <c r="C27" s="41">
        <f t="shared" si="5"/>
        <v>986553.50723126403</v>
      </c>
      <c r="D27" s="41">
        <f t="shared" si="1"/>
        <v>4659.5735099457142</v>
      </c>
      <c r="E27" s="42">
        <f t="shared" si="9"/>
        <v>58000</v>
      </c>
      <c r="F27" s="43">
        <f t="shared" si="6"/>
        <v>928553.50723126403</v>
      </c>
      <c r="G27" s="41">
        <f t="shared" si="2"/>
        <v>4659.5735099457142</v>
      </c>
      <c r="H27" s="41">
        <f t="shared" si="3"/>
        <v>1719.1540703800447</v>
      </c>
      <c r="I27" s="41">
        <f t="shared" si="4"/>
        <v>2940.4194395656696</v>
      </c>
      <c r="J27" s="41">
        <f t="shared" si="7"/>
        <v>984834.353160884</v>
      </c>
      <c r="K27" s="41">
        <f t="shared" si="10"/>
        <v>26770.514750395392</v>
      </c>
      <c r="L27" s="14"/>
    </row>
    <row r="28" spans="1:12" x14ac:dyDescent="0.2">
      <c r="A28" s="39">
        <f>IF(Values_Entered,A27+1,"")</f>
        <v>10</v>
      </c>
      <c r="B28" s="40">
        <f t="shared" si="0"/>
        <v>43800</v>
      </c>
      <c r="C28" s="41">
        <f t="shared" si="5"/>
        <v>984834.353160884</v>
      </c>
      <c r="D28" s="41">
        <f t="shared" si="1"/>
        <v>4659.5735099457142</v>
      </c>
      <c r="E28" s="42">
        <f t="shared" si="9"/>
        <v>59000</v>
      </c>
      <c r="F28" s="43">
        <f t="shared" si="6"/>
        <v>925834.353160884</v>
      </c>
      <c r="G28" s="41">
        <f t="shared" si="2"/>
        <v>4659.5735099457142</v>
      </c>
      <c r="H28" s="41">
        <f t="shared" si="3"/>
        <v>1727.7647249362485</v>
      </c>
      <c r="I28" s="41">
        <f t="shared" si="4"/>
        <v>2931.8087850094657</v>
      </c>
      <c r="J28" s="41">
        <f t="shared" si="7"/>
        <v>983106.58843594778</v>
      </c>
      <c r="K28" s="41">
        <f t="shared" si="10"/>
        <v>29702.323535404859</v>
      </c>
      <c r="L28" s="14"/>
    </row>
    <row r="29" spans="1:12" x14ac:dyDescent="0.2">
      <c r="A29" s="39">
        <f>IF(Values_Entered,A28+1,"")</f>
        <v>11</v>
      </c>
      <c r="B29" s="40">
        <f t="shared" si="0"/>
        <v>43831</v>
      </c>
      <c r="C29" s="41">
        <f t="shared" si="5"/>
        <v>983106.58843594778</v>
      </c>
      <c r="D29" s="41">
        <f t="shared" si="1"/>
        <v>4659.5735099457142</v>
      </c>
      <c r="E29" s="42">
        <f t="shared" si="9"/>
        <v>60000</v>
      </c>
      <c r="F29" s="43">
        <f t="shared" si="6"/>
        <v>923106.58843594778</v>
      </c>
      <c r="G29" s="41">
        <f t="shared" si="2"/>
        <v>4659.5735099457142</v>
      </c>
      <c r="H29" s="41">
        <f t="shared" si="3"/>
        <v>1736.4026465652132</v>
      </c>
      <c r="I29" s="41">
        <f t="shared" si="4"/>
        <v>2923.170863380501</v>
      </c>
      <c r="J29" s="41">
        <f t="shared" si="7"/>
        <v>981370.18578938255</v>
      </c>
      <c r="K29" s="41">
        <f t="shared" si="10"/>
        <v>32625.494398785362</v>
      </c>
      <c r="L29" s="14"/>
    </row>
    <row r="30" spans="1:12" x14ac:dyDescent="0.2">
      <c r="A30" s="39">
        <f>IF(Values_Entered,A29+1,"")</f>
        <v>12</v>
      </c>
      <c r="B30" s="40">
        <f t="shared" si="0"/>
        <v>43862</v>
      </c>
      <c r="C30" s="41">
        <f t="shared" si="5"/>
        <v>981370.18578938255</v>
      </c>
      <c r="D30" s="41">
        <f t="shared" si="1"/>
        <v>4659.5735099457142</v>
      </c>
      <c r="E30" s="42">
        <f t="shared" si="9"/>
        <v>61000</v>
      </c>
      <c r="F30" s="43">
        <f t="shared" si="6"/>
        <v>920370.18578938255</v>
      </c>
      <c r="G30" s="41">
        <f t="shared" si="2"/>
        <v>4659.5735099457142</v>
      </c>
      <c r="H30" s="41">
        <f t="shared" si="3"/>
        <v>1745.0679216126696</v>
      </c>
      <c r="I30" s="41">
        <f t="shared" si="4"/>
        <v>2914.5055883330447</v>
      </c>
      <c r="J30" s="41">
        <f t="shared" si="7"/>
        <v>979625.11786776991</v>
      </c>
      <c r="K30" s="41">
        <f t="shared" si="10"/>
        <v>35539.999987118405</v>
      </c>
      <c r="L30" s="14"/>
    </row>
    <row r="31" spans="1:12" x14ac:dyDescent="0.2">
      <c r="A31" s="39">
        <f>IF(Values_Entered,A30+1,"")</f>
        <v>13</v>
      </c>
      <c r="B31" s="40">
        <f t="shared" si="0"/>
        <v>43891</v>
      </c>
      <c r="C31" s="41">
        <f t="shared" si="5"/>
        <v>979625.11786776991</v>
      </c>
      <c r="D31" s="41">
        <f t="shared" si="1"/>
        <v>4659.5735099457142</v>
      </c>
      <c r="E31" s="42">
        <f t="shared" si="9"/>
        <v>62000</v>
      </c>
      <c r="F31" s="43">
        <f t="shared" si="6"/>
        <v>917625.11786776991</v>
      </c>
      <c r="G31" s="41">
        <f t="shared" si="2"/>
        <v>4659.5735099457142</v>
      </c>
      <c r="H31" s="41">
        <f t="shared" si="3"/>
        <v>1753.7606366977761</v>
      </c>
      <c r="I31" s="41">
        <f t="shared" si="4"/>
        <v>2905.8128732479381</v>
      </c>
      <c r="J31" s="41">
        <f t="shared" si="7"/>
        <v>977871.35723107215</v>
      </c>
      <c r="K31" s="41">
        <f t="shared" si="10"/>
        <v>38445.812860366343</v>
      </c>
      <c r="L31" s="14"/>
    </row>
    <row r="32" spans="1:12" x14ac:dyDescent="0.2">
      <c r="A32" s="39">
        <f>IF(Values_Entered,A31+1,"")</f>
        <v>14</v>
      </c>
      <c r="B32" s="40">
        <f t="shared" si="0"/>
        <v>43922</v>
      </c>
      <c r="C32" s="41">
        <f t="shared" si="5"/>
        <v>977871.35723107215</v>
      </c>
      <c r="D32" s="41">
        <f t="shared" si="1"/>
        <v>4659.5735099457142</v>
      </c>
      <c r="E32" s="42">
        <f t="shared" si="9"/>
        <v>63000</v>
      </c>
      <c r="F32" s="43">
        <f t="shared" si="6"/>
        <v>914871.35723107215</v>
      </c>
      <c r="G32" s="41">
        <f t="shared" si="2"/>
        <v>4659.5735099457142</v>
      </c>
      <c r="H32" s="41">
        <f t="shared" si="3"/>
        <v>1762.4808787139859</v>
      </c>
      <c r="I32" s="41">
        <f t="shared" si="4"/>
        <v>2897.0926312317283</v>
      </c>
      <c r="J32" s="41">
        <f t="shared" si="7"/>
        <v>976108.87635235814</v>
      </c>
      <c r="K32" s="41">
        <f t="shared" si="10"/>
        <v>41342.905491598074</v>
      </c>
      <c r="L32" s="14"/>
    </row>
    <row r="33" spans="1:12" x14ac:dyDescent="0.2">
      <c r="A33" s="39">
        <f>IF(Values_Entered,A32+1,"")</f>
        <v>15</v>
      </c>
      <c r="B33" s="40">
        <f t="shared" si="0"/>
        <v>43952</v>
      </c>
      <c r="C33" s="41">
        <f t="shared" si="5"/>
        <v>976108.87635235814</v>
      </c>
      <c r="D33" s="41">
        <f t="shared" si="1"/>
        <v>4659.5735099457142</v>
      </c>
      <c r="E33" s="42">
        <f t="shared" si="9"/>
        <v>64000</v>
      </c>
      <c r="F33" s="43">
        <f t="shared" si="6"/>
        <v>912108.87635235814</v>
      </c>
      <c r="G33" s="41">
        <f t="shared" si="2"/>
        <v>4659.5735099457142</v>
      </c>
      <c r="H33" s="41">
        <f t="shared" si="3"/>
        <v>1771.2287348299137</v>
      </c>
      <c r="I33" s="41">
        <f t="shared" si="4"/>
        <v>2888.3447751158005</v>
      </c>
      <c r="J33" s="41">
        <f t="shared" si="7"/>
        <v>974337.64761752822</v>
      </c>
      <c r="K33" s="41">
        <f t="shared" si="10"/>
        <v>44231.250266713876</v>
      </c>
      <c r="L33" s="14"/>
    </row>
    <row r="34" spans="1:12" x14ac:dyDescent="0.2">
      <c r="A34" s="39">
        <f>IF(Values_Entered,A33+1,"")</f>
        <v>16</v>
      </c>
      <c r="B34" s="40">
        <f t="shared" si="0"/>
        <v>43983</v>
      </c>
      <c r="C34" s="41">
        <f t="shared" si="5"/>
        <v>974337.64761752822</v>
      </c>
      <c r="D34" s="41">
        <f t="shared" si="1"/>
        <v>4659.5735099457142</v>
      </c>
      <c r="E34" s="42">
        <f t="shared" si="9"/>
        <v>65000</v>
      </c>
      <c r="F34" s="43">
        <f t="shared" si="6"/>
        <v>909337.64761752822</v>
      </c>
      <c r="G34" s="41">
        <f t="shared" si="2"/>
        <v>4659.5735099457142</v>
      </c>
      <c r="H34" s="41">
        <f t="shared" si="3"/>
        <v>1780.0042924902082</v>
      </c>
      <c r="I34" s="41">
        <f t="shared" si="4"/>
        <v>2879.5692174555061</v>
      </c>
      <c r="J34" s="41">
        <f t="shared" si="7"/>
        <v>972557.64332503802</v>
      </c>
      <c r="K34" s="41">
        <f t="shared" si="10"/>
        <v>47110.819484169384</v>
      </c>
      <c r="L34" s="14"/>
    </row>
    <row r="35" spans="1:12" x14ac:dyDescent="0.2">
      <c r="A35" s="39">
        <f>IF(Values_Entered,A34+1,"")</f>
        <v>17</v>
      </c>
      <c r="B35" s="40">
        <f t="shared" si="0"/>
        <v>44013</v>
      </c>
      <c r="C35" s="41">
        <f t="shared" si="5"/>
        <v>972557.64332503802</v>
      </c>
      <c r="D35" s="41">
        <f t="shared" si="1"/>
        <v>4659.5735099457142</v>
      </c>
      <c r="E35" s="42">
        <f t="shared" si="9"/>
        <v>66000</v>
      </c>
      <c r="F35" s="43">
        <f t="shared" si="6"/>
        <v>906557.64332503802</v>
      </c>
      <c r="G35" s="41">
        <f t="shared" si="2"/>
        <v>4659.5735099457142</v>
      </c>
      <c r="H35" s="41">
        <f t="shared" si="3"/>
        <v>1788.8076394164273</v>
      </c>
      <c r="I35" s="41">
        <f t="shared" si="4"/>
        <v>2870.765870529287</v>
      </c>
      <c r="J35" s="41">
        <f t="shared" si="7"/>
        <v>970768.8356856216</v>
      </c>
      <c r="K35" s="41">
        <f t="shared" si="10"/>
        <v>49981.585354698669</v>
      </c>
      <c r="L35" s="14"/>
    </row>
    <row r="36" spans="1:12" x14ac:dyDescent="0.2">
      <c r="A36" s="39">
        <f>IF(Values_Entered,A35+1,"")</f>
        <v>18</v>
      </c>
      <c r="B36" s="40">
        <f t="shared" si="0"/>
        <v>44044</v>
      </c>
      <c r="C36" s="41">
        <f t="shared" si="5"/>
        <v>970768.8356856216</v>
      </c>
      <c r="D36" s="41">
        <f t="shared" si="1"/>
        <v>4659.5735099457142</v>
      </c>
      <c r="E36" s="42">
        <f t="shared" si="9"/>
        <v>67000</v>
      </c>
      <c r="F36" s="43">
        <f t="shared" si="6"/>
        <v>903768.8356856216</v>
      </c>
      <c r="G36" s="41">
        <f t="shared" si="2"/>
        <v>4659.5735099457142</v>
      </c>
      <c r="H36" s="41">
        <f t="shared" si="3"/>
        <v>1797.6388636079128</v>
      </c>
      <c r="I36" s="41">
        <f t="shared" si="4"/>
        <v>2861.9346463378015</v>
      </c>
      <c r="J36" s="41">
        <f t="shared" si="7"/>
        <v>968971.19682201371</v>
      </c>
      <c r="K36" s="41">
        <f t="shared" si="10"/>
        <v>52843.520001036472</v>
      </c>
      <c r="L36" s="14"/>
    </row>
    <row r="37" spans="1:12" x14ac:dyDescent="0.2">
      <c r="A37" s="39">
        <f>IF(Values_Entered,A36+1,"")</f>
        <v>19</v>
      </c>
      <c r="B37" s="40">
        <f t="shared" si="0"/>
        <v>44075</v>
      </c>
      <c r="C37" s="41">
        <f t="shared" si="5"/>
        <v>968971.19682201371</v>
      </c>
      <c r="D37" s="41">
        <f t="shared" si="1"/>
        <v>4659.5735099457142</v>
      </c>
      <c r="E37" s="42">
        <f t="shared" si="9"/>
        <v>68000</v>
      </c>
      <c r="F37" s="43">
        <f t="shared" si="6"/>
        <v>900971.19682201371</v>
      </c>
      <c r="G37" s="41">
        <f t="shared" si="2"/>
        <v>4659.5735099457142</v>
      </c>
      <c r="H37" s="41">
        <f t="shared" si="3"/>
        <v>1806.498053342671</v>
      </c>
      <c r="I37" s="41">
        <f t="shared" si="4"/>
        <v>2853.0754566030432</v>
      </c>
      <c r="J37" s="41">
        <f t="shared" si="7"/>
        <v>967164.69876867102</v>
      </c>
      <c r="K37" s="41">
        <f t="shared" si="10"/>
        <v>55696.595457639516</v>
      </c>
      <c r="L37" s="14"/>
    </row>
    <row r="38" spans="1:12" x14ac:dyDescent="0.2">
      <c r="A38" s="39">
        <f>IF(Values_Entered,A37+1,"")</f>
        <v>20</v>
      </c>
      <c r="B38" s="40">
        <f t="shared" si="0"/>
        <v>44105</v>
      </c>
      <c r="C38" s="41">
        <f t="shared" si="5"/>
        <v>967164.69876867102</v>
      </c>
      <c r="D38" s="41">
        <f t="shared" si="1"/>
        <v>4659.5735099457142</v>
      </c>
      <c r="E38" s="42">
        <f t="shared" si="9"/>
        <v>69000</v>
      </c>
      <c r="F38" s="43">
        <f t="shared" si="6"/>
        <v>898164.69876867102</v>
      </c>
      <c r="G38" s="41">
        <f t="shared" si="2"/>
        <v>4659.5735099457142</v>
      </c>
      <c r="H38" s="41">
        <f t="shared" si="3"/>
        <v>1815.3852971782562</v>
      </c>
      <c r="I38" s="41">
        <f t="shared" si="4"/>
        <v>2844.188212767458</v>
      </c>
      <c r="J38" s="41">
        <f t="shared" si="7"/>
        <v>965349.31347149273</v>
      </c>
      <c r="K38" s="41">
        <f t="shared" si="10"/>
        <v>58540.783670406978</v>
      </c>
      <c r="L38" s="14"/>
    </row>
    <row r="39" spans="1:12" x14ac:dyDescent="0.2">
      <c r="A39" s="39">
        <f>IF(Values_Entered,A38+1,"")</f>
        <v>21</v>
      </c>
      <c r="B39" s="40">
        <f t="shared" si="0"/>
        <v>44136</v>
      </c>
      <c r="C39" s="41">
        <f t="shared" si="5"/>
        <v>965349.31347149273</v>
      </c>
      <c r="D39" s="41">
        <f t="shared" si="1"/>
        <v>4659.5735099457142</v>
      </c>
      <c r="E39" s="42">
        <f t="shared" si="9"/>
        <v>70000</v>
      </c>
      <c r="F39" s="43">
        <f t="shared" si="6"/>
        <v>895349.31347149273</v>
      </c>
      <c r="G39" s="41">
        <f t="shared" si="2"/>
        <v>4659.5735099457142</v>
      </c>
      <c r="H39" s="41">
        <f t="shared" si="3"/>
        <v>1824.3006839526538</v>
      </c>
      <c r="I39" s="41">
        <f t="shared" si="4"/>
        <v>2835.2728259930605</v>
      </c>
      <c r="J39" s="41">
        <f t="shared" si="7"/>
        <v>963525.01278754009</v>
      </c>
      <c r="K39" s="41">
        <f t="shared" si="10"/>
        <v>61376.056496400037</v>
      </c>
      <c r="L39" s="14"/>
    </row>
    <row r="40" spans="1:12" x14ac:dyDescent="0.2">
      <c r="A40" s="39">
        <f>IF(Values_Entered,A39+1,"")</f>
        <v>22</v>
      </c>
      <c r="B40" s="40">
        <f t="shared" si="0"/>
        <v>44166</v>
      </c>
      <c r="C40" s="41">
        <f t="shared" si="5"/>
        <v>963525.01278754009</v>
      </c>
      <c r="D40" s="41">
        <f t="shared" si="1"/>
        <v>4659.5735099457142</v>
      </c>
      <c r="E40" s="42">
        <f t="shared" si="9"/>
        <v>71000</v>
      </c>
      <c r="F40" s="43">
        <f t="shared" si="6"/>
        <v>892525.01278754009</v>
      </c>
      <c r="G40" s="41">
        <f t="shared" si="2"/>
        <v>4659.5735099457142</v>
      </c>
      <c r="H40" s="41">
        <f t="shared" si="3"/>
        <v>1833.2443027851705</v>
      </c>
      <c r="I40" s="41">
        <f t="shared" si="4"/>
        <v>2826.3292071605438</v>
      </c>
      <c r="J40" s="41">
        <f t="shared" si="7"/>
        <v>961691.76848475495</v>
      </c>
      <c r="K40" s="41">
        <f t="shared" si="10"/>
        <v>64202.385703560583</v>
      </c>
      <c r="L40" s="14"/>
    </row>
    <row r="41" spans="1:12" x14ac:dyDescent="0.2">
      <c r="A41" s="39">
        <f>IF(Values_Entered,A40+1,"")</f>
        <v>23</v>
      </c>
      <c r="B41" s="40">
        <f t="shared" si="0"/>
        <v>44197</v>
      </c>
      <c r="C41" s="41">
        <f t="shared" si="5"/>
        <v>961691.76848475495</v>
      </c>
      <c r="D41" s="41">
        <f t="shared" si="1"/>
        <v>4659.5735099457142</v>
      </c>
      <c r="E41" s="42">
        <f t="shared" si="9"/>
        <v>72000</v>
      </c>
      <c r="F41" s="43">
        <f t="shared" si="6"/>
        <v>889691.76848475495</v>
      </c>
      <c r="G41" s="41">
        <f t="shared" si="2"/>
        <v>4659.5735099457142</v>
      </c>
      <c r="H41" s="41">
        <f t="shared" si="3"/>
        <v>1842.2162430773237</v>
      </c>
      <c r="I41" s="41">
        <f t="shared" si="4"/>
        <v>2817.3572668683905</v>
      </c>
      <c r="J41" s="41">
        <f t="shared" si="7"/>
        <v>959849.55224167765</v>
      </c>
      <c r="K41" s="41">
        <f t="shared" si="10"/>
        <v>67019.742970428968</v>
      </c>
      <c r="L41" s="14"/>
    </row>
    <row r="42" spans="1:12" x14ac:dyDescent="0.2">
      <c r="A42" s="39">
        <f>IF(Values_Entered,A41+1,"")</f>
        <v>24</v>
      </c>
      <c r="B42" s="40">
        <f t="shared" si="0"/>
        <v>44228</v>
      </c>
      <c r="C42" s="41">
        <f t="shared" si="5"/>
        <v>959849.55224167765</v>
      </c>
      <c r="D42" s="41">
        <f t="shared" si="1"/>
        <v>4659.5735099457142</v>
      </c>
      <c r="E42" s="42">
        <f t="shared" si="9"/>
        <v>73000</v>
      </c>
      <c r="F42" s="43">
        <f t="shared" si="6"/>
        <v>886849.55224167765</v>
      </c>
      <c r="G42" s="41">
        <f t="shared" si="2"/>
        <v>4659.5735099457142</v>
      </c>
      <c r="H42" s="41">
        <f t="shared" si="3"/>
        <v>1851.2165945137349</v>
      </c>
      <c r="I42" s="41">
        <f t="shared" si="4"/>
        <v>2808.3569154319794</v>
      </c>
      <c r="J42" s="41">
        <f t="shared" si="7"/>
        <v>957998.33564716391</v>
      </c>
      <c r="K42" s="41">
        <f t="shared" si="10"/>
        <v>69828.099885860953</v>
      </c>
      <c r="L42" s="14"/>
    </row>
    <row r="43" spans="1:12" x14ac:dyDescent="0.2">
      <c r="A43" s="39">
        <f>IF(Values_Entered,A42+1,"")</f>
        <v>25</v>
      </c>
      <c r="B43" s="40">
        <f t="shared" si="0"/>
        <v>44256</v>
      </c>
      <c r="C43" s="41">
        <f t="shared" si="5"/>
        <v>957998.33564716391</v>
      </c>
      <c r="D43" s="41">
        <f t="shared" si="1"/>
        <v>4659.5735099457142</v>
      </c>
      <c r="E43" s="42">
        <f t="shared" si="9"/>
        <v>74000</v>
      </c>
      <c r="F43" s="43">
        <f t="shared" si="6"/>
        <v>883998.33564716391</v>
      </c>
      <c r="G43" s="41">
        <f t="shared" si="2"/>
        <v>4659.5735099457142</v>
      </c>
      <c r="H43" s="41">
        <f t="shared" si="3"/>
        <v>1860.2454470630287</v>
      </c>
      <c r="I43" s="41">
        <f t="shared" si="4"/>
        <v>2799.3280628826856</v>
      </c>
      <c r="J43" s="41">
        <f t="shared" si="7"/>
        <v>956138.09020010091</v>
      </c>
      <c r="K43" s="41">
        <f t="shared" si="10"/>
        <v>72627.427948743643</v>
      </c>
      <c r="L43" s="14"/>
    </row>
    <row r="44" spans="1:12" x14ac:dyDescent="0.2">
      <c r="A44" s="39">
        <f>IF(Values_Entered,A43+1,"")</f>
        <v>26</v>
      </c>
      <c r="B44" s="40">
        <f t="shared" si="0"/>
        <v>44287</v>
      </c>
      <c r="C44" s="41">
        <f t="shared" si="5"/>
        <v>956138.09020010091</v>
      </c>
      <c r="D44" s="41">
        <f t="shared" si="1"/>
        <v>4659.5735099457142</v>
      </c>
      <c r="E44" s="42">
        <f t="shared" si="9"/>
        <v>75000</v>
      </c>
      <c r="F44" s="43">
        <f t="shared" si="6"/>
        <v>881138.09020010091</v>
      </c>
      <c r="G44" s="41">
        <f t="shared" si="2"/>
        <v>4659.5735099457142</v>
      </c>
      <c r="H44" s="41">
        <f t="shared" si="3"/>
        <v>1869.3028909787281</v>
      </c>
      <c r="I44" s="41">
        <f t="shared" si="4"/>
        <v>2790.2706189669861</v>
      </c>
      <c r="J44" s="41">
        <f t="shared" si="7"/>
        <v>954268.78730912216</v>
      </c>
      <c r="K44" s="41">
        <f t="shared" si="10"/>
        <v>75417.698567710628</v>
      </c>
      <c r="L44" s="14"/>
    </row>
    <row r="45" spans="1:12" x14ac:dyDescent="0.2">
      <c r="A45" s="39">
        <f>IF(Values_Entered,A44+1,"")</f>
        <v>27</v>
      </c>
      <c r="B45" s="40">
        <f t="shared" si="0"/>
        <v>44317</v>
      </c>
      <c r="C45" s="41">
        <f t="shared" si="5"/>
        <v>954268.78730912216</v>
      </c>
      <c r="D45" s="41">
        <f t="shared" si="1"/>
        <v>4659.5735099457142</v>
      </c>
      <c r="E45" s="42">
        <f t="shared" si="9"/>
        <v>76000</v>
      </c>
      <c r="F45" s="43">
        <f t="shared" si="6"/>
        <v>878268.78730912216</v>
      </c>
      <c r="G45" s="41">
        <f t="shared" si="2"/>
        <v>4659.5735099457142</v>
      </c>
      <c r="H45" s="41">
        <f t="shared" si="3"/>
        <v>1878.3890168001608</v>
      </c>
      <c r="I45" s="41">
        <f t="shared" si="4"/>
        <v>2781.1844931455535</v>
      </c>
      <c r="J45" s="41">
        <f t="shared" si="7"/>
        <v>952390.39829232194</v>
      </c>
      <c r="K45" s="41">
        <f t="shared" si="10"/>
        <v>78198.883060856184</v>
      </c>
      <c r="L45" s="14"/>
    </row>
    <row r="46" spans="1:12" x14ac:dyDescent="0.2">
      <c r="A46" s="39">
        <f>IF(Values_Entered,A45+1,"")</f>
        <v>28</v>
      </c>
      <c r="B46" s="40">
        <f t="shared" si="0"/>
        <v>44348</v>
      </c>
      <c r="C46" s="41">
        <f t="shared" si="5"/>
        <v>952390.39829232194</v>
      </c>
      <c r="D46" s="41">
        <f t="shared" si="1"/>
        <v>4659.5735099457142</v>
      </c>
      <c r="E46" s="42">
        <f t="shared" si="9"/>
        <v>77000</v>
      </c>
      <c r="F46" s="43">
        <f t="shared" si="6"/>
        <v>875390.39829232194</v>
      </c>
      <c r="G46" s="41">
        <f t="shared" si="2"/>
        <v>4659.5735099457142</v>
      </c>
      <c r="H46" s="41">
        <f t="shared" si="3"/>
        <v>1887.5039153533617</v>
      </c>
      <c r="I46" s="41">
        <f t="shared" si="4"/>
        <v>2772.0695945923526</v>
      </c>
      <c r="J46" s="41">
        <f t="shared" si="7"/>
        <v>950502.89437696862</v>
      </c>
      <c r="K46" s="41">
        <f t="shared" si="10"/>
        <v>80970.952655448535</v>
      </c>
      <c r="L46" s="14"/>
    </row>
    <row r="47" spans="1:12" x14ac:dyDescent="0.2">
      <c r="A47" s="39">
        <f>IF(Values_Entered,A46+1,"")</f>
        <v>29</v>
      </c>
      <c r="B47" s="40">
        <f t="shared" si="0"/>
        <v>44378</v>
      </c>
      <c r="C47" s="41">
        <f t="shared" si="5"/>
        <v>950502.89437696862</v>
      </c>
      <c r="D47" s="41">
        <f t="shared" si="1"/>
        <v>4659.5735099457142</v>
      </c>
      <c r="E47" s="42">
        <f t="shared" si="9"/>
        <v>78000</v>
      </c>
      <c r="F47" s="43">
        <f t="shared" si="6"/>
        <v>872502.89437696862</v>
      </c>
      <c r="G47" s="41">
        <f t="shared" si="2"/>
        <v>4659.5735099457142</v>
      </c>
      <c r="H47" s="41">
        <f t="shared" si="3"/>
        <v>1896.6476777519802</v>
      </c>
      <c r="I47" s="41">
        <f t="shared" si="4"/>
        <v>2762.9258321937341</v>
      </c>
      <c r="J47" s="41">
        <f t="shared" si="7"/>
        <v>948606.24669921666</v>
      </c>
      <c r="K47" s="41">
        <f t="shared" si="10"/>
        <v>83733.878487642272</v>
      </c>
      <c r="L47" s="14"/>
    </row>
    <row r="48" spans="1:12" x14ac:dyDescent="0.2">
      <c r="A48" s="39">
        <f>IF(Values_Entered,A47+1,"")</f>
        <v>30</v>
      </c>
      <c r="B48" s="40">
        <f t="shared" si="0"/>
        <v>44409</v>
      </c>
      <c r="C48" s="41">
        <f t="shared" si="5"/>
        <v>948606.24669921666</v>
      </c>
      <c r="D48" s="41">
        <f t="shared" si="1"/>
        <v>4659.5735099457142</v>
      </c>
      <c r="E48" s="42">
        <f t="shared" si="9"/>
        <v>79000</v>
      </c>
      <c r="F48" s="43">
        <f t="shared" si="6"/>
        <v>869606.24669921666</v>
      </c>
      <c r="G48" s="41">
        <f t="shared" si="2"/>
        <v>4659.5735099457142</v>
      </c>
      <c r="H48" s="41">
        <f t="shared" si="3"/>
        <v>1905.8203953981947</v>
      </c>
      <c r="I48" s="41">
        <f t="shared" si="4"/>
        <v>2753.7531145475195</v>
      </c>
      <c r="J48" s="41">
        <f t="shared" si="7"/>
        <v>946700.42630381847</v>
      </c>
      <c r="K48" s="41">
        <f t="shared" si="10"/>
        <v>86487.631602189795</v>
      </c>
      <c r="L48" s="14"/>
    </row>
    <row r="49" spans="1:12" x14ac:dyDescent="0.2">
      <c r="A49" s="39">
        <f>IF(Values_Entered,A48+1,"")</f>
        <v>31</v>
      </c>
      <c r="B49" s="40">
        <f t="shared" si="0"/>
        <v>44440</v>
      </c>
      <c r="C49" s="41">
        <f t="shared" si="5"/>
        <v>946700.42630381847</v>
      </c>
      <c r="D49" s="41">
        <f t="shared" si="1"/>
        <v>4659.5735099457142</v>
      </c>
      <c r="E49" s="42">
        <f t="shared" si="9"/>
        <v>80000</v>
      </c>
      <c r="F49" s="43">
        <f t="shared" si="6"/>
        <v>866700.42630381847</v>
      </c>
      <c r="G49" s="41">
        <f t="shared" si="2"/>
        <v>4659.5735099457142</v>
      </c>
      <c r="H49" s="41">
        <f t="shared" si="3"/>
        <v>1915.0221599836227</v>
      </c>
      <c r="I49" s="41">
        <f t="shared" si="4"/>
        <v>2744.5513499620915</v>
      </c>
      <c r="J49" s="41">
        <f t="shared" si="7"/>
        <v>944785.40414383484</v>
      </c>
      <c r="K49" s="41">
        <f t="shared" si="10"/>
        <v>89232.182952151881</v>
      </c>
      <c r="L49" s="14"/>
    </row>
    <row r="50" spans="1:12" x14ac:dyDescent="0.2">
      <c r="A50" s="39">
        <f>IF(Values_Entered,A49+1,"")</f>
        <v>32</v>
      </c>
      <c r="B50" s="40">
        <f t="shared" si="0"/>
        <v>44470</v>
      </c>
      <c r="C50" s="41">
        <f t="shared" si="5"/>
        <v>944785.40414383484</v>
      </c>
      <c r="D50" s="41">
        <f t="shared" si="1"/>
        <v>4659.5735099457142</v>
      </c>
      <c r="E50" s="42">
        <f t="shared" si="9"/>
        <v>81000</v>
      </c>
      <c r="F50" s="43">
        <f t="shared" si="6"/>
        <v>863785.40414383484</v>
      </c>
      <c r="G50" s="41">
        <f t="shared" si="2"/>
        <v>4659.5735099457142</v>
      </c>
      <c r="H50" s="41">
        <f t="shared" si="3"/>
        <v>1924.2530634902373</v>
      </c>
      <c r="I50" s="41">
        <f t="shared" si="4"/>
        <v>2735.3204464554769</v>
      </c>
      <c r="J50" s="41">
        <f t="shared" si="7"/>
        <v>942861.15108034457</v>
      </c>
      <c r="K50" s="41">
        <f t="shared" si="10"/>
        <v>91967.503398607354</v>
      </c>
      <c r="L50" s="14"/>
    </row>
    <row r="51" spans="1:12" x14ac:dyDescent="0.2">
      <c r="A51" s="39">
        <f>IF(Values_Entered,A50+1,"")</f>
        <v>33</v>
      </c>
      <c r="B51" s="40">
        <f t="shared" si="0"/>
        <v>44501</v>
      </c>
      <c r="C51" s="41">
        <f t="shared" si="5"/>
        <v>942861.15108034457</v>
      </c>
      <c r="D51" s="41">
        <f t="shared" si="1"/>
        <v>4659.5735099457142</v>
      </c>
      <c r="E51" s="42">
        <f t="shared" si="9"/>
        <v>82000</v>
      </c>
      <c r="F51" s="43">
        <f t="shared" si="6"/>
        <v>860861.15108034457</v>
      </c>
      <c r="G51" s="41">
        <f t="shared" si="2"/>
        <v>4659.5735099457142</v>
      </c>
      <c r="H51" s="41">
        <f t="shared" si="3"/>
        <v>1933.51319819129</v>
      </c>
      <c r="I51" s="41">
        <f t="shared" si="4"/>
        <v>2726.0603117544242</v>
      </c>
      <c r="J51" s="41">
        <f t="shared" si="7"/>
        <v>940927.63788215327</v>
      </c>
      <c r="K51" s="41">
        <f t="shared" si="10"/>
        <v>94693.563710361777</v>
      </c>
      <c r="L51" s="14"/>
    </row>
    <row r="52" spans="1:12" x14ac:dyDescent="0.2">
      <c r="A52" s="39">
        <f>IF(Values_Entered,A51+1,"")</f>
        <v>34</v>
      </c>
      <c r="B52" s="40">
        <f t="shared" si="0"/>
        <v>44531</v>
      </c>
      <c r="C52" s="41">
        <f t="shared" si="5"/>
        <v>940927.63788215327</v>
      </c>
      <c r="D52" s="41">
        <f t="shared" si="1"/>
        <v>4659.5735099457142</v>
      </c>
      <c r="E52" s="42">
        <f t="shared" si="9"/>
        <v>83000</v>
      </c>
      <c r="F52" s="43">
        <f t="shared" si="6"/>
        <v>857927.63788215327</v>
      </c>
      <c r="G52" s="41">
        <f t="shared" si="2"/>
        <v>4659.5735099457142</v>
      </c>
      <c r="H52" s="41">
        <f t="shared" si="3"/>
        <v>1942.802656652229</v>
      </c>
      <c r="I52" s="41">
        <f t="shared" si="4"/>
        <v>2716.7708532934853</v>
      </c>
      <c r="J52" s="41">
        <f t="shared" si="7"/>
        <v>938984.8352255011</v>
      </c>
      <c r="K52" s="41">
        <f t="shared" si="10"/>
        <v>97410.334563655269</v>
      </c>
      <c r="L52" s="14"/>
    </row>
    <row r="53" spans="1:12" x14ac:dyDescent="0.2">
      <c r="A53" s="39">
        <f>IF(Values_Entered,A52+1,"")</f>
        <v>35</v>
      </c>
      <c r="B53" s="40">
        <f t="shared" si="0"/>
        <v>44562</v>
      </c>
      <c r="C53" s="41">
        <f t="shared" si="5"/>
        <v>938984.8352255011</v>
      </c>
      <c r="D53" s="41">
        <f t="shared" si="1"/>
        <v>4659.5735099457142</v>
      </c>
      <c r="E53" s="42">
        <f t="shared" si="9"/>
        <v>84000</v>
      </c>
      <c r="F53" s="43">
        <f t="shared" si="6"/>
        <v>854984.8352255011</v>
      </c>
      <c r="G53" s="41">
        <f t="shared" si="2"/>
        <v>4659.5735099457142</v>
      </c>
      <c r="H53" s="41">
        <f t="shared" si="3"/>
        <v>1952.1215317316273</v>
      </c>
      <c r="I53" s="41">
        <f t="shared" si="4"/>
        <v>2707.4519782140869</v>
      </c>
      <c r="J53" s="41">
        <f t="shared" si="7"/>
        <v>937032.71369376942</v>
      </c>
      <c r="K53" s="41">
        <f t="shared" si="10"/>
        <v>100117.78654186935</v>
      </c>
      <c r="L53" s="14"/>
    </row>
    <row r="54" spans="1:12" x14ac:dyDescent="0.2">
      <c r="A54" s="39">
        <f>IF(Values_Entered,A53+1,"")</f>
        <v>36</v>
      </c>
      <c r="B54" s="40">
        <f t="shared" si="0"/>
        <v>44593</v>
      </c>
      <c r="C54" s="41">
        <f t="shared" si="5"/>
        <v>937032.71369376942</v>
      </c>
      <c r="D54" s="41">
        <f t="shared" si="1"/>
        <v>4659.5735099457142</v>
      </c>
      <c r="E54" s="42">
        <f t="shared" si="9"/>
        <v>85000</v>
      </c>
      <c r="F54" s="43">
        <f t="shared" si="6"/>
        <v>852032.71369376942</v>
      </c>
      <c r="G54" s="41">
        <f t="shared" si="2"/>
        <v>4659.5735099457142</v>
      </c>
      <c r="H54" s="41">
        <f t="shared" si="3"/>
        <v>1961.4699165821112</v>
      </c>
      <c r="I54" s="41">
        <f t="shared" si="4"/>
        <v>2698.1035933636031</v>
      </c>
      <c r="J54" s="41">
        <f t="shared" si="7"/>
        <v>935071.24377718731</v>
      </c>
      <c r="K54" s="41">
        <f t="shared" si="10"/>
        <v>102815.89013523296</v>
      </c>
      <c r="L54" s="14"/>
    </row>
    <row r="55" spans="1:12" x14ac:dyDescent="0.2">
      <c r="A55" s="39">
        <f>IF(Values_Entered,A54+1,"")</f>
        <v>37</v>
      </c>
      <c r="B55" s="40">
        <f t="shared" si="0"/>
        <v>44621</v>
      </c>
      <c r="C55" s="41">
        <f t="shared" si="5"/>
        <v>935071.24377718731</v>
      </c>
      <c r="D55" s="41">
        <f t="shared" si="1"/>
        <v>4659.5735099457142</v>
      </c>
      <c r="E55" s="42">
        <f t="shared" si="9"/>
        <v>86000</v>
      </c>
      <c r="F55" s="43">
        <f t="shared" si="6"/>
        <v>849071.24377718731</v>
      </c>
      <c r="G55" s="41">
        <f t="shared" si="2"/>
        <v>4659.5735099457142</v>
      </c>
      <c r="H55" s="41">
        <f t="shared" si="3"/>
        <v>1970.847904651288</v>
      </c>
      <c r="I55" s="41">
        <f t="shared" si="4"/>
        <v>2688.7256052944263</v>
      </c>
      <c r="J55" s="41">
        <f t="shared" si="7"/>
        <v>933100.395872536</v>
      </c>
      <c r="K55" s="41">
        <f t="shared" si="10"/>
        <v>105504.61574052738</v>
      </c>
      <c r="L55" s="14"/>
    </row>
    <row r="56" spans="1:12" x14ac:dyDescent="0.2">
      <c r="A56" s="39">
        <f>IF(Values_Entered,A55+1,"")</f>
        <v>38</v>
      </c>
      <c r="B56" s="40">
        <f t="shared" si="0"/>
        <v>44652</v>
      </c>
      <c r="C56" s="41">
        <f t="shared" si="5"/>
        <v>933100.395872536</v>
      </c>
      <c r="D56" s="41">
        <f t="shared" si="1"/>
        <v>4659.5735099457142</v>
      </c>
      <c r="E56" s="42">
        <f t="shared" si="9"/>
        <v>87000</v>
      </c>
      <c r="F56" s="43">
        <f t="shared" si="6"/>
        <v>846100.395872536</v>
      </c>
      <c r="G56" s="41">
        <f t="shared" si="2"/>
        <v>4659.5735099457142</v>
      </c>
      <c r="H56" s="41">
        <f t="shared" si="3"/>
        <v>1980.2555896826839</v>
      </c>
      <c r="I56" s="41">
        <f t="shared" si="4"/>
        <v>2679.3179202630304</v>
      </c>
      <c r="J56" s="41">
        <f t="shared" si="7"/>
        <v>931120.14028285327</v>
      </c>
      <c r="K56" s="41">
        <f t="shared" si="10"/>
        <v>108183.93366079041</v>
      </c>
      <c r="L56" s="14"/>
    </row>
    <row r="57" spans="1:12" x14ac:dyDescent="0.2">
      <c r="A57" s="39">
        <f>IF(Values_Entered,A56+1,"")</f>
        <v>39</v>
      </c>
      <c r="B57" s="40">
        <f t="shared" si="0"/>
        <v>44682</v>
      </c>
      <c r="C57" s="41">
        <f t="shared" si="5"/>
        <v>931120.14028285327</v>
      </c>
      <c r="D57" s="41">
        <f t="shared" si="1"/>
        <v>4659.5735099457142</v>
      </c>
      <c r="E57" s="42">
        <f t="shared" si="9"/>
        <v>88000</v>
      </c>
      <c r="F57" s="43">
        <f t="shared" si="6"/>
        <v>843120.14028285327</v>
      </c>
      <c r="G57" s="41">
        <f t="shared" si="2"/>
        <v>4659.5735099457142</v>
      </c>
      <c r="H57" s="41">
        <f t="shared" si="3"/>
        <v>1989.693065716679</v>
      </c>
      <c r="I57" s="41">
        <f t="shared" si="4"/>
        <v>2669.8804442290352</v>
      </c>
      <c r="J57" s="41">
        <f t="shared" si="7"/>
        <v>929130.44721713662</v>
      </c>
      <c r="K57" s="41">
        <f t="shared" si="10"/>
        <v>110853.81410501945</v>
      </c>
      <c r="L57" s="14"/>
    </row>
    <row r="58" spans="1:12" x14ac:dyDescent="0.2">
      <c r="A58" s="39">
        <f>IF(Values_Entered,A57+1,"")</f>
        <v>40</v>
      </c>
      <c r="B58" s="40">
        <f t="shared" si="0"/>
        <v>44713</v>
      </c>
      <c r="C58" s="41">
        <f t="shared" si="5"/>
        <v>929130.44721713662</v>
      </c>
      <c r="D58" s="41">
        <f t="shared" si="1"/>
        <v>4659.5735099457142</v>
      </c>
      <c r="E58" s="42">
        <f t="shared" si="9"/>
        <v>89000</v>
      </c>
      <c r="F58" s="43">
        <f t="shared" si="6"/>
        <v>840130.44721713662</v>
      </c>
      <c r="G58" s="41">
        <f t="shared" si="2"/>
        <v>4659.5735099457142</v>
      </c>
      <c r="H58" s="41">
        <f t="shared" si="3"/>
        <v>1999.1604270914481</v>
      </c>
      <c r="I58" s="41">
        <f t="shared" si="4"/>
        <v>2660.4130828542661</v>
      </c>
      <c r="J58" s="41">
        <f t="shared" si="7"/>
        <v>927131.28679004521</v>
      </c>
      <c r="K58" s="41">
        <f t="shared" si="10"/>
        <v>113514.22718787372</v>
      </c>
      <c r="L58" s="14"/>
    </row>
    <row r="59" spans="1:12" x14ac:dyDescent="0.2">
      <c r="A59" s="39">
        <f>IF(Values_Entered,A58+1,"")</f>
        <v>41</v>
      </c>
      <c r="B59" s="40">
        <f t="shared" si="0"/>
        <v>44743</v>
      </c>
      <c r="C59" s="41">
        <f t="shared" si="5"/>
        <v>927131.28679004521</v>
      </c>
      <c r="D59" s="41">
        <f t="shared" si="1"/>
        <v>4659.5735099457142</v>
      </c>
      <c r="E59" s="42">
        <f t="shared" si="9"/>
        <v>90000</v>
      </c>
      <c r="F59" s="43">
        <f t="shared" si="6"/>
        <v>837131.28679004521</v>
      </c>
      <c r="G59" s="41">
        <f t="shared" si="2"/>
        <v>4659.5735099457142</v>
      </c>
      <c r="H59" s="41">
        <f t="shared" si="3"/>
        <v>2008.6577684439044</v>
      </c>
      <c r="I59" s="41">
        <f t="shared" si="4"/>
        <v>2650.9157415018099</v>
      </c>
      <c r="J59" s="41">
        <f t="shared" si="7"/>
        <v>925122.62902160129</v>
      </c>
      <c r="K59" s="41">
        <f t="shared" si="10"/>
        <v>116165.14292937554</v>
      </c>
      <c r="L59" s="14"/>
    </row>
    <row r="60" spans="1:12" x14ac:dyDescent="0.2">
      <c r="A60" s="39">
        <f>IF(Values_Entered,A59+1,"")</f>
        <v>42</v>
      </c>
      <c r="B60" s="40">
        <f t="shared" si="0"/>
        <v>44774</v>
      </c>
      <c r="C60" s="41">
        <f t="shared" si="5"/>
        <v>925122.62902160129</v>
      </c>
      <c r="D60" s="41">
        <f t="shared" si="1"/>
        <v>4659.5735099457142</v>
      </c>
      <c r="E60" s="42">
        <f t="shared" si="9"/>
        <v>91000</v>
      </c>
      <c r="F60" s="43">
        <f t="shared" si="6"/>
        <v>834122.62902160129</v>
      </c>
      <c r="G60" s="41">
        <f t="shared" si="2"/>
        <v>4659.5735099457142</v>
      </c>
      <c r="H60" s="41">
        <f t="shared" si="3"/>
        <v>2018.1851847106436</v>
      </c>
      <c r="I60" s="41">
        <f t="shared" si="4"/>
        <v>2641.3883252350706</v>
      </c>
      <c r="J60" s="41">
        <f t="shared" si="7"/>
        <v>923104.44383689063</v>
      </c>
      <c r="K60" s="41">
        <f t="shared" si="10"/>
        <v>118806.5312546106</v>
      </c>
      <c r="L60" s="14"/>
    </row>
    <row r="61" spans="1:12" x14ac:dyDescent="0.2">
      <c r="A61" s="39">
        <f>IF(Values_Entered,A60+1,"")</f>
        <v>43</v>
      </c>
      <c r="B61" s="40">
        <f t="shared" si="0"/>
        <v>44805</v>
      </c>
      <c r="C61" s="41">
        <f t="shared" si="5"/>
        <v>923104.44383689063</v>
      </c>
      <c r="D61" s="41">
        <f t="shared" si="1"/>
        <v>4659.5735099457142</v>
      </c>
      <c r="E61" s="42">
        <f t="shared" si="9"/>
        <v>92000</v>
      </c>
      <c r="F61" s="43">
        <f t="shared" si="6"/>
        <v>831104.44383689063</v>
      </c>
      <c r="G61" s="41">
        <f t="shared" si="2"/>
        <v>4659.5735099457142</v>
      </c>
      <c r="H61" s="41">
        <f t="shared" si="3"/>
        <v>2027.7427711288942</v>
      </c>
      <c r="I61" s="41">
        <f t="shared" si="4"/>
        <v>2631.83073881682</v>
      </c>
      <c r="J61" s="41">
        <f t="shared" si="7"/>
        <v>921076.70106576174</v>
      </c>
      <c r="K61" s="41">
        <f t="shared" si="10"/>
        <v>121438.36199342742</v>
      </c>
      <c r="L61" s="14"/>
    </row>
    <row r="62" spans="1:12" x14ac:dyDescent="0.2">
      <c r="A62" s="39">
        <f>IF(Values_Entered,A61+1,"")</f>
        <v>44</v>
      </c>
      <c r="B62" s="40">
        <f t="shared" si="0"/>
        <v>44835</v>
      </c>
      <c r="C62" s="41">
        <f t="shared" si="5"/>
        <v>921076.70106576174</v>
      </c>
      <c r="D62" s="41">
        <f t="shared" si="1"/>
        <v>4659.5735099457142</v>
      </c>
      <c r="E62" s="42">
        <f t="shared" si="9"/>
        <v>93000</v>
      </c>
      <c r="F62" s="43">
        <f t="shared" si="6"/>
        <v>828076.70106576174</v>
      </c>
      <c r="G62" s="41">
        <f t="shared" si="2"/>
        <v>4659.5735099457142</v>
      </c>
      <c r="H62" s="41">
        <f t="shared" si="3"/>
        <v>2037.3306232374689</v>
      </c>
      <c r="I62" s="41">
        <f t="shared" si="4"/>
        <v>2622.2428867082454</v>
      </c>
      <c r="J62" s="41">
        <f t="shared" si="7"/>
        <v>919039.37044252432</v>
      </c>
      <c r="K62" s="41">
        <f t="shared" si="10"/>
        <v>124060.60488013567</v>
      </c>
      <c r="L62" s="14"/>
    </row>
    <row r="63" spans="1:12" x14ac:dyDescent="0.2">
      <c r="A63" s="39">
        <f>IF(Values_Entered,A62+1,"")</f>
        <v>45</v>
      </c>
      <c r="B63" s="40">
        <f t="shared" si="0"/>
        <v>44866</v>
      </c>
      <c r="C63" s="41">
        <f t="shared" si="5"/>
        <v>919039.37044252432</v>
      </c>
      <c r="D63" s="41">
        <f t="shared" si="1"/>
        <v>4659.5735099457142</v>
      </c>
      <c r="E63" s="42">
        <f t="shared" si="9"/>
        <v>94000</v>
      </c>
      <c r="F63" s="43">
        <f t="shared" si="6"/>
        <v>825039.37044252432</v>
      </c>
      <c r="G63" s="41">
        <f t="shared" si="2"/>
        <v>4659.5735099457142</v>
      </c>
      <c r="H63" s="41">
        <f t="shared" si="3"/>
        <v>2046.9488368777206</v>
      </c>
      <c r="I63" s="41">
        <f t="shared" si="4"/>
        <v>2612.6246730679936</v>
      </c>
      <c r="J63" s="41">
        <f t="shared" si="7"/>
        <v>916992.42160564661</v>
      </c>
      <c r="K63" s="41">
        <f t="shared" si="10"/>
        <v>126673.22955320367</v>
      </c>
      <c r="L63" s="14"/>
    </row>
    <row r="64" spans="1:12" x14ac:dyDescent="0.2">
      <c r="A64" s="39">
        <f>IF(Values_Entered,A63+1,"")</f>
        <v>46</v>
      </c>
      <c r="B64" s="40">
        <f t="shared" si="0"/>
        <v>44896</v>
      </c>
      <c r="C64" s="41">
        <f t="shared" si="5"/>
        <v>916992.42160564661</v>
      </c>
      <c r="D64" s="41">
        <f t="shared" si="1"/>
        <v>4659.5735099457142</v>
      </c>
      <c r="E64" s="42">
        <f t="shared" si="9"/>
        <v>95000</v>
      </c>
      <c r="F64" s="43">
        <f t="shared" si="6"/>
        <v>821992.42160564661</v>
      </c>
      <c r="G64" s="41">
        <f t="shared" si="2"/>
        <v>4659.5735099457142</v>
      </c>
      <c r="H64" s="41">
        <f t="shared" si="3"/>
        <v>2056.5975081944998</v>
      </c>
      <c r="I64" s="41">
        <f t="shared" si="4"/>
        <v>2602.9760017512144</v>
      </c>
      <c r="J64" s="41">
        <f t="shared" si="7"/>
        <v>914935.8240974521</v>
      </c>
      <c r="K64" s="41">
        <f t="shared" si="10"/>
        <v>129276.20555495488</v>
      </c>
      <c r="L64" s="14"/>
    </row>
    <row r="65" spans="1:12" x14ac:dyDescent="0.2">
      <c r="A65" s="39">
        <f>IF(Values_Entered,A64+1,"")</f>
        <v>47</v>
      </c>
      <c r="B65" s="40">
        <f t="shared" si="0"/>
        <v>44927</v>
      </c>
      <c r="C65" s="41">
        <f t="shared" si="5"/>
        <v>914935.8240974521</v>
      </c>
      <c r="D65" s="41">
        <f t="shared" si="1"/>
        <v>4659.5735099457142</v>
      </c>
      <c r="E65" s="42">
        <f t="shared" si="9"/>
        <v>96000</v>
      </c>
      <c r="F65" s="43">
        <f t="shared" si="6"/>
        <v>818935.8240974521</v>
      </c>
      <c r="G65" s="41">
        <f t="shared" si="2"/>
        <v>4659.5735099457142</v>
      </c>
      <c r="H65" s="41">
        <f t="shared" si="3"/>
        <v>2066.2767336371162</v>
      </c>
      <c r="I65" s="41">
        <f t="shared" si="4"/>
        <v>2593.2967763085981</v>
      </c>
      <c r="J65" s="41">
        <f t="shared" si="7"/>
        <v>912869.54736381501</v>
      </c>
      <c r="K65" s="41">
        <f t="shared" si="10"/>
        <v>131869.50233126347</v>
      </c>
      <c r="L65" s="14"/>
    </row>
    <row r="66" spans="1:12" x14ac:dyDescent="0.2">
      <c r="A66" s="39">
        <f>IF(Values_Entered,A65+1,"")</f>
        <v>48</v>
      </c>
      <c r="B66" s="40">
        <f t="shared" si="0"/>
        <v>44958</v>
      </c>
      <c r="C66" s="41">
        <f t="shared" si="5"/>
        <v>912869.54736381501</v>
      </c>
      <c r="D66" s="41">
        <f t="shared" si="1"/>
        <v>4659.5735099457142</v>
      </c>
      <c r="E66" s="42">
        <f t="shared" si="9"/>
        <v>97000</v>
      </c>
      <c r="F66" s="43">
        <f t="shared" si="6"/>
        <v>815869.54736381501</v>
      </c>
      <c r="G66" s="41">
        <f t="shared" si="2"/>
        <v>4659.5735099457142</v>
      </c>
      <c r="H66" s="41">
        <f t="shared" si="3"/>
        <v>2075.9866099603</v>
      </c>
      <c r="I66" s="41">
        <f t="shared" si="4"/>
        <v>2583.5868999854142</v>
      </c>
      <c r="J66" s="41">
        <f t="shared" si="7"/>
        <v>910793.56075385469</v>
      </c>
      <c r="K66" s="41">
        <f t="shared" si="10"/>
        <v>134453.08923124889</v>
      </c>
      <c r="L66" s="14"/>
    </row>
    <row r="67" spans="1:12" x14ac:dyDescent="0.2">
      <c r="A67" s="39">
        <f>IF(Values_Entered,A66+1,"")</f>
        <v>49</v>
      </c>
      <c r="B67" s="40">
        <f t="shared" si="0"/>
        <v>44986</v>
      </c>
      <c r="C67" s="41">
        <f t="shared" si="5"/>
        <v>910793.56075385469</v>
      </c>
      <c r="D67" s="41">
        <f t="shared" si="1"/>
        <v>4659.5735099457142</v>
      </c>
      <c r="E67" s="42">
        <f t="shared" si="9"/>
        <v>98000</v>
      </c>
      <c r="F67" s="43">
        <f t="shared" si="6"/>
        <v>812793.56075385469</v>
      </c>
      <c r="G67" s="41">
        <f t="shared" si="2"/>
        <v>4659.5735099457142</v>
      </c>
      <c r="H67" s="41">
        <f t="shared" si="3"/>
        <v>2085.7272342251745</v>
      </c>
      <c r="I67" s="41">
        <f t="shared" si="4"/>
        <v>2573.8462757205398</v>
      </c>
      <c r="J67" s="41">
        <f t="shared" si="7"/>
        <v>908707.83351962955</v>
      </c>
      <c r="K67" s="41">
        <f t="shared" si="10"/>
        <v>137026.93550696943</v>
      </c>
      <c r="L67" s="14"/>
    </row>
    <row r="68" spans="1:12" x14ac:dyDescent="0.2">
      <c r="A68" s="39">
        <f>IF(Values_Entered,A67+1,"")</f>
        <v>50</v>
      </c>
      <c r="B68" s="40">
        <f t="shared" si="0"/>
        <v>45017</v>
      </c>
      <c r="C68" s="41">
        <f t="shared" si="5"/>
        <v>908707.83351962955</v>
      </c>
      <c r="D68" s="41">
        <f t="shared" si="1"/>
        <v>4659.5735099457142</v>
      </c>
      <c r="E68" s="42">
        <f t="shared" si="9"/>
        <v>99000</v>
      </c>
      <c r="F68" s="43">
        <f t="shared" si="6"/>
        <v>809707.83351962955</v>
      </c>
      <c r="G68" s="41">
        <f t="shared" si="2"/>
        <v>4659.5735099457142</v>
      </c>
      <c r="H68" s="41">
        <f t="shared" si="3"/>
        <v>2095.4987038002209</v>
      </c>
      <c r="I68" s="41">
        <f t="shared" si="4"/>
        <v>2564.0748061454933</v>
      </c>
      <c r="J68" s="41">
        <f t="shared" si="7"/>
        <v>906612.33481582929</v>
      </c>
      <c r="K68" s="41">
        <f t="shared" si="10"/>
        <v>139591.01031311491</v>
      </c>
      <c r="L68" s="14"/>
    </row>
    <row r="69" spans="1:12" x14ac:dyDescent="0.2">
      <c r="A69" s="39">
        <f>IF(Values_Entered,A68+1,"")</f>
        <v>51</v>
      </c>
      <c r="B69" s="40">
        <f t="shared" si="0"/>
        <v>45047</v>
      </c>
      <c r="C69" s="41">
        <f t="shared" si="5"/>
        <v>906612.33481582929</v>
      </c>
      <c r="D69" s="41">
        <f t="shared" si="1"/>
        <v>4659.5735099457142</v>
      </c>
      <c r="E69" s="42">
        <f t="shared" si="9"/>
        <v>100000</v>
      </c>
      <c r="F69" s="43">
        <f t="shared" si="6"/>
        <v>806612.33481582929</v>
      </c>
      <c r="G69" s="41">
        <f t="shared" si="2"/>
        <v>4659.5735099457142</v>
      </c>
      <c r="H69" s="41">
        <f t="shared" si="3"/>
        <v>2105.301116362255</v>
      </c>
      <c r="I69" s="41">
        <f t="shared" si="4"/>
        <v>2554.2723935834592</v>
      </c>
      <c r="J69" s="41">
        <f t="shared" si="7"/>
        <v>904507.03369946708</v>
      </c>
      <c r="K69" s="41">
        <f t="shared" si="10"/>
        <v>142145.28270669837</v>
      </c>
      <c r="L69" s="14"/>
    </row>
    <row r="70" spans="1:12" x14ac:dyDescent="0.2">
      <c r="A70" s="39">
        <f>IF(Values_Entered,A69+1,"")</f>
        <v>52</v>
      </c>
      <c r="B70" s="40">
        <f t="shared" si="0"/>
        <v>45078</v>
      </c>
      <c r="C70" s="41">
        <f t="shared" si="5"/>
        <v>904507.03369946708</v>
      </c>
      <c r="D70" s="41">
        <f t="shared" si="1"/>
        <v>4659.5735099457142</v>
      </c>
      <c r="E70" s="42">
        <f t="shared" si="9"/>
        <v>101000</v>
      </c>
      <c r="F70" s="43">
        <f t="shared" si="6"/>
        <v>803507.03369946708</v>
      </c>
      <c r="G70" s="41">
        <f t="shared" si="2"/>
        <v>4659.5735099457142</v>
      </c>
      <c r="H70" s="41">
        <f t="shared" si="3"/>
        <v>2115.1345698974019</v>
      </c>
      <c r="I70" s="41">
        <f t="shared" si="4"/>
        <v>2544.4389400483124</v>
      </c>
      <c r="J70" s="41">
        <f t="shared" si="7"/>
        <v>902391.89912956965</v>
      </c>
      <c r="K70" s="41">
        <f t="shared" si="10"/>
        <v>144689.72164674668</v>
      </c>
      <c r="L70" s="14"/>
    </row>
    <row r="71" spans="1:12" x14ac:dyDescent="0.2">
      <c r="A71" s="39">
        <f>IF(Values_Entered,A70+1,"")</f>
        <v>53</v>
      </c>
      <c r="B71" s="40">
        <f t="shared" si="0"/>
        <v>45108</v>
      </c>
      <c r="C71" s="41">
        <f t="shared" si="5"/>
        <v>902391.89912956965</v>
      </c>
      <c r="D71" s="41">
        <f t="shared" si="1"/>
        <v>4659.5735099457142</v>
      </c>
      <c r="E71" s="42">
        <f t="shared" si="9"/>
        <v>102000</v>
      </c>
      <c r="F71" s="43">
        <f t="shared" si="6"/>
        <v>800391.89912956965</v>
      </c>
      <c r="G71" s="41">
        <f t="shared" si="2"/>
        <v>4659.5735099457142</v>
      </c>
      <c r="H71" s="41">
        <f t="shared" si="3"/>
        <v>2124.9991627020772</v>
      </c>
      <c r="I71" s="41">
        <f t="shared" si="4"/>
        <v>2534.574347243637</v>
      </c>
      <c r="J71" s="41">
        <f t="shared" si="7"/>
        <v>900266.89996686752</v>
      </c>
      <c r="K71" s="41">
        <f t="shared" si="10"/>
        <v>147224.29599399032</v>
      </c>
      <c r="L71" s="14"/>
    </row>
    <row r="72" spans="1:12" x14ac:dyDescent="0.2">
      <c r="A72" s="39">
        <f>IF(Values_Entered,A71+1,"")</f>
        <v>54</v>
      </c>
      <c r="B72" s="40">
        <f t="shared" si="0"/>
        <v>45139</v>
      </c>
      <c r="C72" s="41">
        <f t="shared" si="5"/>
        <v>900266.89996686752</v>
      </c>
      <c r="D72" s="41">
        <f t="shared" si="1"/>
        <v>4659.5735099457142</v>
      </c>
      <c r="E72" s="42">
        <f t="shared" si="9"/>
        <v>103000</v>
      </c>
      <c r="F72" s="43">
        <f t="shared" si="6"/>
        <v>797266.89996686752</v>
      </c>
      <c r="G72" s="41">
        <f t="shared" si="2"/>
        <v>4659.5735099457142</v>
      </c>
      <c r="H72" s="41">
        <f t="shared" si="3"/>
        <v>2134.8949933839672</v>
      </c>
      <c r="I72" s="41">
        <f t="shared" si="4"/>
        <v>2524.6785165617471</v>
      </c>
      <c r="J72" s="41">
        <f t="shared" si="7"/>
        <v>898132.0049734835</v>
      </c>
      <c r="K72" s="41">
        <f t="shared" si="10"/>
        <v>149748.97451055207</v>
      </c>
      <c r="L72" s="14"/>
    </row>
    <row r="73" spans="1:12" x14ac:dyDescent="0.2">
      <c r="A73" s="39">
        <f>IF(Values_Entered,A72+1,"")</f>
        <v>55</v>
      </c>
      <c r="B73" s="40">
        <f t="shared" si="0"/>
        <v>45170</v>
      </c>
      <c r="C73" s="41">
        <f t="shared" si="5"/>
        <v>898132.0049734835</v>
      </c>
      <c r="D73" s="41">
        <f t="shared" si="1"/>
        <v>4659.5735099457142</v>
      </c>
      <c r="E73" s="42">
        <f t="shared" si="9"/>
        <v>104000</v>
      </c>
      <c r="F73" s="43">
        <f t="shared" si="6"/>
        <v>794132.0049734835</v>
      </c>
      <c r="G73" s="41">
        <f t="shared" si="2"/>
        <v>4659.5735099457142</v>
      </c>
      <c r="H73" s="41">
        <f t="shared" si="3"/>
        <v>2144.8221608630165</v>
      </c>
      <c r="I73" s="41">
        <f t="shared" si="4"/>
        <v>2514.7513490826977</v>
      </c>
      <c r="J73" s="41">
        <f t="shared" si="7"/>
        <v>895987.18281262054</v>
      </c>
      <c r="K73" s="41">
        <f t="shared" si="10"/>
        <v>152263.72585963478</v>
      </c>
      <c r="L73" s="14"/>
    </row>
    <row r="74" spans="1:12" x14ac:dyDescent="0.2">
      <c r="A74" s="39">
        <f>IF(Values_Entered,A73+1,"")</f>
        <v>56</v>
      </c>
      <c r="B74" s="40">
        <f t="shared" si="0"/>
        <v>45200</v>
      </c>
      <c r="C74" s="41">
        <f t="shared" si="5"/>
        <v>895987.18281262054</v>
      </c>
      <c r="D74" s="41">
        <f t="shared" si="1"/>
        <v>4659.5735099457142</v>
      </c>
      <c r="E74" s="42">
        <f t="shared" si="9"/>
        <v>105000</v>
      </c>
      <c r="F74" s="43">
        <f t="shared" si="6"/>
        <v>790987.18281262054</v>
      </c>
      <c r="G74" s="41">
        <f t="shared" si="2"/>
        <v>4659.5735099457142</v>
      </c>
      <c r="H74" s="41">
        <f t="shared" si="3"/>
        <v>2154.7807643724159</v>
      </c>
      <c r="I74" s="41">
        <f t="shared" si="4"/>
        <v>2504.7927455732984</v>
      </c>
      <c r="J74" s="41">
        <f t="shared" si="7"/>
        <v>893832.4020482481</v>
      </c>
      <c r="K74" s="41">
        <f t="shared" si="10"/>
        <v>154768.51860520808</v>
      </c>
      <c r="L74" s="14"/>
    </row>
    <row r="75" spans="1:12" x14ac:dyDescent="0.2">
      <c r="A75" s="39">
        <f>IF(Values_Entered,A74+1,"")</f>
        <v>57</v>
      </c>
      <c r="B75" s="40">
        <f t="shared" si="0"/>
        <v>45231</v>
      </c>
      <c r="C75" s="41">
        <f t="shared" si="5"/>
        <v>893832.4020482481</v>
      </c>
      <c r="D75" s="41">
        <f t="shared" si="1"/>
        <v>4659.5735099457142</v>
      </c>
      <c r="E75" s="42">
        <f t="shared" si="9"/>
        <v>106000</v>
      </c>
      <c r="F75" s="43">
        <f t="shared" si="6"/>
        <v>787832.4020482481</v>
      </c>
      <c r="G75" s="41">
        <f t="shared" si="2"/>
        <v>4659.5735099457142</v>
      </c>
      <c r="H75" s="41">
        <f t="shared" si="3"/>
        <v>2164.7709034595955</v>
      </c>
      <c r="I75" s="41">
        <f t="shared" si="4"/>
        <v>2494.8026064861187</v>
      </c>
      <c r="J75" s="41">
        <f t="shared" si="7"/>
        <v>891667.63114478847</v>
      </c>
      <c r="K75" s="41">
        <f t="shared" si="10"/>
        <v>157263.32121169422</v>
      </c>
      <c r="L75" s="14"/>
    </row>
    <row r="76" spans="1:12" x14ac:dyDescent="0.2">
      <c r="A76" s="39">
        <f>IF(Values_Entered,A75+1,"")</f>
        <v>58</v>
      </c>
      <c r="B76" s="40">
        <f t="shared" si="0"/>
        <v>45261</v>
      </c>
      <c r="C76" s="41">
        <f t="shared" si="5"/>
        <v>891667.63114478847</v>
      </c>
      <c r="D76" s="41">
        <f t="shared" si="1"/>
        <v>4659.5735099457142</v>
      </c>
      <c r="E76" s="42">
        <f t="shared" si="9"/>
        <v>107000</v>
      </c>
      <c r="F76" s="43">
        <f t="shared" si="6"/>
        <v>784667.63114478847</v>
      </c>
      <c r="G76" s="41">
        <f t="shared" si="2"/>
        <v>4659.5735099457142</v>
      </c>
      <c r="H76" s="41">
        <f t="shared" si="3"/>
        <v>2174.7926779872173</v>
      </c>
      <c r="I76" s="41">
        <f t="shared" si="4"/>
        <v>2484.7808319584969</v>
      </c>
      <c r="J76" s="41">
        <f t="shared" si="7"/>
        <v>889492.83846680121</v>
      </c>
      <c r="K76" s="41">
        <f t="shared" si="10"/>
        <v>159748.1020436527</v>
      </c>
      <c r="L76" s="14"/>
    </row>
    <row r="77" spans="1:12" x14ac:dyDescent="0.2">
      <c r="A77" s="39">
        <f>IF(Values_Entered,A76+1,"")</f>
        <v>59</v>
      </c>
      <c r="B77" s="40">
        <f t="shared" si="0"/>
        <v>45292</v>
      </c>
      <c r="C77" s="41">
        <f t="shared" si="5"/>
        <v>889492.83846680121</v>
      </c>
      <c r="D77" s="41">
        <f t="shared" si="1"/>
        <v>4659.5735099457142</v>
      </c>
      <c r="E77" s="42">
        <f t="shared" si="9"/>
        <v>108000</v>
      </c>
      <c r="F77" s="43">
        <f t="shared" si="6"/>
        <v>781492.83846680121</v>
      </c>
      <c r="G77" s="41">
        <f t="shared" si="2"/>
        <v>4659.5735099457142</v>
      </c>
      <c r="H77" s="41">
        <f t="shared" si="3"/>
        <v>2184.8461881341773</v>
      </c>
      <c r="I77" s="41">
        <f t="shared" si="4"/>
        <v>2474.727321811537</v>
      </c>
      <c r="J77" s="41">
        <f t="shared" si="7"/>
        <v>887307.99227866705</v>
      </c>
      <c r="K77" s="41">
        <f t="shared" si="10"/>
        <v>162222.82936546425</v>
      </c>
      <c r="L77" s="14"/>
    </row>
    <row r="78" spans="1:12" x14ac:dyDescent="0.2">
      <c r="A78" s="39">
        <f>IF(Values_Entered,A77+1,"")</f>
        <v>60</v>
      </c>
      <c r="B78" s="40">
        <f t="shared" si="0"/>
        <v>45323</v>
      </c>
      <c r="C78" s="41">
        <f t="shared" si="5"/>
        <v>887307.99227866705</v>
      </c>
      <c r="D78" s="41">
        <f t="shared" si="1"/>
        <v>4659.5735099457142</v>
      </c>
      <c r="E78" s="42">
        <f t="shared" si="9"/>
        <v>109000</v>
      </c>
      <c r="F78" s="43">
        <f t="shared" si="6"/>
        <v>778307.99227866705</v>
      </c>
      <c r="G78" s="41">
        <f t="shared" si="2"/>
        <v>4659.5735099457142</v>
      </c>
      <c r="H78" s="41">
        <f t="shared" si="3"/>
        <v>2194.9315343966018</v>
      </c>
      <c r="I78" s="41">
        <f t="shared" si="4"/>
        <v>2464.6419755491124</v>
      </c>
      <c r="J78" s="41">
        <f t="shared" si="7"/>
        <v>885113.06074427045</v>
      </c>
      <c r="K78" s="41">
        <f t="shared" si="10"/>
        <v>164687.47134101336</v>
      </c>
      <c r="L78" s="14"/>
    </row>
    <row r="79" spans="1:12" x14ac:dyDescent="0.2">
      <c r="A79" s="39">
        <f>IF(Values_Entered,A78+1,"")</f>
        <v>61</v>
      </c>
      <c r="B79" s="40">
        <f t="shared" si="0"/>
        <v>45352</v>
      </c>
      <c r="C79" s="41">
        <f t="shared" si="5"/>
        <v>885113.06074427045</v>
      </c>
      <c r="D79" s="41">
        <f t="shared" si="1"/>
        <v>4659.5735099457142</v>
      </c>
      <c r="E79" s="42">
        <f t="shared" si="9"/>
        <v>110000</v>
      </c>
      <c r="F79" s="43">
        <f t="shared" si="6"/>
        <v>775113.06074427045</v>
      </c>
      <c r="G79" s="41">
        <f t="shared" si="2"/>
        <v>4659.5735099457142</v>
      </c>
      <c r="H79" s="41">
        <f t="shared" si="3"/>
        <v>2205.0488175888577</v>
      </c>
      <c r="I79" s="41">
        <f t="shared" si="4"/>
        <v>2454.5246923568566</v>
      </c>
      <c r="J79" s="41">
        <f t="shared" si="7"/>
        <v>882908.01192668162</v>
      </c>
      <c r="K79" s="41">
        <f t="shared" si="10"/>
        <v>167141.9960333702</v>
      </c>
      <c r="L79" s="14"/>
    </row>
    <row r="80" spans="1:12" x14ac:dyDescent="0.2">
      <c r="A80" s="39">
        <f>IF(Values_Entered,A79+1,"")</f>
        <v>62</v>
      </c>
      <c r="B80" s="40">
        <f t="shared" si="0"/>
        <v>45383</v>
      </c>
      <c r="C80" s="41">
        <f t="shared" si="5"/>
        <v>882908.01192668162</v>
      </c>
      <c r="D80" s="41">
        <f t="shared" si="1"/>
        <v>4659.5735099457142</v>
      </c>
      <c r="E80" s="42">
        <f t="shared" si="9"/>
        <v>111000</v>
      </c>
      <c r="F80" s="43">
        <f t="shared" si="6"/>
        <v>771908.01192668162</v>
      </c>
      <c r="G80" s="41">
        <f t="shared" si="2"/>
        <v>4659.5735099457142</v>
      </c>
      <c r="H80" s="41">
        <f t="shared" si="3"/>
        <v>2215.1981388445561</v>
      </c>
      <c r="I80" s="41">
        <f t="shared" si="4"/>
        <v>2444.3753711011582</v>
      </c>
      <c r="J80" s="41">
        <f t="shared" si="7"/>
        <v>880692.81378783705</v>
      </c>
      <c r="K80" s="41">
        <f t="shared" si="10"/>
        <v>169586.37140447137</v>
      </c>
      <c r="L80" s="14"/>
    </row>
    <row r="81" spans="1:12" x14ac:dyDescent="0.2">
      <c r="A81" s="39">
        <f>IF(Values_Entered,A80+1,"")</f>
        <v>63</v>
      </c>
      <c r="B81" s="40">
        <f t="shared" si="0"/>
        <v>45413</v>
      </c>
      <c r="C81" s="41">
        <f t="shared" si="5"/>
        <v>880692.81378783705</v>
      </c>
      <c r="D81" s="41">
        <f t="shared" si="1"/>
        <v>4659.5735099457142</v>
      </c>
      <c r="E81" s="42">
        <f t="shared" si="9"/>
        <v>112000</v>
      </c>
      <c r="F81" s="43">
        <f t="shared" si="6"/>
        <v>768692.81378783705</v>
      </c>
      <c r="G81" s="41">
        <f t="shared" si="2"/>
        <v>4659.5735099457142</v>
      </c>
      <c r="H81" s="41">
        <f t="shared" si="3"/>
        <v>2225.3795996175636</v>
      </c>
      <c r="I81" s="41">
        <f t="shared" si="4"/>
        <v>2434.1939103281507</v>
      </c>
      <c r="J81" s="41">
        <f t="shared" si="7"/>
        <v>878467.43418821949</v>
      </c>
      <c r="K81" s="41">
        <f t="shared" si="10"/>
        <v>172020.56531479952</v>
      </c>
      <c r="L81" s="14"/>
    </row>
    <row r="82" spans="1:12" x14ac:dyDescent="0.2">
      <c r="A82" s="39">
        <f>IF(Values_Entered,A81+1,"")</f>
        <v>64</v>
      </c>
      <c r="B82" s="40">
        <f t="shared" si="0"/>
        <v>45444</v>
      </c>
      <c r="C82" s="41">
        <f t="shared" si="5"/>
        <v>878467.43418821949</v>
      </c>
      <c r="D82" s="41">
        <f t="shared" si="1"/>
        <v>4659.5735099457142</v>
      </c>
      <c r="E82" s="42">
        <f t="shared" si="9"/>
        <v>113000</v>
      </c>
      <c r="F82" s="43">
        <f t="shared" si="6"/>
        <v>765467.43418821949</v>
      </c>
      <c r="G82" s="41">
        <f t="shared" si="2"/>
        <v>4659.5735099457142</v>
      </c>
      <c r="H82" s="41">
        <f t="shared" si="3"/>
        <v>2235.5933016830195</v>
      </c>
      <c r="I82" s="41">
        <f t="shared" si="4"/>
        <v>2423.9802082626948</v>
      </c>
      <c r="J82" s="41">
        <f t="shared" si="7"/>
        <v>876231.84088653652</v>
      </c>
      <c r="K82" s="41">
        <f t="shared" si="10"/>
        <v>174444.5455230622</v>
      </c>
      <c r="L82" s="14"/>
    </row>
    <row r="83" spans="1:12" x14ac:dyDescent="0.2">
      <c r="A83" s="39">
        <f>IF(Values_Entered,A82+1,"")</f>
        <v>65</v>
      </c>
      <c r="B83" s="40">
        <f t="shared" ref="B83:B146" si="11">IF(Pay_Num&lt;&gt;"",DATE(YEAR(Loan_Start),MONTH(Loan_Start)+(Pay_Num)*12/Num_Pmt_Per_Year,DAY(Loan_Start)),"")</f>
        <v>45474</v>
      </c>
      <c r="C83" s="41">
        <f t="shared" si="5"/>
        <v>876231.84088653652</v>
      </c>
      <c r="D83" s="41">
        <f t="shared" ref="D83:D146" si="12">IF(Pay_Num&lt;&gt;"",Scheduled_Monthly_Payment,"")</f>
        <v>4659.5735099457142</v>
      </c>
      <c r="E83" s="42">
        <f t="shared" si="9"/>
        <v>114000</v>
      </c>
      <c r="F83" s="43">
        <f t="shared" si="6"/>
        <v>762231.84088653652</v>
      </c>
      <c r="G83" s="41">
        <f t="shared" ref="G83:G146" si="13">IF(AND(Pay_Num&lt;&gt;"",Sched_Pay&lt;Beg_Bal),Sched_Pay,IF(Pay_Num&lt;&gt;"",Beg_Bal,""))</f>
        <v>4659.5735099457142</v>
      </c>
      <c r="H83" s="41">
        <f t="shared" ref="H83:H146" si="14">IF(Pay_Num&lt;&gt;"",Total_Pay-Int,"")</f>
        <v>2245.8393471383488</v>
      </c>
      <c r="I83" s="41">
        <f t="shared" ref="I83:I146" si="15">IF(Pay_Num&lt;&gt;"",(Beg_Bal-E83)*(Interest_Rate/Num_Pmt_Per_Year),"")</f>
        <v>2413.7341628073655</v>
      </c>
      <c r="J83" s="41">
        <f t="shared" si="7"/>
        <v>873986.00153939822</v>
      </c>
      <c r="K83" s="41">
        <f t="shared" si="10"/>
        <v>176858.27968586958</v>
      </c>
      <c r="L83" s="14"/>
    </row>
    <row r="84" spans="1:12" x14ac:dyDescent="0.2">
      <c r="A84" s="39">
        <f>IF(Values_Entered,A83+1,"")</f>
        <v>66</v>
      </c>
      <c r="B84" s="40">
        <f t="shared" si="11"/>
        <v>45505</v>
      </c>
      <c r="C84" s="41">
        <f t="shared" ref="C84:C147" si="16">IF(Pay_Num&lt;&gt;"",J83,"")</f>
        <v>873986.00153939822</v>
      </c>
      <c r="D84" s="41">
        <f t="shared" si="12"/>
        <v>4659.5735099457142</v>
      </c>
      <c r="E84" s="42">
        <f t="shared" si="9"/>
        <v>115000</v>
      </c>
      <c r="F84" s="43">
        <f t="shared" ref="F84:F147" si="17">+C84-E84</f>
        <v>758986.00153939822</v>
      </c>
      <c r="G84" s="41">
        <f t="shared" si="13"/>
        <v>4659.5735099457142</v>
      </c>
      <c r="H84" s="41">
        <f t="shared" si="14"/>
        <v>2256.1178384042864</v>
      </c>
      <c r="I84" s="41">
        <f t="shared" si="15"/>
        <v>2403.4556715414278</v>
      </c>
      <c r="J84" s="41">
        <f t="shared" ref="J84:J147" si="18">IF(AND(Pay_Num&lt;&gt;"",Sched_Pay+Extra_Pay&lt;Beg_Bal),Beg_Bal-Princ,IF(Pay_Num&lt;&gt;"",0,""))</f>
        <v>871729.88370099396</v>
      </c>
      <c r="K84" s="41">
        <f t="shared" si="10"/>
        <v>179261.735357411</v>
      </c>
      <c r="L84" s="14"/>
    </row>
    <row r="85" spans="1:12" x14ac:dyDescent="0.2">
      <c r="A85" s="39">
        <f>IF(Values_Entered,A84+1,"")</f>
        <v>67</v>
      </c>
      <c r="B85" s="40">
        <f t="shared" si="11"/>
        <v>45536</v>
      </c>
      <c r="C85" s="41">
        <f t="shared" si="16"/>
        <v>871729.88370099396</v>
      </c>
      <c r="D85" s="41">
        <f t="shared" si="12"/>
        <v>4659.5735099457142</v>
      </c>
      <c r="E85" s="42">
        <f t="shared" ref="E85:E148" si="19">+E84+$D$11</f>
        <v>116000</v>
      </c>
      <c r="F85" s="43">
        <f t="shared" si="17"/>
        <v>755729.88370099396</v>
      </c>
      <c r="G85" s="41">
        <f t="shared" si="13"/>
        <v>4659.5735099457142</v>
      </c>
      <c r="H85" s="41">
        <f t="shared" si="14"/>
        <v>2266.4288782259</v>
      </c>
      <c r="I85" s="41">
        <f t="shared" si="15"/>
        <v>2393.1446317198142</v>
      </c>
      <c r="J85" s="41">
        <f t="shared" si="18"/>
        <v>869463.45482276811</v>
      </c>
      <c r="K85" s="41">
        <f t="shared" si="10"/>
        <v>181654.87998913083</v>
      </c>
      <c r="L85" s="14"/>
    </row>
    <row r="86" spans="1:12" x14ac:dyDescent="0.2">
      <c r="A86" s="39">
        <f>IF(Values_Entered,A85+1,"")</f>
        <v>68</v>
      </c>
      <c r="B86" s="40">
        <f t="shared" si="11"/>
        <v>45566</v>
      </c>
      <c r="C86" s="41">
        <f t="shared" si="16"/>
        <v>869463.45482276811</v>
      </c>
      <c r="D86" s="41">
        <f t="shared" si="12"/>
        <v>4659.5735099457142</v>
      </c>
      <c r="E86" s="42">
        <f t="shared" si="19"/>
        <v>117000</v>
      </c>
      <c r="F86" s="43">
        <f t="shared" si="17"/>
        <v>752463.45482276811</v>
      </c>
      <c r="G86" s="41">
        <f t="shared" si="13"/>
        <v>4659.5735099457142</v>
      </c>
      <c r="H86" s="41">
        <f t="shared" si="14"/>
        <v>2276.7725696736152</v>
      </c>
      <c r="I86" s="41">
        <f t="shared" si="15"/>
        <v>2382.8009402720991</v>
      </c>
      <c r="J86" s="41">
        <f t="shared" si="18"/>
        <v>867186.68225309451</v>
      </c>
      <c r="K86" s="41">
        <f t="shared" si="10"/>
        <v>184037.68092940294</v>
      </c>
      <c r="L86" s="14"/>
    </row>
    <row r="87" spans="1:12" x14ac:dyDescent="0.2">
      <c r="A87" s="39">
        <f>IF(Values_Entered,A86+1,"")</f>
        <v>69</v>
      </c>
      <c r="B87" s="40">
        <f t="shared" si="11"/>
        <v>45597</v>
      </c>
      <c r="C87" s="41">
        <f t="shared" si="16"/>
        <v>867186.68225309451</v>
      </c>
      <c r="D87" s="41">
        <f t="shared" si="12"/>
        <v>4659.5735099457142</v>
      </c>
      <c r="E87" s="42">
        <f t="shared" si="19"/>
        <v>118000</v>
      </c>
      <c r="F87" s="43">
        <f t="shared" si="17"/>
        <v>749186.68225309451</v>
      </c>
      <c r="G87" s="41">
        <f t="shared" si="13"/>
        <v>4659.5735099457142</v>
      </c>
      <c r="H87" s="41">
        <f t="shared" si="14"/>
        <v>2287.1490161442484</v>
      </c>
      <c r="I87" s="41">
        <f t="shared" si="15"/>
        <v>2372.4244938014658</v>
      </c>
      <c r="J87" s="41">
        <f t="shared" si="18"/>
        <v>864899.53323695029</v>
      </c>
      <c r="K87" s="41">
        <f t="shared" si="10"/>
        <v>186410.1054232044</v>
      </c>
      <c r="L87" s="14"/>
    </row>
    <row r="88" spans="1:12" x14ac:dyDescent="0.2">
      <c r="A88" s="39">
        <f>IF(Values_Entered,A87+1,"")</f>
        <v>70</v>
      </c>
      <c r="B88" s="40">
        <f t="shared" si="11"/>
        <v>45627</v>
      </c>
      <c r="C88" s="41">
        <f t="shared" si="16"/>
        <v>864899.53323695029</v>
      </c>
      <c r="D88" s="41">
        <f t="shared" si="12"/>
        <v>4659.5735099457142</v>
      </c>
      <c r="E88" s="42">
        <f t="shared" si="19"/>
        <v>119000</v>
      </c>
      <c r="F88" s="43">
        <f t="shared" si="17"/>
        <v>745899.53323695029</v>
      </c>
      <c r="G88" s="41">
        <f t="shared" si="13"/>
        <v>4659.5735099457142</v>
      </c>
      <c r="H88" s="41">
        <f t="shared" si="14"/>
        <v>2297.5583213620384</v>
      </c>
      <c r="I88" s="41">
        <f t="shared" si="15"/>
        <v>2362.0151885836758</v>
      </c>
      <c r="J88" s="41">
        <f t="shared" si="18"/>
        <v>862601.97491558827</v>
      </c>
      <c r="K88" s="41">
        <f t="shared" ref="K88:K151" si="20">IF(I88&lt;0,0,+K87+I88)</f>
        <v>188772.12061178806</v>
      </c>
      <c r="L88" s="14"/>
    </row>
    <row r="89" spans="1:12" x14ac:dyDescent="0.2">
      <c r="A89" s="39">
        <f>IF(Values_Entered,A88+1,"")</f>
        <v>71</v>
      </c>
      <c r="B89" s="40">
        <f t="shared" si="11"/>
        <v>45658</v>
      </c>
      <c r="C89" s="41">
        <f t="shared" si="16"/>
        <v>862601.97491558827</v>
      </c>
      <c r="D89" s="41">
        <f t="shared" si="12"/>
        <v>4659.5735099457142</v>
      </c>
      <c r="E89" s="42">
        <f t="shared" si="19"/>
        <v>120000</v>
      </c>
      <c r="F89" s="43">
        <f t="shared" si="17"/>
        <v>742601.97491558827</v>
      </c>
      <c r="G89" s="41">
        <f t="shared" si="13"/>
        <v>4659.5735099457142</v>
      </c>
      <c r="H89" s="41">
        <f t="shared" si="14"/>
        <v>2308.0005893796847</v>
      </c>
      <c r="I89" s="41">
        <f t="shared" si="15"/>
        <v>2351.5729205660296</v>
      </c>
      <c r="J89" s="41">
        <f t="shared" si="18"/>
        <v>860293.97432620858</v>
      </c>
      <c r="K89" s="41">
        <f t="shared" si="20"/>
        <v>191123.69353235408</v>
      </c>
      <c r="L89" s="14"/>
    </row>
    <row r="90" spans="1:12" x14ac:dyDescent="0.2">
      <c r="A90" s="39">
        <f>IF(Values_Entered,A89+1,"")</f>
        <v>72</v>
      </c>
      <c r="B90" s="40">
        <f t="shared" si="11"/>
        <v>45689</v>
      </c>
      <c r="C90" s="41">
        <f t="shared" si="16"/>
        <v>860293.97432620858</v>
      </c>
      <c r="D90" s="41">
        <f t="shared" si="12"/>
        <v>4659.5735099457142</v>
      </c>
      <c r="E90" s="42">
        <f t="shared" si="19"/>
        <v>121000</v>
      </c>
      <c r="F90" s="43">
        <f t="shared" si="17"/>
        <v>739293.97432620858</v>
      </c>
      <c r="G90" s="41">
        <f t="shared" si="13"/>
        <v>4659.5735099457142</v>
      </c>
      <c r="H90" s="41">
        <f t="shared" si="14"/>
        <v>2318.4759245793871</v>
      </c>
      <c r="I90" s="41">
        <f t="shared" si="15"/>
        <v>2341.0975853663272</v>
      </c>
      <c r="J90" s="41">
        <f t="shared" si="18"/>
        <v>857975.49840162916</v>
      </c>
      <c r="K90" s="41">
        <f t="shared" si="20"/>
        <v>193464.79111772042</v>
      </c>
      <c r="L90" s="14"/>
    </row>
    <row r="91" spans="1:12" x14ac:dyDescent="0.2">
      <c r="A91" s="39">
        <f>IF(Values_Entered,A90+1,"")</f>
        <v>73</v>
      </c>
      <c r="B91" s="40">
        <f t="shared" si="11"/>
        <v>45717</v>
      </c>
      <c r="C91" s="41">
        <f t="shared" si="16"/>
        <v>857975.49840162916</v>
      </c>
      <c r="D91" s="41">
        <f t="shared" si="12"/>
        <v>4659.5735099457142</v>
      </c>
      <c r="E91" s="42">
        <f t="shared" si="19"/>
        <v>122000</v>
      </c>
      <c r="F91" s="43">
        <f t="shared" si="17"/>
        <v>735975.49840162916</v>
      </c>
      <c r="G91" s="41">
        <f t="shared" si="13"/>
        <v>4659.5735099457142</v>
      </c>
      <c r="H91" s="41">
        <f t="shared" si="14"/>
        <v>2328.9844316738886</v>
      </c>
      <c r="I91" s="41">
        <f t="shared" si="15"/>
        <v>2330.5890782718257</v>
      </c>
      <c r="J91" s="41">
        <f t="shared" si="18"/>
        <v>855646.51396995527</v>
      </c>
      <c r="K91" s="41">
        <f t="shared" si="20"/>
        <v>195795.38019599224</v>
      </c>
      <c r="L91" s="14"/>
    </row>
    <row r="92" spans="1:12" x14ac:dyDescent="0.2">
      <c r="A92" s="39">
        <f>IF(Values_Entered,A91+1,"")</f>
        <v>74</v>
      </c>
      <c r="B92" s="40">
        <f t="shared" si="11"/>
        <v>45748</v>
      </c>
      <c r="C92" s="41">
        <f t="shared" si="16"/>
        <v>855646.51396995527</v>
      </c>
      <c r="D92" s="41">
        <f t="shared" si="12"/>
        <v>4659.5735099457142</v>
      </c>
      <c r="E92" s="42">
        <f t="shared" si="19"/>
        <v>123000</v>
      </c>
      <c r="F92" s="43">
        <f t="shared" si="17"/>
        <v>732646.51396995527</v>
      </c>
      <c r="G92" s="41">
        <f t="shared" si="13"/>
        <v>4659.5735099457142</v>
      </c>
      <c r="H92" s="41">
        <f t="shared" si="14"/>
        <v>2339.5262157075226</v>
      </c>
      <c r="I92" s="41">
        <f t="shared" si="15"/>
        <v>2320.0472942381916</v>
      </c>
      <c r="J92" s="41">
        <f t="shared" si="18"/>
        <v>853306.98775424773</v>
      </c>
      <c r="K92" s="41">
        <f t="shared" si="20"/>
        <v>198115.42749023045</v>
      </c>
      <c r="L92" s="14"/>
    </row>
    <row r="93" spans="1:12" x14ac:dyDescent="0.2">
      <c r="A93" s="39">
        <f>IF(Values_Entered,A92+1,"")</f>
        <v>75</v>
      </c>
      <c r="B93" s="40">
        <f t="shared" si="11"/>
        <v>45778</v>
      </c>
      <c r="C93" s="41">
        <f t="shared" si="16"/>
        <v>853306.98775424773</v>
      </c>
      <c r="D93" s="41">
        <f t="shared" si="12"/>
        <v>4659.5735099457142</v>
      </c>
      <c r="E93" s="42">
        <f t="shared" si="19"/>
        <v>124000</v>
      </c>
      <c r="F93" s="43">
        <f t="shared" si="17"/>
        <v>729306.98775424773</v>
      </c>
      <c r="G93" s="41">
        <f t="shared" si="13"/>
        <v>4659.5735099457142</v>
      </c>
      <c r="H93" s="41">
        <f t="shared" si="14"/>
        <v>2350.101382057263</v>
      </c>
      <c r="I93" s="41">
        <f t="shared" si="15"/>
        <v>2309.4721278884513</v>
      </c>
      <c r="J93" s="41">
        <f t="shared" si="18"/>
        <v>850956.88637219043</v>
      </c>
      <c r="K93" s="41">
        <f t="shared" si="20"/>
        <v>200424.89961811888</v>
      </c>
      <c r="L93" s="14"/>
    </row>
    <row r="94" spans="1:12" x14ac:dyDescent="0.2">
      <c r="A94" s="39">
        <f>IF(Values_Entered,A93+1,"")</f>
        <v>76</v>
      </c>
      <c r="B94" s="40">
        <f t="shared" si="11"/>
        <v>45809</v>
      </c>
      <c r="C94" s="41">
        <f t="shared" si="16"/>
        <v>850956.88637219043</v>
      </c>
      <c r="D94" s="41">
        <f t="shared" si="12"/>
        <v>4659.5735099457142</v>
      </c>
      <c r="E94" s="42">
        <f t="shared" si="19"/>
        <v>125000</v>
      </c>
      <c r="F94" s="43">
        <f t="shared" si="17"/>
        <v>725956.88637219043</v>
      </c>
      <c r="G94" s="41">
        <f t="shared" si="13"/>
        <v>4659.5735099457142</v>
      </c>
      <c r="H94" s="41">
        <f t="shared" si="14"/>
        <v>2360.710036433778</v>
      </c>
      <c r="I94" s="41">
        <f t="shared" si="15"/>
        <v>2298.8634735119363</v>
      </c>
      <c r="J94" s="41">
        <f t="shared" si="18"/>
        <v>848596.17633575667</v>
      </c>
      <c r="K94" s="41">
        <f t="shared" si="20"/>
        <v>202723.76309163083</v>
      </c>
      <c r="L94" s="14"/>
    </row>
    <row r="95" spans="1:12" x14ac:dyDescent="0.2">
      <c r="A95" s="39">
        <f>IF(Values_Entered,A94+1,"")</f>
        <v>77</v>
      </c>
      <c r="B95" s="40">
        <f t="shared" si="11"/>
        <v>45839</v>
      </c>
      <c r="C95" s="41">
        <f t="shared" si="16"/>
        <v>848596.17633575667</v>
      </c>
      <c r="D95" s="41">
        <f t="shared" si="12"/>
        <v>4659.5735099457142</v>
      </c>
      <c r="E95" s="42">
        <f t="shared" si="19"/>
        <v>126000</v>
      </c>
      <c r="F95" s="43">
        <f t="shared" si="17"/>
        <v>722596.17633575667</v>
      </c>
      <c r="G95" s="41">
        <f t="shared" si="13"/>
        <v>4659.5735099457142</v>
      </c>
      <c r="H95" s="41">
        <f t="shared" si="14"/>
        <v>2371.352284882485</v>
      </c>
      <c r="I95" s="41">
        <f t="shared" si="15"/>
        <v>2288.2212250632292</v>
      </c>
      <c r="J95" s="41">
        <f t="shared" si="18"/>
        <v>846224.82405087422</v>
      </c>
      <c r="K95" s="41">
        <f t="shared" si="20"/>
        <v>205011.98431669406</v>
      </c>
      <c r="L95" s="14"/>
    </row>
    <row r="96" spans="1:12" x14ac:dyDescent="0.2">
      <c r="A96" s="39">
        <f>IF(Values_Entered,A95+1,"")</f>
        <v>78</v>
      </c>
      <c r="B96" s="40">
        <f t="shared" si="11"/>
        <v>45870</v>
      </c>
      <c r="C96" s="41">
        <f t="shared" si="16"/>
        <v>846224.82405087422</v>
      </c>
      <c r="D96" s="41">
        <f t="shared" si="12"/>
        <v>4659.5735099457142</v>
      </c>
      <c r="E96" s="42">
        <f t="shared" si="19"/>
        <v>127000</v>
      </c>
      <c r="F96" s="43">
        <f t="shared" si="17"/>
        <v>719224.82405087422</v>
      </c>
      <c r="G96" s="41">
        <f t="shared" si="13"/>
        <v>4659.5735099457142</v>
      </c>
      <c r="H96" s="41">
        <f t="shared" si="14"/>
        <v>2382.0282337846124</v>
      </c>
      <c r="I96" s="41">
        <f t="shared" si="15"/>
        <v>2277.5452761611018</v>
      </c>
      <c r="J96" s="41">
        <f t="shared" si="18"/>
        <v>843842.79581708962</v>
      </c>
      <c r="K96" s="41">
        <f t="shared" si="20"/>
        <v>207289.52959285516</v>
      </c>
      <c r="L96" s="14"/>
    </row>
    <row r="97" spans="1:12" x14ac:dyDescent="0.2">
      <c r="A97" s="39">
        <f>IF(Values_Entered,A96+1,"")</f>
        <v>79</v>
      </c>
      <c r="B97" s="40">
        <f t="shared" si="11"/>
        <v>45901</v>
      </c>
      <c r="C97" s="41">
        <f t="shared" si="16"/>
        <v>843842.79581708962</v>
      </c>
      <c r="D97" s="41">
        <f t="shared" si="12"/>
        <v>4659.5735099457142</v>
      </c>
      <c r="E97" s="42">
        <f t="shared" si="19"/>
        <v>128000</v>
      </c>
      <c r="F97" s="43">
        <f t="shared" si="17"/>
        <v>715842.79581708962</v>
      </c>
      <c r="G97" s="41">
        <f t="shared" si="13"/>
        <v>4659.5735099457142</v>
      </c>
      <c r="H97" s="41">
        <f t="shared" si="14"/>
        <v>2392.737989858264</v>
      </c>
      <c r="I97" s="41">
        <f t="shared" si="15"/>
        <v>2266.8355200874503</v>
      </c>
      <c r="J97" s="41">
        <f t="shared" si="18"/>
        <v>841450.05782723136</v>
      </c>
      <c r="K97" s="41">
        <f t="shared" si="20"/>
        <v>209556.36511294261</v>
      </c>
      <c r="L97" s="14"/>
    </row>
    <row r="98" spans="1:12" x14ac:dyDescent="0.2">
      <c r="A98" s="39">
        <f>IF(Values_Entered,A97+1,"")</f>
        <v>80</v>
      </c>
      <c r="B98" s="40">
        <f t="shared" si="11"/>
        <v>45931</v>
      </c>
      <c r="C98" s="41">
        <f t="shared" si="16"/>
        <v>841450.05782723136</v>
      </c>
      <c r="D98" s="41">
        <f t="shared" si="12"/>
        <v>4659.5735099457142</v>
      </c>
      <c r="E98" s="42">
        <f t="shared" si="19"/>
        <v>129000</v>
      </c>
      <c r="F98" s="43">
        <f t="shared" si="17"/>
        <v>712450.05782723136</v>
      </c>
      <c r="G98" s="41">
        <f t="shared" si="13"/>
        <v>4659.5735099457142</v>
      </c>
      <c r="H98" s="41">
        <f t="shared" si="14"/>
        <v>2403.4816601594816</v>
      </c>
      <c r="I98" s="41">
        <f t="shared" si="15"/>
        <v>2256.0918497862326</v>
      </c>
      <c r="J98" s="41">
        <f t="shared" si="18"/>
        <v>839046.57616707182</v>
      </c>
      <c r="K98" s="41">
        <f t="shared" si="20"/>
        <v>211812.45696272884</v>
      </c>
      <c r="L98" s="14"/>
    </row>
    <row r="99" spans="1:12" x14ac:dyDescent="0.2">
      <c r="A99" s="39">
        <f>IF(Values_Entered,A98+1,"")</f>
        <v>81</v>
      </c>
      <c r="B99" s="40">
        <f t="shared" si="11"/>
        <v>45962</v>
      </c>
      <c r="C99" s="41">
        <f t="shared" si="16"/>
        <v>839046.57616707182</v>
      </c>
      <c r="D99" s="41">
        <f t="shared" si="12"/>
        <v>4659.5735099457142</v>
      </c>
      <c r="E99" s="42">
        <f t="shared" si="19"/>
        <v>130000</v>
      </c>
      <c r="F99" s="43">
        <f t="shared" si="17"/>
        <v>709046.57616707182</v>
      </c>
      <c r="G99" s="41">
        <f t="shared" si="13"/>
        <v>4659.5735099457142</v>
      </c>
      <c r="H99" s="41">
        <f t="shared" si="14"/>
        <v>2414.2593520833202</v>
      </c>
      <c r="I99" s="41">
        <f t="shared" si="15"/>
        <v>2245.314157862394</v>
      </c>
      <c r="J99" s="41">
        <f t="shared" si="18"/>
        <v>836632.3168149885</v>
      </c>
      <c r="K99" s="41">
        <f t="shared" si="20"/>
        <v>214057.77112059123</v>
      </c>
      <c r="L99" s="14"/>
    </row>
    <row r="100" spans="1:12" x14ac:dyDescent="0.2">
      <c r="A100" s="39">
        <f>IF(Values_Entered,A99+1,"")</f>
        <v>82</v>
      </c>
      <c r="B100" s="40">
        <f t="shared" si="11"/>
        <v>45992</v>
      </c>
      <c r="C100" s="41">
        <f t="shared" si="16"/>
        <v>836632.3168149885</v>
      </c>
      <c r="D100" s="41">
        <f t="shared" si="12"/>
        <v>4659.5735099457142</v>
      </c>
      <c r="E100" s="42">
        <f t="shared" si="19"/>
        <v>131000</v>
      </c>
      <c r="F100" s="43">
        <f t="shared" si="17"/>
        <v>705632.3168149885</v>
      </c>
      <c r="G100" s="41">
        <f t="shared" si="13"/>
        <v>4659.5735099457142</v>
      </c>
      <c r="H100" s="41">
        <f t="shared" si="14"/>
        <v>2425.0711733649173</v>
      </c>
      <c r="I100" s="41">
        <f t="shared" si="15"/>
        <v>2234.502336580797</v>
      </c>
      <c r="J100" s="41">
        <f t="shared" si="18"/>
        <v>834207.24564162362</v>
      </c>
      <c r="K100" s="41">
        <f t="shared" si="20"/>
        <v>216292.27345717204</v>
      </c>
      <c r="L100" s="14"/>
    </row>
    <row r="101" spans="1:12" x14ac:dyDescent="0.2">
      <c r="A101" s="39">
        <f>IF(Values_Entered,A100+1,"")</f>
        <v>83</v>
      </c>
      <c r="B101" s="40">
        <f t="shared" si="11"/>
        <v>46023</v>
      </c>
      <c r="C101" s="41">
        <f t="shared" si="16"/>
        <v>834207.24564162362</v>
      </c>
      <c r="D101" s="41">
        <f t="shared" si="12"/>
        <v>4659.5735099457142</v>
      </c>
      <c r="E101" s="42">
        <f t="shared" si="19"/>
        <v>132000</v>
      </c>
      <c r="F101" s="43">
        <f t="shared" si="17"/>
        <v>702207.24564162362</v>
      </c>
      <c r="G101" s="41">
        <f t="shared" si="13"/>
        <v>4659.5735099457142</v>
      </c>
      <c r="H101" s="41">
        <f t="shared" si="14"/>
        <v>2435.9172320805728</v>
      </c>
      <c r="I101" s="41">
        <f t="shared" si="15"/>
        <v>2223.6562778651414</v>
      </c>
      <c r="J101" s="41">
        <f t="shared" si="18"/>
        <v>831771.32840954303</v>
      </c>
      <c r="K101" s="41">
        <f t="shared" si="20"/>
        <v>218515.92973503718</v>
      </c>
      <c r="L101" s="14"/>
    </row>
    <row r="102" spans="1:12" x14ac:dyDescent="0.2">
      <c r="A102" s="39">
        <f>IF(Values_Entered,A101+1,"")</f>
        <v>84</v>
      </c>
      <c r="B102" s="40">
        <f t="shared" si="11"/>
        <v>46054</v>
      </c>
      <c r="C102" s="41">
        <f t="shared" si="16"/>
        <v>831771.32840954303</v>
      </c>
      <c r="D102" s="41">
        <f t="shared" si="12"/>
        <v>4659.5735099457142</v>
      </c>
      <c r="E102" s="42">
        <f t="shared" si="19"/>
        <v>133000</v>
      </c>
      <c r="F102" s="43">
        <f t="shared" si="17"/>
        <v>698771.32840954303</v>
      </c>
      <c r="G102" s="41">
        <f t="shared" si="13"/>
        <v>4659.5735099457142</v>
      </c>
      <c r="H102" s="41">
        <f t="shared" si="14"/>
        <v>2446.7976366488278</v>
      </c>
      <c r="I102" s="41">
        <f t="shared" si="15"/>
        <v>2212.7758732968864</v>
      </c>
      <c r="J102" s="41">
        <f t="shared" si="18"/>
        <v>829324.53077289416</v>
      </c>
      <c r="K102" s="41">
        <f t="shared" si="20"/>
        <v>220728.70560833407</v>
      </c>
      <c r="L102" s="14"/>
    </row>
    <row r="103" spans="1:12" x14ac:dyDescent="0.2">
      <c r="A103" s="39">
        <f>IF(Values_Entered,A102+1,"")</f>
        <v>85</v>
      </c>
      <c r="B103" s="40">
        <f t="shared" si="11"/>
        <v>46082</v>
      </c>
      <c r="C103" s="41">
        <f t="shared" si="16"/>
        <v>829324.53077289416</v>
      </c>
      <c r="D103" s="41">
        <f t="shared" si="12"/>
        <v>4659.5735099457142</v>
      </c>
      <c r="E103" s="42">
        <f t="shared" si="19"/>
        <v>134000</v>
      </c>
      <c r="F103" s="43">
        <f t="shared" si="17"/>
        <v>695324.53077289416</v>
      </c>
      <c r="G103" s="41">
        <f t="shared" si="13"/>
        <v>4659.5735099457142</v>
      </c>
      <c r="H103" s="41">
        <f t="shared" si="14"/>
        <v>2457.7124958315494</v>
      </c>
      <c r="I103" s="41">
        <f t="shared" si="15"/>
        <v>2201.8610141141648</v>
      </c>
      <c r="J103" s="41">
        <f t="shared" si="18"/>
        <v>826866.81827706262</v>
      </c>
      <c r="K103" s="41">
        <f t="shared" si="20"/>
        <v>222930.56662244824</v>
      </c>
      <c r="L103" s="14"/>
    </row>
    <row r="104" spans="1:12" x14ac:dyDescent="0.2">
      <c r="A104" s="39">
        <f>IF(Values_Entered,A103+1,"")</f>
        <v>86</v>
      </c>
      <c r="B104" s="40">
        <f t="shared" si="11"/>
        <v>46113</v>
      </c>
      <c r="C104" s="41">
        <f t="shared" si="16"/>
        <v>826866.81827706262</v>
      </c>
      <c r="D104" s="41">
        <f t="shared" si="12"/>
        <v>4659.5735099457142</v>
      </c>
      <c r="E104" s="42">
        <f t="shared" si="19"/>
        <v>135000</v>
      </c>
      <c r="F104" s="43">
        <f t="shared" si="17"/>
        <v>691866.81827706262</v>
      </c>
      <c r="G104" s="41">
        <f t="shared" si="13"/>
        <v>4659.5735099457142</v>
      </c>
      <c r="H104" s="41">
        <f t="shared" si="14"/>
        <v>2468.6619187350161</v>
      </c>
      <c r="I104" s="41">
        <f t="shared" si="15"/>
        <v>2190.9115912106981</v>
      </c>
      <c r="J104" s="41">
        <f t="shared" si="18"/>
        <v>824398.1563583276</v>
      </c>
      <c r="K104" s="41">
        <f t="shared" si="20"/>
        <v>225121.47821365893</v>
      </c>
      <c r="L104" s="14"/>
    </row>
    <row r="105" spans="1:12" x14ac:dyDescent="0.2">
      <c r="A105" s="39">
        <f>IF(Values_Entered,A104+1,"")</f>
        <v>87</v>
      </c>
      <c r="B105" s="40">
        <f t="shared" si="11"/>
        <v>46143</v>
      </c>
      <c r="C105" s="41">
        <f t="shared" si="16"/>
        <v>824398.1563583276</v>
      </c>
      <c r="D105" s="41">
        <f t="shared" si="12"/>
        <v>4659.5735099457142</v>
      </c>
      <c r="E105" s="42">
        <f t="shared" si="19"/>
        <v>136000</v>
      </c>
      <c r="F105" s="43">
        <f t="shared" si="17"/>
        <v>688398.1563583276</v>
      </c>
      <c r="G105" s="41">
        <f t="shared" si="13"/>
        <v>4659.5735099457142</v>
      </c>
      <c r="H105" s="41">
        <f t="shared" si="14"/>
        <v>2479.6460148110104</v>
      </c>
      <c r="I105" s="41">
        <f t="shared" si="15"/>
        <v>2179.9274951347038</v>
      </c>
      <c r="J105" s="41">
        <f t="shared" si="18"/>
        <v>821918.51034351659</v>
      </c>
      <c r="K105" s="41">
        <f t="shared" si="20"/>
        <v>227301.40570879364</v>
      </c>
      <c r="L105" s="14"/>
    </row>
    <row r="106" spans="1:12" x14ac:dyDescent="0.2">
      <c r="A106" s="39">
        <f>IF(Values_Entered,A105+1,"")</f>
        <v>88</v>
      </c>
      <c r="B106" s="40">
        <f t="shared" si="11"/>
        <v>46174</v>
      </c>
      <c r="C106" s="41">
        <f t="shared" si="16"/>
        <v>821918.51034351659</v>
      </c>
      <c r="D106" s="41">
        <f t="shared" si="12"/>
        <v>4659.5735099457142</v>
      </c>
      <c r="E106" s="42">
        <f t="shared" si="19"/>
        <v>137000</v>
      </c>
      <c r="F106" s="43">
        <f t="shared" si="17"/>
        <v>684918.51034351659</v>
      </c>
      <c r="G106" s="41">
        <f t="shared" si="13"/>
        <v>4659.5735099457142</v>
      </c>
      <c r="H106" s="41">
        <f t="shared" si="14"/>
        <v>2490.6648938579119</v>
      </c>
      <c r="I106" s="41">
        <f t="shared" si="15"/>
        <v>2168.9086160878023</v>
      </c>
      <c r="J106" s="41">
        <f t="shared" si="18"/>
        <v>819427.84544965869</v>
      </c>
      <c r="K106" s="41">
        <f t="shared" si="20"/>
        <v>229470.31432488144</v>
      </c>
      <c r="L106" s="14"/>
    </row>
    <row r="107" spans="1:12" x14ac:dyDescent="0.2">
      <c r="A107" s="39">
        <f>IF(Values_Entered,A106+1,"")</f>
        <v>89</v>
      </c>
      <c r="B107" s="40">
        <f t="shared" si="11"/>
        <v>46204</v>
      </c>
      <c r="C107" s="41">
        <f t="shared" si="16"/>
        <v>819427.84544965869</v>
      </c>
      <c r="D107" s="41">
        <f t="shared" si="12"/>
        <v>4659.5735099457142</v>
      </c>
      <c r="E107" s="42">
        <f t="shared" si="19"/>
        <v>138000</v>
      </c>
      <c r="F107" s="43">
        <f t="shared" si="17"/>
        <v>681427.84544965869</v>
      </c>
      <c r="G107" s="41">
        <f t="shared" si="13"/>
        <v>4659.5735099457142</v>
      </c>
      <c r="H107" s="41">
        <f t="shared" si="14"/>
        <v>2501.7186660217949</v>
      </c>
      <c r="I107" s="41">
        <f t="shared" si="15"/>
        <v>2157.8548439239194</v>
      </c>
      <c r="J107" s="41">
        <f t="shared" si="18"/>
        <v>816926.12678363686</v>
      </c>
      <c r="K107" s="41">
        <f t="shared" si="20"/>
        <v>231628.16916880535</v>
      </c>
      <c r="L107" s="14"/>
    </row>
    <row r="108" spans="1:12" x14ac:dyDescent="0.2">
      <c r="A108" s="39">
        <f>IF(Values_Entered,A107+1,"")</f>
        <v>90</v>
      </c>
      <c r="B108" s="40">
        <f t="shared" si="11"/>
        <v>46235</v>
      </c>
      <c r="C108" s="41">
        <f t="shared" si="16"/>
        <v>816926.12678363686</v>
      </c>
      <c r="D108" s="41">
        <f t="shared" si="12"/>
        <v>4659.5735099457142</v>
      </c>
      <c r="E108" s="42">
        <f t="shared" si="19"/>
        <v>139000</v>
      </c>
      <c r="F108" s="43">
        <f t="shared" si="17"/>
        <v>677926.12678363686</v>
      </c>
      <c r="G108" s="41">
        <f t="shared" si="13"/>
        <v>4659.5735099457142</v>
      </c>
      <c r="H108" s="41">
        <f t="shared" si="14"/>
        <v>2512.8074417975308</v>
      </c>
      <c r="I108" s="41">
        <f t="shared" si="15"/>
        <v>2146.7660681481834</v>
      </c>
      <c r="J108" s="41">
        <f t="shared" si="18"/>
        <v>814413.31934183929</v>
      </c>
      <c r="K108" s="41">
        <f t="shared" si="20"/>
        <v>233774.93523695355</v>
      </c>
      <c r="L108" s="14"/>
    </row>
    <row r="109" spans="1:12" x14ac:dyDescent="0.2">
      <c r="A109" s="39">
        <f>IF(Values_Entered,A108+1,"")</f>
        <v>91</v>
      </c>
      <c r="B109" s="40">
        <f t="shared" si="11"/>
        <v>46266</v>
      </c>
      <c r="C109" s="41">
        <f t="shared" si="16"/>
        <v>814413.31934183929</v>
      </c>
      <c r="D109" s="41">
        <f t="shared" si="12"/>
        <v>4659.5735099457142</v>
      </c>
      <c r="E109" s="42">
        <f t="shared" si="19"/>
        <v>140000</v>
      </c>
      <c r="F109" s="43">
        <f t="shared" si="17"/>
        <v>674413.31934183929</v>
      </c>
      <c r="G109" s="41">
        <f t="shared" si="13"/>
        <v>4659.5735099457142</v>
      </c>
      <c r="H109" s="41">
        <f t="shared" si="14"/>
        <v>2523.9313320298897</v>
      </c>
      <c r="I109" s="41">
        <f t="shared" si="15"/>
        <v>2135.6421779158245</v>
      </c>
      <c r="J109" s="41">
        <f t="shared" si="18"/>
        <v>811889.38800980942</v>
      </c>
      <c r="K109" s="41">
        <f t="shared" si="20"/>
        <v>235910.57741486936</v>
      </c>
      <c r="L109" s="14"/>
    </row>
    <row r="110" spans="1:12" x14ac:dyDescent="0.2">
      <c r="A110" s="39">
        <f>IF(Values_Entered,A109+1,"")</f>
        <v>92</v>
      </c>
      <c r="B110" s="40">
        <f t="shared" si="11"/>
        <v>46296</v>
      </c>
      <c r="C110" s="41">
        <f t="shared" si="16"/>
        <v>811889.38800980942</v>
      </c>
      <c r="D110" s="41">
        <f t="shared" si="12"/>
        <v>4659.5735099457142</v>
      </c>
      <c r="E110" s="42">
        <f t="shared" si="19"/>
        <v>141000</v>
      </c>
      <c r="F110" s="43">
        <f t="shared" si="17"/>
        <v>670889.38800980942</v>
      </c>
      <c r="G110" s="41">
        <f t="shared" si="13"/>
        <v>4659.5735099457142</v>
      </c>
      <c r="H110" s="41">
        <f t="shared" si="14"/>
        <v>2535.0904479146511</v>
      </c>
      <c r="I110" s="41">
        <f t="shared" si="15"/>
        <v>2124.4830620310631</v>
      </c>
      <c r="J110" s="41">
        <f t="shared" si="18"/>
        <v>809354.29756189475</v>
      </c>
      <c r="K110" s="41">
        <f t="shared" si="20"/>
        <v>238035.06047690043</v>
      </c>
      <c r="L110" s="14"/>
    </row>
    <row r="111" spans="1:12" x14ac:dyDescent="0.2">
      <c r="A111" s="39">
        <f>IF(Values_Entered,A110+1,"")</f>
        <v>93</v>
      </c>
      <c r="B111" s="40">
        <f t="shared" si="11"/>
        <v>46327</v>
      </c>
      <c r="C111" s="41">
        <f t="shared" si="16"/>
        <v>809354.29756189475</v>
      </c>
      <c r="D111" s="41">
        <f t="shared" si="12"/>
        <v>4659.5735099457142</v>
      </c>
      <c r="E111" s="42">
        <f t="shared" si="19"/>
        <v>142000</v>
      </c>
      <c r="F111" s="43">
        <f t="shared" si="17"/>
        <v>667354.29756189475</v>
      </c>
      <c r="G111" s="41">
        <f t="shared" si="13"/>
        <v>4659.5735099457142</v>
      </c>
      <c r="H111" s="41">
        <f t="shared" si="14"/>
        <v>2546.2849009997144</v>
      </c>
      <c r="I111" s="41">
        <f t="shared" si="15"/>
        <v>2113.2886089459998</v>
      </c>
      <c r="J111" s="41">
        <f t="shared" si="18"/>
        <v>806808.01266089501</v>
      </c>
      <c r="K111" s="41">
        <f t="shared" si="20"/>
        <v>240148.34908584642</v>
      </c>
      <c r="L111" s="14"/>
    </row>
    <row r="112" spans="1:12" x14ac:dyDescent="0.2">
      <c r="A112" s="39">
        <f>IF(Values_Entered,A111+1,"")</f>
        <v>94</v>
      </c>
      <c r="B112" s="40">
        <f t="shared" si="11"/>
        <v>46357</v>
      </c>
      <c r="C112" s="41">
        <f t="shared" si="16"/>
        <v>806808.01266089501</v>
      </c>
      <c r="D112" s="41">
        <f t="shared" si="12"/>
        <v>4659.5735099457142</v>
      </c>
      <c r="E112" s="42">
        <f t="shared" si="19"/>
        <v>143000</v>
      </c>
      <c r="F112" s="43">
        <f t="shared" si="17"/>
        <v>663808.01266089501</v>
      </c>
      <c r="G112" s="41">
        <f t="shared" si="13"/>
        <v>4659.5735099457142</v>
      </c>
      <c r="H112" s="41">
        <f t="shared" si="14"/>
        <v>2557.5148031862136</v>
      </c>
      <c r="I112" s="41">
        <f t="shared" si="15"/>
        <v>2102.0587067595006</v>
      </c>
      <c r="J112" s="41">
        <f t="shared" si="18"/>
        <v>804250.49785770883</v>
      </c>
      <c r="K112" s="41">
        <f t="shared" si="20"/>
        <v>242250.40779260593</v>
      </c>
      <c r="L112" s="14"/>
    </row>
    <row r="113" spans="1:12" x14ac:dyDescent="0.2">
      <c r="A113" s="39">
        <f>IF(Values_Entered,A112+1,"")</f>
        <v>95</v>
      </c>
      <c r="B113" s="40">
        <f t="shared" si="11"/>
        <v>46388</v>
      </c>
      <c r="C113" s="41">
        <f t="shared" si="16"/>
        <v>804250.49785770883</v>
      </c>
      <c r="D113" s="41">
        <f t="shared" si="12"/>
        <v>4659.5735099457142</v>
      </c>
      <c r="E113" s="42">
        <f t="shared" si="19"/>
        <v>144000</v>
      </c>
      <c r="F113" s="43">
        <f t="shared" si="17"/>
        <v>660250.49785770883</v>
      </c>
      <c r="G113" s="41">
        <f t="shared" si="13"/>
        <v>4659.5735099457142</v>
      </c>
      <c r="H113" s="41">
        <f t="shared" si="14"/>
        <v>2568.7802667296364</v>
      </c>
      <c r="I113" s="41">
        <f t="shared" si="15"/>
        <v>2090.7932432160778</v>
      </c>
      <c r="J113" s="41">
        <f t="shared" si="18"/>
        <v>801681.71759097918</v>
      </c>
      <c r="K113" s="41">
        <f t="shared" si="20"/>
        <v>244341.20103582201</v>
      </c>
      <c r="L113" s="14"/>
    </row>
    <row r="114" spans="1:12" x14ac:dyDescent="0.2">
      <c r="A114" s="39">
        <f>IF(Values_Entered,A113+1,"")</f>
        <v>96</v>
      </c>
      <c r="B114" s="40">
        <f t="shared" si="11"/>
        <v>46419</v>
      </c>
      <c r="C114" s="41">
        <f t="shared" si="16"/>
        <v>801681.71759097918</v>
      </c>
      <c r="D114" s="41">
        <f t="shared" si="12"/>
        <v>4659.5735099457142</v>
      </c>
      <c r="E114" s="42">
        <f t="shared" si="19"/>
        <v>145000</v>
      </c>
      <c r="F114" s="43">
        <f t="shared" si="17"/>
        <v>656681.71759097918</v>
      </c>
      <c r="G114" s="41">
        <f t="shared" si="13"/>
        <v>4659.5735099457142</v>
      </c>
      <c r="H114" s="41">
        <f t="shared" si="14"/>
        <v>2580.081404240947</v>
      </c>
      <c r="I114" s="41">
        <f t="shared" si="15"/>
        <v>2079.4921057047673</v>
      </c>
      <c r="J114" s="41">
        <f t="shared" si="18"/>
        <v>799101.63618673827</v>
      </c>
      <c r="K114" s="41">
        <f t="shared" si="20"/>
        <v>246420.69314152678</v>
      </c>
      <c r="L114" s="14"/>
    </row>
    <row r="115" spans="1:12" x14ac:dyDescent="0.2">
      <c r="A115" s="39">
        <f>IF(Values_Entered,A114+1,"")</f>
        <v>97</v>
      </c>
      <c r="B115" s="40">
        <f t="shared" si="11"/>
        <v>46447</v>
      </c>
      <c r="C115" s="41">
        <f t="shared" si="16"/>
        <v>799101.63618673827</v>
      </c>
      <c r="D115" s="41">
        <f t="shared" si="12"/>
        <v>4659.5735099457142</v>
      </c>
      <c r="E115" s="42">
        <f t="shared" si="19"/>
        <v>146000</v>
      </c>
      <c r="F115" s="43">
        <f t="shared" si="17"/>
        <v>653101.63618673827</v>
      </c>
      <c r="G115" s="41">
        <f t="shared" si="13"/>
        <v>4659.5735099457142</v>
      </c>
      <c r="H115" s="41">
        <f t="shared" si="14"/>
        <v>2591.4183286877096</v>
      </c>
      <c r="I115" s="41">
        <f t="shared" si="15"/>
        <v>2068.1551812580046</v>
      </c>
      <c r="J115" s="41">
        <f t="shared" si="18"/>
        <v>796510.2178580506</v>
      </c>
      <c r="K115" s="41">
        <f t="shared" si="20"/>
        <v>248488.84832278479</v>
      </c>
      <c r="L115" s="14"/>
    </row>
    <row r="116" spans="1:12" x14ac:dyDescent="0.2">
      <c r="A116" s="39">
        <f>IF(Values_Entered,A115+1,"")</f>
        <v>98</v>
      </c>
      <c r="B116" s="40">
        <f t="shared" si="11"/>
        <v>46478</v>
      </c>
      <c r="C116" s="41">
        <f t="shared" si="16"/>
        <v>796510.2178580506</v>
      </c>
      <c r="D116" s="41">
        <f t="shared" si="12"/>
        <v>4659.5735099457142</v>
      </c>
      <c r="E116" s="42">
        <f t="shared" si="19"/>
        <v>147000</v>
      </c>
      <c r="F116" s="43">
        <f t="shared" si="17"/>
        <v>649510.2178580506</v>
      </c>
      <c r="G116" s="41">
        <f t="shared" si="13"/>
        <v>4659.5735099457142</v>
      </c>
      <c r="H116" s="41">
        <f t="shared" si="14"/>
        <v>2602.7911533952206</v>
      </c>
      <c r="I116" s="41">
        <f t="shared" si="15"/>
        <v>2056.7823565504937</v>
      </c>
      <c r="J116" s="41">
        <f t="shared" si="18"/>
        <v>793907.4267046554</v>
      </c>
      <c r="K116" s="41">
        <f t="shared" si="20"/>
        <v>250545.63067933527</v>
      </c>
      <c r="L116" s="14"/>
    </row>
    <row r="117" spans="1:12" x14ac:dyDescent="0.2">
      <c r="A117" s="39">
        <f>IF(Values_Entered,A116+1,"")</f>
        <v>99</v>
      </c>
      <c r="B117" s="40">
        <f t="shared" si="11"/>
        <v>46508</v>
      </c>
      <c r="C117" s="41">
        <f t="shared" si="16"/>
        <v>793907.4267046554</v>
      </c>
      <c r="D117" s="41">
        <f t="shared" si="12"/>
        <v>4659.5735099457142</v>
      </c>
      <c r="E117" s="42">
        <f t="shared" si="19"/>
        <v>148000</v>
      </c>
      <c r="F117" s="43">
        <f t="shared" si="17"/>
        <v>645907.4267046554</v>
      </c>
      <c r="G117" s="41">
        <f t="shared" si="13"/>
        <v>4659.5735099457142</v>
      </c>
      <c r="H117" s="41">
        <f t="shared" si="14"/>
        <v>2614.1999920476392</v>
      </c>
      <c r="I117" s="41">
        <f t="shared" si="15"/>
        <v>2045.3735178980753</v>
      </c>
      <c r="J117" s="41">
        <f t="shared" si="18"/>
        <v>791293.22671260778</v>
      </c>
      <c r="K117" s="41">
        <f t="shared" si="20"/>
        <v>252591.00419723336</v>
      </c>
      <c r="L117" s="14"/>
    </row>
    <row r="118" spans="1:12" x14ac:dyDescent="0.2">
      <c r="A118" s="39">
        <f>IF(Values_Entered,A117+1,"")</f>
        <v>100</v>
      </c>
      <c r="B118" s="40">
        <f t="shared" si="11"/>
        <v>46539</v>
      </c>
      <c r="C118" s="41">
        <f t="shared" si="16"/>
        <v>791293.22671260778</v>
      </c>
      <c r="D118" s="41">
        <f t="shared" si="12"/>
        <v>4659.5735099457142</v>
      </c>
      <c r="E118" s="42">
        <f t="shared" si="19"/>
        <v>149000</v>
      </c>
      <c r="F118" s="43">
        <f t="shared" si="17"/>
        <v>642293.22671260778</v>
      </c>
      <c r="G118" s="41">
        <f t="shared" si="13"/>
        <v>4659.5735099457142</v>
      </c>
      <c r="H118" s="41">
        <f t="shared" si="14"/>
        <v>2625.6449586891231</v>
      </c>
      <c r="I118" s="41">
        <f t="shared" si="15"/>
        <v>2033.9285512565912</v>
      </c>
      <c r="J118" s="41">
        <f t="shared" si="18"/>
        <v>788667.58175391867</v>
      </c>
      <c r="K118" s="41">
        <f t="shared" si="20"/>
        <v>254624.93274848995</v>
      </c>
      <c r="L118" s="14"/>
    </row>
    <row r="119" spans="1:12" x14ac:dyDescent="0.2">
      <c r="A119" s="39">
        <f>IF(Values_Entered,A118+1,"")</f>
        <v>101</v>
      </c>
      <c r="B119" s="40">
        <f t="shared" si="11"/>
        <v>46569</v>
      </c>
      <c r="C119" s="41">
        <f t="shared" si="16"/>
        <v>788667.58175391867</v>
      </c>
      <c r="D119" s="41">
        <f t="shared" si="12"/>
        <v>4659.5735099457142</v>
      </c>
      <c r="E119" s="42">
        <f t="shared" si="19"/>
        <v>150000</v>
      </c>
      <c r="F119" s="43">
        <f t="shared" si="17"/>
        <v>638667.58175391867</v>
      </c>
      <c r="G119" s="41">
        <f t="shared" si="13"/>
        <v>4659.5735099457142</v>
      </c>
      <c r="H119" s="41">
        <f t="shared" si="14"/>
        <v>2637.1261677249718</v>
      </c>
      <c r="I119" s="41">
        <f t="shared" si="15"/>
        <v>2022.4473422207425</v>
      </c>
      <c r="J119" s="41">
        <f t="shared" si="18"/>
        <v>786030.45558619371</v>
      </c>
      <c r="K119" s="41">
        <f t="shared" si="20"/>
        <v>256647.38009071071</v>
      </c>
      <c r="L119" s="14"/>
    </row>
    <row r="120" spans="1:12" x14ac:dyDescent="0.2">
      <c r="A120" s="39">
        <f>IF(Values_Entered,A119+1,"")</f>
        <v>102</v>
      </c>
      <c r="B120" s="40">
        <f t="shared" si="11"/>
        <v>46600</v>
      </c>
      <c r="C120" s="41">
        <f t="shared" si="16"/>
        <v>786030.45558619371</v>
      </c>
      <c r="D120" s="41">
        <f t="shared" si="12"/>
        <v>4659.5735099457142</v>
      </c>
      <c r="E120" s="42">
        <f t="shared" si="19"/>
        <v>151000</v>
      </c>
      <c r="F120" s="43">
        <f t="shared" si="17"/>
        <v>635030.45558619371</v>
      </c>
      <c r="G120" s="41">
        <f t="shared" si="13"/>
        <v>4659.5735099457142</v>
      </c>
      <c r="H120" s="41">
        <f t="shared" si="14"/>
        <v>2648.6437339227678</v>
      </c>
      <c r="I120" s="41">
        <f t="shared" si="15"/>
        <v>2010.9297760229467</v>
      </c>
      <c r="J120" s="41">
        <f t="shared" si="18"/>
        <v>783381.81185227097</v>
      </c>
      <c r="K120" s="41">
        <f t="shared" si="20"/>
        <v>258658.30986673365</v>
      </c>
      <c r="L120" s="14"/>
    </row>
    <row r="121" spans="1:12" x14ac:dyDescent="0.2">
      <c r="A121" s="39">
        <f>IF(Values_Entered,A120+1,"")</f>
        <v>103</v>
      </c>
      <c r="B121" s="40">
        <f t="shared" si="11"/>
        <v>46631</v>
      </c>
      <c r="C121" s="41">
        <f t="shared" si="16"/>
        <v>783381.81185227097</v>
      </c>
      <c r="D121" s="41">
        <f t="shared" si="12"/>
        <v>4659.5735099457142</v>
      </c>
      <c r="E121" s="42">
        <f t="shared" si="19"/>
        <v>152000</v>
      </c>
      <c r="F121" s="43">
        <f t="shared" si="17"/>
        <v>631381.81185227097</v>
      </c>
      <c r="G121" s="41">
        <f t="shared" si="13"/>
        <v>4659.5735099457142</v>
      </c>
      <c r="H121" s="41">
        <f t="shared" si="14"/>
        <v>2660.1977724135231</v>
      </c>
      <c r="I121" s="41">
        <f t="shared" si="15"/>
        <v>1999.3757375321914</v>
      </c>
      <c r="J121" s="41">
        <f t="shared" si="18"/>
        <v>780721.61407985748</v>
      </c>
      <c r="K121" s="41">
        <f t="shared" si="20"/>
        <v>260657.68560426583</v>
      </c>
      <c r="L121" s="14"/>
    </row>
    <row r="122" spans="1:12" x14ac:dyDescent="0.2">
      <c r="A122" s="39">
        <f>IF(Values_Entered,A121+1,"")</f>
        <v>104</v>
      </c>
      <c r="B122" s="40">
        <f t="shared" si="11"/>
        <v>46661</v>
      </c>
      <c r="C122" s="41">
        <f t="shared" si="16"/>
        <v>780721.61407985748</v>
      </c>
      <c r="D122" s="41">
        <f t="shared" si="12"/>
        <v>4659.5735099457142</v>
      </c>
      <c r="E122" s="42">
        <f t="shared" si="19"/>
        <v>153000</v>
      </c>
      <c r="F122" s="43">
        <f t="shared" si="17"/>
        <v>627721.61407985748</v>
      </c>
      <c r="G122" s="41">
        <f t="shared" si="13"/>
        <v>4659.5735099457142</v>
      </c>
      <c r="H122" s="41">
        <f t="shared" si="14"/>
        <v>2671.7883986928323</v>
      </c>
      <c r="I122" s="41">
        <f t="shared" si="15"/>
        <v>1987.785111252882</v>
      </c>
      <c r="J122" s="41">
        <f t="shared" si="18"/>
        <v>778049.82568116463</v>
      </c>
      <c r="K122" s="41">
        <f t="shared" si="20"/>
        <v>262645.47071551869</v>
      </c>
      <c r="L122" s="14"/>
    </row>
    <row r="123" spans="1:12" x14ac:dyDescent="0.2">
      <c r="A123" s="39">
        <f>IF(Values_Entered,A122+1,"")</f>
        <v>105</v>
      </c>
      <c r="B123" s="40">
        <f t="shared" si="11"/>
        <v>46692</v>
      </c>
      <c r="C123" s="41">
        <f t="shared" si="16"/>
        <v>778049.82568116463</v>
      </c>
      <c r="D123" s="41">
        <f t="shared" si="12"/>
        <v>4659.5735099457142</v>
      </c>
      <c r="E123" s="42">
        <f t="shared" si="19"/>
        <v>154000</v>
      </c>
      <c r="F123" s="43">
        <f t="shared" si="17"/>
        <v>624049.82568116463</v>
      </c>
      <c r="G123" s="41">
        <f t="shared" si="13"/>
        <v>4659.5735099457142</v>
      </c>
      <c r="H123" s="41">
        <f t="shared" si="14"/>
        <v>2683.4157286220261</v>
      </c>
      <c r="I123" s="41">
        <f t="shared" si="15"/>
        <v>1976.1577813236879</v>
      </c>
      <c r="J123" s="41">
        <f t="shared" si="18"/>
        <v>775366.40995254263</v>
      </c>
      <c r="K123" s="41">
        <f t="shared" si="20"/>
        <v>264621.6284968424</v>
      </c>
      <c r="L123" s="14"/>
    </row>
    <row r="124" spans="1:12" x14ac:dyDescent="0.2">
      <c r="A124" s="39">
        <f>IF(Values_Entered,A123+1,"")</f>
        <v>106</v>
      </c>
      <c r="B124" s="40">
        <f t="shared" si="11"/>
        <v>46722</v>
      </c>
      <c r="C124" s="41">
        <f t="shared" si="16"/>
        <v>775366.40995254263</v>
      </c>
      <c r="D124" s="41">
        <f t="shared" si="12"/>
        <v>4659.5735099457142</v>
      </c>
      <c r="E124" s="42">
        <f t="shared" si="19"/>
        <v>155000</v>
      </c>
      <c r="F124" s="43">
        <f t="shared" si="17"/>
        <v>620366.40995254263</v>
      </c>
      <c r="G124" s="41">
        <f t="shared" si="13"/>
        <v>4659.5735099457142</v>
      </c>
      <c r="H124" s="41">
        <f t="shared" si="14"/>
        <v>2695.0798784293293</v>
      </c>
      <c r="I124" s="41">
        <f t="shared" si="15"/>
        <v>1964.493631516385</v>
      </c>
      <c r="J124" s="41">
        <f t="shared" si="18"/>
        <v>772671.33007411333</v>
      </c>
      <c r="K124" s="41">
        <f t="shared" si="20"/>
        <v>266586.12212835881</v>
      </c>
      <c r="L124" s="14"/>
    </row>
    <row r="125" spans="1:12" x14ac:dyDescent="0.2">
      <c r="A125" s="39">
        <f>IF(Values_Entered,A124+1,"")</f>
        <v>107</v>
      </c>
      <c r="B125" s="40">
        <f t="shared" si="11"/>
        <v>46753</v>
      </c>
      <c r="C125" s="41">
        <f t="shared" si="16"/>
        <v>772671.33007411333</v>
      </c>
      <c r="D125" s="41">
        <f t="shared" si="12"/>
        <v>4659.5735099457142</v>
      </c>
      <c r="E125" s="42">
        <f t="shared" si="19"/>
        <v>156000</v>
      </c>
      <c r="F125" s="43">
        <f t="shared" si="17"/>
        <v>616671.33007411333</v>
      </c>
      <c r="G125" s="41">
        <f t="shared" si="13"/>
        <v>4659.5735099457142</v>
      </c>
      <c r="H125" s="41">
        <f t="shared" si="14"/>
        <v>2706.7809647110221</v>
      </c>
      <c r="I125" s="41">
        <f t="shared" si="15"/>
        <v>1952.7925452346922</v>
      </c>
      <c r="J125" s="41">
        <f t="shared" si="18"/>
        <v>769964.54910940235</v>
      </c>
      <c r="K125" s="41">
        <f t="shared" si="20"/>
        <v>268538.91467359348</v>
      </c>
      <c r="L125" s="14"/>
    </row>
    <row r="126" spans="1:12" x14ac:dyDescent="0.2">
      <c r="A126" s="39">
        <f>IF(Values_Entered,A125+1,"")</f>
        <v>108</v>
      </c>
      <c r="B126" s="40">
        <f t="shared" si="11"/>
        <v>46784</v>
      </c>
      <c r="C126" s="41">
        <f t="shared" si="16"/>
        <v>769964.54910940235</v>
      </c>
      <c r="D126" s="41">
        <f t="shared" si="12"/>
        <v>4659.5735099457142</v>
      </c>
      <c r="E126" s="42">
        <f t="shared" si="19"/>
        <v>157000</v>
      </c>
      <c r="F126" s="43">
        <f t="shared" si="17"/>
        <v>612964.54910940235</v>
      </c>
      <c r="G126" s="41">
        <f t="shared" si="13"/>
        <v>4659.5735099457142</v>
      </c>
      <c r="H126" s="41">
        <f t="shared" si="14"/>
        <v>2718.5191044326066</v>
      </c>
      <c r="I126" s="41">
        <f t="shared" si="15"/>
        <v>1941.0544055131074</v>
      </c>
      <c r="J126" s="41">
        <f t="shared" si="18"/>
        <v>767246.03000496968</v>
      </c>
      <c r="K126" s="41">
        <f t="shared" si="20"/>
        <v>270479.96907910658</v>
      </c>
      <c r="L126" s="14"/>
    </row>
    <row r="127" spans="1:12" x14ac:dyDescent="0.2">
      <c r="A127" s="39">
        <f>IF(Values_Entered,A126+1,"")</f>
        <v>109</v>
      </c>
      <c r="B127" s="40">
        <f t="shared" si="11"/>
        <v>46813</v>
      </c>
      <c r="C127" s="41">
        <f t="shared" si="16"/>
        <v>767246.03000496968</v>
      </c>
      <c r="D127" s="41">
        <f t="shared" si="12"/>
        <v>4659.5735099457142</v>
      </c>
      <c r="E127" s="42">
        <f t="shared" si="19"/>
        <v>158000</v>
      </c>
      <c r="F127" s="43">
        <f t="shared" si="17"/>
        <v>609246.03000496968</v>
      </c>
      <c r="G127" s="41">
        <f t="shared" si="13"/>
        <v>4659.5735099457142</v>
      </c>
      <c r="H127" s="41">
        <f t="shared" si="14"/>
        <v>2730.2944149299769</v>
      </c>
      <c r="I127" s="41">
        <f t="shared" si="15"/>
        <v>1929.2790950157373</v>
      </c>
      <c r="J127" s="41">
        <f t="shared" si="18"/>
        <v>764515.73559003975</v>
      </c>
      <c r="K127" s="41">
        <f t="shared" si="20"/>
        <v>272409.2481741223</v>
      </c>
      <c r="L127" s="14"/>
    </row>
    <row r="128" spans="1:12" x14ac:dyDescent="0.2">
      <c r="A128" s="39">
        <f>IF(Values_Entered,A127+1,"")</f>
        <v>110</v>
      </c>
      <c r="B128" s="40">
        <f t="shared" si="11"/>
        <v>46844</v>
      </c>
      <c r="C128" s="41">
        <f t="shared" si="16"/>
        <v>764515.73559003975</v>
      </c>
      <c r="D128" s="41">
        <f t="shared" si="12"/>
        <v>4659.5735099457142</v>
      </c>
      <c r="E128" s="42">
        <f t="shared" si="19"/>
        <v>159000</v>
      </c>
      <c r="F128" s="43">
        <f t="shared" si="17"/>
        <v>605515.73559003975</v>
      </c>
      <c r="G128" s="41">
        <f t="shared" si="13"/>
        <v>4659.5735099457142</v>
      </c>
      <c r="H128" s="41">
        <f t="shared" si="14"/>
        <v>2742.1070139105886</v>
      </c>
      <c r="I128" s="41">
        <f t="shared" si="15"/>
        <v>1917.4664960351258</v>
      </c>
      <c r="J128" s="41">
        <f t="shared" si="18"/>
        <v>761773.62857612921</v>
      </c>
      <c r="K128" s="41">
        <f t="shared" si="20"/>
        <v>274326.71467015741</v>
      </c>
      <c r="L128" s="14"/>
    </row>
    <row r="129" spans="1:12" x14ac:dyDescent="0.2">
      <c r="A129" s="39">
        <f>IF(Values_Entered,A128+1,"")</f>
        <v>111</v>
      </c>
      <c r="B129" s="40">
        <f t="shared" si="11"/>
        <v>46874</v>
      </c>
      <c r="C129" s="41">
        <f t="shared" si="16"/>
        <v>761773.62857612921</v>
      </c>
      <c r="D129" s="41">
        <f t="shared" si="12"/>
        <v>4659.5735099457142</v>
      </c>
      <c r="E129" s="42">
        <f t="shared" si="19"/>
        <v>160000</v>
      </c>
      <c r="F129" s="43">
        <f t="shared" si="17"/>
        <v>601773.62857612921</v>
      </c>
      <c r="G129" s="41">
        <f t="shared" si="13"/>
        <v>4659.5735099457142</v>
      </c>
      <c r="H129" s="41">
        <f t="shared" si="14"/>
        <v>2753.9570194546386</v>
      </c>
      <c r="I129" s="41">
        <f t="shared" si="15"/>
        <v>1905.6164904910759</v>
      </c>
      <c r="J129" s="41">
        <f t="shared" si="18"/>
        <v>759019.67155667453</v>
      </c>
      <c r="K129" s="41">
        <f t="shared" si="20"/>
        <v>276232.33116064849</v>
      </c>
      <c r="L129" s="14"/>
    </row>
    <row r="130" spans="1:12" x14ac:dyDescent="0.2">
      <c r="A130" s="39">
        <f>IF(Values_Entered,A129+1,"")</f>
        <v>112</v>
      </c>
      <c r="B130" s="40">
        <f t="shared" si="11"/>
        <v>46905</v>
      </c>
      <c r="C130" s="41">
        <f t="shared" si="16"/>
        <v>759019.67155667453</v>
      </c>
      <c r="D130" s="41">
        <f t="shared" si="12"/>
        <v>4659.5735099457142</v>
      </c>
      <c r="E130" s="42">
        <f t="shared" si="19"/>
        <v>161000</v>
      </c>
      <c r="F130" s="43">
        <f t="shared" si="17"/>
        <v>598019.67155667453</v>
      </c>
      <c r="G130" s="41">
        <f t="shared" si="13"/>
        <v>4659.5735099457142</v>
      </c>
      <c r="H130" s="41">
        <f t="shared" si="14"/>
        <v>2765.8445500162452</v>
      </c>
      <c r="I130" s="41">
        <f t="shared" si="15"/>
        <v>1893.7289599294693</v>
      </c>
      <c r="J130" s="41">
        <f t="shared" si="18"/>
        <v>756253.82700665831</v>
      </c>
      <c r="K130" s="41">
        <f t="shared" si="20"/>
        <v>278126.06012057798</v>
      </c>
      <c r="L130" s="14"/>
    </row>
    <row r="131" spans="1:12" x14ac:dyDescent="0.2">
      <c r="A131" s="39">
        <f>IF(Values_Entered,A130+1,"")</f>
        <v>113</v>
      </c>
      <c r="B131" s="40">
        <f t="shared" si="11"/>
        <v>46935</v>
      </c>
      <c r="C131" s="41">
        <f t="shared" si="16"/>
        <v>756253.82700665831</v>
      </c>
      <c r="D131" s="41">
        <f t="shared" si="12"/>
        <v>4659.5735099457142</v>
      </c>
      <c r="E131" s="42">
        <f t="shared" si="19"/>
        <v>162000</v>
      </c>
      <c r="F131" s="43">
        <f t="shared" si="17"/>
        <v>594253.82700665831</v>
      </c>
      <c r="G131" s="41">
        <f t="shared" si="13"/>
        <v>4659.5735099457142</v>
      </c>
      <c r="H131" s="41">
        <f t="shared" si="14"/>
        <v>2777.7697244246297</v>
      </c>
      <c r="I131" s="41">
        <f t="shared" si="15"/>
        <v>1881.8037855210846</v>
      </c>
      <c r="J131" s="41">
        <f t="shared" si="18"/>
        <v>753476.05728223373</v>
      </c>
      <c r="K131" s="41">
        <f t="shared" si="20"/>
        <v>280007.86390609905</v>
      </c>
      <c r="L131" s="14"/>
    </row>
    <row r="132" spans="1:12" x14ac:dyDescent="0.2">
      <c r="A132" s="39">
        <f>IF(Values_Entered,A131+1,"")</f>
        <v>114</v>
      </c>
      <c r="B132" s="40">
        <f t="shared" si="11"/>
        <v>46966</v>
      </c>
      <c r="C132" s="41">
        <f t="shared" si="16"/>
        <v>753476.05728223373</v>
      </c>
      <c r="D132" s="41">
        <f t="shared" si="12"/>
        <v>4659.5735099457142</v>
      </c>
      <c r="E132" s="42">
        <f t="shared" si="19"/>
        <v>163000</v>
      </c>
      <c r="F132" s="43">
        <f t="shared" si="17"/>
        <v>590476.05728223373</v>
      </c>
      <c r="G132" s="41">
        <f t="shared" si="13"/>
        <v>4659.5735099457142</v>
      </c>
      <c r="H132" s="41">
        <f t="shared" si="14"/>
        <v>2789.7326618853076</v>
      </c>
      <c r="I132" s="41">
        <f t="shared" si="15"/>
        <v>1869.8408480604066</v>
      </c>
      <c r="J132" s="41">
        <f t="shared" si="18"/>
        <v>750686.3246203484</v>
      </c>
      <c r="K132" s="41">
        <f t="shared" si="20"/>
        <v>281877.70475415944</v>
      </c>
      <c r="L132" s="14"/>
    </row>
    <row r="133" spans="1:12" x14ac:dyDescent="0.2">
      <c r="A133" s="39">
        <f>IF(Values_Entered,A132+1,"")</f>
        <v>115</v>
      </c>
      <c r="B133" s="40">
        <f t="shared" si="11"/>
        <v>46997</v>
      </c>
      <c r="C133" s="41">
        <f t="shared" si="16"/>
        <v>750686.3246203484</v>
      </c>
      <c r="D133" s="41">
        <f t="shared" si="12"/>
        <v>4659.5735099457142</v>
      </c>
      <c r="E133" s="42">
        <f t="shared" si="19"/>
        <v>164000</v>
      </c>
      <c r="F133" s="43">
        <f t="shared" si="17"/>
        <v>586686.3246203484</v>
      </c>
      <c r="G133" s="41">
        <f t="shared" si="13"/>
        <v>4659.5735099457142</v>
      </c>
      <c r="H133" s="41">
        <f t="shared" si="14"/>
        <v>2801.7334819812777</v>
      </c>
      <c r="I133" s="41">
        <f t="shared" si="15"/>
        <v>1857.8400279644366</v>
      </c>
      <c r="J133" s="41">
        <f t="shared" si="18"/>
        <v>747884.59113836708</v>
      </c>
      <c r="K133" s="41">
        <f t="shared" si="20"/>
        <v>283735.54478212388</v>
      </c>
      <c r="L133" s="14"/>
    </row>
    <row r="134" spans="1:12" x14ac:dyDescent="0.2">
      <c r="A134" s="39">
        <f>IF(Values_Entered,A133+1,"")</f>
        <v>116</v>
      </c>
      <c r="B134" s="40">
        <f t="shared" si="11"/>
        <v>47027</v>
      </c>
      <c r="C134" s="41">
        <f t="shared" si="16"/>
        <v>747884.59113836708</v>
      </c>
      <c r="D134" s="41">
        <f t="shared" si="12"/>
        <v>4659.5735099457142</v>
      </c>
      <c r="E134" s="42">
        <f t="shared" si="19"/>
        <v>165000</v>
      </c>
      <c r="F134" s="43">
        <f t="shared" si="17"/>
        <v>582884.59113836708</v>
      </c>
      <c r="G134" s="41">
        <f t="shared" si="13"/>
        <v>4659.5735099457142</v>
      </c>
      <c r="H134" s="41">
        <f t="shared" si="14"/>
        <v>2813.7723046742185</v>
      </c>
      <c r="I134" s="41">
        <f t="shared" si="15"/>
        <v>1845.8012052714957</v>
      </c>
      <c r="J134" s="41">
        <f t="shared" si="18"/>
        <v>745070.81883369281</v>
      </c>
      <c r="K134" s="41">
        <f t="shared" si="20"/>
        <v>285581.34598739538</v>
      </c>
      <c r="L134" s="14"/>
    </row>
    <row r="135" spans="1:12" x14ac:dyDescent="0.2">
      <c r="A135" s="39">
        <f>IF(Values_Entered,A134+1,"")</f>
        <v>117</v>
      </c>
      <c r="B135" s="40">
        <f t="shared" si="11"/>
        <v>47058</v>
      </c>
      <c r="C135" s="41">
        <f t="shared" si="16"/>
        <v>745070.81883369281</v>
      </c>
      <c r="D135" s="41">
        <f t="shared" si="12"/>
        <v>4659.5735099457142</v>
      </c>
      <c r="E135" s="42">
        <f t="shared" si="19"/>
        <v>166000</v>
      </c>
      <c r="F135" s="43">
        <f t="shared" si="17"/>
        <v>579070.81883369281</v>
      </c>
      <c r="G135" s="41">
        <f t="shared" si="13"/>
        <v>4659.5735099457142</v>
      </c>
      <c r="H135" s="41">
        <f t="shared" si="14"/>
        <v>2825.8492503056868</v>
      </c>
      <c r="I135" s="41">
        <f t="shared" si="15"/>
        <v>1833.7242596400272</v>
      </c>
      <c r="J135" s="41">
        <f t="shared" si="18"/>
        <v>742244.96958338714</v>
      </c>
      <c r="K135" s="41">
        <f t="shared" si="20"/>
        <v>287415.07024703542</v>
      </c>
      <c r="L135" s="14"/>
    </row>
    <row r="136" spans="1:12" x14ac:dyDescent="0.2">
      <c r="A136" s="39">
        <f>IF(Values_Entered,A135+1,"")</f>
        <v>118</v>
      </c>
      <c r="B136" s="40">
        <f t="shared" si="11"/>
        <v>47088</v>
      </c>
      <c r="C136" s="41">
        <f t="shared" si="16"/>
        <v>742244.96958338714</v>
      </c>
      <c r="D136" s="41">
        <f t="shared" si="12"/>
        <v>4659.5735099457142</v>
      </c>
      <c r="E136" s="42">
        <f t="shared" si="19"/>
        <v>167000</v>
      </c>
      <c r="F136" s="43">
        <f t="shared" si="17"/>
        <v>575244.96958338714</v>
      </c>
      <c r="G136" s="41">
        <f t="shared" si="13"/>
        <v>4659.5735099457142</v>
      </c>
      <c r="H136" s="41">
        <f t="shared" si="14"/>
        <v>2837.9644395983214</v>
      </c>
      <c r="I136" s="41">
        <f t="shared" si="15"/>
        <v>1821.6090703473926</v>
      </c>
      <c r="J136" s="41">
        <f t="shared" si="18"/>
        <v>739407.00514378876</v>
      </c>
      <c r="K136" s="41">
        <f t="shared" si="20"/>
        <v>289236.6793173828</v>
      </c>
      <c r="L136" s="14"/>
    </row>
    <row r="137" spans="1:12" x14ac:dyDescent="0.2">
      <c r="A137" s="39">
        <f>IF(Values_Entered,A136+1,"")</f>
        <v>119</v>
      </c>
      <c r="B137" s="40">
        <f t="shared" si="11"/>
        <v>47119</v>
      </c>
      <c r="C137" s="41">
        <f t="shared" si="16"/>
        <v>739407.00514378876</v>
      </c>
      <c r="D137" s="41">
        <f t="shared" si="12"/>
        <v>4659.5735099457142</v>
      </c>
      <c r="E137" s="42">
        <f t="shared" si="19"/>
        <v>168000</v>
      </c>
      <c r="F137" s="43">
        <f t="shared" si="17"/>
        <v>571407.00514378876</v>
      </c>
      <c r="G137" s="41">
        <f t="shared" si="13"/>
        <v>4659.5735099457142</v>
      </c>
      <c r="H137" s="41">
        <f t="shared" si="14"/>
        <v>2850.1179936570497</v>
      </c>
      <c r="I137" s="41">
        <f t="shared" si="15"/>
        <v>1809.4555162886643</v>
      </c>
      <c r="J137" s="41">
        <f t="shared" si="18"/>
        <v>736556.88715013175</v>
      </c>
      <c r="K137" s="41">
        <f t="shared" si="20"/>
        <v>291046.13483367144</v>
      </c>
      <c r="L137" s="14"/>
    </row>
    <row r="138" spans="1:12" x14ac:dyDescent="0.2">
      <c r="A138" s="39">
        <f>IF(Values_Entered,A137+1,"")</f>
        <v>120</v>
      </c>
      <c r="B138" s="40">
        <f t="shared" si="11"/>
        <v>47150</v>
      </c>
      <c r="C138" s="41">
        <f t="shared" si="16"/>
        <v>736556.88715013175</v>
      </c>
      <c r="D138" s="41">
        <f t="shared" si="12"/>
        <v>4659.5735099457142</v>
      </c>
      <c r="E138" s="42">
        <f t="shared" si="19"/>
        <v>169000</v>
      </c>
      <c r="F138" s="43">
        <f t="shared" si="17"/>
        <v>567556.88715013175</v>
      </c>
      <c r="G138" s="41">
        <f t="shared" si="13"/>
        <v>4659.5735099457142</v>
      </c>
      <c r="H138" s="41">
        <f t="shared" si="14"/>
        <v>2862.3100339702969</v>
      </c>
      <c r="I138" s="41">
        <f t="shared" si="15"/>
        <v>1797.2634759754171</v>
      </c>
      <c r="J138" s="41">
        <f t="shared" si="18"/>
        <v>733694.57711616147</v>
      </c>
      <c r="K138" s="41">
        <f t="shared" si="20"/>
        <v>292843.39830964687</v>
      </c>
      <c r="L138" s="14"/>
    </row>
    <row r="139" spans="1:12" x14ac:dyDescent="0.2">
      <c r="A139" s="39">
        <f>IF(Values_Entered,A138+1,"")</f>
        <v>121</v>
      </c>
      <c r="B139" s="40">
        <f t="shared" si="11"/>
        <v>47178</v>
      </c>
      <c r="C139" s="41">
        <f t="shared" si="16"/>
        <v>733694.57711616147</v>
      </c>
      <c r="D139" s="41">
        <f t="shared" si="12"/>
        <v>4659.5735099457142</v>
      </c>
      <c r="E139" s="42">
        <f t="shared" si="19"/>
        <v>170000</v>
      </c>
      <c r="F139" s="43">
        <f t="shared" si="17"/>
        <v>563694.57711616147</v>
      </c>
      <c r="G139" s="41">
        <f t="shared" si="13"/>
        <v>4659.5735099457142</v>
      </c>
      <c r="H139" s="41">
        <f t="shared" si="14"/>
        <v>2874.5406824112033</v>
      </c>
      <c r="I139" s="41">
        <f t="shared" si="15"/>
        <v>1785.0328275345112</v>
      </c>
      <c r="J139" s="41">
        <f t="shared" si="18"/>
        <v>730820.0364337503</v>
      </c>
      <c r="K139" s="41">
        <f t="shared" si="20"/>
        <v>294628.43113718141</v>
      </c>
      <c r="L139" s="14"/>
    </row>
    <row r="140" spans="1:12" x14ac:dyDescent="0.2">
      <c r="A140" s="39">
        <f>IF(Values_Entered,A139+1,"")</f>
        <v>122</v>
      </c>
      <c r="B140" s="40">
        <f t="shared" si="11"/>
        <v>47209</v>
      </c>
      <c r="C140" s="41">
        <f t="shared" si="16"/>
        <v>730820.0364337503</v>
      </c>
      <c r="D140" s="41">
        <f t="shared" si="12"/>
        <v>4659.5735099457142</v>
      </c>
      <c r="E140" s="42">
        <f t="shared" si="19"/>
        <v>171000</v>
      </c>
      <c r="F140" s="43">
        <f t="shared" si="17"/>
        <v>559820.0364337503</v>
      </c>
      <c r="G140" s="41">
        <f t="shared" si="13"/>
        <v>4659.5735099457142</v>
      </c>
      <c r="H140" s="41">
        <f t="shared" si="14"/>
        <v>2886.8100612388384</v>
      </c>
      <c r="I140" s="41">
        <f t="shared" si="15"/>
        <v>1772.7634487068758</v>
      </c>
      <c r="J140" s="41">
        <f t="shared" si="18"/>
        <v>727933.22637251148</v>
      </c>
      <c r="K140" s="41">
        <f t="shared" si="20"/>
        <v>296401.1945858883</v>
      </c>
      <c r="L140" s="14"/>
    </row>
    <row r="141" spans="1:12" x14ac:dyDescent="0.2">
      <c r="A141" s="39">
        <f>IF(Values_Entered,A140+1,"")</f>
        <v>123</v>
      </c>
      <c r="B141" s="40">
        <f t="shared" si="11"/>
        <v>47239</v>
      </c>
      <c r="C141" s="41">
        <f t="shared" si="16"/>
        <v>727933.22637251148</v>
      </c>
      <c r="D141" s="41">
        <f t="shared" si="12"/>
        <v>4659.5735099457142</v>
      </c>
      <c r="E141" s="42">
        <f t="shared" si="19"/>
        <v>172000</v>
      </c>
      <c r="F141" s="43">
        <f t="shared" si="17"/>
        <v>555933.22637251148</v>
      </c>
      <c r="G141" s="41">
        <f t="shared" si="13"/>
        <v>4659.5735099457142</v>
      </c>
      <c r="H141" s="41">
        <f t="shared" si="14"/>
        <v>2899.1182930994282</v>
      </c>
      <c r="I141" s="41">
        <f t="shared" si="15"/>
        <v>1760.4552168462862</v>
      </c>
      <c r="J141" s="41">
        <f t="shared" si="18"/>
        <v>725034.10807941202</v>
      </c>
      <c r="K141" s="41">
        <f t="shared" si="20"/>
        <v>298161.64980273461</v>
      </c>
      <c r="L141" s="14"/>
    </row>
    <row r="142" spans="1:12" x14ac:dyDescent="0.2">
      <c r="A142" s="39">
        <f>IF(Values_Entered,A141+1,"")</f>
        <v>124</v>
      </c>
      <c r="B142" s="40">
        <f t="shared" si="11"/>
        <v>47270</v>
      </c>
      <c r="C142" s="41">
        <f t="shared" si="16"/>
        <v>725034.10807941202</v>
      </c>
      <c r="D142" s="41">
        <f t="shared" si="12"/>
        <v>4659.5735099457142</v>
      </c>
      <c r="E142" s="42">
        <f t="shared" si="19"/>
        <v>173000</v>
      </c>
      <c r="F142" s="43">
        <f t="shared" si="17"/>
        <v>552034.10807941202</v>
      </c>
      <c r="G142" s="41">
        <f t="shared" si="13"/>
        <v>4659.5735099457142</v>
      </c>
      <c r="H142" s="41">
        <f t="shared" si="14"/>
        <v>2911.4655010275765</v>
      </c>
      <c r="I142" s="41">
        <f t="shared" si="15"/>
        <v>1748.108008918138</v>
      </c>
      <c r="J142" s="41">
        <f t="shared" si="18"/>
        <v>722122.64257838449</v>
      </c>
      <c r="K142" s="41">
        <f t="shared" si="20"/>
        <v>299909.75781165273</v>
      </c>
      <c r="L142" s="14"/>
    </row>
    <row r="143" spans="1:12" x14ac:dyDescent="0.2">
      <c r="A143" s="39">
        <f>IF(Values_Entered,A142+1,"")</f>
        <v>125</v>
      </c>
      <c r="B143" s="40">
        <f t="shared" si="11"/>
        <v>47300</v>
      </c>
      <c r="C143" s="41">
        <f t="shared" si="16"/>
        <v>722122.64257838449</v>
      </c>
      <c r="D143" s="41">
        <f t="shared" si="12"/>
        <v>4659.5735099457142</v>
      </c>
      <c r="E143" s="42">
        <f t="shared" si="19"/>
        <v>174000</v>
      </c>
      <c r="F143" s="43">
        <f t="shared" si="17"/>
        <v>548122.64257838449</v>
      </c>
      <c r="G143" s="41">
        <f t="shared" si="13"/>
        <v>4659.5735099457142</v>
      </c>
      <c r="H143" s="41">
        <f t="shared" si="14"/>
        <v>2923.8518084474968</v>
      </c>
      <c r="I143" s="41">
        <f t="shared" si="15"/>
        <v>1735.7217014982175</v>
      </c>
      <c r="J143" s="41">
        <f t="shared" si="18"/>
        <v>719198.79076993698</v>
      </c>
      <c r="K143" s="41">
        <f t="shared" si="20"/>
        <v>301645.47951315093</v>
      </c>
      <c r="L143" s="14"/>
    </row>
    <row r="144" spans="1:12" x14ac:dyDescent="0.2">
      <c r="A144" s="39">
        <f>IF(Values_Entered,A143+1,"")</f>
        <v>126</v>
      </c>
      <c r="B144" s="40">
        <f t="shared" si="11"/>
        <v>47331</v>
      </c>
      <c r="C144" s="41">
        <f t="shared" si="16"/>
        <v>719198.79076993698</v>
      </c>
      <c r="D144" s="41">
        <f t="shared" si="12"/>
        <v>4659.5735099457142</v>
      </c>
      <c r="E144" s="42">
        <f t="shared" si="19"/>
        <v>175000</v>
      </c>
      <c r="F144" s="43">
        <f t="shared" si="17"/>
        <v>544198.79076993698</v>
      </c>
      <c r="G144" s="41">
        <f t="shared" si="13"/>
        <v>4659.5735099457142</v>
      </c>
      <c r="H144" s="41">
        <f t="shared" si="14"/>
        <v>2936.2773391742471</v>
      </c>
      <c r="I144" s="41">
        <f t="shared" si="15"/>
        <v>1723.2961707714671</v>
      </c>
      <c r="J144" s="41">
        <f t="shared" si="18"/>
        <v>716262.51343076269</v>
      </c>
      <c r="K144" s="41">
        <f t="shared" si="20"/>
        <v>303368.7756839224</v>
      </c>
      <c r="L144" s="14"/>
    </row>
    <row r="145" spans="1:12" x14ac:dyDescent="0.2">
      <c r="A145" s="39">
        <f>IF(Values_Entered,A144+1,"")</f>
        <v>127</v>
      </c>
      <c r="B145" s="40">
        <f t="shared" si="11"/>
        <v>47362</v>
      </c>
      <c r="C145" s="41">
        <f t="shared" si="16"/>
        <v>716262.51343076269</v>
      </c>
      <c r="D145" s="41">
        <f t="shared" si="12"/>
        <v>4659.5735099457142</v>
      </c>
      <c r="E145" s="42">
        <f t="shared" si="19"/>
        <v>176000</v>
      </c>
      <c r="F145" s="43">
        <f t="shared" si="17"/>
        <v>540262.51343076269</v>
      </c>
      <c r="G145" s="41">
        <f t="shared" si="13"/>
        <v>4659.5735099457142</v>
      </c>
      <c r="H145" s="41">
        <f t="shared" si="14"/>
        <v>2948.742217414966</v>
      </c>
      <c r="I145" s="41">
        <f t="shared" si="15"/>
        <v>1710.8312925307484</v>
      </c>
      <c r="J145" s="41">
        <f t="shared" si="18"/>
        <v>713313.77121334767</v>
      </c>
      <c r="K145" s="41">
        <f t="shared" si="20"/>
        <v>305079.60697645316</v>
      </c>
      <c r="L145" s="14"/>
    </row>
    <row r="146" spans="1:12" x14ac:dyDescent="0.2">
      <c r="A146" s="39">
        <f>IF(Values_Entered,A145+1,"")</f>
        <v>128</v>
      </c>
      <c r="B146" s="40">
        <f t="shared" si="11"/>
        <v>47392</v>
      </c>
      <c r="C146" s="41">
        <f t="shared" si="16"/>
        <v>713313.77121334767</v>
      </c>
      <c r="D146" s="41">
        <f t="shared" si="12"/>
        <v>4659.5735099457142</v>
      </c>
      <c r="E146" s="42">
        <f t="shared" si="19"/>
        <v>177000</v>
      </c>
      <c r="F146" s="43">
        <f t="shared" si="17"/>
        <v>536313.77121334767</v>
      </c>
      <c r="G146" s="41">
        <f t="shared" si="13"/>
        <v>4659.5735099457142</v>
      </c>
      <c r="H146" s="41">
        <f t="shared" si="14"/>
        <v>2961.2465677701134</v>
      </c>
      <c r="I146" s="41">
        <f t="shared" si="15"/>
        <v>1698.3269421756008</v>
      </c>
      <c r="J146" s="41">
        <f t="shared" si="18"/>
        <v>710352.52464557753</v>
      </c>
      <c r="K146" s="41">
        <f t="shared" si="20"/>
        <v>306777.93391862878</v>
      </c>
      <c r="L146" s="14"/>
    </row>
    <row r="147" spans="1:12" x14ac:dyDescent="0.2">
      <c r="A147" s="39">
        <f>IF(Values_Entered,A146+1,"")</f>
        <v>129</v>
      </c>
      <c r="B147" s="40">
        <f t="shared" ref="B147:B210" si="21">IF(Pay_Num&lt;&gt;"",DATE(YEAR(Loan_Start),MONTH(Loan_Start)+(Pay_Num)*12/Num_Pmt_Per_Year,DAY(Loan_Start)),"")</f>
        <v>47423</v>
      </c>
      <c r="C147" s="41">
        <f t="shared" si="16"/>
        <v>710352.52464557753</v>
      </c>
      <c r="D147" s="41">
        <f t="shared" ref="D147:D210" si="22">IF(Pay_Num&lt;&gt;"",Scheduled_Monthly_Payment,"")</f>
        <v>4659.5735099457142</v>
      </c>
      <c r="E147" s="42">
        <f t="shared" si="19"/>
        <v>178000</v>
      </c>
      <c r="F147" s="43">
        <f t="shared" si="17"/>
        <v>532352.52464557753</v>
      </c>
      <c r="G147" s="41">
        <f t="shared" ref="G147:G210" si="23">IF(AND(Pay_Num&lt;&gt;"",Sched_Pay&lt;Beg_Bal),Sched_Pay,IF(Pay_Num&lt;&gt;"",Beg_Bal,""))</f>
        <v>4659.5735099457142</v>
      </c>
      <c r="H147" s="41">
        <f t="shared" ref="H147:H210" si="24">IF(Pay_Num&lt;&gt;"",Total_Pay-Int,"")</f>
        <v>2973.7905152347184</v>
      </c>
      <c r="I147" s="41">
        <f t="shared" ref="I147:I210" si="25">IF(Pay_Num&lt;&gt;"",(Beg_Bal-E147)*(Interest_Rate/Num_Pmt_Per_Year),"")</f>
        <v>1685.7829947109956</v>
      </c>
      <c r="J147" s="41">
        <f t="shared" si="18"/>
        <v>707378.73413034284</v>
      </c>
      <c r="K147" s="41">
        <f t="shared" si="20"/>
        <v>308463.7169133398</v>
      </c>
      <c r="L147" s="14"/>
    </row>
    <row r="148" spans="1:12" x14ac:dyDescent="0.2">
      <c r="A148" s="39">
        <f>IF(Values_Entered,A147+1,"")</f>
        <v>130</v>
      </c>
      <c r="B148" s="40">
        <f t="shared" si="21"/>
        <v>47453</v>
      </c>
      <c r="C148" s="41">
        <f t="shared" ref="C148:C211" si="26">IF(Pay_Num&lt;&gt;"",J147,"")</f>
        <v>707378.73413034284</v>
      </c>
      <c r="D148" s="41">
        <f t="shared" si="22"/>
        <v>4659.5735099457142</v>
      </c>
      <c r="E148" s="42">
        <f t="shared" si="19"/>
        <v>179000</v>
      </c>
      <c r="F148" s="43">
        <f t="shared" ref="F148:F211" si="27">+C148-E148</f>
        <v>528378.73413034284</v>
      </c>
      <c r="G148" s="41">
        <f t="shared" si="23"/>
        <v>4659.5735099457142</v>
      </c>
      <c r="H148" s="41">
        <f t="shared" si="24"/>
        <v>2986.3741851996283</v>
      </c>
      <c r="I148" s="41">
        <f t="shared" si="25"/>
        <v>1673.1993247460857</v>
      </c>
      <c r="J148" s="41">
        <f t="shared" ref="J148:J211" si="28">IF(AND(Pay_Num&lt;&gt;"",Sched_Pay+Extra_Pay&lt;Beg_Bal),Beg_Bal-Princ,IF(Pay_Num&lt;&gt;"",0,""))</f>
        <v>704392.35994514322</v>
      </c>
      <c r="K148" s="41">
        <f t="shared" si="20"/>
        <v>310136.91623808589</v>
      </c>
      <c r="L148" s="14"/>
    </row>
    <row r="149" spans="1:12" x14ac:dyDescent="0.2">
      <c r="A149" s="39">
        <f>IF(Values_Entered,A148+1,"")</f>
        <v>131</v>
      </c>
      <c r="B149" s="40">
        <f t="shared" si="21"/>
        <v>47484</v>
      </c>
      <c r="C149" s="41">
        <f t="shared" si="26"/>
        <v>704392.35994514322</v>
      </c>
      <c r="D149" s="41">
        <f t="shared" si="22"/>
        <v>4659.5735099457142</v>
      </c>
      <c r="E149" s="42">
        <f t="shared" ref="E149:E212" si="29">+E148+$D$11</f>
        <v>180000</v>
      </c>
      <c r="F149" s="43">
        <f t="shared" si="27"/>
        <v>524392.35994514322</v>
      </c>
      <c r="G149" s="41">
        <f t="shared" si="23"/>
        <v>4659.5735099457142</v>
      </c>
      <c r="H149" s="41">
        <f t="shared" si="24"/>
        <v>2998.997703452761</v>
      </c>
      <c r="I149" s="41">
        <f t="shared" si="25"/>
        <v>1660.5758064929535</v>
      </c>
      <c r="J149" s="41">
        <f t="shared" si="28"/>
        <v>701393.36224169051</v>
      </c>
      <c r="K149" s="41">
        <f t="shared" si="20"/>
        <v>311797.49204457883</v>
      </c>
      <c r="L149" s="14"/>
    </row>
    <row r="150" spans="1:12" x14ac:dyDescent="0.2">
      <c r="A150" s="39">
        <f>IF(Values_Entered,A149+1,"")</f>
        <v>132</v>
      </c>
      <c r="B150" s="40">
        <f t="shared" si="21"/>
        <v>47515</v>
      </c>
      <c r="C150" s="41">
        <f t="shared" si="26"/>
        <v>701393.36224169051</v>
      </c>
      <c r="D150" s="41">
        <f t="shared" si="22"/>
        <v>4659.5735099457142</v>
      </c>
      <c r="E150" s="42">
        <f t="shared" si="29"/>
        <v>181000</v>
      </c>
      <c r="F150" s="43">
        <f t="shared" si="27"/>
        <v>520393.36224169051</v>
      </c>
      <c r="G150" s="41">
        <f t="shared" si="23"/>
        <v>4659.5735099457142</v>
      </c>
      <c r="H150" s="41">
        <f t="shared" si="24"/>
        <v>3011.661196180361</v>
      </c>
      <c r="I150" s="41">
        <f t="shared" si="25"/>
        <v>1647.9123137653532</v>
      </c>
      <c r="J150" s="41">
        <f t="shared" si="28"/>
        <v>698381.70104551013</v>
      </c>
      <c r="K150" s="41">
        <f t="shared" si="20"/>
        <v>313445.40435834421</v>
      </c>
      <c r="L150" s="14"/>
    </row>
    <row r="151" spans="1:12" x14ac:dyDescent="0.2">
      <c r="A151" s="39">
        <f>IF(Values_Entered,A150+1,"")</f>
        <v>133</v>
      </c>
      <c r="B151" s="40">
        <f t="shared" si="21"/>
        <v>47543</v>
      </c>
      <c r="C151" s="41">
        <f t="shared" si="26"/>
        <v>698381.70104551013</v>
      </c>
      <c r="D151" s="41">
        <f t="shared" si="22"/>
        <v>4659.5735099457142</v>
      </c>
      <c r="E151" s="42">
        <f t="shared" si="29"/>
        <v>182000</v>
      </c>
      <c r="F151" s="43">
        <f t="shared" si="27"/>
        <v>516381.70104551013</v>
      </c>
      <c r="G151" s="41">
        <f t="shared" si="23"/>
        <v>4659.5735099457142</v>
      </c>
      <c r="H151" s="41">
        <f t="shared" si="24"/>
        <v>3024.3647899682655</v>
      </c>
      <c r="I151" s="41">
        <f t="shared" si="25"/>
        <v>1635.2087199774487</v>
      </c>
      <c r="J151" s="41">
        <f t="shared" si="28"/>
        <v>695357.33625554189</v>
      </c>
      <c r="K151" s="41">
        <f t="shared" si="20"/>
        <v>315080.61307832168</v>
      </c>
      <c r="L151" s="14"/>
    </row>
    <row r="152" spans="1:12" x14ac:dyDescent="0.2">
      <c r="A152" s="39">
        <f>IF(Values_Entered,A151+1,"")</f>
        <v>134</v>
      </c>
      <c r="B152" s="40">
        <f t="shared" si="21"/>
        <v>47574</v>
      </c>
      <c r="C152" s="41">
        <f t="shared" si="26"/>
        <v>695357.33625554189</v>
      </c>
      <c r="D152" s="41">
        <f t="shared" si="22"/>
        <v>4659.5735099457142</v>
      </c>
      <c r="E152" s="42">
        <f t="shared" si="29"/>
        <v>183000</v>
      </c>
      <c r="F152" s="43">
        <f t="shared" si="27"/>
        <v>512357.33625554189</v>
      </c>
      <c r="G152" s="41">
        <f t="shared" si="23"/>
        <v>4659.5735099457142</v>
      </c>
      <c r="H152" s="41">
        <f t="shared" si="24"/>
        <v>3037.1086118031649</v>
      </c>
      <c r="I152" s="41">
        <f t="shared" si="25"/>
        <v>1622.4648981425494</v>
      </c>
      <c r="J152" s="41">
        <f t="shared" si="28"/>
        <v>692320.22764373873</v>
      </c>
      <c r="K152" s="41">
        <f t="shared" ref="K152:K215" si="30">IF(I152&lt;0,0,+K151+I152)</f>
        <v>316703.07797646424</v>
      </c>
      <c r="L152" s="14"/>
    </row>
    <row r="153" spans="1:12" x14ac:dyDescent="0.2">
      <c r="A153" s="39">
        <f>IF(Values_Entered,A152+1,"")</f>
        <v>135</v>
      </c>
      <c r="B153" s="40">
        <f t="shared" si="21"/>
        <v>47604</v>
      </c>
      <c r="C153" s="41">
        <f t="shared" si="26"/>
        <v>692320.22764373873</v>
      </c>
      <c r="D153" s="41">
        <f t="shared" si="22"/>
        <v>4659.5735099457142</v>
      </c>
      <c r="E153" s="42">
        <f t="shared" si="29"/>
        <v>184000</v>
      </c>
      <c r="F153" s="43">
        <f t="shared" si="27"/>
        <v>508320.22764373873</v>
      </c>
      <c r="G153" s="41">
        <f t="shared" si="23"/>
        <v>4659.5735099457142</v>
      </c>
      <c r="H153" s="41">
        <f t="shared" si="24"/>
        <v>3049.8927890738751</v>
      </c>
      <c r="I153" s="41">
        <f t="shared" si="25"/>
        <v>1609.6807208718392</v>
      </c>
      <c r="J153" s="41">
        <f t="shared" si="28"/>
        <v>689270.33485466486</v>
      </c>
      <c r="K153" s="41">
        <f t="shared" si="30"/>
        <v>318312.75869733607</v>
      </c>
      <c r="L153" s="14"/>
    </row>
    <row r="154" spans="1:12" x14ac:dyDescent="0.2">
      <c r="A154" s="39">
        <f>IF(Values_Entered,A153+1,"")</f>
        <v>136</v>
      </c>
      <c r="B154" s="40">
        <f t="shared" si="21"/>
        <v>47635</v>
      </c>
      <c r="C154" s="41">
        <f t="shared" si="26"/>
        <v>689270.33485466486</v>
      </c>
      <c r="D154" s="41">
        <f t="shared" si="22"/>
        <v>4659.5735099457142</v>
      </c>
      <c r="E154" s="42">
        <f t="shared" si="29"/>
        <v>185000</v>
      </c>
      <c r="F154" s="43">
        <f t="shared" si="27"/>
        <v>504270.33485466486</v>
      </c>
      <c r="G154" s="41">
        <f t="shared" si="23"/>
        <v>4659.5735099457142</v>
      </c>
      <c r="H154" s="41">
        <f t="shared" si="24"/>
        <v>3062.717449572609</v>
      </c>
      <c r="I154" s="41">
        <f t="shared" si="25"/>
        <v>1596.8560603731053</v>
      </c>
      <c r="J154" s="41">
        <f t="shared" si="28"/>
        <v>686207.61740509223</v>
      </c>
      <c r="K154" s="41">
        <f t="shared" si="30"/>
        <v>319909.61475770921</v>
      </c>
      <c r="L154" s="14"/>
    </row>
    <row r="155" spans="1:12" x14ac:dyDescent="0.2">
      <c r="A155" s="39">
        <f>IF(Values_Entered,A154+1,"")</f>
        <v>137</v>
      </c>
      <c r="B155" s="40">
        <f t="shared" si="21"/>
        <v>47665</v>
      </c>
      <c r="C155" s="41">
        <f t="shared" si="26"/>
        <v>686207.61740509223</v>
      </c>
      <c r="D155" s="41">
        <f t="shared" si="22"/>
        <v>4659.5735099457142</v>
      </c>
      <c r="E155" s="42">
        <f t="shared" si="29"/>
        <v>186000</v>
      </c>
      <c r="F155" s="43">
        <f t="shared" si="27"/>
        <v>500207.61740509223</v>
      </c>
      <c r="G155" s="41">
        <f t="shared" si="23"/>
        <v>4659.5735099457142</v>
      </c>
      <c r="H155" s="41">
        <f t="shared" si="24"/>
        <v>3075.5827214962555</v>
      </c>
      <c r="I155" s="41">
        <f t="shared" si="25"/>
        <v>1583.9907884494587</v>
      </c>
      <c r="J155" s="41">
        <f t="shared" si="28"/>
        <v>683132.03468359599</v>
      </c>
      <c r="K155" s="41">
        <f t="shared" si="30"/>
        <v>321493.60554615868</v>
      </c>
      <c r="L155" s="14"/>
    </row>
    <row r="156" spans="1:12" x14ac:dyDescent="0.2">
      <c r="A156" s="39">
        <f>IF(Values_Entered,A155+1,"")</f>
        <v>138</v>
      </c>
      <c r="B156" s="40">
        <f t="shared" si="21"/>
        <v>47696</v>
      </c>
      <c r="C156" s="41">
        <f t="shared" si="26"/>
        <v>683132.03468359599</v>
      </c>
      <c r="D156" s="41">
        <f t="shared" si="22"/>
        <v>4659.5735099457142</v>
      </c>
      <c r="E156" s="42">
        <f t="shared" si="29"/>
        <v>187000</v>
      </c>
      <c r="F156" s="43">
        <f t="shared" si="27"/>
        <v>496132.03468359599</v>
      </c>
      <c r="G156" s="41">
        <f t="shared" si="23"/>
        <v>4659.5735099457142</v>
      </c>
      <c r="H156" s="41">
        <f t="shared" si="24"/>
        <v>3088.4887334476603</v>
      </c>
      <c r="I156" s="41">
        <f t="shared" si="25"/>
        <v>1571.084776498054</v>
      </c>
      <c r="J156" s="41">
        <f t="shared" si="28"/>
        <v>680043.54595014837</v>
      </c>
      <c r="K156" s="41">
        <f t="shared" si="30"/>
        <v>323064.69032265671</v>
      </c>
      <c r="L156" s="14"/>
    </row>
    <row r="157" spans="1:12" x14ac:dyDescent="0.2">
      <c r="A157" s="39">
        <f>IF(Values_Entered,A156+1,"")</f>
        <v>139</v>
      </c>
      <c r="B157" s="40">
        <f t="shared" si="21"/>
        <v>47727</v>
      </c>
      <c r="C157" s="41">
        <f t="shared" si="26"/>
        <v>680043.54595014837</v>
      </c>
      <c r="D157" s="41">
        <f t="shared" si="22"/>
        <v>4659.5735099457142</v>
      </c>
      <c r="E157" s="42">
        <f t="shared" si="29"/>
        <v>188000</v>
      </c>
      <c r="F157" s="43">
        <f t="shared" si="27"/>
        <v>492043.54595014837</v>
      </c>
      <c r="G157" s="41">
        <f t="shared" si="23"/>
        <v>4659.5735099457142</v>
      </c>
      <c r="H157" s="41">
        <f t="shared" si="24"/>
        <v>3101.4356144369112</v>
      </c>
      <c r="I157" s="41">
        <f t="shared" si="25"/>
        <v>1558.1378955088032</v>
      </c>
      <c r="J157" s="41">
        <f t="shared" si="28"/>
        <v>676942.11033571151</v>
      </c>
      <c r="K157" s="41">
        <f t="shared" si="30"/>
        <v>324622.82821816549</v>
      </c>
      <c r="L157" s="14"/>
    </row>
    <row r="158" spans="1:12" x14ac:dyDescent="0.2">
      <c r="A158" s="39">
        <f>IF(Values_Entered,A157+1,"")</f>
        <v>140</v>
      </c>
      <c r="B158" s="40">
        <f t="shared" si="21"/>
        <v>47757</v>
      </c>
      <c r="C158" s="41">
        <f t="shared" si="26"/>
        <v>676942.11033571151</v>
      </c>
      <c r="D158" s="41">
        <f t="shared" si="22"/>
        <v>4659.5735099457142</v>
      </c>
      <c r="E158" s="42">
        <f t="shared" si="29"/>
        <v>189000</v>
      </c>
      <c r="F158" s="43">
        <f t="shared" si="27"/>
        <v>487942.11033571151</v>
      </c>
      <c r="G158" s="41">
        <f t="shared" si="23"/>
        <v>4659.5735099457142</v>
      </c>
      <c r="H158" s="41">
        <f t="shared" si="24"/>
        <v>3114.4234938826276</v>
      </c>
      <c r="I158" s="41">
        <f t="shared" si="25"/>
        <v>1545.1500160630865</v>
      </c>
      <c r="J158" s="41">
        <f t="shared" si="28"/>
        <v>673827.68684182886</v>
      </c>
      <c r="K158" s="41">
        <f t="shared" si="30"/>
        <v>326167.97823422856</v>
      </c>
      <c r="L158" s="14"/>
    </row>
    <row r="159" spans="1:12" x14ac:dyDescent="0.2">
      <c r="A159" s="39">
        <f>IF(Values_Entered,A158+1,"")</f>
        <v>141</v>
      </c>
      <c r="B159" s="40">
        <f t="shared" si="21"/>
        <v>47788</v>
      </c>
      <c r="C159" s="41">
        <f t="shared" si="26"/>
        <v>673827.68684182886</v>
      </c>
      <c r="D159" s="41">
        <f t="shared" si="22"/>
        <v>4659.5735099457142</v>
      </c>
      <c r="E159" s="42">
        <f t="shared" si="29"/>
        <v>190000</v>
      </c>
      <c r="F159" s="43">
        <f t="shared" si="27"/>
        <v>483827.68684182886</v>
      </c>
      <c r="G159" s="41">
        <f t="shared" si="23"/>
        <v>4659.5735099457142</v>
      </c>
      <c r="H159" s="41">
        <f t="shared" si="24"/>
        <v>3127.4525016132561</v>
      </c>
      <c r="I159" s="41">
        <f t="shared" si="25"/>
        <v>1532.1210083324581</v>
      </c>
      <c r="J159" s="41">
        <f t="shared" si="28"/>
        <v>670700.23434021557</v>
      </c>
      <c r="K159" s="41">
        <f t="shared" si="30"/>
        <v>327700.09924256103</v>
      </c>
      <c r="L159" s="14"/>
    </row>
    <row r="160" spans="1:12" x14ac:dyDescent="0.2">
      <c r="A160" s="39">
        <f>IF(Values_Entered,A159+1,"")</f>
        <v>142</v>
      </c>
      <c r="B160" s="40">
        <f t="shared" si="21"/>
        <v>47818</v>
      </c>
      <c r="C160" s="41">
        <f t="shared" si="26"/>
        <v>670700.23434021557</v>
      </c>
      <c r="D160" s="41">
        <f t="shared" si="22"/>
        <v>4659.5735099457142</v>
      </c>
      <c r="E160" s="42">
        <f t="shared" si="29"/>
        <v>191000</v>
      </c>
      <c r="F160" s="43">
        <f t="shared" si="27"/>
        <v>479700.23434021557</v>
      </c>
      <c r="G160" s="41">
        <f t="shared" si="23"/>
        <v>4659.5735099457142</v>
      </c>
      <c r="H160" s="41">
        <f t="shared" si="24"/>
        <v>3140.522767868365</v>
      </c>
      <c r="I160" s="41">
        <f t="shared" si="25"/>
        <v>1519.0507420773492</v>
      </c>
      <c r="J160" s="41">
        <f t="shared" si="28"/>
        <v>667559.71157234721</v>
      </c>
      <c r="K160" s="41">
        <f t="shared" si="30"/>
        <v>329219.14998463838</v>
      </c>
      <c r="L160" s="14"/>
    </row>
    <row r="161" spans="1:12" x14ac:dyDescent="0.2">
      <c r="A161" s="39">
        <f>IF(Values_Entered,A160+1,"")</f>
        <v>143</v>
      </c>
      <c r="B161" s="40">
        <f t="shared" si="21"/>
        <v>47849</v>
      </c>
      <c r="C161" s="41">
        <f t="shared" si="26"/>
        <v>667559.71157234721</v>
      </c>
      <c r="D161" s="41">
        <f t="shared" si="22"/>
        <v>4659.5735099457142</v>
      </c>
      <c r="E161" s="42">
        <f t="shared" si="29"/>
        <v>192000</v>
      </c>
      <c r="F161" s="43">
        <f t="shared" si="27"/>
        <v>475559.71157234721</v>
      </c>
      <c r="G161" s="41">
        <f t="shared" si="23"/>
        <v>4659.5735099457142</v>
      </c>
      <c r="H161" s="41">
        <f t="shared" si="24"/>
        <v>3153.6344232999481</v>
      </c>
      <c r="I161" s="41">
        <f t="shared" si="25"/>
        <v>1505.9390866457661</v>
      </c>
      <c r="J161" s="41">
        <f t="shared" si="28"/>
        <v>664406.07714904728</v>
      </c>
      <c r="K161" s="41">
        <f t="shared" si="30"/>
        <v>330725.08907128416</v>
      </c>
      <c r="L161" s="14"/>
    </row>
    <row r="162" spans="1:12" x14ac:dyDescent="0.2">
      <c r="A162" s="39">
        <f>IF(Values_Entered,A161+1,"")</f>
        <v>144</v>
      </c>
      <c r="B162" s="40">
        <f t="shared" si="21"/>
        <v>47880</v>
      </c>
      <c r="C162" s="41">
        <f t="shared" si="26"/>
        <v>664406.07714904728</v>
      </c>
      <c r="D162" s="41">
        <f t="shared" si="22"/>
        <v>4659.5735099457142</v>
      </c>
      <c r="E162" s="42">
        <f t="shared" si="29"/>
        <v>193000</v>
      </c>
      <c r="F162" s="43">
        <f t="shared" si="27"/>
        <v>471406.07714904728</v>
      </c>
      <c r="G162" s="41">
        <f t="shared" si="23"/>
        <v>4659.5735099457142</v>
      </c>
      <c r="H162" s="41">
        <f t="shared" si="24"/>
        <v>3166.7875989737313</v>
      </c>
      <c r="I162" s="41">
        <f t="shared" si="25"/>
        <v>1492.785910971983</v>
      </c>
      <c r="J162" s="41">
        <f t="shared" si="28"/>
        <v>661239.28955007356</v>
      </c>
      <c r="K162" s="41">
        <f t="shared" si="30"/>
        <v>332217.87498225615</v>
      </c>
      <c r="L162" s="14"/>
    </row>
    <row r="163" spans="1:12" x14ac:dyDescent="0.2">
      <c r="A163" s="39">
        <f>IF(Values_Entered,A162+1,"")</f>
        <v>145</v>
      </c>
      <c r="B163" s="40">
        <f t="shared" si="21"/>
        <v>47908</v>
      </c>
      <c r="C163" s="41">
        <f t="shared" si="26"/>
        <v>661239.28955007356</v>
      </c>
      <c r="D163" s="41">
        <f t="shared" si="22"/>
        <v>4659.5735099457142</v>
      </c>
      <c r="E163" s="42">
        <f t="shared" si="29"/>
        <v>194000</v>
      </c>
      <c r="F163" s="43">
        <f t="shared" si="27"/>
        <v>467239.28955007356</v>
      </c>
      <c r="G163" s="41">
        <f t="shared" si="23"/>
        <v>4659.5735099457142</v>
      </c>
      <c r="H163" s="41">
        <f t="shared" si="24"/>
        <v>3179.9824263704813</v>
      </c>
      <c r="I163" s="41">
        <f t="shared" si="25"/>
        <v>1479.5910835752329</v>
      </c>
      <c r="J163" s="41">
        <f t="shared" si="28"/>
        <v>658059.30712370307</v>
      </c>
      <c r="K163" s="41">
        <f t="shared" si="30"/>
        <v>333697.46606583137</v>
      </c>
      <c r="L163" s="14"/>
    </row>
    <row r="164" spans="1:12" x14ac:dyDescent="0.2">
      <c r="A164" s="39">
        <f>IF(Values_Entered,A163+1,"")</f>
        <v>146</v>
      </c>
      <c r="B164" s="40">
        <f t="shared" si="21"/>
        <v>47939</v>
      </c>
      <c r="C164" s="41">
        <f t="shared" si="26"/>
        <v>658059.30712370307</v>
      </c>
      <c r="D164" s="41">
        <f t="shared" si="22"/>
        <v>4659.5735099457142</v>
      </c>
      <c r="E164" s="42">
        <f t="shared" si="29"/>
        <v>195000</v>
      </c>
      <c r="F164" s="43">
        <f t="shared" si="27"/>
        <v>463059.30712370307</v>
      </c>
      <c r="G164" s="41">
        <f t="shared" si="23"/>
        <v>4659.5735099457142</v>
      </c>
      <c r="H164" s="41">
        <f t="shared" si="24"/>
        <v>3193.2190373873214</v>
      </c>
      <c r="I164" s="41">
        <f t="shared" si="25"/>
        <v>1466.3544725583929</v>
      </c>
      <c r="J164" s="41">
        <f t="shared" si="28"/>
        <v>654866.08808631578</v>
      </c>
      <c r="K164" s="41">
        <f t="shared" si="30"/>
        <v>335163.82053838979</v>
      </c>
      <c r="L164" s="14"/>
    </row>
    <row r="165" spans="1:12" x14ac:dyDescent="0.2">
      <c r="A165" s="39">
        <f>IF(Values_Entered,A164+1,"")</f>
        <v>147</v>
      </c>
      <c r="B165" s="40">
        <f t="shared" si="21"/>
        <v>47969</v>
      </c>
      <c r="C165" s="41">
        <f t="shared" si="26"/>
        <v>654866.08808631578</v>
      </c>
      <c r="D165" s="41">
        <f t="shared" si="22"/>
        <v>4659.5735099457142</v>
      </c>
      <c r="E165" s="42">
        <f t="shared" si="29"/>
        <v>196000</v>
      </c>
      <c r="F165" s="43">
        <f t="shared" si="27"/>
        <v>458866.08808631578</v>
      </c>
      <c r="G165" s="41">
        <f t="shared" si="23"/>
        <v>4659.5735099457142</v>
      </c>
      <c r="H165" s="41">
        <f t="shared" si="24"/>
        <v>3206.4975643390476</v>
      </c>
      <c r="I165" s="41">
        <f t="shared" si="25"/>
        <v>1453.0759456066667</v>
      </c>
      <c r="J165" s="41">
        <f t="shared" si="28"/>
        <v>651659.5905219767</v>
      </c>
      <c r="K165" s="41">
        <f t="shared" si="30"/>
        <v>336616.89648399648</v>
      </c>
      <c r="L165" s="14"/>
    </row>
    <row r="166" spans="1:12" x14ac:dyDescent="0.2">
      <c r="A166" s="39">
        <f>IF(Values_Entered,A165+1,"")</f>
        <v>148</v>
      </c>
      <c r="B166" s="40">
        <f t="shared" si="21"/>
        <v>48000</v>
      </c>
      <c r="C166" s="41">
        <f t="shared" si="26"/>
        <v>651659.5905219767</v>
      </c>
      <c r="D166" s="41">
        <f t="shared" si="22"/>
        <v>4659.5735099457142</v>
      </c>
      <c r="E166" s="42">
        <f t="shared" si="29"/>
        <v>197000</v>
      </c>
      <c r="F166" s="43">
        <f t="shared" si="27"/>
        <v>454659.5905219767</v>
      </c>
      <c r="G166" s="41">
        <f t="shared" si="23"/>
        <v>4659.5735099457142</v>
      </c>
      <c r="H166" s="41">
        <f t="shared" si="24"/>
        <v>3219.818139959455</v>
      </c>
      <c r="I166" s="41">
        <f t="shared" si="25"/>
        <v>1439.7553699862594</v>
      </c>
      <c r="J166" s="41">
        <f t="shared" si="28"/>
        <v>648439.77238201723</v>
      </c>
      <c r="K166" s="41">
        <f t="shared" si="30"/>
        <v>338056.65185398271</v>
      </c>
      <c r="L166" s="14"/>
    </row>
    <row r="167" spans="1:12" x14ac:dyDescent="0.2">
      <c r="A167" s="39">
        <f>IF(Values_Entered,A166+1,"")</f>
        <v>149</v>
      </c>
      <c r="B167" s="40">
        <f t="shared" si="21"/>
        <v>48030</v>
      </c>
      <c r="C167" s="41">
        <f t="shared" si="26"/>
        <v>648439.77238201723</v>
      </c>
      <c r="D167" s="41">
        <f t="shared" si="22"/>
        <v>4659.5735099457142</v>
      </c>
      <c r="E167" s="42">
        <f t="shared" si="29"/>
        <v>198000</v>
      </c>
      <c r="F167" s="43">
        <f t="shared" si="27"/>
        <v>450439.77238201723</v>
      </c>
      <c r="G167" s="41">
        <f t="shared" si="23"/>
        <v>4659.5735099457142</v>
      </c>
      <c r="H167" s="41">
        <f t="shared" si="24"/>
        <v>3233.1808974026599</v>
      </c>
      <c r="I167" s="41">
        <f t="shared" si="25"/>
        <v>1426.3926125430546</v>
      </c>
      <c r="J167" s="41">
        <f t="shared" si="28"/>
        <v>645206.59148461453</v>
      </c>
      <c r="K167" s="41">
        <f t="shared" si="30"/>
        <v>339483.04446652578</v>
      </c>
      <c r="L167" s="14"/>
    </row>
    <row r="168" spans="1:12" x14ac:dyDescent="0.2">
      <c r="A168" s="39">
        <f>IF(Values_Entered,A167+1,"")</f>
        <v>150</v>
      </c>
      <c r="B168" s="40">
        <f t="shared" si="21"/>
        <v>48061</v>
      </c>
      <c r="C168" s="41">
        <f t="shared" si="26"/>
        <v>645206.59148461453</v>
      </c>
      <c r="D168" s="41">
        <f t="shared" si="22"/>
        <v>4659.5735099457142</v>
      </c>
      <c r="E168" s="42">
        <f t="shared" si="29"/>
        <v>199000</v>
      </c>
      <c r="F168" s="43">
        <f t="shared" si="27"/>
        <v>446206.59148461453</v>
      </c>
      <c r="G168" s="41">
        <f t="shared" si="23"/>
        <v>4659.5735099457142</v>
      </c>
      <c r="H168" s="41">
        <f t="shared" si="24"/>
        <v>3246.585970244435</v>
      </c>
      <c r="I168" s="41">
        <f t="shared" si="25"/>
        <v>1412.9875397012793</v>
      </c>
      <c r="J168" s="41">
        <f t="shared" si="28"/>
        <v>641960.00551437004</v>
      </c>
      <c r="K168" s="41">
        <f t="shared" si="30"/>
        <v>340896.03200622706</v>
      </c>
      <c r="L168" s="14"/>
    </row>
    <row r="169" spans="1:12" x14ac:dyDescent="0.2">
      <c r="A169" s="39">
        <f>IF(Values_Entered,A168+1,"")</f>
        <v>151</v>
      </c>
      <c r="B169" s="40">
        <f t="shared" si="21"/>
        <v>48092</v>
      </c>
      <c r="C169" s="41">
        <f t="shared" si="26"/>
        <v>641960.00551437004</v>
      </c>
      <c r="D169" s="41">
        <f t="shared" si="22"/>
        <v>4659.5735099457142</v>
      </c>
      <c r="E169" s="42">
        <f t="shared" si="29"/>
        <v>200000</v>
      </c>
      <c r="F169" s="43">
        <f t="shared" si="27"/>
        <v>441960.00551437004</v>
      </c>
      <c r="G169" s="41">
        <f t="shared" si="23"/>
        <v>4659.5735099457142</v>
      </c>
      <c r="H169" s="41">
        <f t="shared" si="24"/>
        <v>3260.0334924835424</v>
      </c>
      <c r="I169" s="41">
        <f t="shared" si="25"/>
        <v>1399.5400174621718</v>
      </c>
      <c r="J169" s="41">
        <f t="shared" si="28"/>
        <v>638699.9720218865</v>
      </c>
      <c r="K169" s="41">
        <f t="shared" si="30"/>
        <v>342295.57202368922</v>
      </c>
      <c r="L169" s="14"/>
    </row>
    <row r="170" spans="1:12" x14ac:dyDescent="0.2">
      <c r="A170" s="39">
        <f>IF(Values_Entered,A169+1,"")</f>
        <v>152</v>
      </c>
      <c r="B170" s="40">
        <f t="shared" si="21"/>
        <v>48122</v>
      </c>
      <c r="C170" s="41">
        <f t="shared" si="26"/>
        <v>638699.9720218865</v>
      </c>
      <c r="D170" s="41">
        <f t="shared" si="22"/>
        <v>4659.5735099457142</v>
      </c>
      <c r="E170" s="42">
        <f t="shared" si="29"/>
        <v>201000</v>
      </c>
      <c r="F170" s="43">
        <f t="shared" si="27"/>
        <v>437699.9720218865</v>
      </c>
      <c r="G170" s="41">
        <f t="shared" si="23"/>
        <v>4659.5735099457142</v>
      </c>
      <c r="H170" s="41">
        <f t="shared" si="24"/>
        <v>3273.5235985430736</v>
      </c>
      <c r="I170" s="41">
        <f t="shared" si="25"/>
        <v>1386.0499114026406</v>
      </c>
      <c r="J170" s="41">
        <f t="shared" si="28"/>
        <v>635426.44842334348</v>
      </c>
      <c r="K170" s="41">
        <f t="shared" si="30"/>
        <v>343681.62193509185</v>
      </c>
      <c r="L170" s="14"/>
    </row>
    <row r="171" spans="1:12" x14ac:dyDescent="0.2">
      <c r="A171" s="39">
        <f>IF(Values_Entered,A170+1,"")</f>
        <v>153</v>
      </c>
      <c r="B171" s="40">
        <f t="shared" si="21"/>
        <v>48153</v>
      </c>
      <c r="C171" s="41">
        <f t="shared" si="26"/>
        <v>635426.44842334348</v>
      </c>
      <c r="D171" s="41">
        <f t="shared" si="22"/>
        <v>4659.5735099457142</v>
      </c>
      <c r="E171" s="42">
        <f t="shared" si="29"/>
        <v>202000</v>
      </c>
      <c r="F171" s="43">
        <f t="shared" si="27"/>
        <v>433426.44842334348</v>
      </c>
      <c r="G171" s="41">
        <f t="shared" si="23"/>
        <v>4659.5735099457142</v>
      </c>
      <c r="H171" s="41">
        <f t="shared" si="24"/>
        <v>3287.0564232717934</v>
      </c>
      <c r="I171" s="41">
        <f t="shared" si="25"/>
        <v>1372.5170866739211</v>
      </c>
      <c r="J171" s="41">
        <f t="shared" si="28"/>
        <v>632139.3920000717</v>
      </c>
      <c r="K171" s="41">
        <f t="shared" si="30"/>
        <v>345054.13902176579</v>
      </c>
      <c r="L171" s="14"/>
    </row>
    <row r="172" spans="1:12" x14ac:dyDescent="0.2">
      <c r="A172" s="39">
        <f>IF(Values_Entered,A171+1,"")</f>
        <v>154</v>
      </c>
      <c r="B172" s="40">
        <f t="shared" si="21"/>
        <v>48183</v>
      </c>
      <c r="C172" s="41">
        <f t="shared" si="26"/>
        <v>632139.3920000717</v>
      </c>
      <c r="D172" s="41">
        <f t="shared" si="22"/>
        <v>4659.5735099457142</v>
      </c>
      <c r="E172" s="42">
        <f t="shared" si="29"/>
        <v>203000</v>
      </c>
      <c r="F172" s="43">
        <f t="shared" si="27"/>
        <v>429139.3920000717</v>
      </c>
      <c r="G172" s="41">
        <f t="shared" si="23"/>
        <v>4659.5735099457142</v>
      </c>
      <c r="H172" s="41">
        <f t="shared" si="24"/>
        <v>3300.6321019454872</v>
      </c>
      <c r="I172" s="41">
        <f t="shared" si="25"/>
        <v>1358.9414080002271</v>
      </c>
      <c r="J172" s="41">
        <f t="shared" si="28"/>
        <v>628838.75989812624</v>
      </c>
      <c r="K172" s="41">
        <f t="shared" si="30"/>
        <v>346413.08042976604</v>
      </c>
      <c r="L172" s="14"/>
    </row>
    <row r="173" spans="1:12" x14ac:dyDescent="0.2">
      <c r="A173" s="39">
        <f>IF(Values_Entered,A172+1,"")</f>
        <v>155</v>
      </c>
      <c r="B173" s="40">
        <f t="shared" si="21"/>
        <v>48214</v>
      </c>
      <c r="C173" s="41">
        <f t="shared" si="26"/>
        <v>628838.75989812624</v>
      </c>
      <c r="D173" s="41">
        <f t="shared" si="22"/>
        <v>4659.5735099457142</v>
      </c>
      <c r="E173" s="42">
        <f t="shared" si="29"/>
        <v>204000</v>
      </c>
      <c r="F173" s="43">
        <f t="shared" si="27"/>
        <v>424838.75989812624</v>
      </c>
      <c r="G173" s="41">
        <f t="shared" si="23"/>
        <v>4659.5735099457142</v>
      </c>
      <c r="H173" s="41">
        <f t="shared" si="24"/>
        <v>3314.2507702683142</v>
      </c>
      <c r="I173" s="41">
        <f t="shared" si="25"/>
        <v>1345.3227396773998</v>
      </c>
      <c r="J173" s="41">
        <f t="shared" si="28"/>
        <v>625524.50912785798</v>
      </c>
      <c r="K173" s="41">
        <f t="shared" si="30"/>
        <v>347758.40316944342</v>
      </c>
      <c r="L173" s="14"/>
    </row>
    <row r="174" spans="1:12" x14ac:dyDescent="0.2">
      <c r="A174" s="39">
        <f>IF(Values_Entered,A173+1,"")</f>
        <v>156</v>
      </c>
      <c r="B174" s="40">
        <f t="shared" si="21"/>
        <v>48245</v>
      </c>
      <c r="C174" s="41">
        <f t="shared" si="26"/>
        <v>625524.50912785798</v>
      </c>
      <c r="D174" s="41">
        <f t="shared" si="22"/>
        <v>4659.5735099457142</v>
      </c>
      <c r="E174" s="42">
        <f t="shared" si="29"/>
        <v>205000</v>
      </c>
      <c r="F174" s="43">
        <f t="shared" si="27"/>
        <v>420524.50912785798</v>
      </c>
      <c r="G174" s="41">
        <f t="shared" si="23"/>
        <v>4659.5735099457142</v>
      </c>
      <c r="H174" s="41">
        <f t="shared" si="24"/>
        <v>3327.912564374164</v>
      </c>
      <c r="I174" s="41">
        <f t="shared" si="25"/>
        <v>1331.6609455715502</v>
      </c>
      <c r="J174" s="41">
        <f t="shared" si="28"/>
        <v>622196.59656348382</v>
      </c>
      <c r="K174" s="41">
        <f t="shared" si="30"/>
        <v>349090.06411501497</v>
      </c>
      <c r="L174" s="14"/>
    </row>
    <row r="175" spans="1:12" x14ac:dyDescent="0.2">
      <c r="A175" s="39">
        <f>IF(Values_Entered,A174+1,"")</f>
        <v>157</v>
      </c>
      <c r="B175" s="40">
        <f t="shared" si="21"/>
        <v>48274</v>
      </c>
      <c r="C175" s="41">
        <f t="shared" si="26"/>
        <v>622196.59656348382</v>
      </c>
      <c r="D175" s="41">
        <f t="shared" si="22"/>
        <v>4659.5735099457142</v>
      </c>
      <c r="E175" s="42">
        <f t="shared" si="29"/>
        <v>206000</v>
      </c>
      <c r="F175" s="43">
        <f t="shared" si="27"/>
        <v>416196.59656348382</v>
      </c>
      <c r="G175" s="41">
        <f t="shared" si="23"/>
        <v>4659.5735099457142</v>
      </c>
      <c r="H175" s="41">
        <f t="shared" si="24"/>
        <v>3341.6176208280158</v>
      </c>
      <c r="I175" s="41">
        <f t="shared" si="25"/>
        <v>1317.9558891176987</v>
      </c>
      <c r="J175" s="41">
        <f t="shared" si="28"/>
        <v>618854.97894265584</v>
      </c>
      <c r="K175" s="41">
        <f t="shared" si="30"/>
        <v>350408.02000413265</v>
      </c>
      <c r="L175" s="14"/>
    </row>
    <row r="176" spans="1:12" x14ac:dyDescent="0.2">
      <c r="A176" s="39">
        <f>IF(Values_Entered,A175+1,"")</f>
        <v>158</v>
      </c>
      <c r="B176" s="40">
        <f t="shared" si="21"/>
        <v>48305</v>
      </c>
      <c r="C176" s="41">
        <f t="shared" si="26"/>
        <v>618854.97894265584</v>
      </c>
      <c r="D176" s="41">
        <f t="shared" si="22"/>
        <v>4659.5735099457142</v>
      </c>
      <c r="E176" s="42">
        <f t="shared" si="29"/>
        <v>207000</v>
      </c>
      <c r="F176" s="43">
        <f t="shared" si="27"/>
        <v>411854.97894265584</v>
      </c>
      <c r="G176" s="41">
        <f t="shared" si="23"/>
        <v>4659.5735099457142</v>
      </c>
      <c r="H176" s="41">
        <f t="shared" si="24"/>
        <v>3355.3660766273042</v>
      </c>
      <c r="I176" s="41">
        <f t="shared" si="25"/>
        <v>1304.20743331841</v>
      </c>
      <c r="J176" s="41">
        <f t="shared" si="28"/>
        <v>615499.61286602856</v>
      </c>
      <c r="K176" s="41">
        <f t="shared" si="30"/>
        <v>351712.22743745107</v>
      </c>
      <c r="L176" s="14"/>
    </row>
    <row r="177" spans="1:12" x14ac:dyDescent="0.2">
      <c r="A177" s="39">
        <f>IF(Values_Entered,A176+1,"")</f>
        <v>159</v>
      </c>
      <c r="B177" s="40">
        <f t="shared" si="21"/>
        <v>48335</v>
      </c>
      <c r="C177" s="41">
        <f t="shared" si="26"/>
        <v>615499.61286602856</v>
      </c>
      <c r="D177" s="41">
        <f t="shared" si="22"/>
        <v>4659.5735099457142</v>
      </c>
      <c r="E177" s="42">
        <f t="shared" si="29"/>
        <v>208000</v>
      </c>
      <c r="F177" s="43">
        <f t="shared" si="27"/>
        <v>407499.61286602856</v>
      </c>
      <c r="G177" s="41">
        <f t="shared" si="23"/>
        <v>4659.5735099457142</v>
      </c>
      <c r="H177" s="41">
        <f t="shared" si="24"/>
        <v>3369.1580692032903</v>
      </c>
      <c r="I177" s="41">
        <f t="shared" si="25"/>
        <v>1290.4154407424237</v>
      </c>
      <c r="J177" s="41">
        <f t="shared" si="28"/>
        <v>612130.4547968253</v>
      </c>
      <c r="K177" s="41">
        <f t="shared" si="30"/>
        <v>353002.64287819352</v>
      </c>
      <c r="L177" s="14"/>
    </row>
    <row r="178" spans="1:12" x14ac:dyDescent="0.2">
      <c r="A178" s="39">
        <f>IF(Values_Entered,A177+1,"")</f>
        <v>160</v>
      </c>
      <c r="B178" s="40">
        <f t="shared" si="21"/>
        <v>48366</v>
      </c>
      <c r="C178" s="41">
        <f t="shared" si="26"/>
        <v>612130.4547968253</v>
      </c>
      <c r="D178" s="41">
        <f t="shared" si="22"/>
        <v>4659.5735099457142</v>
      </c>
      <c r="E178" s="42">
        <f t="shared" si="29"/>
        <v>209000</v>
      </c>
      <c r="F178" s="43">
        <f t="shared" si="27"/>
        <v>403130.4547968253</v>
      </c>
      <c r="G178" s="41">
        <f t="shared" si="23"/>
        <v>4659.5735099457142</v>
      </c>
      <c r="H178" s="41">
        <f t="shared" si="24"/>
        <v>3382.9937364224343</v>
      </c>
      <c r="I178" s="41">
        <f t="shared" si="25"/>
        <v>1276.57977352328</v>
      </c>
      <c r="J178" s="41">
        <f t="shared" si="28"/>
        <v>608747.46106040291</v>
      </c>
      <c r="K178" s="41">
        <f t="shared" si="30"/>
        <v>354279.22265171679</v>
      </c>
      <c r="L178" s="14"/>
    </row>
    <row r="179" spans="1:12" x14ac:dyDescent="0.2">
      <c r="A179" s="39">
        <f>IF(Values_Entered,A178+1,"")</f>
        <v>161</v>
      </c>
      <c r="B179" s="40">
        <f t="shared" si="21"/>
        <v>48396</v>
      </c>
      <c r="C179" s="41">
        <f t="shared" si="26"/>
        <v>608747.46106040291</v>
      </c>
      <c r="D179" s="41">
        <f t="shared" si="22"/>
        <v>4659.5735099457142</v>
      </c>
      <c r="E179" s="42">
        <f t="shared" si="29"/>
        <v>210000</v>
      </c>
      <c r="F179" s="43">
        <f t="shared" si="27"/>
        <v>398747.46106040291</v>
      </c>
      <c r="G179" s="41">
        <f t="shared" si="23"/>
        <v>4659.5735099457142</v>
      </c>
      <c r="H179" s="41">
        <f t="shared" si="24"/>
        <v>3396.8732165877718</v>
      </c>
      <c r="I179" s="41">
        <f t="shared" si="25"/>
        <v>1262.7002933579424</v>
      </c>
      <c r="J179" s="41">
        <f t="shared" si="28"/>
        <v>605350.5878438151</v>
      </c>
      <c r="K179" s="41">
        <f t="shared" si="30"/>
        <v>355541.92294507474</v>
      </c>
      <c r="L179" s="14"/>
    </row>
    <row r="180" spans="1:12" x14ac:dyDescent="0.2">
      <c r="A180" s="39">
        <f>IF(Values_Entered,A179+1,"")</f>
        <v>162</v>
      </c>
      <c r="B180" s="40">
        <f t="shared" si="21"/>
        <v>48427</v>
      </c>
      <c r="C180" s="41">
        <f t="shared" si="26"/>
        <v>605350.5878438151</v>
      </c>
      <c r="D180" s="41">
        <f t="shared" si="22"/>
        <v>4659.5735099457142</v>
      </c>
      <c r="E180" s="42">
        <f t="shared" si="29"/>
        <v>211000</v>
      </c>
      <c r="F180" s="43">
        <f t="shared" si="27"/>
        <v>394350.5878438151</v>
      </c>
      <c r="G180" s="41">
        <f t="shared" si="23"/>
        <v>4659.5735099457142</v>
      </c>
      <c r="H180" s="41">
        <f t="shared" si="24"/>
        <v>3410.7966484402996</v>
      </c>
      <c r="I180" s="41">
        <f t="shared" si="25"/>
        <v>1248.7768615054144</v>
      </c>
      <c r="J180" s="41">
        <f t="shared" si="28"/>
        <v>601939.7911953748</v>
      </c>
      <c r="K180" s="41">
        <f t="shared" si="30"/>
        <v>356790.69980658015</v>
      </c>
      <c r="L180" s="14"/>
    </row>
    <row r="181" spans="1:12" x14ac:dyDescent="0.2">
      <c r="A181" s="39">
        <f>IF(Values_Entered,A180+1,"")</f>
        <v>163</v>
      </c>
      <c r="B181" s="40">
        <f t="shared" si="21"/>
        <v>48458</v>
      </c>
      <c r="C181" s="41">
        <f t="shared" si="26"/>
        <v>601939.7911953748</v>
      </c>
      <c r="D181" s="41">
        <f t="shared" si="22"/>
        <v>4659.5735099457142</v>
      </c>
      <c r="E181" s="42">
        <f t="shared" si="29"/>
        <v>212000</v>
      </c>
      <c r="F181" s="43">
        <f t="shared" si="27"/>
        <v>389939.7911953748</v>
      </c>
      <c r="G181" s="41">
        <f t="shared" si="23"/>
        <v>4659.5735099457142</v>
      </c>
      <c r="H181" s="41">
        <f t="shared" si="24"/>
        <v>3424.764171160361</v>
      </c>
      <c r="I181" s="41">
        <f t="shared" si="25"/>
        <v>1234.8093387853535</v>
      </c>
      <c r="J181" s="41">
        <f t="shared" si="28"/>
        <v>598515.02702421439</v>
      </c>
      <c r="K181" s="41">
        <f t="shared" si="30"/>
        <v>358025.5091453655</v>
      </c>
      <c r="L181" s="14"/>
    </row>
    <row r="182" spans="1:12" x14ac:dyDescent="0.2">
      <c r="A182" s="39">
        <f>IF(Values_Entered,A181+1,"")</f>
        <v>164</v>
      </c>
      <c r="B182" s="40">
        <f t="shared" si="21"/>
        <v>48488</v>
      </c>
      <c r="C182" s="41">
        <f t="shared" si="26"/>
        <v>598515.02702421439</v>
      </c>
      <c r="D182" s="41">
        <f t="shared" si="22"/>
        <v>4659.5735099457142</v>
      </c>
      <c r="E182" s="42">
        <f t="shared" si="29"/>
        <v>213000</v>
      </c>
      <c r="F182" s="43">
        <f t="shared" si="27"/>
        <v>385515.02702421439</v>
      </c>
      <c r="G182" s="41">
        <f t="shared" si="23"/>
        <v>4659.5735099457142</v>
      </c>
      <c r="H182" s="41">
        <f t="shared" si="24"/>
        <v>3438.7759243690352</v>
      </c>
      <c r="I182" s="41">
        <f t="shared" si="25"/>
        <v>1220.7975855766788</v>
      </c>
      <c r="J182" s="41">
        <f t="shared" si="28"/>
        <v>595076.25109984539</v>
      </c>
      <c r="K182" s="41">
        <f t="shared" si="30"/>
        <v>359246.30673094216</v>
      </c>
      <c r="L182" s="14"/>
    </row>
    <row r="183" spans="1:12" x14ac:dyDescent="0.2">
      <c r="A183" s="39">
        <f>IF(Values_Entered,A182+1,"")</f>
        <v>165</v>
      </c>
      <c r="B183" s="40">
        <f t="shared" si="21"/>
        <v>48519</v>
      </c>
      <c r="C183" s="41">
        <f t="shared" si="26"/>
        <v>595076.25109984539</v>
      </c>
      <c r="D183" s="41">
        <f t="shared" si="22"/>
        <v>4659.5735099457142</v>
      </c>
      <c r="E183" s="42">
        <f t="shared" si="29"/>
        <v>214000</v>
      </c>
      <c r="F183" s="43">
        <f t="shared" si="27"/>
        <v>381076.25109984539</v>
      </c>
      <c r="G183" s="41">
        <f t="shared" si="23"/>
        <v>4659.5735099457142</v>
      </c>
      <c r="H183" s="41">
        <f t="shared" si="24"/>
        <v>3452.8320481295373</v>
      </c>
      <c r="I183" s="41">
        <f t="shared" si="25"/>
        <v>1206.741461816177</v>
      </c>
      <c r="J183" s="41">
        <f t="shared" si="28"/>
        <v>591623.41905171587</v>
      </c>
      <c r="K183" s="41">
        <f t="shared" si="30"/>
        <v>360453.04819275835</v>
      </c>
      <c r="L183" s="14"/>
    </row>
    <row r="184" spans="1:12" x14ac:dyDescent="0.2">
      <c r="A184" s="39">
        <f>IF(Values_Entered,A183+1,"")</f>
        <v>166</v>
      </c>
      <c r="B184" s="40">
        <f t="shared" si="21"/>
        <v>48549</v>
      </c>
      <c r="C184" s="41">
        <f t="shared" si="26"/>
        <v>591623.41905171587</v>
      </c>
      <c r="D184" s="41">
        <f t="shared" si="22"/>
        <v>4659.5735099457142</v>
      </c>
      <c r="E184" s="42">
        <f t="shared" si="29"/>
        <v>215000</v>
      </c>
      <c r="F184" s="43">
        <f t="shared" si="27"/>
        <v>376623.41905171587</v>
      </c>
      <c r="G184" s="41">
        <f t="shared" si="23"/>
        <v>4659.5735099457142</v>
      </c>
      <c r="H184" s="41">
        <f t="shared" si="24"/>
        <v>3466.932682948614</v>
      </c>
      <c r="I184" s="41">
        <f t="shared" si="25"/>
        <v>1192.6408269971002</v>
      </c>
      <c r="J184" s="41">
        <f t="shared" si="28"/>
        <v>588156.48636876722</v>
      </c>
      <c r="K184" s="41">
        <f t="shared" si="30"/>
        <v>361645.68901975546</v>
      </c>
      <c r="L184" s="14"/>
    </row>
    <row r="185" spans="1:12" x14ac:dyDescent="0.2">
      <c r="A185" s="39">
        <f>IF(Values_Entered,A184+1,"")</f>
        <v>167</v>
      </c>
      <c r="B185" s="40">
        <f t="shared" si="21"/>
        <v>48580</v>
      </c>
      <c r="C185" s="41">
        <f t="shared" si="26"/>
        <v>588156.48636876722</v>
      </c>
      <c r="D185" s="41">
        <f t="shared" si="22"/>
        <v>4659.5735099457142</v>
      </c>
      <c r="E185" s="42">
        <f t="shared" si="29"/>
        <v>216000</v>
      </c>
      <c r="F185" s="43">
        <f t="shared" si="27"/>
        <v>372156.48636876722</v>
      </c>
      <c r="G185" s="41">
        <f t="shared" si="23"/>
        <v>4659.5735099457142</v>
      </c>
      <c r="H185" s="41">
        <f t="shared" si="24"/>
        <v>3481.0779697779517</v>
      </c>
      <c r="I185" s="41">
        <f t="shared" si="25"/>
        <v>1178.4955401677628</v>
      </c>
      <c r="J185" s="41">
        <f t="shared" si="28"/>
        <v>584675.40839898924</v>
      </c>
      <c r="K185" s="41">
        <f t="shared" si="30"/>
        <v>362824.18455992325</v>
      </c>
      <c r="L185" s="14"/>
    </row>
    <row r="186" spans="1:12" x14ac:dyDescent="0.2">
      <c r="A186" s="39">
        <f>IF(Values_Entered,A185+1,"")</f>
        <v>168</v>
      </c>
      <c r="B186" s="40">
        <f t="shared" si="21"/>
        <v>48611</v>
      </c>
      <c r="C186" s="41">
        <f t="shared" si="26"/>
        <v>584675.40839898924</v>
      </c>
      <c r="D186" s="41">
        <f t="shared" si="22"/>
        <v>4659.5735099457142</v>
      </c>
      <c r="E186" s="42">
        <f t="shared" si="29"/>
        <v>217000</v>
      </c>
      <c r="F186" s="43">
        <f t="shared" si="27"/>
        <v>367675.40839898924</v>
      </c>
      <c r="G186" s="41">
        <f t="shared" si="23"/>
        <v>4659.5735099457142</v>
      </c>
      <c r="H186" s="41">
        <f t="shared" si="24"/>
        <v>3495.2680500155816</v>
      </c>
      <c r="I186" s="41">
        <f t="shared" si="25"/>
        <v>1164.3054599301327</v>
      </c>
      <c r="J186" s="41">
        <f t="shared" si="28"/>
        <v>581180.14034897368</v>
      </c>
      <c r="K186" s="41">
        <f t="shared" si="30"/>
        <v>363988.4900198534</v>
      </c>
      <c r="L186" s="14"/>
    </row>
    <row r="187" spans="1:12" x14ac:dyDescent="0.2">
      <c r="A187" s="39">
        <f>IF(Values_Entered,A186+1,"")</f>
        <v>169</v>
      </c>
      <c r="B187" s="40">
        <f t="shared" si="21"/>
        <v>48639</v>
      </c>
      <c r="C187" s="41">
        <f t="shared" si="26"/>
        <v>581180.14034897368</v>
      </c>
      <c r="D187" s="41">
        <f t="shared" si="22"/>
        <v>4659.5735099457142</v>
      </c>
      <c r="E187" s="42">
        <f t="shared" si="29"/>
        <v>218000</v>
      </c>
      <c r="F187" s="43">
        <f t="shared" si="27"/>
        <v>363180.14034897368</v>
      </c>
      <c r="G187" s="41">
        <f t="shared" si="23"/>
        <v>4659.5735099457142</v>
      </c>
      <c r="H187" s="41">
        <f t="shared" si="24"/>
        <v>3509.5030655072978</v>
      </c>
      <c r="I187" s="41">
        <f t="shared" si="25"/>
        <v>1150.0704444384166</v>
      </c>
      <c r="J187" s="41">
        <f t="shared" si="28"/>
        <v>577670.63728346641</v>
      </c>
      <c r="K187" s="41">
        <f t="shared" si="30"/>
        <v>365138.56046429183</v>
      </c>
      <c r="L187" s="14"/>
    </row>
    <row r="188" spans="1:12" x14ac:dyDescent="0.2">
      <c r="A188" s="39">
        <f>IF(Values_Entered,A187+1,"")</f>
        <v>170</v>
      </c>
      <c r="B188" s="40">
        <f t="shared" si="21"/>
        <v>48670</v>
      </c>
      <c r="C188" s="41">
        <f t="shared" si="26"/>
        <v>577670.63728346641</v>
      </c>
      <c r="D188" s="41">
        <f t="shared" si="22"/>
        <v>4659.5735099457142</v>
      </c>
      <c r="E188" s="42">
        <f t="shared" si="29"/>
        <v>219000</v>
      </c>
      <c r="F188" s="43">
        <f t="shared" si="27"/>
        <v>358670.63728346641</v>
      </c>
      <c r="G188" s="41">
        <f t="shared" si="23"/>
        <v>4659.5735099457142</v>
      </c>
      <c r="H188" s="41">
        <f t="shared" si="24"/>
        <v>3523.7831585480708</v>
      </c>
      <c r="I188" s="41">
        <f t="shared" si="25"/>
        <v>1135.7903513976437</v>
      </c>
      <c r="J188" s="41">
        <f t="shared" si="28"/>
        <v>574146.85412491835</v>
      </c>
      <c r="K188" s="41">
        <f t="shared" si="30"/>
        <v>366274.35081568948</v>
      </c>
      <c r="L188" s="14"/>
    </row>
    <row r="189" spans="1:12" x14ac:dyDescent="0.2">
      <c r="A189" s="39">
        <f>IF(Values_Entered,A188+1,"")</f>
        <v>171</v>
      </c>
      <c r="B189" s="40">
        <f t="shared" si="21"/>
        <v>48700</v>
      </c>
      <c r="C189" s="41">
        <f t="shared" si="26"/>
        <v>574146.85412491835</v>
      </c>
      <c r="D189" s="41">
        <f t="shared" si="22"/>
        <v>4659.5735099457142</v>
      </c>
      <c r="E189" s="42">
        <f t="shared" si="29"/>
        <v>220000</v>
      </c>
      <c r="F189" s="43">
        <f t="shared" si="27"/>
        <v>354146.85412491835</v>
      </c>
      <c r="G189" s="41">
        <f t="shared" si="23"/>
        <v>4659.5735099457142</v>
      </c>
      <c r="H189" s="41">
        <f t="shared" si="24"/>
        <v>3538.1084718834727</v>
      </c>
      <c r="I189" s="41">
        <f t="shared" si="25"/>
        <v>1121.4650380622413</v>
      </c>
      <c r="J189" s="41">
        <f t="shared" si="28"/>
        <v>570608.74565303489</v>
      </c>
      <c r="K189" s="41">
        <f t="shared" si="30"/>
        <v>367395.81585375173</v>
      </c>
      <c r="L189" s="14"/>
    </row>
    <row r="190" spans="1:12" x14ac:dyDescent="0.2">
      <c r="A190" s="39">
        <f>IF(Values_Entered,A189+1,"")</f>
        <v>172</v>
      </c>
      <c r="B190" s="40">
        <f t="shared" si="21"/>
        <v>48731</v>
      </c>
      <c r="C190" s="41">
        <f t="shared" si="26"/>
        <v>570608.74565303489</v>
      </c>
      <c r="D190" s="41">
        <f t="shared" si="22"/>
        <v>4659.5735099457142</v>
      </c>
      <c r="E190" s="42">
        <f t="shared" si="29"/>
        <v>221000</v>
      </c>
      <c r="F190" s="43">
        <f t="shared" si="27"/>
        <v>349608.74565303489</v>
      </c>
      <c r="G190" s="41">
        <f t="shared" si="23"/>
        <v>4659.5735099457142</v>
      </c>
      <c r="H190" s="41">
        <f t="shared" si="24"/>
        <v>3552.4791487111038</v>
      </c>
      <c r="I190" s="41">
        <f t="shared" si="25"/>
        <v>1107.0943612346105</v>
      </c>
      <c r="J190" s="41">
        <f t="shared" si="28"/>
        <v>567056.26650432381</v>
      </c>
      <c r="K190" s="41">
        <f t="shared" si="30"/>
        <v>368502.91021498636</v>
      </c>
      <c r="L190" s="14"/>
    </row>
    <row r="191" spans="1:12" x14ac:dyDescent="0.2">
      <c r="A191" s="39">
        <f>IF(Values_Entered,A190+1,"")</f>
        <v>173</v>
      </c>
      <c r="B191" s="40">
        <f t="shared" si="21"/>
        <v>48761</v>
      </c>
      <c r="C191" s="41">
        <f t="shared" si="26"/>
        <v>567056.26650432381</v>
      </c>
      <c r="D191" s="41">
        <f t="shared" si="22"/>
        <v>4659.5735099457142</v>
      </c>
      <c r="E191" s="42">
        <f t="shared" si="29"/>
        <v>222000</v>
      </c>
      <c r="F191" s="43">
        <f t="shared" si="27"/>
        <v>345056.26650432381</v>
      </c>
      <c r="G191" s="41">
        <f t="shared" si="23"/>
        <v>4659.5735099457142</v>
      </c>
      <c r="H191" s="41">
        <f t="shared" si="24"/>
        <v>3566.8953326820219</v>
      </c>
      <c r="I191" s="41">
        <f t="shared" si="25"/>
        <v>1092.6781772636921</v>
      </c>
      <c r="J191" s="41">
        <f t="shared" si="28"/>
        <v>563489.37117164175</v>
      </c>
      <c r="K191" s="41">
        <f t="shared" si="30"/>
        <v>369595.58839225007</v>
      </c>
      <c r="L191" s="14"/>
    </row>
    <row r="192" spans="1:12" x14ac:dyDescent="0.2">
      <c r="A192" s="39">
        <f>IF(Values_Entered,A191+1,"")</f>
        <v>174</v>
      </c>
      <c r="B192" s="40">
        <f t="shared" si="21"/>
        <v>48792</v>
      </c>
      <c r="C192" s="41">
        <f t="shared" si="26"/>
        <v>563489.37117164175</v>
      </c>
      <c r="D192" s="41">
        <f t="shared" si="22"/>
        <v>4659.5735099457142</v>
      </c>
      <c r="E192" s="42">
        <f t="shared" si="29"/>
        <v>223000</v>
      </c>
      <c r="F192" s="43">
        <f t="shared" si="27"/>
        <v>340489.37117164175</v>
      </c>
      <c r="G192" s="41">
        <f t="shared" si="23"/>
        <v>4659.5735099457142</v>
      </c>
      <c r="H192" s="41">
        <f t="shared" si="24"/>
        <v>3581.357167902182</v>
      </c>
      <c r="I192" s="41">
        <f t="shared" si="25"/>
        <v>1078.2163420435322</v>
      </c>
      <c r="J192" s="41">
        <f t="shared" si="28"/>
        <v>559908.01400373958</v>
      </c>
      <c r="K192" s="41">
        <f t="shared" si="30"/>
        <v>370673.8047342936</v>
      </c>
      <c r="L192" s="14"/>
    </row>
    <row r="193" spans="1:12" x14ac:dyDescent="0.2">
      <c r="A193" s="39">
        <f>IF(Values_Entered,A192+1,"")</f>
        <v>175</v>
      </c>
      <c r="B193" s="40">
        <f t="shared" si="21"/>
        <v>48823</v>
      </c>
      <c r="C193" s="41">
        <f t="shared" si="26"/>
        <v>559908.01400373958</v>
      </c>
      <c r="D193" s="41">
        <f t="shared" si="22"/>
        <v>4659.5735099457142</v>
      </c>
      <c r="E193" s="42">
        <f t="shared" si="29"/>
        <v>224000</v>
      </c>
      <c r="F193" s="43">
        <f t="shared" si="27"/>
        <v>335908.01400373958</v>
      </c>
      <c r="G193" s="41">
        <f t="shared" si="23"/>
        <v>4659.5735099457142</v>
      </c>
      <c r="H193" s="41">
        <f t="shared" si="24"/>
        <v>3595.8647989338724</v>
      </c>
      <c r="I193" s="41">
        <f t="shared" si="25"/>
        <v>1063.7087110118421</v>
      </c>
      <c r="J193" s="41">
        <f t="shared" si="28"/>
        <v>556312.14920480573</v>
      </c>
      <c r="K193" s="41">
        <f t="shared" si="30"/>
        <v>371737.51344530546</v>
      </c>
      <c r="L193" s="14"/>
    </row>
    <row r="194" spans="1:12" x14ac:dyDescent="0.2">
      <c r="A194" s="39">
        <f>IF(Values_Entered,A193+1,"")</f>
        <v>176</v>
      </c>
      <c r="B194" s="40">
        <f t="shared" si="21"/>
        <v>48853</v>
      </c>
      <c r="C194" s="41">
        <f t="shared" si="26"/>
        <v>556312.14920480573</v>
      </c>
      <c r="D194" s="41">
        <f t="shared" si="22"/>
        <v>4659.5735099457142</v>
      </c>
      <c r="E194" s="42">
        <f t="shared" si="29"/>
        <v>225000</v>
      </c>
      <c r="F194" s="43">
        <f t="shared" si="27"/>
        <v>331312.14920480573</v>
      </c>
      <c r="G194" s="41">
        <f t="shared" si="23"/>
        <v>4659.5735099457142</v>
      </c>
      <c r="H194" s="41">
        <f t="shared" si="24"/>
        <v>3610.4183707971629</v>
      </c>
      <c r="I194" s="41">
        <f t="shared" si="25"/>
        <v>1049.1551391485514</v>
      </c>
      <c r="J194" s="41">
        <f t="shared" si="28"/>
        <v>552701.73083400854</v>
      </c>
      <c r="K194" s="41">
        <f t="shared" si="30"/>
        <v>372786.66858445399</v>
      </c>
      <c r="L194" s="14"/>
    </row>
    <row r="195" spans="1:12" x14ac:dyDescent="0.2">
      <c r="A195" s="39">
        <f>IF(Values_Entered,A194+1,"")</f>
        <v>177</v>
      </c>
      <c r="B195" s="40">
        <f t="shared" si="21"/>
        <v>48884</v>
      </c>
      <c r="C195" s="41">
        <f t="shared" si="26"/>
        <v>552701.73083400854</v>
      </c>
      <c r="D195" s="41">
        <f t="shared" si="22"/>
        <v>4659.5735099457142</v>
      </c>
      <c r="E195" s="42">
        <f t="shared" si="29"/>
        <v>226000</v>
      </c>
      <c r="F195" s="43">
        <f t="shared" si="27"/>
        <v>326701.73083400854</v>
      </c>
      <c r="G195" s="41">
        <f t="shared" si="23"/>
        <v>4659.5735099457142</v>
      </c>
      <c r="H195" s="41">
        <f t="shared" si="24"/>
        <v>3625.0180289713539</v>
      </c>
      <c r="I195" s="41">
        <f t="shared" si="25"/>
        <v>1034.5554809743603</v>
      </c>
      <c r="J195" s="41">
        <f t="shared" si="28"/>
        <v>549076.71280503715</v>
      </c>
      <c r="K195" s="41">
        <f t="shared" si="30"/>
        <v>373821.22406542837</v>
      </c>
      <c r="L195" s="14"/>
    </row>
    <row r="196" spans="1:12" x14ac:dyDescent="0.2">
      <c r="A196" s="39">
        <f>IF(Values_Entered,A195+1,"")</f>
        <v>178</v>
      </c>
      <c r="B196" s="40">
        <f t="shared" si="21"/>
        <v>48914</v>
      </c>
      <c r="C196" s="41">
        <f t="shared" si="26"/>
        <v>549076.71280503715</v>
      </c>
      <c r="D196" s="41">
        <f t="shared" si="22"/>
        <v>4659.5735099457142</v>
      </c>
      <c r="E196" s="42">
        <f t="shared" si="29"/>
        <v>227000</v>
      </c>
      <c r="F196" s="43">
        <f t="shared" si="27"/>
        <v>322076.71280503715</v>
      </c>
      <c r="G196" s="41">
        <f t="shared" si="23"/>
        <v>4659.5735099457142</v>
      </c>
      <c r="H196" s="41">
        <f t="shared" si="24"/>
        <v>3639.6639193964302</v>
      </c>
      <c r="I196" s="41">
        <f t="shared" si="25"/>
        <v>1019.9095905492843</v>
      </c>
      <c r="J196" s="41">
        <f t="shared" si="28"/>
        <v>545437.04888564069</v>
      </c>
      <c r="K196" s="41">
        <f t="shared" si="30"/>
        <v>374841.13365597767</v>
      </c>
      <c r="L196" s="14"/>
    </row>
    <row r="197" spans="1:12" x14ac:dyDescent="0.2">
      <c r="A197" s="39">
        <f>IF(Values_Entered,A196+1,"")</f>
        <v>179</v>
      </c>
      <c r="B197" s="40">
        <f t="shared" si="21"/>
        <v>48945</v>
      </c>
      <c r="C197" s="41">
        <f t="shared" si="26"/>
        <v>545437.04888564069</v>
      </c>
      <c r="D197" s="41">
        <f t="shared" si="22"/>
        <v>4659.5735099457142</v>
      </c>
      <c r="E197" s="42">
        <f t="shared" si="29"/>
        <v>228000</v>
      </c>
      <c r="F197" s="43">
        <f t="shared" si="27"/>
        <v>317437.04888564069</v>
      </c>
      <c r="G197" s="41">
        <f t="shared" si="23"/>
        <v>4659.5735099457142</v>
      </c>
      <c r="H197" s="41">
        <f t="shared" si="24"/>
        <v>3654.3561884745186</v>
      </c>
      <c r="I197" s="41">
        <f t="shared" si="25"/>
        <v>1005.2173214711955</v>
      </c>
      <c r="J197" s="41">
        <f t="shared" si="28"/>
        <v>541782.69269716612</v>
      </c>
      <c r="K197" s="41">
        <f t="shared" si="30"/>
        <v>375846.35097744886</v>
      </c>
      <c r="L197" s="14"/>
    </row>
    <row r="198" spans="1:12" x14ac:dyDescent="0.2">
      <c r="A198" s="39">
        <f>IF(Values_Entered,A197+1,"")</f>
        <v>180</v>
      </c>
      <c r="B198" s="40">
        <f t="shared" si="21"/>
        <v>48976</v>
      </c>
      <c r="C198" s="41">
        <f t="shared" si="26"/>
        <v>541782.69269716612</v>
      </c>
      <c r="D198" s="41">
        <f t="shared" si="22"/>
        <v>4659.5735099457142</v>
      </c>
      <c r="E198" s="42">
        <f t="shared" si="29"/>
        <v>229000</v>
      </c>
      <c r="F198" s="43">
        <f t="shared" si="27"/>
        <v>312782.69269716612</v>
      </c>
      <c r="G198" s="41">
        <f t="shared" si="23"/>
        <v>4659.5735099457142</v>
      </c>
      <c r="H198" s="41">
        <f t="shared" si="24"/>
        <v>3669.0949830713548</v>
      </c>
      <c r="I198" s="41">
        <f t="shared" si="25"/>
        <v>990.47852687435932</v>
      </c>
      <c r="J198" s="41">
        <f t="shared" si="28"/>
        <v>538113.59771409479</v>
      </c>
      <c r="K198" s="41">
        <f t="shared" si="30"/>
        <v>376836.82950432325</v>
      </c>
      <c r="L198" s="14"/>
    </row>
    <row r="199" spans="1:12" x14ac:dyDescent="0.2">
      <c r="A199" s="39">
        <f>IF(Values_Entered,A198+1,"")</f>
        <v>181</v>
      </c>
      <c r="B199" s="40">
        <f t="shared" si="21"/>
        <v>49004</v>
      </c>
      <c r="C199" s="41">
        <f t="shared" si="26"/>
        <v>538113.59771409479</v>
      </c>
      <c r="D199" s="41">
        <f t="shared" si="22"/>
        <v>4659.5735099457142</v>
      </c>
      <c r="E199" s="42">
        <f t="shared" si="29"/>
        <v>230000</v>
      </c>
      <c r="F199" s="43">
        <f t="shared" si="27"/>
        <v>308113.59771409479</v>
      </c>
      <c r="G199" s="41">
        <f t="shared" si="23"/>
        <v>4659.5735099457142</v>
      </c>
      <c r="H199" s="41">
        <f t="shared" si="24"/>
        <v>3683.8804505177477</v>
      </c>
      <c r="I199" s="41">
        <f t="shared" si="25"/>
        <v>975.69305942796677</v>
      </c>
      <c r="J199" s="41">
        <f t="shared" si="28"/>
        <v>534429.71726357704</v>
      </c>
      <c r="K199" s="41">
        <f t="shared" si="30"/>
        <v>377812.5225637512</v>
      </c>
      <c r="L199" s="14"/>
    </row>
    <row r="200" spans="1:12" x14ac:dyDescent="0.2">
      <c r="A200" s="39">
        <f>IF(Values_Entered,A199+1,"")</f>
        <v>182</v>
      </c>
      <c r="B200" s="40">
        <f t="shared" si="21"/>
        <v>49035</v>
      </c>
      <c r="C200" s="41">
        <f t="shared" si="26"/>
        <v>534429.71726357704</v>
      </c>
      <c r="D200" s="41">
        <f t="shared" si="22"/>
        <v>4659.5735099457142</v>
      </c>
      <c r="E200" s="42">
        <f t="shared" si="29"/>
        <v>231000</v>
      </c>
      <c r="F200" s="43">
        <f t="shared" si="27"/>
        <v>303429.71726357704</v>
      </c>
      <c r="G200" s="41">
        <f t="shared" si="23"/>
        <v>4659.5735099457142</v>
      </c>
      <c r="H200" s="41">
        <f t="shared" si="24"/>
        <v>3698.7127386110537</v>
      </c>
      <c r="I200" s="41">
        <f t="shared" si="25"/>
        <v>960.86077133466063</v>
      </c>
      <c r="J200" s="41">
        <f t="shared" si="28"/>
        <v>530731.004524966</v>
      </c>
      <c r="K200" s="41">
        <f t="shared" si="30"/>
        <v>378773.38333508588</v>
      </c>
      <c r="L200" s="14"/>
    </row>
    <row r="201" spans="1:12" x14ac:dyDescent="0.2">
      <c r="A201" s="39">
        <f>IF(Values_Entered,A200+1,"")</f>
        <v>183</v>
      </c>
      <c r="B201" s="40">
        <f t="shared" si="21"/>
        <v>49065</v>
      </c>
      <c r="C201" s="41">
        <f t="shared" si="26"/>
        <v>530731.004524966</v>
      </c>
      <c r="D201" s="41">
        <f t="shared" si="22"/>
        <v>4659.5735099457142</v>
      </c>
      <c r="E201" s="42">
        <f t="shared" si="29"/>
        <v>232000</v>
      </c>
      <c r="F201" s="43">
        <f t="shared" si="27"/>
        <v>298731.004524966</v>
      </c>
      <c r="G201" s="41">
        <f t="shared" si="23"/>
        <v>4659.5735099457142</v>
      </c>
      <c r="H201" s="41">
        <f t="shared" si="24"/>
        <v>3713.5919956166554</v>
      </c>
      <c r="I201" s="41">
        <f t="shared" si="25"/>
        <v>945.981514329059</v>
      </c>
      <c r="J201" s="41">
        <f t="shared" si="28"/>
        <v>527017.41252934933</v>
      </c>
      <c r="K201" s="41">
        <f t="shared" si="30"/>
        <v>379719.36484941491</v>
      </c>
      <c r="L201" s="14"/>
    </row>
    <row r="202" spans="1:12" x14ac:dyDescent="0.2">
      <c r="A202" s="39">
        <f>IF(Values_Entered,A201+1,"")</f>
        <v>184</v>
      </c>
      <c r="B202" s="40">
        <f t="shared" si="21"/>
        <v>49096</v>
      </c>
      <c r="C202" s="41">
        <f t="shared" si="26"/>
        <v>527017.41252934933</v>
      </c>
      <c r="D202" s="41">
        <f t="shared" si="22"/>
        <v>4659.5735099457142</v>
      </c>
      <c r="E202" s="42">
        <f t="shared" si="29"/>
        <v>233000</v>
      </c>
      <c r="F202" s="43">
        <f t="shared" si="27"/>
        <v>294017.41252934933</v>
      </c>
      <c r="G202" s="41">
        <f t="shared" si="23"/>
        <v>4659.5735099457142</v>
      </c>
      <c r="H202" s="41">
        <f t="shared" si="24"/>
        <v>3728.5183702694412</v>
      </c>
      <c r="I202" s="41">
        <f t="shared" si="25"/>
        <v>931.0551396762728</v>
      </c>
      <c r="J202" s="41">
        <f t="shared" si="28"/>
        <v>523288.89415907988</v>
      </c>
      <c r="K202" s="41">
        <f t="shared" si="30"/>
        <v>380650.41998909117</v>
      </c>
      <c r="L202" s="14"/>
    </row>
    <row r="203" spans="1:12" x14ac:dyDescent="0.2">
      <c r="A203" s="39">
        <f>IF(Values_Entered,A202+1,"")</f>
        <v>185</v>
      </c>
      <c r="B203" s="40">
        <f t="shared" si="21"/>
        <v>49126</v>
      </c>
      <c r="C203" s="41">
        <f t="shared" si="26"/>
        <v>523288.89415907988</v>
      </c>
      <c r="D203" s="41">
        <f t="shared" si="22"/>
        <v>4659.5735099457142</v>
      </c>
      <c r="E203" s="42">
        <f t="shared" si="29"/>
        <v>234000</v>
      </c>
      <c r="F203" s="43">
        <f t="shared" si="27"/>
        <v>289288.89415907988</v>
      </c>
      <c r="G203" s="41">
        <f t="shared" si="23"/>
        <v>4659.5735099457142</v>
      </c>
      <c r="H203" s="41">
        <f t="shared" si="24"/>
        <v>3743.4920117752945</v>
      </c>
      <c r="I203" s="41">
        <f t="shared" si="25"/>
        <v>916.08149817041954</v>
      </c>
      <c r="J203" s="41">
        <f t="shared" si="28"/>
        <v>519545.40214730456</v>
      </c>
      <c r="K203" s="41">
        <f t="shared" si="30"/>
        <v>381566.50148726162</v>
      </c>
      <c r="L203" s="14"/>
    </row>
    <row r="204" spans="1:12" x14ac:dyDescent="0.2">
      <c r="A204" s="39">
        <f>IF(Values_Entered,A203+1,"")</f>
        <v>186</v>
      </c>
      <c r="B204" s="40">
        <f t="shared" si="21"/>
        <v>49157</v>
      </c>
      <c r="C204" s="41">
        <f t="shared" si="26"/>
        <v>519545.40214730456</v>
      </c>
      <c r="D204" s="41">
        <f t="shared" si="22"/>
        <v>4659.5735099457142</v>
      </c>
      <c r="E204" s="42">
        <f t="shared" si="29"/>
        <v>235000</v>
      </c>
      <c r="F204" s="43">
        <f t="shared" si="27"/>
        <v>284545.40214730456</v>
      </c>
      <c r="G204" s="41">
        <f t="shared" si="23"/>
        <v>4659.5735099457142</v>
      </c>
      <c r="H204" s="41">
        <f t="shared" si="24"/>
        <v>3758.5130698125831</v>
      </c>
      <c r="I204" s="41">
        <f t="shared" si="25"/>
        <v>901.06044013313112</v>
      </c>
      <c r="J204" s="41">
        <f t="shared" si="28"/>
        <v>515786.889077492</v>
      </c>
      <c r="K204" s="41">
        <f t="shared" si="30"/>
        <v>382467.56192739477</v>
      </c>
      <c r="L204" s="14"/>
    </row>
    <row r="205" spans="1:12" x14ac:dyDescent="0.2">
      <c r="A205" s="39">
        <f>IF(Values_Entered,A204+1,"")</f>
        <v>187</v>
      </c>
      <c r="B205" s="40">
        <f t="shared" si="21"/>
        <v>49188</v>
      </c>
      <c r="C205" s="41">
        <f t="shared" si="26"/>
        <v>515786.889077492</v>
      </c>
      <c r="D205" s="41">
        <f t="shared" si="22"/>
        <v>4659.5735099457142</v>
      </c>
      <c r="E205" s="42">
        <f t="shared" si="29"/>
        <v>236000</v>
      </c>
      <c r="F205" s="43">
        <f t="shared" si="27"/>
        <v>279786.889077492</v>
      </c>
      <c r="G205" s="41">
        <f t="shared" si="23"/>
        <v>4659.5735099457142</v>
      </c>
      <c r="H205" s="41">
        <f t="shared" si="24"/>
        <v>3773.5816945336564</v>
      </c>
      <c r="I205" s="41">
        <f t="shared" si="25"/>
        <v>885.99181541205803</v>
      </c>
      <c r="J205" s="41">
        <f t="shared" si="28"/>
        <v>512013.30738295836</v>
      </c>
      <c r="K205" s="41">
        <f t="shared" si="30"/>
        <v>383353.55374280683</v>
      </c>
      <c r="L205" s="14"/>
    </row>
    <row r="206" spans="1:12" x14ac:dyDescent="0.2">
      <c r="A206" s="39">
        <f>IF(Values_Entered,A205+1,"")</f>
        <v>188</v>
      </c>
      <c r="B206" s="40">
        <f t="shared" si="21"/>
        <v>49218</v>
      </c>
      <c r="C206" s="41">
        <f t="shared" si="26"/>
        <v>512013.30738295836</v>
      </c>
      <c r="D206" s="41">
        <f t="shared" si="22"/>
        <v>4659.5735099457142</v>
      </c>
      <c r="E206" s="42">
        <f t="shared" si="29"/>
        <v>237000</v>
      </c>
      <c r="F206" s="43">
        <f t="shared" si="27"/>
        <v>275013.30738295836</v>
      </c>
      <c r="G206" s="41">
        <f t="shared" si="23"/>
        <v>4659.5735099457142</v>
      </c>
      <c r="H206" s="41">
        <f t="shared" si="24"/>
        <v>3788.6980365663462</v>
      </c>
      <c r="I206" s="41">
        <f t="shared" si="25"/>
        <v>870.87547337936815</v>
      </c>
      <c r="J206" s="41">
        <f t="shared" si="28"/>
        <v>508224.60934639204</v>
      </c>
      <c r="K206" s="41">
        <f t="shared" si="30"/>
        <v>384224.42921618622</v>
      </c>
      <c r="L206" s="14"/>
    </row>
    <row r="207" spans="1:12" x14ac:dyDescent="0.2">
      <c r="A207" s="39">
        <f>IF(Values_Entered,A206+1,"")</f>
        <v>189</v>
      </c>
      <c r="B207" s="40">
        <f t="shared" si="21"/>
        <v>49249</v>
      </c>
      <c r="C207" s="41">
        <f t="shared" si="26"/>
        <v>508224.60934639204</v>
      </c>
      <c r="D207" s="41">
        <f t="shared" si="22"/>
        <v>4659.5735099457142</v>
      </c>
      <c r="E207" s="42">
        <f t="shared" si="29"/>
        <v>238000</v>
      </c>
      <c r="F207" s="43">
        <f t="shared" si="27"/>
        <v>270224.60934639204</v>
      </c>
      <c r="G207" s="41">
        <f t="shared" si="23"/>
        <v>4659.5735099457142</v>
      </c>
      <c r="H207" s="41">
        <f t="shared" si="24"/>
        <v>3803.8622470154728</v>
      </c>
      <c r="I207" s="41">
        <f t="shared" si="25"/>
        <v>855.71126293024145</v>
      </c>
      <c r="J207" s="41">
        <f t="shared" si="28"/>
        <v>504420.74709937657</v>
      </c>
      <c r="K207" s="41">
        <f t="shared" si="30"/>
        <v>385080.14047911647</v>
      </c>
      <c r="L207" s="14"/>
    </row>
    <row r="208" spans="1:12" x14ac:dyDescent="0.2">
      <c r="A208" s="39">
        <f>IF(Values_Entered,A207+1,"")</f>
        <v>190</v>
      </c>
      <c r="B208" s="40">
        <f t="shared" si="21"/>
        <v>49279</v>
      </c>
      <c r="C208" s="41">
        <f t="shared" si="26"/>
        <v>504420.74709937657</v>
      </c>
      <c r="D208" s="41">
        <f t="shared" si="22"/>
        <v>4659.5735099457142</v>
      </c>
      <c r="E208" s="42">
        <f t="shared" si="29"/>
        <v>239000</v>
      </c>
      <c r="F208" s="43">
        <f t="shared" si="27"/>
        <v>265420.74709937657</v>
      </c>
      <c r="G208" s="41">
        <f t="shared" si="23"/>
        <v>4659.5735099457142</v>
      </c>
      <c r="H208" s="41">
        <f t="shared" si="24"/>
        <v>3819.0744774643554</v>
      </c>
      <c r="I208" s="41">
        <f t="shared" si="25"/>
        <v>840.49903248135911</v>
      </c>
      <c r="J208" s="41">
        <f t="shared" si="28"/>
        <v>500601.67262191221</v>
      </c>
      <c r="K208" s="41">
        <f t="shared" si="30"/>
        <v>385920.63951159781</v>
      </c>
      <c r="L208" s="14"/>
    </row>
    <row r="209" spans="1:12" x14ac:dyDescent="0.2">
      <c r="A209" s="39">
        <f>IF(Values_Entered,A208+1,"")</f>
        <v>191</v>
      </c>
      <c r="B209" s="40">
        <f t="shared" si="21"/>
        <v>49310</v>
      </c>
      <c r="C209" s="41">
        <f t="shared" si="26"/>
        <v>500601.67262191221</v>
      </c>
      <c r="D209" s="41">
        <f t="shared" si="22"/>
        <v>4659.5735099457142</v>
      </c>
      <c r="E209" s="42">
        <f t="shared" si="29"/>
        <v>240000</v>
      </c>
      <c r="F209" s="43">
        <f t="shared" si="27"/>
        <v>260601.67262191221</v>
      </c>
      <c r="G209" s="41">
        <f t="shared" si="23"/>
        <v>4659.5735099457142</v>
      </c>
      <c r="H209" s="41">
        <f t="shared" si="24"/>
        <v>3834.3348799763257</v>
      </c>
      <c r="I209" s="41">
        <f t="shared" si="25"/>
        <v>825.23862996938863</v>
      </c>
      <c r="J209" s="41">
        <f t="shared" si="28"/>
        <v>496767.33774193586</v>
      </c>
      <c r="K209" s="41">
        <f t="shared" si="30"/>
        <v>386745.87814156717</v>
      </c>
      <c r="L209" s="14"/>
    </row>
    <row r="210" spans="1:12" x14ac:dyDescent="0.2">
      <c r="A210" s="39">
        <f>IF(Values_Entered,A209+1,"")</f>
        <v>192</v>
      </c>
      <c r="B210" s="40">
        <f t="shared" si="21"/>
        <v>49341</v>
      </c>
      <c r="C210" s="41">
        <f t="shared" si="26"/>
        <v>496767.33774193586</v>
      </c>
      <c r="D210" s="41">
        <f t="shared" si="22"/>
        <v>4659.5735099457142</v>
      </c>
      <c r="E210" s="42">
        <f t="shared" si="29"/>
        <v>241000</v>
      </c>
      <c r="F210" s="43">
        <f t="shared" si="27"/>
        <v>255767.33774193586</v>
      </c>
      <c r="G210" s="41">
        <f t="shared" si="23"/>
        <v>4659.5735099457142</v>
      </c>
      <c r="H210" s="41">
        <f t="shared" si="24"/>
        <v>3849.6436070962509</v>
      </c>
      <c r="I210" s="41">
        <f t="shared" si="25"/>
        <v>809.92990284946359</v>
      </c>
      <c r="J210" s="41">
        <f t="shared" si="28"/>
        <v>492917.69413483964</v>
      </c>
      <c r="K210" s="41">
        <f t="shared" si="30"/>
        <v>387555.80804441666</v>
      </c>
      <c r="L210" s="14"/>
    </row>
    <row r="211" spans="1:12" x14ac:dyDescent="0.2">
      <c r="A211" s="39">
        <f>IF(Values_Entered,A210+1,"")</f>
        <v>193</v>
      </c>
      <c r="B211" s="40">
        <f t="shared" ref="B211:B274" si="31">IF(Pay_Num&lt;&gt;"",DATE(YEAR(Loan_Start),MONTH(Loan_Start)+(Pay_Num)*12/Num_Pmt_Per_Year,DAY(Loan_Start)),"")</f>
        <v>49369</v>
      </c>
      <c r="C211" s="41">
        <f t="shared" si="26"/>
        <v>492917.69413483964</v>
      </c>
      <c r="D211" s="41">
        <f t="shared" ref="D211:D274" si="32">IF(Pay_Num&lt;&gt;"",Scheduled_Monthly_Payment,"")</f>
        <v>4659.5735099457142</v>
      </c>
      <c r="E211" s="42">
        <f t="shared" si="29"/>
        <v>242000</v>
      </c>
      <c r="F211" s="43">
        <f t="shared" si="27"/>
        <v>250917.69413483964</v>
      </c>
      <c r="G211" s="41">
        <f t="shared" ref="G211:G274" si="33">IF(AND(Pay_Num&lt;&gt;"",Sched_Pay&lt;Beg_Bal),Sched_Pay,IF(Pay_Num&lt;&gt;"",Beg_Bal,""))</f>
        <v>4659.5735099457142</v>
      </c>
      <c r="H211" s="41">
        <f t="shared" ref="H211:H274" si="34">IF(Pay_Num&lt;&gt;"",Total_Pay-Int,"")</f>
        <v>3865.0008118520554</v>
      </c>
      <c r="I211" s="41">
        <f t="shared" ref="I211:I274" si="35">IF(Pay_Num&lt;&gt;"",(Beg_Bal-E211)*(Interest_Rate/Num_Pmt_Per_Year),"")</f>
        <v>794.5726980936588</v>
      </c>
      <c r="J211" s="41">
        <f t="shared" si="28"/>
        <v>489052.69332298759</v>
      </c>
      <c r="K211" s="41">
        <f t="shared" si="30"/>
        <v>388350.38074251032</v>
      </c>
      <c r="L211" s="14"/>
    </row>
    <row r="212" spans="1:12" x14ac:dyDescent="0.2">
      <c r="A212" s="39">
        <f>IF(Values_Entered,A211+1,"")</f>
        <v>194</v>
      </c>
      <c r="B212" s="40">
        <f t="shared" si="31"/>
        <v>49400</v>
      </c>
      <c r="C212" s="41">
        <f t="shared" ref="C212:C275" si="36">IF(Pay_Num&lt;&gt;"",J211,"")</f>
        <v>489052.69332298759</v>
      </c>
      <c r="D212" s="41">
        <f t="shared" si="32"/>
        <v>4659.5735099457142</v>
      </c>
      <c r="E212" s="42">
        <f t="shared" si="29"/>
        <v>243000</v>
      </c>
      <c r="F212" s="43">
        <f t="shared" ref="F212:F275" si="37">+C212-E212</f>
        <v>246052.69332298759</v>
      </c>
      <c r="G212" s="41">
        <f t="shared" si="33"/>
        <v>4659.5735099457142</v>
      </c>
      <c r="H212" s="41">
        <f t="shared" si="34"/>
        <v>3880.4066477562537</v>
      </c>
      <c r="I212" s="41">
        <f t="shared" si="35"/>
        <v>779.16686218946063</v>
      </c>
      <c r="J212" s="41">
        <f t="shared" ref="J212:J275" si="38">IF(AND(Pay_Num&lt;&gt;"",Sched_Pay+Extra_Pay&lt;Beg_Bal),Beg_Bal-Princ,IF(Pay_Num&lt;&gt;"",0,""))</f>
        <v>485172.28667523136</v>
      </c>
      <c r="K212" s="41">
        <f t="shared" si="30"/>
        <v>389129.54760469979</v>
      </c>
      <c r="L212" s="14"/>
    </row>
    <row r="213" spans="1:12" x14ac:dyDescent="0.2">
      <c r="A213" s="39">
        <f>IF(Values_Entered,A212+1,"")</f>
        <v>195</v>
      </c>
      <c r="B213" s="40">
        <f t="shared" si="31"/>
        <v>49430</v>
      </c>
      <c r="C213" s="41">
        <f t="shared" si="36"/>
        <v>485172.28667523136</v>
      </c>
      <c r="D213" s="41">
        <f t="shared" si="32"/>
        <v>4659.5735099457142</v>
      </c>
      <c r="E213" s="42">
        <f t="shared" ref="E213:E276" si="39">+E212+$D$11</f>
        <v>244000</v>
      </c>
      <c r="F213" s="43">
        <f t="shared" si="37"/>
        <v>241172.28667523136</v>
      </c>
      <c r="G213" s="41">
        <f t="shared" si="33"/>
        <v>4659.5735099457142</v>
      </c>
      <c r="H213" s="41">
        <f t="shared" si="34"/>
        <v>3895.8612688074818</v>
      </c>
      <c r="I213" s="41">
        <f t="shared" si="35"/>
        <v>763.71224113823257</v>
      </c>
      <c r="J213" s="41">
        <f t="shared" si="38"/>
        <v>481276.42540642386</v>
      </c>
      <c r="K213" s="41">
        <f t="shared" si="30"/>
        <v>389893.25984583801</v>
      </c>
      <c r="L213" s="14"/>
    </row>
    <row r="214" spans="1:12" x14ac:dyDescent="0.2">
      <c r="A214" s="39">
        <f>IF(Values_Entered,A213+1,"")</f>
        <v>196</v>
      </c>
      <c r="B214" s="40">
        <f t="shared" si="31"/>
        <v>49461</v>
      </c>
      <c r="C214" s="41">
        <f t="shared" si="36"/>
        <v>481276.42540642386</v>
      </c>
      <c r="D214" s="41">
        <f t="shared" si="32"/>
        <v>4659.5735099457142</v>
      </c>
      <c r="E214" s="42">
        <f t="shared" si="39"/>
        <v>245000</v>
      </c>
      <c r="F214" s="43">
        <f t="shared" si="37"/>
        <v>236276.42540642386</v>
      </c>
      <c r="G214" s="41">
        <f t="shared" si="33"/>
        <v>4659.5735099457142</v>
      </c>
      <c r="H214" s="41">
        <f t="shared" si="34"/>
        <v>3911.3648294920386</v>
      </c>
      <c r="I214" s="41">
        <f t="shared" si="35"/>
        <v>748.20868045367558</v>
      </c>
      <c r="J214" s="41">
        <f t="shared" si="38"/>
        <v>477365.06057693181</v>
      </c>
      <c r="K214" s="41">
        <f t="shared" si="30"/>
        <v>390641.46852629166</v>
      </c>
      <c r="L214" s="14"/>
    </row>
    <row r="215" spans="1:12" x14ac:dyDescent="0.2">
      <c r="A215" s="39">
        <f>IF(Values_Entered,A214+1,"")</f>
        <v>197</v>
      </c>
      <c r="B215" s="40">
        <f t="shared" si="31"/>
        <v>49491</v>
      </c>
      <c r="C215" s="41">
        <f t="shared" si="36"/>
        <v>477365.06057693181</v>
      </c>
      <c r="D215" s="41">
        <f t="shared" si="32"/>
        <v>4659.5735099457142</v>
      </c>
      <c r="E215" s="42">
        <f t="shared" si="39"/>
        <v>246000</v>
      </c>
      <c r="F215" s="43">
        <f t="shared" si="37"/>
        <v>231365.06057693181</v>
      </c>
      <c r="G215" s="41">
        <f t="shared" si="33"/>
        <v>4659.5735099457142</v>
      </c>
      <c r="H215" s="41">
        <f t="shared" si="34"/>
        <v>3926.9174847854301</v>
      </c>
      <c r="I215" s="41">
        <f t="shared" si="35"/>
        <v>732.656025160284</v>
      </c>
      <c r="J215" s="41">
        <f t="shared" si="38"/>
        <v>473438.14309214638</v>
      </c>
      <c r="K215" s="41">
        <f t="shared" si="30"/>
        <v>391374.12455145194</v>
      </c>
      <c r="L215" s="14"/>
    </row>
    <row r="216" spans="1:12" x14ac:dyDescent="0.2">
      <c r="A216" s="39">
        <f>IF(Values_Entered,A215+1,"")</f>
        <v>198</v>
      </c>
      <c r="B216" s="40">
        <f t="shared" si="31"/>
        <v>49522</v>
      </c>
      <c r="C216" s="41">
        <f t="shared" si="36"/>
        <v>473438.14309214638</v>
      </c>
      <c r="D216" s="41">
        <f t="shared" si="32"/>
        <v>4659.5735099457142</v>
      </c>
      <c r="E216" s="42">
        <f t="shared" si="39"/>
        <v>247000</v>
      </c>
      <c r="F216" s="43">
        <f t="shared" si="37"/>
        <v>226438.14309214638</v>
      </c>
      <c r="G216" s="41">
        <f t="shared" si="33"/>
        <v>4659.5735099457142</v>
      </c>
      <c r="H216" s="41">
        <f t="shared" si="34"/>
        <v>3942.5193901539174</v>
      </c>
      <c r="I216" s="41">
        <f t="shared" si="35"/>
        <v>717.05411979179689</v>
      </c>
      <c r="J216" s="41">
        <f t="shared" si="38"/>
        <v>469495.62370199244</v>
      </c>
      <c r="K216" s="41">
        <f t="shared" ref="K216:K279" si="40">IF(I216&lt;0,0,+K215+I216)</f>
        <v>392091.17867124372</v>
      </c>
      <c r="L216" s="14"/>
    </row>
    <row r="217" spans="1:12" x14ac:dyDescent="0.2">
      <c r="A217" s="39">
        <f>IF(Values_Entered,A216+1,"")</f>
        <v>199</v>
      </c>
      <c r="B217" s="40">
        <f t="shared" si="31"/>
        <v>49553</v>
      </c>
      <c r="C217" s="41">
        <f t="shared" si="36"/>
        <v>469495.62370199244</v>
      </c>
      <c r="D217" s="41">
        <f t="shared" si="32"/>
        <v>4659.5735099457142</v>
      </c>
      <c r="E217" s="42">
        <f t="shared" si="39"/>
        <v>248000</v>
      </c>
      <c r="F217" s="43">
        <f t="shared" si="37"/>
        <v>221495.62370199244</v>
      </c>
      <c r="G217" s="41">
        <f t="shared" si="33"/>
        <v>4659.5735099457142</v>
      </c>
      <c r="H217" s="41">
        <f t="shared" si="34"/>
        <v>3958.1707015560714</v>
      </c>
      <c r="I217" s="41">
        <f t="shared" si="35"/>
        <v>701.4028083896427</v>
      </c>
      <c r="J217" s="41">
        <f t="shared" si="38"/>
        <v>465537.45300043636</v>
      </c>
      <c r="K217" s="41">
        <f t="shared" si="40"/>
        <v>392792.58147963334</v>
      </c>
      <c r="L217" s="14"/>
    </row>
    <row r="218" spans="1:12" x14ac:dyDescent="0.2">
      <c r="A218" s="39">
        <f>IF(Values_Entered,A217+1,"")</f>
        <v>200</v>
      </c>
      <c r="B218" s="40">
        <f t="shared" si="31"/>
        <v>49583</v>
      </c>
      <c r="C218" s="41">
        <f t="shared" si="36"/>
        <v>465537.45300043636</v>
      </c>
      <c r="D218" s="41">
        <f t="shared" si="32"/>
        <v>4659.5735099457142</v>
      </c>
      <c r="E218" s="42">
        <f t="shared" si="39"/>
        <v>249000</v>
      </c>
      <c r="F218" s="43">
        <f t="shared" si="37"/>
        <v>216537.45300043636</v>
      </c>
      <c r="G218" s="41">
        <f t="shared" si="33"/>
        <v>4659.5735099457142</v>
      </c>
      <c r="H218" s="41">
        <f t="shared" si="34"/>
        <v>3973.8715754443324</v>
      </c>
      <c r="I218" s="41">
        <f t="shared" si="35"/>
        <v>685.70193450138174</v>
      </c>
      <c r="J218" s="41">
        <f t="shared" si="38"/>
        <v>461563.58142499201</v>
      </c>
      <c r="K218" s="41">
        <f t="shared" si="40"/>
        <v>393478.2834141347</v>
      </c>
      <c r="L218" s="14"/>
    </row>
    <row r="219" spans="1:12" x14ac:dyDescent="0.2">
      <c r="A219" s="39">
        <f>IF(Values_Entered,A218+1,"")</f>
        <v>201</v>
      </c>
      <c r="B219" s="40">
        <f t="shared" si="31"/>
        <v>49614</v>
      </c>
      <c r="C219" s="41">
        <f t="shared" si="36"/>
        <v>461563.58142499201</v>
      </c>
      <c r="D219" s="41">
        <f t="shared" si="32"/>
        <v>4659.5735099457142</v>
      </c>
      <c r="E219" s="42">
        <f t="shared" si="39"/>
        <v>250000</v>
      </c>
      <c r="F219" s="43">
        <f t="shared" si="37"/>
        <v>211563.58142499201</v>
      </c>
      <c r="G219" s="41">
        <f t="shared" si="33"/>
        <v>4659.5735099457142</v>
      </c>
      <c r="H219" s="41">
        <f t="shared" si="34"/>
        <v>3989.6221687665729</v>
      </c>
      <c r="I219" s="41">
        <f t="shared" si="35"/>
        <v>669.95134117914131</v>
      </c>
      <c r="J219" s="41">
        <f t="shared" si="38"/>
        <v>457573.95925622544</v>
      </c>
      <c r="K219" s="41">
        <f t="shared" si="40"/>
        <v>394148.23475531384</v>
      </c>
      <c r="L219" s="14"/>
    </row>
    <row r="220" spans="1:12" x14ac:dyDescent="0.2">
      <c r="A220" s="39">
        <f>IF(Values_Entered,A219+1,"")</f>
        <v>202</v>
      </c>
      <c r="B220" s="40">
        <f t="shared" si="31"/>
        <v>49644</v>
      </c>
      <c r="C220" s="41">
        <f t="shared" si="36"/>
        <v>457573.95925622544</v>
      </c>
      <c r="D220" s="41">
        <f t="shared" si="32"/>
        <v>4659.5735099457142</v>
      </c>
      <c r="E220" s="42">
        <f t="shared" si="39"/>
        <v>251000</v>
      </c>
      <c r="F220" s="43">
        <f t="shared" si="37"/>
        <v>206573.95925622544</v>
      </c>
      <c r="G220" s="41">
        <f t="shared" si="33"/>
        <v>4659.5735099457142</v>
      </c>
      <c r="H220" s="41">
        <f t="shared" si="34"/>
        <v>4005.4226389676669</v>
      </c>
      <c r="I220" s="41">
        <f t="shared" si="35"/>
        <v>654.15087097804724</v>
      </c>
      <c r="J220" s="41">
        <f t="shared" si="38"/>
        <v>453568.53661725775</v>
      </c>
      <c r="K220" s="41">
        <f t="shared" si="40"/>
        <v>394802.38562629191</v>
      </c>
      <c r="L220" s="14"/>
    </row>
    <row r="221" spans="1:12" x14ac:dyDescent="0.2">
      <c r="A221" s="39">
        <f>IF(Values_Entered,A220+1,"")</f>
        <v>203</v>
      </c>
      <c r="B221" s="40">
        <f t="shared" si="31"/>
        <v>49675</v>
      </c>
      <c r="C221" s="41">
        <f t="shared" si="36"/>
        <v>453568.53661725775</v>
      </c>
      <c r="D221" s="41">
        <f t="shared" si="32"/>
        <v>4659.5735099457142</v>
      </c>
      <c r="E221" s="42">
        <f t="shared" si="39"/>
        <v>252000</v>
      </c>
      <c r="F221" s="43">
        <f t="shared" si="37"/>
        <v>201568.53661725775</v>
      </c>
      <c r="G221" s="41">
        <f t="shared" si="33"/>
        <v>4659.5735099457142</v>
      </c>
      <c r="H221" s="41">
        <f t="shared" si="34"/>
        <v>4021.2731439910649</v>
      </c>
      <c r="I221" s="41">
        <f t="shared" si="35"/>
        <v>638.30036595464958</v>
      </c>
      <c r="J221" s="41">
        <f t="shared" si="38"/>
        <v>449547.26347326668</v>
      </c>
      <c r="K221" s="41">
        <f t="shared" si="40"/>
        <v>395440.68599224655</v>
      </c>
      <c r="L221" s="14"/>
    </row>
    <row r="222" spans="1:12" x14ac:dyDescent="0.2">
      <c r="A222" s="39">
        <f>IF(Values_Entered,A221+1,"")</f>
        <v>204</v>
      </c>
      <c r="B222" s="40">
        <f t="shared" si="31"/>
        <v>49706</v>
      </c>
      <c r="C222" s="41">
        <f t="shared" si="36"/>
        <v>449547.26347326668</v>
      </c>
      <c r="D222" s="41">
        <f t="shared" si="32"/>
        <v>4659.5735099457142</v>
      </c>
      <c r="E222" s="42">
        <f t="shared" si="39"/>
        <v>253000</v>
      </c>
      <c r="F222" s="43">
        <f t="shared" si="37"/>
        <v>196547.26347326668</v>
      </c>
      <c r="G222" s="41">
        <f t="shared" si="33"/>
        <v>4659.5735099457142</v>
      </c>
      <c r="H222" s="41">
        <f t="shared" si="34"/>
        <v>4037.1738422803696</v>
      </c>
      <c r="I222" s="41">
        <f t="shared" si="35"/>
        <v>622.39966766534451</v>
      </c>
      <c r="J222" s="41">
        <f t="shared" si="38"/>
        <v>445510.08963098633</v>
      </c>
      <c r="K222" s="41">
        <f t="shared" si="40"/>
        <v>396063.08565991191</v>
      </c>
      <c r="L222" s="14"/>
    </row>
    <row r="223" spans="1:12" x14ac:dyDescent="0.2">
      <c r="A223" s="39">
        <f>IF(Values_Entered,A222+1,"")</f>
        <v>205</v>
      </c>
      <c r="B223" s="40">
        <f t="shared" si="31"/>
        <v>49735</v>
      </c>
      <c r="C223" s="41">
        <f t="shared" si="36"/>
        <v>445510.08963098633</v>
      </c>
      <c r="D223" s="41">
        <f t="shared" si="32"/>
        <v>4659.5735099457142</v>
      </c>
      <c r="E223" s="42">
        <f t="shared" si="39"/>
        <v>254000</v>
      </c>
      <c r="F223" s="43">
        <f t="shared" si="37"/>
        <v>191510.08963098633</v>
      </c>
      <c r="G223" s="41">
        <f t="shared" si="33"/>
        <v>4659.5735099457142</v>
      </c>
      <c r="H223" s="41">
        <f t="shared" si="34"/>
        <v>4053.1248927809243</v>
      </c>
      <c r="I223" s="41">
        <f t="shared" si="35"/>
        <v>606.44861716478999</v>
      </c>
      <c r="J223" s="41">
        <f t="shared" si="38"/>
        <v>441456.96473820542</v>
      </c>
      <c r="K223" s="41">
        <f t="shared" si="40"/>
        <v>396669.53427707672</v>
      </c>
      <c r="L223" s="14"/>
    </row>
    <row r="224" spans="1:12" x14ac:dyDescent="0.2">
      <c r="A224" s="39">
        <f>IF(Values_Entered,A223+1,"")</f>
        <v>206</v>
      </c>
      <c r="B224" s="40">
        <f t="shared" si="31"/>
        <v>49766</v>
      </c>
      <c r="C224" s="41">
        <f t="shared" si="36"/>
        <v>441456.96473820542</v>
      </c>
      <c r="D224" s="41">
        <f t="shared" si="32"/>
        <v>4659.5735099457142</v>
      </c>
      <c r="E224" s="42">
        <f t="shared" si="39"/>
        <v>255000</v>
      </c>
      <c r="F224" s="43">
        <f t="shared" si="37"/>
        <v>186456.96473820542</v>
      </c>
      <c r="G224" s="41">
        <f t="shared" si="33"/>
        <v>4659.5735099457142</v>
      </c>
      <c r="H224" s="41">
        <f t="shared" si="34"/>
        <v>4069.1264549413972</v>
      </c>
      <c r="I224" s="41">
        <f t="shared" si="35"/>
        <v>590.44705500431712</v>
      </c>
      <c r="J224" s="41">
        <f t="shared" si="38"/>
        <v>437387.83828326402</v>
      </c>
      <c r="K224" s="41">
        <f t="shared" si="40"/>
        <v>397259.98133208102</v>
      </c>
      <c r="L224" s="14"/>
    </row>
    <row r="225" spans="1:12" x14ac:dyDescent="0.2">
      <c r="A225" s="39">
        <f>IF(Values_Entered,A224+1,"")</f>
        <v>207</v>
      </c>
      <c r="B225" s="40">
        <f t="shared" si="31"/>
        <v>49796</v>
      </c>
      <c r="C225" s="41">
        <f t="shared" si="36"/>
        <v>437387.83828326402</v>
      </c>
      <c r="D225" s="41">
        <f t="shared" si="32"/>
        <v>4659.5735099457142</v>
      </c>
      <c r="E225" s="42">
        <f t="shared" si="39"/>
        <v>256000</v>
      </c>
      <c r="F225" s="43">
        <f t="shared" si="37"/>
        <v>181387.83828326402</v>
      </c>
      <c r="G225" s="41">
        <f t="shared" si="33"/>
        <v>4659.5735099457142</v>
      </c>
      <c r="H225" s="41">
        <f t="shared" si="34"/>
        <v>4085.1786887153785</v>
      </c>
      <c r="I225" s="41">
        <f t="shared" si="35"/>
        <v>574.39482123033599</v>
      </c>
      <c r="J225" s="41">
        <f t="shared" si="38"/>
        <v>433302.65959454863</v>
      </c>
      <c r="K225" s="41">
        <f t="shared" si="40"/>
        <v>397834.37615331134</v>
      </c>
      <c r="L225" s="14"/>
    </row>
    <row r="226" spans="1:12" x14ac:dyDescent="0.2">
      <c r="A226" s="39">
        <f>IF(Values_Entered,A225+1,"")</f>
        <v>208</v>
      </c>
      <c r="B226" s="40">
        <f t="shared" si="31"/>
        <v>49827</v>
      </c>
      <c r="C226" s="41">
        <f t="shared" si="36"/>
        <v>433302.65959454863</v>
      </c>
      <c r="D226" s="41">
        <f t="shared" si="32"/>
        <v>4659.5735099457142</v>
      </c>
      <c r="E226" s="42">
        <f t="shared" si="39"/>
        <v>257000</v>
      </c>
      <c r="F226" s="43">
        <f t="shared" si="37"/>
        <v>176302.65959454863</v>
      </c>
      <c r="G226" s="41">
        <f t="shared" si="33"/>
        <v>4659.5735099457142</v>
      </c>
      <c r="H226" s="41">
        <f t="shared" si="34"/>
        <v>4101.2817545629769</v>
      </c>
      <c r="I226" s="41">
        <f t="shared" si="35"/>
        <v>558.29175538273728</v>
      </c>
      <c r="J226" s="41">
        <f t="shared" si="38"/>
        <v>429201.37783998565</v>
      </c>
      <c r="K226" s="41">
        <f t="shared" si="40"/>
        <v>398392.66790869407</v>
      </c>
      <c r="L226" s="14"/>
    </row>
    <row r="227" spans="1:12" x14ac:dyDescent="0.2">
      <c r="A227" s="39">
        <f>IF(Values_Entered,A226+1,"")</f>
        <v>209</v>
      </c>
      <c r="B227" s="40">
        <f t="shared" si="31"/>
        <v>49857</v>
      </c>
      <c r="C227" s="41">
        <f t="shared" si="36"/>
        <v>429201.37783998565</v>
      </c>
      <c r="D227" s="41">
        <f t="shared" si="32"/>
        <v>4659.5735099457142</v>
      </c>
      <c r="E227" s="42">
        <f t="shared" si="39"/>
        <v>258000</v>
      </c>
      <c r="F227" s="43">
        <f t="shared" si="37"/>
        <v>171201.37783998565</v>
      </c>
      <c r="G227" s="41">
        <f t="shared" si="33"/>
        <v>4659.5735099457142</v>
      </c>
      <c r="H227" s="41">
        <f t="shared" si="34"/>
        <v>4117.4358134524264</v>
      </c>
      <c r="I227" s="41">
        <f t="shared" si="35"/>
        <v>542.13769649328788</v>
      </c>
      <c r="J227" s="41">
        <f t="shared" si="38"/>
        <v>425083.94202653324</v>
      </c>
      <c r="K227" s="41">
        <f t="shared" si="40"/>
        <v>398934.80560518737</v>
      </c>
      <c r="L227" s="14"/>
    </row>
    <row r="228" spans="1:12" x14ac:dyDescent="0.2">
      <c r="A228" s="39">
        <f>IF(Values_Entered,A227+1,"")</f>
        <v>210</v>
      </c>
      <c r="B228" s="40">
        <f t="shared" si="31"/>
        <v>49888</v>
      </c>
      <c r="C228" s="41">
        <f t="shared" si="36"/>
        <v>425083.94202653324</v>
      </c>
      <c r="D228" s="41">
        <f t="shared" si="32"/>
        <v>4659.5735099457142</v>
      </c>
      <c r="E228" s="42">
        <f t="shared" si="39"/>
        <v>259000</v>
      </c>
      <c r="F228" s="43">
        <f t="shared" si="37"/>
        <v>166083.94202653324</v>
      </c>
      <c r="G228" s="41">
        <f t="shared" si="33"/>
        <v>4659.5735099457142</v>
      </c>
      <c r="H228" s="41">
        <f t="shared" si="34"/>
        <v>4133.6410268616928</v>
      </c>
      <c r="I228" s="41">
        <f t="shared" si="35"/>
        <v>525.9324830840219</v>
      </c>
      <c r="J228" s="41">
        <f t="shared" si="38"/>
        <v>420950.30099967157</v>
      </c>
      <c r="K228" s="41">
        <f t="shared" si="40"/>
        <v>399460.73808827141</v>
      </c>
      <c r="L228" s="14"/>
    </row>
    <row r="229" spans="1:12" x14ac:dyDescent="0.2">
      <c r="A229" s="39">
        <f>IF(Values_Entered,A228+1,"")</f>
        <v>211</v>
      </c>
      <c r="B229" s="40">
        <f t="shared" si="31"/>
        <v>49919</v>
      </c>
      <c r="C229" s="41">
        <f t="shared" si="36"/>
        <v>420950.30099967157</v>
      </c>
      <c r="D229" s="41">
        <f t="shared" si="32"/>
        <v>4659.5735099457142</v>
      </c>
      <c r="E229" s="42">
        <f t="shared" si="39"/>
        <v>260000</v>
      </c>
      <c r="F229" s="43">
        <f t="shared" si="37"/>
        <v>160950.30099967157</v>
      </c>
      <c r="G229" s="41">
        <f t="shared" si="33"/>
        <v>4659.5735099457142</v>
      </c>
      <c r="H229" s="41">
        <f t="shared" si="34"/>
        <v>4149.8975567800881</v>
      </c>
      <c r="I229" s="41">
        <f t="shared" si="35"/>
        <v>509.67595316562665</v>
      </c>
      <c r="J229" s="41">
        <f t="shared" si="38"/>
        <v>416800.40344289149</v>
      </c>
      <c r="K229" s="41">
        <f t="shared" si="40"/>
        <v>399970.41404143703</v>
      </c>
      <c r="L229" s="14"/>
    </row>
    <row r="230" spans="1:12" x14ac:dyDescent="0.2">
      <c r="A230" s="39">
        <f>IF(Values_Entered,A229+1,"")</f>
        <v>212</v>
      </c>
      <c r="B230" s="40">
        <f t="shared" si="31"/>
        <v>49949</v>
      </c>
      <c r="C230" s="41">
        <f t="shared" si="36"/>
        <v>416800.40344289149</v>
      </c>
      <c r="D230" s="41">
        <f t="shared" si="32"/>
        <v>4659.5735099457142</v>
      </c>
      <c r="E230" s="42">
        <f t="shared" si="39"/>
        <v>261000</v>
      </c>
      <c r="F230" s="43">
        <f t="shared" si="37"/>
        <v>155800.40344289149</v>
      </c>
      <c r="G230" s="41">
        <f t="shared" si="33"/>
        <v>4659.5735099457142</v>
      </c>
      <c r="H230" s="41">
        <f t="shared" si="34"/>
        <v>4166.2055657098908</v>
      </c>
      <c r="I230" s="41">
        <f t="shared" si="35"/>
        <v>493.36794423582302</v>
      </c>
      <c r="J230" s="41">
        <f t="shared" si="38"/>
        <v>412634.19787718158</v>
      </c>
      <c r="K230" s="41">
        <f t="shared" si="40"/>
        <v>400463.78198567283</v>
      </c>
      <c r="L230" s="14"/>
    </row>
    <row r="231" spans="1:12" x14ac:dyDescent="0.2">
      <c r="A231" s="39">
        <f>IF(Values_Entered,A230+1,"")</f>
        <v>213</v>
      </c>
      <c r="B231" s="40">
        <f t="shared" si="31"/>
        <v>49980</v>
      </c>
      <c r="C231" s="41">
        <f t="shared" si="36"/>
        <v>412634.19787718158</v>
      </c>
      <c r="D231" s="41">
        <f t="shared" si="32"/>
        <v>4659.5735099457142</v>
      </c>
      <c r="E231" s="42">
        <f t="shared" si="39"/>
        <v>262000</v>
      </c>
      <c r="F231" s="43">
        <f t="shared" si="37"/>
        <v>150634.19787718158</v>
      </c>
      <c r="G231" s="41">
        <f t="shared" si="33"/>
        <v>4659.5735099457142</v>
      </c>
      <c r="H231" s="41">
        <f t="shared" si="34"/>
        <v>4182.5652166679729</v>
      </c>
      <c r="I231" s="41">
        <f t="shared" si="35"/>
        <v>477.00829327774164</v>
      </c>
      <c r="J231" s="41">
        <f t="shared" si="38"/>
        <v>408451.63266051363</v>
      </c>
      <c r="K231" s="41">
        <f t="shared" si="40"/>
        <v>400940.79027895059</v>
      </c>
      <c r="L231" s="14"/>
    </row>
    <row r="232" spans="1:12" x14ac:dyDescent="0.2">
      <c r="A232" s="39">
        <f>IF(Values_Entered,A231+1,"")</f>
        <v>214</v>
      </c>
      <c r="B232" s="40">
        <f t="shared" si="31"/>
        <v>50010</v>
      </c>
      <c r="C232" s="41">
        <f t="shared" si="36"/>
        <v>408451.63266051363</v>
      </c>
      <c r="D232" s="41">
        <f t="shared" si="32"/>
        <v>4659.5735099457142</v>
      </c>
      <c r="E232" s="42">
        <f t="shared" si="39"/>
        <v>263000</v>
      </c>
      <c r="F232" s="43">
        <f t="shared" si="37"/>
        <v>145451.63266051363</v>
      </c>
      <c r="G232" s="41">
        <f t="shared" si="33"/>
        <v>4659.5735099457142</v>
      </c>
      <c r="H232" s="41">
        <f t="shared" si="34"/>
        <v>4198.9766731874215</v>
      </c>
      <c r="I232" s="41">
        <f t="shared" si="35"/>
        <v>460.59683675829314</v>
      </c>
      <c r="J232" s="41">
        <f t="shared" si="38"/>
        <v>404252.65598732623</v>
      </c>
      <c r="K232" s="41">
        <f t="shared" si="40"/>
        <v>401401.3871157089</v>
      </c>
      <c r="L232" s="14"/>
    </row>
    <row r="233" spans="1:12" x14ac:dyDescent="0.2">
      <c r="A233" s="39">
        <f>IF(Values_Entered,A232+1,"")</f>
        <v>215</v>
      </c>
      <c r="B233" s="40">
        <f t="shared" si="31"/>
        <v>50041</v>
      </c>
      <c r="C233" s="41">
        <f t="shared" si="36"/>
        <v>404252.65598732623</v>
      </c>
      <c r="D233" s="41">
        <f t="shared" si="32"/>
        <v>4659.5735099457142</v>
      </c>
      <c r="E233" s="42">
        <f t="shared" si="39"/>
        <v>264000</v>
      </c>
      <c r="F233" s="43">
        <f t="shared" si="37"/>
        <v>140252.65598732623</v>
      </c>
      <c r="G233" s="41">
        <f t="shared" si="33"/>
        <v>4659.5735099457142</v>
      </c>
      <c r="H233" s="41">
        <f t="shared" si="34"/>
        <v>4215.4400993191812</v>
      </c>
      <c r="I233" s="41">
        <f t="shared" si="35"/>
        <v>444.13341062653308</v>
      </c>
      <c r="J233" s="41">
        <f t="shared" si="38"/>
        <v>400037.21588800708</v>
      </c>
      <c r="K233" s="41">
        <f t="shared" si="40"/>
        <v>401845.52052633546</v>
      </c>
      <c r="L233" s="14"/>
    </row>
    <row r="234" spans="1:12" x14ac:dyDescent="0.2">
      <c r="A234" s="39">
        <f>IF(Values_Entered,A233+1,"")</f>
        <v>216</v>
      </c>
      <c r="B234" s="40">
        <f t="shared" si="31"/>
        <v>50072</v>
      </c>
      <c r="C234" s="41">
        <f t="shared" si="36"/>
        <v>400037.21588800708</v>
      </c>
      <c r="D234" s="41">
        <f t="shared" si="32"/>
        <v>4659.5735099457142</v>
      </c>
      <c r="E234" s="42">
        <f t="shared" si="39"/>
        <v>265000</v>
      </c>
      <c r="F234" s="43">
        <f t="shared" si="37"/>
        <v>135037.21588800708</v>
      </c>
      <c r="G234" s="41">
        <f t="shared" si="33"/>
        <v>4659.5735099457142</v>
      </c>
      <c r="H234" s="41">
        <f t="shared" si="34"/>
        <v>4231.9556596336915</v>
      </c>
      <c r="I234" s="41">
        <f t="shared" si="35"/>
        <v>427.61785031202243</v>
      </c>
      <c r="J234" s="41">
        <f t="shared" si="38"/>
        <v>395805.2602283734</v>
      </c>
      <c r="K234" s="41">
        <f t="shared" si="40"/>
        <v>402273.13837664749</v>
      </c>
      <c r="L234" s="14"/>
    </row>
    <row r="235" spans="1:12" x14ac:dyDescent="0.2">
      <c r="A235" s="39">
        <f>IF(Values_Entered,A234+1,"")</f>
        <v>217</v>
      </c>
      <c r="B235" s="40">
        <f t="shared" si="31"/>
        <v>50100</v>
      </c>
      <c r="C235" s="41">
        <f t="shared" si="36"/>
        <v>395805.2602283734</v>
      </c>
      <c r="D235" s="41">
        <f t="shared" si="32"/>
        <v>4659.5735099457142</v>
      </c>
      <c r="E235" s="42">
        <f t="shared" si="39"/>
        <v>266000</v>
      </c>
      <c r="F235" s="43">
        <f t="shared" si="37"/>
        <v>129805.2602283734</v>
      </c>
      <c r="G235" s="41">
        <f t="shared" si="33"/>
        <v>4659.5735099457142</v>
      </c>
      <c r="H235" s="41">
        <f t="shared" si="34"/>
        <v>4248.5235192225318</v>
      </c>
      <c r="I235" s="41">
        <f t="shared" si="35"/>
        <v>411.04999072318242</v>
      </c>
      <c r="J235" s="41">
        <f t="shared" si="38"/>
        <v>391556.73670915089</v>
      </c>
      <c r="K235" s="41">
        <f t="shared" si="40"/>
        <v>402684.18836737069</v>
      </c>
      <c r="L235" s="14"/>
    </row>
    <row r="236" spans="1:12" x14ac:dyDescent="0.2">
      <c r="A236" s="39">
        <f>IF(Values_Entered,A235+1,"")</f>
        <v>218</v>
      </c>
      <c r="B236" s="40">
        <f t="shared" si="31"/>
        <v>50131</v>
      </c>
      <c r="C236" s="41">
        <f t="shared" si="36"/>
        <v>391556.73670915089</v>
      </c>
      <c r="D236" s="41">
        <f t="shared" si="32"/>
        <v>4659.5735099457142</v>
      </c>
      <c r="E236" s="42">
        <f t="shared" si="39"/>
        <v>267000</v>
      </c>
      <c r="F236" s="43">
        <f t="shared" si="37"/>
        <v>124556.73670915089</v>
      </c>
      <c r="G236" s="41">
        <f t="shared" si="33"/>
        <v>4659.5735099457142</v>
      </c>
      <c r="H236" s="41">
        <f t="shared" si="34"/>
        <v>4265.1438437000697</v>
      </c>
      <c r="I236" s="41">
        <f t="shared" si="35"/>
        <v>394.42966624564451</v>
      </c>
      <c r="J236" s="41">
        <f t="shared" si="38"/>
        <v>387291.59286545083</v>
      </c>
      <c r="K236" s="41">
        <f t="shared" si="40"/>
        <v>403078.61803361634</v>
      </c>
      <c r="L236" s="14"/>
    </row>
    <row r="237" spans="1:12" x14ac:dyDescent="0.2">
      <c r="A237" s="39">
        <f>IF(Values_Entered,A236+1,"")</f>
        <v>219</v>
      </c>
      <c r="B237" s="40">
        <f t="shared" si="31"/>
        <v>50161</v>
      </c>
      <c r="C237" s="41">
        <f t="shared" si="36"/>
        <v>387291.59286545083</v>
      </c>
      <c r="D237" s="41">
        <f t="shared" si="32"/>
        <v>4659.5735099457142</v>
      </c>
      <c r="E237" s="42">
        <f t="shared" si="39"/>
        <v>268000</v>
      </c>
      <c r="F237" s="43">
        <f t="shared" si="37"/>
        <v>119291.59286545083</v>
      </c>
      <c r="G237" s="41">
        <f t="shared" si="33"/>
        <v>4659.5735099457142</v>
      </c>
      <c r="H237" s="41">
        <f t="shared" si="34"/>
        <v>4281.8167992051203</v>
      </c>
      <c r="I237" s="41">
        <f t="shared" si="35"/>
        <v>377.75671074059431</v>
      </c>
      <c r="J237" s="41">
        <f t="shared" si="38"/>
        <v>383009.77606624569</v>
      </c>
      <c r="K237" s="41">
        <f t="shared" si="40"/>
        <v>403456.37474435696</v>
      </c>
      <c r="L237" s="14"/>
    </row>
    <row r="238" spans="1:12" x14ac:dyDescent="0.2">
      <c r="A238" s="39">
        <f>IF(Values_Entered,A237+1,"")</f>
        <v>220</v>
      </c>
      <c r="B238" s="40">
        <f t="shared" si="31"/>
        <v>50192</v>
      </c>
      <c r="C238" s="41">
        <f t="shared" si="36"/>
        <v>383009.77606624569</v>
      </c>
      <c r="D238" s="41">
        <f t="shared" si="32"/>
        <v>4659.5735099457142</v>
      </c>
      <c r="E238" s="42">
        <f t="shared" si="39"/>
        <v>269000</v>
      </c>
      <c r="F238" s="43">
        <f t="shared" si="37"/>
        <v>114009.77606624569</v>
      </c>
      <c r="G238" s="41">
        <f t="shared" si="33"/>
        <v>4659.5735099457142</v>
      </c>
      <c r="H238" s="41">
        <f t="shared" si="34"/>
        <v>4298.5425524026032</v>
      </c>
      <c r="I238" s="41">
        <f t="shared" si="35"/>
        <v>361.03095754311136</v>
      </c>
      <c r="J238" s="41">
        <f t="shared" si="38"/>
        <v>378711.23351384309</v>
      </c>
      <c r="K238" s="41">
        <f t="shared" si="40"/>
        <v>403817.40570190008</v>
      </c>
      <c r="L238" s="14"/>
    </row>
    <row r="239" spans="1:12" x14ac:dyDescent="0.2">
      <c r="A239" s="39">
        <f>IF(Values_Entered,A238+1,"")</f>
        <v>221</v>
      </c>
      <c r="B239" s="40">
        <f t="shared" si="31"/>
        <v>50222</v>
      </c>
      <c r="C239" s="41">
        <f t="shared" si="36"/>
        <v>378711.23351384309</v>
      </c>
      <c r="D239" s="41">
        <f t="shared" si="32"/>
        <v>4659.5735099457142</v>
      </c>
      <c r="E239" s="42">
        <f t="shared" si="39"/>
        <v>270000</v>
      </c>
      <c r="F239" s="43">
        <f t="shared" si="37"/>
        <v>108711.23351384309</v>
      </c>
      <c r="G239" s="41">
        <f t="shared" si="33"/>
        <v>4659.5735099457142</v>
      </c>
      <c r="H239" s="41">
        <f t="shared" si="34"/>
        <v>4315.3212704852112</v>
      </c>
      <c r="I239" s="41">
        <f t="shared" si="35"/>
        <v>344.25223946050312</v>
      </c>
      <c r="J239" s="41">
        <f t="shared" si="38"/>
        <v>374395.91224335786</v>
      </c>
      <c r="K239" s="41">
        <f t="shared" si="40"/>
        <v>404161.65794136055</v>
      </c>
      <c r="L239" s="14"/>
    </row>
    <row r="240" spans="1:12" x14ac:dyDescent="0.2">
      <c r="A240" s="39">
        <f>IF(Values_Entered,A239+1,"")</f>
        <v>222</v>
      </c>
      <c r="B240" s="40">
        <f t="shared" si="31"/>
        <v>50253</v>
      </c>
      <c r="C240" s="41">
        <f t="shared" si="36"/>
        <v>374395.91224335786</v>
      </c>
      <c r="D240" s="41">
        <f t="shared" si="32"/>
        <v>4659.5735099457142</v>
      </c>
      <c r="E240" s="42">
        <f t="shared" si="39"/>
        <v>271000</v>
      </c>
      <c r="F240" s="43">
        <f t="shared" si="37"/>
        <v>103395.91224335786</v>
      </c>
      <c r="G240" s="41">
        <f t="shared" si="33"/>
        <v>4659.5735099457142</v>
      </c>
      <c r="H240" s="41">
        <f t="shared" si="34"/>
        <v>4332.1531211750807</v>
      </c>
      <c r="I240" s="41">
        <f t="shared" si="35"/>
        <v>327.42038877063322</v>
      </c>
      <c r="J240" s="41">
        <f t="shared" si="38"/>
        <v>370063.75912218279</v>
      </c>
      <c r="K240" s="41">
        <f t="shared" si="40"/>
        <v>404489.07833013119</v>
      </c>
      <c r="L240" s="14"/>
    </row>
    <row r="241" spans="1:12" x14ac:dyDescent="0.2">
      <c r="A241" s="39">
        <f>IF(Values_Entered,A240+1,"")</f>
        <v>223</v>
      </c>
      <c r="B241" s="40">
        <f t="shared" si="31"/>
        <v>50284</v>
      </c>
      <c r="C241" s="41">
        <f t="shared" si="36"/>
        <v>370063.75912218279</v>
      </c>
      <c r="D241" s="41">
        <f t="shared" si="32"/>
        <v>4659.5735099457142</v>
      </c>
      <c r="E241" s="42">
        <f t="shared" si="39"/>
        <v>272000</v>
      </c>
      <c r="F241" s="43">
        <f t="shared" si="37"/>
        <v>98063.75912218279</v>
      </c>
      <c r="G241" s="41">
        <f t="shared" si="33"/>
        <v>4659.5735099457142</v>
      </c>
      <c r="H241" s="41">
        <f t="shared" si="34"/>
        <v>4349.0382727254691</v>
      </c>
      <c r="I241" s="41">
        <f t="shared" si="35"/>
        <v>310.53523722024551</v>
      </c>
      <c r="J241" s="41">
        <f t="shared" si="38"/>
        <v>365714.72084945731</v>
      </c>
      <c r="K241" s="41">
        <f t="shared" si="40"/>
        <v>404799.61356735142</v>
      </c>
      <c r="L241" s="14"/>
    </row>
    <row r="242" spans="1:12" x14ac:dyDescent="0.2">
      <c r="A242" s="39">
        <f>IF(Values_Entered,A241+1,"")</f>
        <v>224</v>
      </c>
      <c r="B242" s="40">
        <f t="shared" si="31"/>
        <v>50314</v>
      </c>
      <c r="C242" s="41">
        <f t="shared" si="36"/>
        <v>365714.72084945731</v>
      </c>
      <c r="D242" s="41">
        <f t="shared" si="32"/>
        <v>4659.5735099457142</v>
      </c>
      <c r="E242" s="42">
        <f t="shared" si="39"/>
        <v>273000</v>
      </c>
      <c r="F242" s="43">
        <f t="shared" si="37"/>
        <v>92714.720849457313</v>
      </c>
      <c r="G242" s="41">
        <f t="shared" si="33"/>
        <v>4659.5735099457142</v>
      </c>
      <c r="H242" s="41">
        <f t="shared" si="34"/>
        <v>4365.9768939224323</v>
      </c>
      <c r="I242" s="41">
        <f t="shared" si="35"/>
        <v>293.59661602328151</v>
      </c>
      <c r="J242" s="41">
        <f t="shared" si="38"/>
        <v>361348.74395553488</v>
      </c>
      <c r="K242" s="41">
        <f t="shared" si="40"/>
        <v>405093.2101833747</v>
      </c>
      <c r="L242" s="14"/>
    </row>
    <row r="243" spans="1:12" x14ac:dyDescent="0.2">
      <c r="A243" s="39">
        <f>IF(Values_Entered,A242+1,"")</f>
        <v>225</v>
      </c>
      <c r="B243" s="40">
        <f t="shared" si="31"/>
        <v>50345</v>
      </c>
      <c r="C243" s="41">
        <f t="shared" si="36"/>
        <v>361348.74395553488</v>
      </c>
      <c r="D243" s="41">
        <f t="shared" si="32"/>
        <v>4659.5735099457142</v>
      </c>
      <c r="E243" s="42">
        <f t="shared" si="39"/>
        <v>274000</v>
      </c>
      <c r="F243" s="43">
        <f t="shared" si="37"/>
        <v>87348.743955534883</v>
      </c>
      <c r="G243" s="41">
        <f t="shared" si="33"/>
        <v>4659.5735099457142</v>
      </c>
      <c r="H243" s="41">
        <f t="shared" si="34"/>
        <v>4382.9691540865206</v>
      </c>
      <c r="I243" s="41">
        <f t="shared" si="35"/>
        <v>276.60435585919379</v>
      </c>
      <c r="J243" s="41">
        <f t="shared" si="38"/>
        <v>356965.77480144834</v>
      </c>
      <c r="K243" s="41">
        <f t="shared" si="40"/>
        <v>405369.81453923392</v>
      </c>
      <c r="L243" s="14"/>
    </row>
    <row r="244" spans="1:12" x14ac:dyDescent="0.2">
      <c r="A244" s="39">
        <f>IF(Values_Entered,A243+1,"")</f>
        <v>226</v>
      </c>
      <c r="B244" s="40">
        <f t="shared" si="31"/>
        <v>50375</v>
      </c>
      <c r="C244" s="41">
        <f t="shared" si="36"/>
        <v>356965.77480144834</v>
      </c>
      <c r="D244" s="41">
        <f t="shared" si="32"/>
        <v>4659.5735099457142</v>
      </c>
      <c r="E244" s="42">
        <f t="shared" si="39"/>
        <v>275000</v>
      </c>
      <c r="F244" s="43">
        <f t="shared" si="37"/>
        <v>81965.774801448337</v>
      </c>
      <c r="G244" s="41">
        <f t="shared" si="33"/>
        <v>4659.5735099457142</v>
      </c>
      <c r="H244" s="41">
        <f t="shared" si="34"/>
        <v>4400.0152230744616</v>
      </c>
      <c r="I244" s="41">
        <f t="shared" si="35"/>
        <v>259.55828687125307</v>
      </c>
      <c r="J244" s="41">
        <f t="shared" si="38"/>
        <v>352565.75957837387</v>
      </c>
      <c r="K244" s="41">
        <f t="shared" si="40"/>
        <v>405629.37282610516</v>
      </c>
      <c r="L244" s="14"/>
    </row>
    <row r="245" spans="1:12" x14ac:dyDescent="0.2">
      <c r="A245" s="39">
        <f>IF(Values_Entered,A244+1,"")</f>
        <v>227</v>
      </c>
      <c r="B245" s="40">
        <f t="shared" si="31"/>
        <v>50406</v>
      </c>
      <c r="C245" s="41">
        <f t="shared" si="36"/>
        <v>352565.75957837387</v>
      </c>
      <c r="D245" s="41">
        <f t="shared" si="32"/>
        <v>4659.5735099457142</v>
      </c>
      <c r="E245" s="42">
        <f t="shared" si="39"/>
        <v>276000</v>
      </c>
      <c r="F245" s="43">
        <f t="shared" si="37"/>
        <v>76565.759578373865</v>
      </c>
      <c r="G245" s="41">
        <f t="shared" si="33"/>
        <v>4659.5735099457142</v>
      </c>
      <c r="H245" s="41">
        <f t="shared" si="34"/>
        <v>4417.1152712808635</v>
      </c>
      <c r="I245" s="41">
        <f t="shared" si="35"/>
        <v>242.45823866485057</v>
      </c>
      <c r="J245" s="41">
        <f t="shared" si="38"/>
        <v>348148.644307093</v>
      </c>
      <c r="K245" s="41">
        <f t="shared" si="40"/>
        <v>405871.83106477</v>
      </c>
      <c r="L245" s="14"/>
    </row>
    <row r="246" spans="1:12" x14ac:dyDescent="0.2">
      <c r="A246" s="39">
        <f>IF(Values_Entered,A245+1,"")</f>
        <v>228</v>
      </c>
      <c r="B246" s="40">
        <f t="shared" si="31"/>
        <v>50437</v>
      </c>
      <c r="C246" s="41">
        <f t="shared" si="36"/>
        <v>348148.644307093</v>
      </c>
      <c r="D246" s="41">
        <f t="shared" si="32"/>
        <v>4659.5735099457142</v>
      </c>
      <c r="E246" s="42">
        <f t="shared" si="39"/>
        <v>277000</v>
      </c>
      <c r="F246" s="43">
        <f t="shared" si="37"/>
        <v>71148.644307092996</v>
      </c>
      <c r="G246" s="41">
        <f t="shared" si="33"/>
        <v>4659.5735099457142</v>
      </c>
      <c r="H246" s="41">
        <f t="shared" si="34"/>
        <v>4434.2694696399194</v>
      </c>
      <c r="I246" s="41">
        <f t="shared" si="35"/>
        <v>225.30404030579447</v>
      </c>
      <c r="J246" s="41">
        <f t="shared" si="38"/>
        <v>343714.37483745307</v>
      </c>
      <c r="K246" s="41">
        <f t="shared" si="40"/>
        <v>406097.13510507578</v>
      </c>
      <c r="L246" s="14"/>
    </row>
    <row r="247" spans="1:12" x14ac:dyDescent="0.2">
      <c r="A247" s="39">
        <f>IF(Values_Entered,A246+1,"")</f>
        <v>229</v>
      </c>
      <c r="B247" s="40">
        <f t="shared" si="31"/>
        <v>50465</v>
      </c>
      <c r="C247" s="41">
        <f t="shared" si="36"/>
        <v>343714.37483745307</v>
      </c>
      <c r="D247" s="41">
        <f t="shared" si="32"/>
        <v>4659.5735099457142</v>
      </c>
      <c r="E247" s="42">
        <f t="shared" si="39"/>
        <v>278000</v>
      </c>
      <c r="F247" s="43">
        <f t="shared" si="37"/>
        <v>65714.37483745307</v>
      </c>
      <c r="G247" s="41">
        <f t="shared" si="33"/>
        <v>4659.5735099457142</v>
      </c>
      <c r="H247" s="41">
        <f t="shared" si="34"/>
        <v>4451.4779896271129</v>
      </c>
      <c r="I247" s="41">
        <f t="shared" si="35"/>
        <v>208.09552031860139</v>
      </c>
      <c r="J247" s="41">
        <f t="shared" si="38"/>
        <v>339262.89684782596</v>
      </c>
      <c r="K247" s="41">
        <f t="shared" si="40"/>
        <v>406305.23062539438</v>
      </c>
      <c r="L247" s="14"/>
    </row>
    <row r="248" spans="1:12" x14ac:dyDescent="0.2">
      <c r="A248" s="39">
        <f>IF(Values_Entered,A247+1,"")</f>
        <v>230</v>
      </c>
      <c r="B248" s="40">
        <f t="shared" si="31"/>
        <v>50496</v>
      </c>
      <c r="C248" s="41">
        <f t="shared" si="36"/>
        <v>339262.89684782596</v>
      </c>
      <c r="D248" s="41">
        <f t="shared" si="32"/>
        <v>4659.5735099457142</v>
      </c>
      <c r="E248" s="42">
        <f t="shared" si="39"/>
        <v>279000</v>
      </c>
      <c r="F248" s="43">
        <f t="shared" si="37"/>
        <v>60262.896847825963</v>
      </c>
      <c r="G248" s="41">
        <f t="shared" si="33"/>
        <v>4659.5735099457142</v>
      </c>
      <c r="H248" s="41">
        <f t="shared" si="34"/>
        <v>4468.7410032609323</v>
      </c>
      <c r="I248" s="41">
        <f t="shared" si="35"/>
        <v>190.8325066847822</v>
      </c>
      <c r="J248" s="41">
        <f t="shared" si="38"/>
        <v>334794.15584456502</v>
      </c>
      <c r="K248" s="41">
        <f t="shared" si="40"/>
        <v>406496.06313207914</v>
      </c>
      <c r="L248" s="14"/>
    </row>
    <row r="249" spans="1:12" x14ac:dyDescent="0.2">
      <c r="A249" s="39">
        <f>IF(Values_Entered,A248+1,"")</f>
        <v>231</v>
      </c>
      <c r="B249" s="40">
        <f t="shared" si="31"/>
        <v>50526</v>
      </c>
      <c r="C249" s="41">
        <f t="shared" si="36"/>
        <v>334794.15584456502</v>
      </c>
      <c r="D249" s="41">
        <f t="shared" si="32"/>
        <v>4659.5735099457142</v>
      </c>
      <c r="E249" s="42">
        <f t="shared" si="39"/>
        <v>280000</v>
      </c>
      <c r="F249" s="43">
        <f t="shared" si="37"/>
        <v>54794.155844565015</v>
      </c>
      <c r="G249" s="41">
        <f t="shared" si="33"/>
        <v>4659.5735099457142</v>
      </c>
      <c r="H249" s="41">
        <f t="shared" si="34"/>
        <v>4486.0586831045921</v>
      </c>
      <c r="I249" s="41">
        <f t="shared" si="35"/>
        <v>173.51482684112256</v>
      </c>
      <c r="J249" s="41">
        <f t="shared" si="38"/>
        <v>330308.09716146044</v>
      </c>
      <c r="K249" s="41">
        <f t="shared" si="40"/>
        <v>406669.57795892027</v>
      </c>
      <c r="L249" s="14"/>
    </row>
    <row r="250" spans="1:12" x14ac:dyDescent="0.2">
      <c r="A250" s="39">
        <f>IF(Values_Entered,A249+1,"")</f>
        <v>232</v>
      </c>
      <c r="B250" s="40">
        <f t="shared" si="31"/>
        <v>50557</v>
      </c>
      <c r="C250" s="41">
        <f t="shared" si="36"/>
        <v>330308.09716146044</v>
      </c>
      <c r="D250" s="41">
        <f t="shared" si="32"/>
        <v>4659.5735099457142</v>
      </c>
      <c r="E250" s="42">
        <f t="shared" si="39"/>
        <v>281000</v>
      </c>
      <c r="F250" s="43">
        <f t="shared" si="37"/>
        <v>49308.097161460435</v>
      </c>
      <c r="G250" s="41">
        <f t="shared" si="33"/>
        <v>4659.5735099457142</v>
      </c>
      <c r="H250" s="41">
        <f t="shared" si="34"/>
        <v>4503.4312022677559</v>
      </c>
      <c r="I250" s="41">
        <f t="shared" si="35"/>
        <v>156.14230767795803</v>
      </c>
      <c r="J250" s="41">
        <f t="shared" si="38"/>
        <v>325804.66595919267</v>
      </c>
      <c r="K250" s="41">
        <f t="shared" si="40"/>
        <v>406825.72026659822</v>
      </c>
      <c r="L250" s="14"/>
    </row>
    <row r="251" spans="1:12" x14ac:dyDescent="0.2">
      <c r="A251" s="39">
        <f>IF(Values_Entered,A250+1,"")</f>
        <v>233</v>
      </c>
      <c r="B251" s="40">
        <f t="shared" si="31"/>
        <v>50587</v>
      </c>
      <c r="C251" s="41">
        <f t="shared" si="36"/>
        <v>325804.66595919267</v>
      </c>
      <c r="D251" s="41">
        <f t="shared" si="32"/>
        <v>4659.5735099457142</v>
      </c>
      <c r="E251" s="42">
        <f t="shared" si="39"/>
        <v>282000</v>
      </c>
      <c r="F251" s="43">
        <f t="shared" si="37"/>
        <v>43804.665959192673</v>
      </c>
      <c r="G251" s="41">
        <f t="shared" si="33"/>
        <v>4659.5735099457142</v>
      </c>
      <c r="H251" s="41">
        <f t="shared" si="34"/>
        <v>4520.8587344082707</v>
      </c>
      <c r="I251" s="41">
        <f t="shared" si="35"/>
        <v>138.71477553744347</v>
      </c>
      <c r="J251" s="41">
        <f t="shared" si="38"/>
        <v>321283.8072247844</v>
      </c>
      <c r="K251" s="41">
        <f t="shared" si="40"/>
        <v>406964.43504213565</v>
      </c>
      <c r="L251" s="14"/>
    </row>
    <row r="252" spans="1:12" x14ac:dyDescent="0.2">
      <c r="A252" s="39">
        <f>IF(Values_Entered,A251+1,"")</f>
        <v>234</v>
      </c>
      <c r="B252" s="40">
        <f t="shared" si="31"/>
        <v>50618</v>
      </c>
      <c r="C252" s="41">
        <f t="shared" si="36"/>
        <v>321283.8072247844</v>
      </c>
      <c r="D252" s="41">
        <f t="shared" si="32"/>
        <v>4659.5735099457142</v>
      </c>
      <c r="E252" s="42">
        <f t="shared" si="39"/>
        <v>283000</v>
      </c>
      <c r="F252" s="43">
        <f t="shared" si="37"/>
        <v>38283.807224784396</v>
      </c>
      <c r="G252" s="41">
        <f t="shared" si="33"/>
        <v>4659.5735099457142</v>
      </c>
      <c r="H252" s="41">
        <f t="shared" si="34"/>
        <v>4538.3414537338967</v>
      </c>
      <c r="I252" s="41">
        <f t="shared" si="35"/>
        <v>121.23205621181725</v>
      </c>
      <c r="J252" s="41">
        <f t="shared" si="38"/>
        <v>316745.46577105048</v>
      </c>
      <c r="K252" s="41">
        <f t="shared" si="40"/>
        <v>407085.66709834745</v>
      </c>
      <c r="L252" s="14"/>
    </row>
    <row r="253" spans="1:12" x14ac:dyDescent="0.2">
      <c r="A253" s="39">
        <f>IF(Values_Entered,A252+1,"")</f>
        <v>235</v>
      </c>
      <c r="B253" s="40">
        <f t="shared" si="31"/>
        <v>50649</v>
      </c>
      <c r="C253" s="41">
        <f t="shared" si="36"/>
        <v>316745.46577105048</v>
      </c>
      <c r="D253" s="41">
        <f t="shared" si="32"/>
        <v>4659.5735099457142</v>
      </c>
      <c r="E253" s="42">
        <f t="shared" si="39"/>
        <v>284000</v>
      </c>
      <c r="F253" s="43">
        <f t="shared" si="37"/>
        <v>32745.465771050483</v>
      </c>
      <c r="G253" s="41">
        <f t="shared" si="33"/>
        <v>4659.5735099457142</v>
      </c>
      <c r="H253" s="41">
        <f t="shared" si="34"/>
        <v>4555.8795350040546</v>
      </c>
      <c r="I253" s="41">
        <f t="shared" si="35"/>
        <v>103.69397494165986</v>
      </c>
      <c r="J253" s="41">
        <f t="shared" si="38"/>
        <v>312189.58623604645</v>
      </c>
      <c r="K253" s="41">
        <f t="shared" si="40"/>
        <v>407189.36107328912</v>
      </c>
      <c r="L253" s="14"/>
    </row>
    <row r="254" spans="1:12" x14ac:dyDescent="0.2">
      <c r="A254" s="39">
        <f>IF(Values_Entered,A253+1,"")</f>
        <v>236</v>
      </c>
      <c r="B254" s="40">
        <f t="shared" si="31"/>
        <v>50679</v>
      </c>
      <c r="C254" s="41">
        <f t="shared" si="36"/>
        <v>312189.58623604645</v>
      </c>
      <c r="D254" s="41">
        <f t="shared" si="32"/>
        <v>4659.5735099457142</v>
      </c>
      <c r="E254" s="42">
        <f t="shared" si="39"/>
        <v>285000</v>
      </c>
      <c r="F254" s="43">
        <f t="shared" si="37"/>
        <v>27189.586236046453</v>
      </c>
      <c r="G254" s="41">
        <f t="shared" si="33"/>
        <v>4659.5735099457142</v>
      </c>
      <c r="H254" s="41">
        <f t="shared" si="34"/>
        <v>4573.4731535315668</v>
      </c>
      <c r="I254" s="41">
        <f t="shared" si="35"/>
        <v>86.1003564141471</v>
      </c>
      <c r="J254" s="41">
        <f t="shared" si="38"/>
        <v>307616.1130825149</v>
      </c>
      <c r="K254" s="41">
        <f t="shared" si="40"/>
        <v>407275.46142970328</v>
      </c>
      <c r="L254" s="14"/>
    </row>
    <row r="255" spans="1:12" x14ac:dyDescent="0.2">
      <c r="A255" s="39">
        <f>IF(Values_Entered,A254+1,"")</f>
        <v>237</v>
      </c>
      <c r="B255" s="40">
        <f t="shared" si="31"/>
        <v>50710</v>
      </c>
      <c r="C255" s="41">
        <f t="shared" si="36"/>
        <v>307616.1130825149</v>
      </c>
      <c r="D255" s="41">
        <f t="shared" si="32"/>
        <v>4659.5735099457142</v>
      </c>
      <c r="E255" s="42">
        <f t="shared" si="39"/>
        <v>286000</v>
      </c>
      <c r="F255" s="43">
        <f t="shared" si="37"/>
        <v>21616.113082514901</v>
      </c>
      <c r="G255" s="41">
        <f t="shared" si="33"/>
        <v>4659.5735099457142</v>
      </c>
      <c r="H255" s="41">
        <f t="shared" si="34"/>
        <v>4591.1224851844172</v>
      </c>
      <c r="I255" s="41">
        <f t="shared" si="35"/>
        <v>68.451024761297191</v>
      </c>
      <c r="J255" s="41">
        <f t="shared" si="38"/>
        <v>303024.9905973305</v>
      </c>
      <c r="K255" s="41">
        <f t="shared" si="40"/>
        <v>407343.91245446459</v>
      </c>
      <c r="L255" s="14"/>
    </row>
    <row r="256" spans="1:12" x14ac:dyDescent="0.2">
      <c r="A256" s="39">
        <f>IF(Values_Entered,A255+1,"")</f>
        <v>238</v>
      </c>
      <c r="B256" s="40">
        <f t="shared" si="31"/>
        <v>50740</v>
      </c>
      <c r="C256" s="41">
        <f t="shared" si="36"/>
        <v>303024.9905973305</v>
      </c>
      <c r="D256" s="41">
        <f t="shared" si="32"/>
        <v>4659.5735099457142</v>
      </c>
      <c r="E256" s="42">
        <f t="shared" si="39"/>
        <v>287000</v>
      </c>
      <c r="F256" s="43">
        <f t="shared" si="37"/>
        <v>16024.990597330499</v>
      </c>
      <c r="G256" s="41">
        <f t="shared" si="33"/>
        <v>4659.5735099457142</v>
      </c>
      <c r="H256" s="41">
        <f t="shared" si="34"/>
        <v>4608.8277063875012</v>
      </c>
      <c r="I256" s="41">
        <f t="shared" si="35"/>
        <v>50.745803558213247</v>
      </c>
      <c r="J256" s="41">
        <f t="shared" si="38"/>
        <v>298416.162890943</v>
      </c>
      <c r="K256" s="41">
        <f t="shared" si="40"/>
        <v>407394.6582580228</v>
      </c>
      <c r="L256" s="14"/>
    </row>
    <row r="257" spans="1:12" x14ac:dyDescent="0.2">
      <c r="A257" s="39">
        <f>IF(Values_Entered,A256+1,"")</f>
        <v>239</v>
      </c>
      <c r="B257" s="40">
        <f t="shared" si="31"/>
        <v>50771</v>
      </c>
      <c r="C257" s="41">
        <f t="shared" si="36"/>
        <v>298416.162890943</v>
      </c>
      <c r="D257" s="41">
        <f t="shared" si="32"/>
        <v>4659.5735099457142</v>
      </c>
      <c r="E257" s="42">
        <f t="shared" si="39"/>
        <v>288000</v>
      </c>
      <c r="F257" s="43">
        <f t="shared" si="37"/>
        <v>10416.162890943</v>
      </c>
      <c r="G257" s="41">
        <f t="shared" si="33"/>
        <v>4659.5735099457142</v>
      </c>
      <c r="H257" s="41">
        <f t="shared" si="34"/>
        <v>4626.588994124395</v>
      </c>
      <c r="I257" s="41">
        <f t="shared" si="35"/>
        <v>32.984515821319498</v>
      </c>
      <c r="J257" s="41">
        <f t="shared" si="38"/>
        <v>293789.57389681862</v>
      </c>
      <c r="K257" s="41">
        <f t="shared" si="40"/>
        <v>407427.64277384413</v>
      </c>
      <c r="L257" s="14"/>
    </row>
    <row r="258" spans="1:12" x14ac:dyDescent="0.2">
      <c r="A258" s="39">
        <f>IF(Values_Entered,A257+1,"")</f>
        <v>240</v>
      </c>
      <c r="B258" s="40">
        <f t="shared" si="31"/>
        <v>50802</v>
      </c>
      <c r="C258" s="41">
        <f t="shared" si="36"/>
        <v>293789.57389681862</v>
      </c>
      <c r="D258" s="41">
        <f t="shared" si="32"/>
        <v>4659.5735099457142</v>
      </c>
      <c r="E258" s="42">
        <f t="shared" si="39"/>
        <v>289000</v>
      </c>
      <c r="F258" s="43">
        <f t="shared" si="37"/>
        <v>4789.5738968186197</v>
      </c>
      <c r="G258" s="41">
        <f t="shared" si="33"/>
        <v>4659.5735099457142</v>
      </c>
      <c r="H258" s="41">
        <f t="shared" si="34"/>
        <v>4644.4065259391218</v>
      </c>
      <c r="I258" s="41">
        <f t="shared" si="35"/>
        <v>15.166984006592296</v>
      </c>
      <c r="J258" s="41">
        <f t="shared" si="38"/>
        <v>289145.1673708795</v>
      </c>
      <c r="K258" s="41">
        <f t="shared" si="40"/>
        <v>407442.80975785071</v>
      </c>
      <c r="L258" s="14"/>
    </row>
    <row r="259" spans="1:12" x14ac:dyDescent="0.2">
      <c r="A259" s="39">
        <f>IF(Values_Entered,A258+1,"")</f>
        <v>241</v>
      </c>
      <c r="B259" s="40">
        <f t="shared" si="31"/>
        <v>50830</v>
      </c>
      <c r="C259" s="41">
        <f t="shared" si="36"/>
        <v>289145.1673708795</v>
      </c>
      <c r="D259" s="41">
        <f t="shared" si="32"/>
        <v>4659.5735099457142</v>
      </c>
      <c r="E259" s="42">
        <f t="shared" si="39"/>
        <v>290000</v>
      </c>
      <c r="F259" s="43">
        <f t="shared" si="37"/>
        <v>-854.83262912050122</v>
      </c>
      <c r="G259" s="41">
        <f t="shared" si="33"/>
        <v>4659.5735099457142</v>
      </c>
      <c r="H259" s="41">
        <f t="shared" si="34"/>
        <v>4662.2804799379292</v>
      </c>
      <c r="I259" s="41">
        <f t="shared" si="35"/>
        <v>-2.7069699922149204</v>
      </c>
      <c r="J259" s="41">
        <f t="shared" si="38"/>
        <v>0</v>
      </c>
      <c r="K259" s="41">
        <f t="shared" si="40"/>
        <v>0</v>
      </c>
      <c r="L259" s="14"/>
    </row>
    <row r="260" spans="1:12" x14ac:dyDescent="0.2">
      <c r="A260" s="39">
        <f>IF(Values_Entered,A259+1,"")</f>
        <v>242</v>
      </c>
      <c r="B260" s="40">
        <f t="shared" si="31"/>
        <v>50861</v>
      </c>
      <c r="C260" s="41">
        <f t="shared" si="36"/>
        <v>0</v>
      </c>
      <c r="D260" s="41">
        <f t="shared" si="32"/>
        <v>4659.5735099457142</v>
      </c>
      <c r="E260" s="42">
        <f t="shared" si="39"/>
        <v>291000</v>
      </c>
      <c r="F260" s="43">
        <f t="shared" si="37"/>
        <v>-291000</v>
      </c>
      <c r="G260" s="41">
        <f t="shared" si="33"/>
        <v>0</v>
      </c>
      <c r="H260" s="41">
        <f t="shared" si="34"/>
        <v>921.5</v>
      </c>
      <c r="I260" s="41">
        <f t="shared" si="35"/>
        <v>-921.5</v>
      </c>
      <c r="J260" s="41">
        <f t="shared" si="38"/>
        <v>0</v>
      </c>
      <c r="K260" s="41">
        <f t="shared" si="40"/>
        <v>0</v>
      </c>
      <c r="L260" s="14"/>
    </row>
    <row r="261" spans="1:12" x14ac:dyDescent="0.2">
      <c r="A261" s="39">
        <f>IF(Values_Entered,A260+1,"")</f>
        <v>243</v>
      </c>
      <c r="B261" s="40">
        <f t="shared" si="31"/>
        <v>50891</v>
      </c>
      <c r="C261" s="41">
        <f t="shared" si="36"/>
        <v>0</v>
      </c>
      <c r="D261" s="41">
        <f t="shared" si="32"/>
        <v>4659.5735099457142</v>
      </c>
      <c r="E261" s="42">
        <f t="shared" si="39"/>
        <v>292000</v>
      </c>
      <c r="F261" s="43">
        <f t="shared" si="37"/>
        <v>-292000</v>
      </c>
      <c r="G261" s="41">
        <f t="shared" si="33"/>
        <v>0</v>
      </c>
      <c r="H261" s="41">
        <f t="shared" si="34"/>
        <v>924.66666666666663</v>
      </c>
      <c r="I261" s="41">
        <f t="shared" si="35"/>
        <v>-924.66666666666663</v>
      </c>
      <c r="J261" s="41">
        <f t="shared" si="38"/>
        <v>0</v>
      </c>
      <c r="K261" s="41">
        <f t="shared" si="40"/>
        <v>0</v>
      </c>
      <c r="L261" s="14"/>
    </row>
    <row r="262" spans="1:12" x14ac:dyDescent="0.2">
      <c r="A262" s="39">
        <f>IF(Values_Entered,A261+1,"")</f>
        <v>244</v>
      </c>
      <c r="B262" s="40">
        <f t="shared" si="31"/>
        <v>50922</v>
      </c>
      <c r="C262" s="41">
        <f t="shared" si="36"/>
        <v>0</v>
      </c>
      <c r="D262" s="41">
        <f t="shared" si="32"/>
        <v>4659.5735099457142</v>
      </c>
      <c r="E262" s="42">
        <f t="shared" si="39"/>
        <v>293000</v>
      </c>
      <c r="F262" s="43">
        <f t="shared" si="37"/>
        <v>-293000</v>
      </c>
      <c r="G262" s="41">
        <f t="shared" si="33"/>
        <v>0</v>
      </c>
      <c r="H262" s="41">
        <f t="shared" si="34"/>
        <v>927.83333333333326</v>
      </c>
      <c r="I262" s="41">
        <f t="shared" si="35"/>
        <v>-927.83333333333326</v>
      </c>
      <c r="J262" s="41">
        <f t="shared" si="38"/>
        <v>0</v>
      </c>
      <c r="K262" s="41">
        <f t="shared" si="40"/>
        <v>0</v>
      </c>
      <c r="L262" s="14"/>
    </row>
    <row r="263" spans="1:12" x14ac:dyDescent="0.2">
      <c r="A263" s="39">
        <f>IF(Values_Entered,A262+1,"")</f>
        <v>245</v>
      </c>
      <c r="B263" s="40">
        <f t="shared" si="31"/>
        <v>50952</v>
      </c>
      <c r="C263" s="41">
        <f t="shared" si="36"/>
        <v>0</v>
      </c>
      <c r="D263" s="41">
        <f t="shared" si="32"/>
        <v>4659.5735099457142</v>
      </c>
      <c r="E263" s="42">
        <f t="shared" si="39"/>
        <v>294000</v>
      </c>
      <c r="F263" s="43">
        <f t="shared" si="37"/>
        <v>-294000</v>
      </c>
      <c r="G263" s="41">
        <f t="shared" si="33"/>
        <v>0</v>
      </c>
      <c r="H263" s="41">
        <f t="shared" si="34"/>
        <v>931</v>
      </c>
      <c r="I263" s="41">
        <f t="shared" si="35"/>
        <v>-931</v>
      </c>
      <c r="J263" s="41">
        <f t="shared" si="38"/>
        <v>0</v>
      </c>
      <c r="K263" s="41">
        <f t="shared" si="40"/>
        <v>0</v>
      </c>
      <c r="L263" s="14"/>
    </row>
    <row r="264" spans="1:12" x14ac:dyDescent="0.2">
      <c r="A264" s="39">
        <f>IF(Values_Entered,A263+1,"")</f>
        <v>246</v>
      </c>
      <c r="B264" s="40">
        <f t="shared" si="31"/>
        <v>50983</v>
      </c>
      <c r="C264" s="41">
        <f t="shared" si="36"/>
        <v>0</v>
      </c>
      <c r="D264" s="41">
        <f t="shared" si="32"/>
        <v>4659.5735099457142</v>
      </c>
      <c r="E264" s="42">
        <f t="shared" si="39"/>
        <v>295000</v>
      </c>
      <c r="F264" s="43">
        <f t="shared" si="37"/>
        <v>-295000</v>
      </c>
      <c r="G264" s="41">
        <f t="shared" si="33"/>
        <v>0</v>
      </c>
      <c r="H264" s="41">
        <f t="shared" si="34"/>
        <v>934.16666666666663</v>
      </c>
      <c r="I264" s="41">
        <f t="shared" si="35"/>
        <v>-934.16666666666663</v>
      </c>
      <c r="J264" s="41">
        <f t="shared" si="38"/>
        <v>0</v>
      </c>
      <c r="K264" s="41">
        <f t="shared" si="40"/>
        <v>0</v>
      </c>
      <c r="L264" s="14"/>
    </row>
    <row r="265" spans="1:12" x14ac:dyDescent="0.2">
      <c r="A265" s="39">
        <f>IF(Values_Entered,A264+1,"")</f>
        <v>247</v>
      </c>
      <c r="B265" s="40">
        <f t="shared" si="31"/>
        <v>51014</v>
      </c>
      <c r="C265" s="41">
        <f t="shared" si="36"/>
        <v>0</v>
      </c>
      <c r="D265" s="41">
        <f t="shared" si="32"/>
        <v>4659.5735099457142</v>
      </c>
      <c r="E265" s="42">
        <f t="shared" si="39"/>
        <v>296000</v>
      </c>
      <c r="F265" s="43">
        <f t="shared" si="37"/>
        <v>-296000</v>
      </c>
      <c r="G265" s="41">
        <f t="shared" si="33"/>
        <v>0</v>
      </c>
      <c r="H265" s="41">
        <f t="shared" si="34"/>
        <v>937.33333333333326</v>
      </c>
      <c r="I265" s="41">
        <f t="shared" si="35"/>
        <v>-937.33333333333326</v>
      </c>
      <c r="J265" s="41">
        <f t="shared" si="38"/>
        <v>0</v>
      </c>
      <c r="K265" s="41">
        <f t="shared" si="40"/>
        <v>0</v>
      </c>
      <c r="L265" s="14"/>
    </row>
    <row r="266" spans="1:12" x14ac:dyDescent="0.2">
      <c r="A266" s="39">
        <f>IF(Values_Entered,A265+1,"")</f>
        <v>248</v>
      </c>
      <c r="B266" s="40">
        <f t="shared" si="31"/>
        <v>51044</v>
      </c>
      <c r="C266" s="41">
        <f t="shared" si="36"/>
        <v>0</v>
      </c>
      <c r="D266" s="41">
        <f t="shared" si="32"/>
        <v>4659.5735099457142</v>
      </c>
      <c r="E266" s="42">
        <f t="shared" si="39"/>
        <v>297000</v>
      </c>
      <c r="F266" s="43">
        <f t="shared" si="37"/>
        <v>-297000</v>
      </c>
      <c r="G266" s="41">
        <f t="shared" si="33"/>
        <v>0</v>
      </c>
      <c r="H266" s="41">
        <f t="shared" si="34"/>
        <v>940.5</v>
      </c>
      <c r="I266" s="41">
        <f t="shared" si="35"/>
        <v>-940.5</v>
      </c>
      <c r="J266" s="41">
        <f t="shared" si="38"/>
        <v>0</v>
      </c>
      <c r="K266" s="41">
        <f t="shared" si="40"/>
        <v>0</v>
      </c>
      <c r="L266" s="14"/>
    </row>
    <row r="267" spans="1:12" x14ac:dyDescent="0.2">
      <c r="A267" s="39">
        <f>IF(Values_Entered,A266+1,"")</f>
        <v>249</v>
      </c>
      <c r="B267" s="40">
        <f t="shared" si="31"/>
        <v>51075</v>
      </c>
      <c r="C267" s="41">
        <f t="shared" si="36"/>
        <v>0</v>
      </c>
      <c r="D267" s="41">
        <f t="shared" si="32"/>
        <v>4659.5735099457142</v>
      </c>
      <c r="E267" s="42">
        <f t="shared" si="39"/>
        <v>298000</v>
      </c>
      <c r="F267" s="43">
        <f t="shared" si="37"/>
        <v>-298000</v>
      </c>
      <c r="G267" s="41">
        <f t="shared" si="33"/>
        <v>0</v>
      </c>
      <c r="H267" s="41">
        <f t="shared" si="34"/>
        <v>943.66666666666663</v>
      </c>
      <c r="I267" s="41">
        <f t="shared" si="35"/>
        <v>-943.66666666666663</v>
      </c>
      <c r="J267" s="41">
        <f t="shared" si="38"/>
        <v>0</v>
      </c>
      <c r="K267" s="41">
        <f t="shared" si="40"/>
        <v>0</v>
      </c>
      <c r="L267" s="14"/>
    </row>
    <row r="268" spans="1:12" x14ac:dyDescent="0.2">
      <c r="A268" s="39">
        <f>IF(Values_Entered,A267+1,"")</f>
        <v>250</v>
      </c>
      <c r="B268" s="40">
        <f t="shared" si="31"/>
        <v>51105</v>
      </c>
      <c r="C268" s="41">
        <f t="shared" si="36"/>
        <v>0</v>
      </c>
      <c r="D268" s="41">
        <f t="shared" si="32"/>
        <v>4659.5735099457142</v>
      </c>
      <c r="E268" s="42">
        <f t="shared" si="39"/>
        <v>299000</v>
      </c>
      <c r="F268" s="43">
        <f t="shared" si="37"/>
        <v>-299000</v>
      </c>
      <c r="G268" s="41">
        <f t="shared" si="33"/>
        <v>0</v>
      </c>
      <c r="H268" s="41">
        <f t="shared" si="34"/>
        <v>946.83333333333326</v>
      </c>
      <c r="I268" s="41">
        <f t="shared" si="35"/>
        <v>-946.83333333333326</v>
      </c>
      <c r="J268" s="41">
        <f t="shared" si="38"/>
        <v>0</v>
      </c>
      <c r="K268" s="41">
        <f t="shared" si="40"/>
        <v>0</v>
      </c>
      <c r="L268" s="14"/>
    </row>
    <row r="269" spans="1:12" x14ac:dyDescent="0.2">
      <c r="A269" s="39">
        <f>IF(Values_Entered,A268+1,"")</f>
        <v>251</v>
      </c>
      <c r="B269" s="40">
        <f t="shared" si="31"/>
        <v>51136</v>
      </c>
      <c r="C269" s="41">
        <f t="shared" si="36"/>
        <v>0</v>
      </c>
      <c r="D269" s="41">
        <f t="shared" si="32"/>
        <v>4659.5735099457142</v>
      </c>
      <c r="E269" s="42">
        <f t="shared" si="39"/>
        <v>300000</v>
      </c>
      <c r="F269" s="43">
        <f t="shared" si="37"/>
        <v>-300000</v>
      </c>
      <c r="G269" s="41">
        <f t="shared" si="33"/>
        <v>0</v>
      </c>
      <c r="H269" s="41">
        <f t="shared" si="34"/>
        <v>950</v>
      </c>
      <c r="I269" s="41">
        <f t="shared" si="35"/>
        <v>-950</v>
      </c>
      <c r="J269" s="41">
        <f t="shared" si="38"/>
        <v>0</v>
      </c>
      <c r="K269" s="41">
        <f t="shared" si="40"/>
        <v>0</v>
      </c>
      <c r="L269" s="14"/>
    </row>
    <row r="270" spans="1:12" x14ac:dyDescent="0.2">
      <c r="A270" s="39">
        <f>IF(Values_Entered,A269+1,"")</f>
        <v>252</v>
      </c>
      <c r="B270" s="40">
        <f t="shared" si="31"/>
        <v>51167</v>
      </c>
      <c r="C270" s="41">
        <f t="shared" si="36"/>
        <v>0</v>
      </c>
      <c r="D270" s="41">
        <f t="shared" si="32"/>
        <v>4659.5735099457142</v>
      </c>
      <c r="E270" s="42">
        <f t="shared" si="39"/>
        <v>301000</v>
      </c>
      <c r="F270" s="43">
        <f t="shared" si="37"/>
        <v>-301000</v>
      </c>
      <c r="G270" s="41">
        <f t="shared" si="33"/>
        <v>0</v>
      </c>
      <c r="H270" s="41">
        <f t="shared" si="34"/>
        <v>953.16666666666663</v>
      </c>
      <c r="I270" s="41">
        <f t="shared" si="35"/>
        <v>-953.16666666666663</v>
      </c>
      <c r="J270" s="41">
        <f t="shared" si="38"/>
        <v>0</v>
      </c>
      <c r="K270" s="41">
        <f t="shared" si="40"/>
        <v>0</v>
      </c>
      <c r="L270" s="14"/>
    </row>
    <row r="271" spans="1:12" x14ac:dyDescent="0.2">
      <c r="A271" s="39">
        <f>IF(Values_Entered,A270+1,"")</f>
        <v>253</v>
      </c>
      <c r="B271" s="40">
        <f t="shared" si="31"/>
        <v>51196</v>
      </c>
      <c r="C271" s="41">
        <f t="shared" si="36"/>
        <v>0</v>
      </c>
      <c r="D271" s="41">
        <f t="shared" si="32"/>
        <v>4659.5735099457142</v>
      </c>
      <c r="E271" s="42">
        <f t="shared" si="39"/>
        <v>302000</v>
      </c>
      <c r="F271" s="43">
        <f t="shared" si="37"/>
        <v>-302000</v>
      </c>
      <c r="G271" s="41">
        <f t="shared" si="33"/>
        <v>0</v>
      </c>
      <c r="H271" s="41">
        <f t="shared" si="34"/>
        <v>956.33333333333326</v>
      </c>
      <c r="I271" s="41">
        <f t="shared" si="35"/>
        <v>-956.33333333333326</v>
      </c>
      <c r="J271" s="41">
        <f t="shared" si="38"/>
        <v>0</v>
      </c>
      <c r="K271" s="41">
        <f t="shared" si="40"/>
        <v>0</v>
      </c>
      <c r="L271" s="14"/>
    </row>
    <row r="272" spans="1:12" x14ac:dyDescent="0.2">
      <c r="A272" s="39">
        <f>IF(Values_Entered,A271+1,"")</f>
        <v>254</v>
      </c>
      <c r="B272" s="40">
        <f t="shared" si="31"/>
        <v>51227</v>
      </c>
      <c r="C272" s="41">
        <f t="shared" si="36"/>
        <v>0</v>
      </c>
      <c r="D272" s="41">
        <f t="shared" si="32"/>
        <v>4659.5735099457142</v>
      </c>
      <c r="E272" s="42">
        <f t="shared" si="39"/>
        <v>303000</v>
      </c>
      <c r="F272" s="43">
        <f t="shared" si="37"/>
        <v>-303000</v>
      </c>
      <c r="G272" s="41">
        <f t="shared" si="33"/>
        <v>0</v>
      </c>
      <c r="H272" s="41">
        <f t="shared" si="34"/>
        <v>959.5</v>
      </c>
      <c r="I272" s="41">
        <f t="shared" si="35"/>
        <v>-959.5</v>
      </c>
      <c r="J272" s="41">
        <f t="shared" si="38"/>
        <v>0</v>
      </c>
      <c r="K272" s="41">
        <f t="shared" si="40"/>
        <v>0</v>
      </c>
      <c r="L272" s="14"/>
    </row>
    <row r="273" spans="1:12" x14ac:dyDescent="0.2">
      <c r="A273" s="39">
        <f>IF(Values_Entered,A272+1,"")</f>
        <v>255</v>
      </c>
      <c r="B273" s="40">
        <f t="shared" si="31"/>
        <v>51257</v>
      </c>
      <c r="C273" s="41">
        <f t="shared" si="36"/>
        <v>0</v>
      </c>
      <c r="D273" s="41">
        <f t="shared" si="32"/>
        <v>4659.5735099457142</v>
      </c>
      <c r="E273" s="42">
        <f t="shared" si="39"/>
        <v>304000</v>
      </c>
      <c r="F273" s="43">
        <f t="shared" si="37"/>
        <v>-304000</v>
      </c>
      <c r="G273" s="41">
        <f t="shared" si="33"/>
        <v>0</v>
      </c>
      <c r="H273" s="41">
        <f t="shared" si="34"/>
        <v>962.66666666666663</v>
      </c>
      <c r="I273" s="41">
        <f t="shared" si="35"/>
        <v>-962.66666666666663</v>
      </c>
      <c r="J273" s="41">
        <f t="shared" si="38"/>
        <v>0</v>
      </c>
      <c r="K273" s="41">
        <f t="shared" si="40"/>
        <v>0</v>
      </c>
      <c r="L273" s="14"/>
    </row>
    <row r="274" spans="1:12" x14ac:dyDescent="0.2">
      <c r="A274" s="39">
        <f>IF(Values_Entered,A273+1,"")</f>
        <v>256</v>
      </c>
      <c r="B274" s="40">
        <f t="shared" si="31"/>
        <v>51288</v>
      </c>
      <c r="C274" s="41">
        <f t="shared" si="36"/>
        <v>0</v>
      </c>
      <c r="D274" s="41">
        <f t="shared" si="32"/>
        <v>4659.5735099457142</v>
      </c>
      <c r="E274" s="42">
        <f t="shared" si="39"/>
        <v>305000</v>
      </c>
      <c r="F274" s="43">
        <f t="shared" si="37"/>
        <v>-305000</v>
      </c>
      <c r="G274" s="41">
        <f t="shared" si="33"/>
        <v>0</v>
      </c>
      <c r="H274" s="41">
        <f t="shared" si="34"/>
        <v>965.83333333333326</v>
      </c>
      <c r="I274" s="41">
        <f t="shared" si="35"/>
        <v>-965.83333333333326</v>
      </c>
      <c r="J274" s="41">
        <f t="shared" si="38"/>
        <v>0</v>
      </c>
      <c r="K274" s="41">
        <f t="shared" si="40"/>
        <v>0</v>
      </c>
      <c r="L274" s="14"/>
    </row>
    <row r="275" spans="1:12" x14ac:dyDescent="0.2">
      <c r="A275" s="39">
        <f>IF(Values_Entered,A274+1,"")</f>
        <v>257</v>
      </c>
      <c r="B275" s="40">
        <f t="shared" ref="B275:B338" si="41">IF(Pay_Num&lt;&gt;"",DATE(YEAR(Loan_Start),MONTH(Loan_Start)+(Pay_Num)*12/Num_Pmt_Per_Year,DAY(Loan_Start)),"")</f>
        <v>51318</v>
      </c>
      <c r="C275" s="41">
        <f t="shared" si="36"/>
        <v>0</v>
      </c>
      <c r="D275" s="41">
        <f t="shared" ref="D275:D338" si="42">IF(Pay_Num&lt;&gt;"",Scheduled_Monthly_Payment,"")</f>
        <v>4659.5735099457142</v>
      </c>
      <c r="E275" s="42">
        <f t="shared" si="39"/>
        <v>306000</v>
      </c>
      <c r="F275" s="43">
        <f t="shared" si="37"/>
        <v>-306000</v>
      </c>
      <c r="G275" s="41">
        <f t="shared" ref="G275:G338" si="43">IF(AND(Pay_Num&lt;&gt;"",Sched_Pay&lt;Beg_Bal),Sched_Pay,IF(Pay_Num&lt;&gt;"",Beg_Bal,""))</f>
        <v>0</v>
      </c>
      <c r="H275" s="41">
        <f t="shared" ref="H275:H338" si="44">IF(Pay_Num&lt;&gt;"",Total_Pay-Int,"")</f>
        <v>969</v>
      </c>
      <c r="I275" s="41">
        <f t="shared" ref="I275:I338" si="45">IF(Pay_Num&lt;&gt;"",(Beg_Bal-E275)*(Interest_Rate/Num_Pmt_Per_Year),"")</f>
        <v>-969</v>
      </c>
      <c r="J275" s="41">
        <f t="shared" si="38"/>
        <v>0</v>
      </c>
      <c r="K275" s="41">
        <f t="shared" si="40"/>
        <v>0</v>
      </c>
      <c r="L275" s="14"/>
    </row>
    <row r="276" spans="1:12" x14ac:dyDescent="0.2">
      <c r="A276" s="39">
        <f>IF(Values_Entered,A275+1,"")</f>
        <v>258</v>
      </c>
      <c r="B276" s="40">
        <f t="shared" si="41"/>
        <v>51349</v>
      </c>
      <c r="C276" s="41">
        <f t="shared" ref="C276:C339" si="46">IF(Pay_Num&lt;&gt;"",J275,"")</f>
        <v>0</v>
      </c>
      <c r="D276" s="41">
        <f t="shared" si="42"/>
        <v>4659.5735099457142</v>
      </c>
      <c r="E276" s="42">
        <f t="shared" si="39"/>
        <v>307000</v>
      </c>
      <c r="F276" s="43">
        <f t="shared" ref="F276:F339" si="47">+C276-E276</f>
        <v>-307000</v>
      </c>
      <c r="G276" s="41">
        <f t="shared" si="43"/>
        <v>0</v>
      </c>
      <c r="H276" s="41">
        <f t="shared" si="44"/>
        <v>972.16666666666663</v>
      </c>
      <c r="I276" s="41">
        <f t="shared" si="45"/>
        <v>-972.16666666666663</v>
      </c>
      <c r="J276" s="41">
        <f t="shared" ref="J276:J339" si="48">IF(AND(Pay_Num&lt;&gt;"",Sched_Pay+Extra_Pay&lt;Beg_Bal),Beg_Bal-Princ,IF(Pay_Num&lt;&gt;"",0,""))</f>
        <v>0</v>
      </c>
      <c r="K276" s="41">
        <f t="shared" si="40"/>
        <v>0</v>
      </c>
      <c r="L276" s="14"/>
    </row>
    <row r="277" spans="1:12" x14ac:dyDescent="0.2">
      <c r="A277" s="39">
        <f>IF(Values_Entered,A276+1,"")</f>
        <v>259</v>
      </c>
      <c r="B277" s="40">
        <f t="shared" si="41"/>
        <v>51380</v>
      </c>
      <c r="C277" s="41">
        <f t="shared" si="46"/>
        <v>0</v>
      </c>
      <c r="D277" s="41">
        <f t="shared" si="42"/>
        <v>4659.5735099457142</v>
      </c>
      <c r="E277" s="42">
        <f t="shared" ref="E277:E340" si="49">+E276+$D$11</f>
        <v>308000</v>
      </c>
      <c r="F277" s="43">
        <f t="shared" si="47"/>
        <v>-308000</v>
      </c>
      <c r="G277" s="41">
        <f t="shared" si="43"/>
        <v>0</v>
      </c>
      <c r="H277" s="41">
        <f t="shared" si="44"/>
        <v>975.33333333333326</v>
      </c>
      <c r="I277" s="41">
        <f t="shared" si="45"/>
        <v>-975.33333333333326</v>
      </c>
      <c r="J277" s="41">
        <f t="shared" si="48"/>
        <v>0</v>
      </c>
      <c r="K277" s="41">
        <f t="shared" si="40"/>
        <v>0</v>
      </c>
      <c r="L277" s="14"/>
    </row>
    <row r="278" spans="1:12" x14ac:dyDescent="0.2">
      <c r="A278" s="39">
        <f>IF(Values_Entered,A277+1,"")</f>
        <v>260</v>
      </c>
      <c r="B278" s="40">
        <f t="shared" si="41"/>
        <v>51410</v>
      </c>
      <c r="C278" s="41">
        <f t="shared" si="46"/>
        <v>0</v>
      </c>
      <c r="D278" s="41">
        <f t="shared" si="42"/>
        <v>4659.5735099457142</v>
      </c>
      <c r="E278" s="42">
        <f t="shared" si="49"/>
        <v>309000</v>
      </c>
      <c r="F278" s="43">
        <f t="shared" si="47"/>
        <v>-309000</v>
      </c>
      <c r="G278" s="41">
        <f t="shared" si="43"/>
        <v>0</v>
      </c>
      <c r="H278" s="41">
        <f t="shared" si="44"/>
        <v>978.5</v>
      </c>
      <c r="I278" s="41">
        <f t="shared" si="45"/>
        <v>-978.5</v>
      </c>
      <c r="J278" s="41">
        <f t="shared" si="48"/>
        <v>0</v>
      </c>
      <c r="K278" s="41">
        <f t="shared" si="40"/>
        <v>0</v>
      </c>
      <c r="L278" s="14"/>
    </row>
    <row r="279" spans="1:12" x14ac:dyDescent="0.2">
      <c r="A279" s="39">
        <f>IF(Values_Entered,A278+1,"")</f>
        <v>261</v>
      </c>
      <c r="B279" s="40">
        <f t="shared" si="41"/>
        <v>51441</v>
      </c>
      <c r="C279" s="41">
        <f t="shared" si="46"/>
        <v>0</v>
      </c>
      <c r="D279" s="41">
        <f t="shared" si="42"/>
        <v>4659.5735099457142</v>
      </c>
      <c r="E279" s="42">
        <f t="shared" si="49"/>
        <v>310000</v>
      </c>
      <c r="F279" s="43">
        <f t="shared" si="47"/>
        <v>-310000</v>
      </c>
      <c r="G279" s="41">
        <f t="shared" si="43"/>
        <v>0</v>
      </c>
      <c r="H279" s="41">
        <f t="shared" si="44"/>
        <v>981.66666666666663</v>
      </c>
      <c r="I279" s="41">
        <f t="shared" si="45"/>
        <v>-981.66666666666663</v>
      </c>
      <c r="J279" s="41">
        <f t="shared" si="48"/>
        <v>0</v>
      </c>
      <c r="K279" s="41">
        <f t="shared" si="40"/>
        <v>0</v>
      </c>
      <c r="L279" s="14"/>
    </row>
    <row r="280" spans="1:12" x14ac:dyDescent="0.2">
      <c r="A280" s="39">
        <f>IF(Values_Entered,A279+1,"")</f>
        <v>262</v>
      </c>
      <c r="B280" s="40">
        <f t="shared" si="41"/>
        <v>51471</v>
      </c>
      <c r="C280" s="41">
        <f t="shared" si="46"/>
        <v>0</v>
      </c>
      <c r="D280" s="41">
        <f t="shared" si="42"/>
        <v>4659.5735099457142</v>
      </c>
      <c r="E280" s="42">
        <f t="shared" si="49"/>
        <v>311000</v>
      </c>
      <c r="F280" s="43">
        <f t="shared" si="47"/>
        <v>-311000</v>
      </c>
      <c r="G280" s="41">
        <f t="shared" si="43"/>
        <v>0</v>
      </c>
      <c r="H280" s="41">
        <f t="shared" si="44"/>
        <v>984.83333333333326</v>
      </c>
      <c r="I280" s="41">
        <f t="shared" si="45"/>
        <v>-984.83333333333326</v>
      </c>
      <c r="J280" s="41">
        <f t="shared" si="48"/>
        <v>0</v>
      </c>
      <c r="K280" s="41">
        <f t="shared" ref="K280:K343" si="50">IF(I280&lt;0,0,+K279+I280)</f>
        <v>0</v>
      </c>
      <c r="L280" s="14"/>
    </row>
    <row r="281" spans="1:12" x14ac:dyDescent="0.2">
      <c r="A281" s="39">
        <f>IF(Values_Entered,A280+1,"")</f>
        <v>263</v>
      </c>
      <c r="B281" s="40">
        <f t="shared" si="41"/>
        <v>51502</v>
      </c>
      <c r="C281" s="41">
        <f t="shared" si="46"/>
        <v>0</v>
      </c>
      <c r="D281" s="41">
        <f t="shared" si="42"/>
        <v>4659.5735099457142</v>
      </c>
      <c r="E281" s="42">
        <f t="shared" si="49"/>
        <v>312000</v>
      </c>
      <c r="F281" s="43">
        <f t="shared" si="47"/>
        <v>-312000</v>
      </c>
      <c r="G281" s="41">
        <f t="shared" si="43"/>
        <v>0</v>
      </c>
      <c r="H281" s="41">
        <f t="shared" si="44"/>
        <v>988</v>
      </c>
      <c r="I281" s="41">
        <f t="shared" si="45"/>
        <v>-988</v>
      </c>
      <c r="J281" s="41">
        <f t="shared" si="48"/>
        <v>0</v>
      </c>
      <c r="K281" s="41">
        <f t="shared" si="50"/>
        <v>0</v>
      </c>
      <c r="L281" s="14"/>
    </row>
    <row r="282" spans="1:12" x14ac:dyDescent="0.2">
      <c r="A282" s="39">
        <f>IF(Values_Entered,A281+1,"")</f>
        <v>264</v>
      </c>
      <c r="B282" s="40">
        <f t="shared" si="41"/>
        <v>51533</v>
      </c>
      <c r="C282" s="41">
        <f t="shared" si="46"/>
        <v>0</v>
      </c>
      <c r="D282" s="41">
        <f t="shared" si="42"/>
        <v>4659.5735099457142</v>
      </c>
      <c r="E282" s="42">
        <f t="shared" si="49"/>
        <v>313000</v>
      </c>
      <c r="F282" s="43">
        <f t="shared" si="47"/>
        <v>-313000</v>
      </c>
      <c r="G282" s="41">
        <f t="shared" si="43"/>
        <v>0</v>
      </c>
      <c r="H282" s="41">
        <f t="shared" si="44"/>
        <v>991.16666666666663</v>
      </c>
      <c r="I282" s="41">
        <f t="shared" si="45"/>
        <v>-991.16666666666663</v>
      </c>
      <c r="J282" s="41">
        <f t="shared" si="48"/>
        <v>0</v>
      </c>
      <c r="K282" s="41">
        <f t="shared" si="50"/>
        <v>0</v>
      </c>
      <c r="L282" s="14"/>
    </row>
    <row r="283" spans="1:12" x14ac:dyDescent="0.2">
      <c r="A283" s="39">
        <f>IF(Values_Entered,A282+1,"")</f>
        <v>265</v>
      </c>
      <c r="B283" s="40">
        <f t="shared" si="41"/>
        <v>51561</v>
      </c>
      <c r="C283" s="41">
        <f t="shared" si="46"/>
        <v>0</v>
      </c>
      <c r="D283" s="41">
        <f t="shared" si="42"/>
        <v>4659.5735099457142</v>
      </c>
      <c r="E283" s="42">
        <f t="shared" si="49"/>
        <v>314000</v>
      </c>
      <c r="F283" s="43">
        <f t="shared" si="47"/>
        <v>-314000</v>
      </c>
      <c r="G283" s="41">
        <f t="shared" si="43"/>
        <v>0</v>
      </c>
      <c r="H283" s="41">
        <f t="shared" si="44"/>
        <v>994.33333333333326</v>
      </c>
      <c r="I283" s="41">
        <f t="shared" si="45"/>
        <v>-994.33333333333326</v>
      </c>
      <c r="J283" s="41">
        <f t="shared" si="48"/>
        <v>0</v>
      </c>
      <c r="K283" s="41">
        <f t="shared" si="50"/>
        <v>0</v>
      </c>
      <c r="L283" s="14"/>
    </row>
    <row r="284" spans="1:12" x14ac:dyDescent="0.2">
      <c r="A284" s="39">
        <f>IF(Values_Entered,A283+1,"")</f>
        <v>266</v>
      </c>
      <c r="B284" s="40">
        <f t="shared" si="41"/>
        <v>51592</v>
      </c>
      <c r="C284" s="41">
        <f t="shared" si="46"/>
        <v>0</v>
      </c>
      <c r="D284" s="41">
        <f t="shared" si="42"/>
        <v>4659.5735099457142</v>
      </c>
      <c r="E284" s="42">
        <f t="shared" si="49"/>
        <v>315000</v>
      </c>
      <c r="F284" s="43">
        <f t="shared" si="47"/>
        <v>-315000</v>
      </c>
      <c r="G284" s="41">
        <f t="shared" si="43"/>
        <v>0</v>
      </c>
      <c r="H284" s="41">
        <f t="shared" si="44"/>
        <v>997.5</v>
      </c>
      <c r="I284" s="41">
        <f t="shared" si="45"/>
        <v>-997.5</v>
      </c>
      <c r="J284" s="41">
        <f t="shared" si="48"/>
        <v>0</v>
      </c>
      <c r="K284" s="41">
        <f t="shared" si="50"/>
        <v>0</v>
      </c>
      <c r="L284" s="14"/>
    </row>
    <row r="285" spans="1:12" x14ac:dyDescent="0.2">
      <c r="A285" s="39">
        <f>IF(Values_Entered,A284+1,"")</f>
        <v>267</v>
      </c>
      <c r="B285" s="40">
        <f t="shared" si="41"/>
        <v>51622</v>
      </c>
      <c r="C285" s="41">
        <f t="shared" si="46"/>
        <v>0</v>
      </c>
      <c r="D285" s="41">
        <f t="shared" si="42"/>
        <v>4659.5735099457142</v>
      </c>
      <c r="E285" s="42">
        <f t="shared" si="49"/>
        <v>316000</v>
      </c>
      <c r="F285" s="43">
        <f t="shared" si="47"/>
        <v>-316000</v>
      </c>
      <c r="G285" s="41">
        <f t="shared" si="43"/>
        <v>0</v>
      </c>
      <c r="H285" s="41">
        <f t="shared" si="44"/>
        <v>1000.6666666666666</v>
      </c>
      <c r="I285" s="41">
        <f t="shared" si="45"/>
        <v>-1000.6666666666666</v>
      </c>
      <c r="J285" s="41">
        <f t="shared" si="48"/>
        <v>0</v>
      </c>
      <c r="K285" s="41">
        <f t="shared" si="50"/>
        <v>0</v>
      </c>
      <c r="L285" s="14"/>
    </row>
    <row r="286" spans="1:12" x14ac:dyDescent="0.2">
      <c r="A286" s="39">
        <f>IF(Values_Entered,A285+1,"")</f>
        <v>268</v>
      </c>
      <c r="B286" s="40">
        <f t="shared" si="41"/>
        <v>51653</v>
      </c>
      <c r="C286" s="41">
        <f t="shared" si="46"/>
        <v>0</v>
      </c>
      <c r="D286" s="41">
        <f t="shared" si="42"/>
        <v>4659.5735099457142</v>
      </c>
      <c r="E286" s="42">
        <f t="shared" si="49"/>
        <v>317000</v>
      </c>
      <c r="F286" s="43">
        <f t="shared" si="47"/>
        <v>-317000</v>
      </c>
      <c r="G286" s="41">
        <f t="shared" si="43"/>
        <v>0</v>
      </c>
      <c r="H286" s="41">
        <f t="shared" si="44"/>
        <v>1003.8333333333333</v>
      </c>
      <c r="I286" s="41">
        <f t="shared" si="45"/>
        <v>-1003.8333333333333</v>
      </c>
      <c r="J286" s="41">
        <f t="shared" si="48"/>
        <v>0</v>
      </c>
      <c r="K286" s="41">
        <f t="shared" si="50"/>
        <v>0</v>
      </c>
      <c r="L286" s="14"/>
    </row>
    <row r="287" spans="1:12" x14ac:dyDescent="0.2">
      <c r="A287" s="39">
        <f>IF(Values_Entered,A286+1,"")</f>
        <v>269</v>
      </c>
      <c r="B287" s="40">
        <f t="shared" si="41"/>
        <v>51683</v>
      </c>
      <c r="C287" s="41">
        <f t="shared" si="46"/>
        <v>0</v>
      </c>
      <c r="D287" s="41">
        <f t="shared" si="42"/>
        <v>4659.5735099457142</v>
      </c>
      <c r="E287" s="42">
        <f t="shared" si="49"/>
        <v>318000</v>
      </c>
      <c r="F287" s="43">
        <f t="shared" si="47"/>
        <v>-318000</v>
      </c>
      <c r="G287" s="41">
        <f t="shared" si="43"/>
        <v>0</v>
      </c>
      <c r="H287" s="41">
        <f t="shared" si="44"/>
        <v>1007</v>
      </c>
      <c r="I287" s="41">
        <f t="shared" si="45"/>
        <v>-1007</v>
      </c>
      <c r="J287" s="41">
        <f t="shared" si="48"/>
        <v>0</v>
      </c>
      <c r="K287" s="41">
        <f t="shared" si="50"/>
        <v>0</v>
      </c>
      <c r="L287" s="14"/>
    </row>
    <row r="288" spans="1:12" x14ac:dyDescent="0.2">
      <c r="A288" s="39">
        <f>IF(Values_Entered,A287+1,"")</f>
        <v>270</v>
      </c>
      <c r="B288" s="40">
        <f t="shared" si="41"/>
        <v>51714</v>
      </c>
      <c r="C288" s="41">
        <f t="shared" si="46"/>
        <v>0</v>
      </c>
      <c r="D288" s="41">
        <f t="shared" si="42"/>
        <v>4659.5735099457142</v>
      </c>
      <c r="E288" s="42">
        <f t="shared" si="49"/>
        <v>319000</v>
      </c>
      <c r="F288" s="43">
        <f t="shared" si="47"/>
        <v>-319000</v>
      </c>
      <c r="G288" s="41">
        <f t="shared" si="43"/>
        <v>0</v>
      </c>
      <c r="H288" s="41">
        <f t="shared" si="44"/>
        <v>1010.1666666666666</v>
      </c>
      <c r="I288" s="41">
        <f t="shared" si="45"/>
        <v>-1010.1666666666666</v>
      </c>
      <c r="J288" s="41">
        <f t="shared" si="48"/>
        <v>0</v>
      </c>
      <c r="K288" s="41">
        <f t="shared" si="50"/>
        <v>0</v>
      </c>
      <c r="L288" s="14"/>
    </row>
    <row r="289" spans="1:12" x14ac:dyDescent="0.2">
      <c r="A289" s="39">
        <f>IF(Values_Entered,A288+1,"")</f>
        <v>271</v>
      </c>
      <c r="B289" s="40">
        <f t="shared" si="41"/>
        <v>51745</v>
      </c>
      <c r="C289" s="41">
        <f t="shared" si="46"/>
        <v>0</v>
      </c>
      <c r="D289" s="41">
        <f t="shared" si="42"/>
        <v>4659.5735099457142</v>
      </c>
      <c r="E289" s="42">
        <f t="shared" si="49"/>
        <v>320000</v>
      </c>
      <c r="F289" s="43">
        <f t="shared" si="47"/>
        <v>-320000</v>
      </c>
      <c r="G289" s="41">
        <f t="shared" si="43"/>
        <v>0</v>
      </c>
      <c r="H289" s="41">
        <f t="shared" si="44"/>
        <v>1013.3333333333333</v>
      </c>
      <c r="I289" s="41">
        <f t="shared" si="45"/>
        <v>-1013.3333333333333</v>
      </c>
      <c r="J289" s="41">
        <f t="shared" si="48"/>
        <v>0</v>
      </c>
      <c r="K289" s="41">
        <f t="shared" si="50"/>
        <v>0</v>
      </c>
      <c r="L289" s="14"/>
    </row>
    <row r="290" spans="1:12" x14ac:dyDescent="0.2">
      <c r="A290" s="39">
        <f>IF(Values_Entered,A289+1,"")</f>
        <v>272</v>
      </c>
      <c r="B290" s="40">
        <f t="shared" si="41"/>
        <v>51775</v>
      </c>
      <c r="C290" s="41">
        <f t="shared" si="46"/>
        <v>0</v>
      </c>
      <c r="D290" s="41">
        <f t="shared" si="42"/>
        <v>4659.5735099457142</v>
      </c>
      <c r="E290" s="42">
        <f t="shared" si="49"/>
        <v>321000</v>
      </c>
      <c r="F290" s="43">
        <f t="shared" si="47"/>
        <v>-321000</v>
      </c>
      <c r="G290" s="41">
        <f t="shared" si="43"/>
        <v>0</v>
      </c>
      <c r="H290" s="41">
        <f t="shared" si="44"/>
        <v>1016.5</v>
      </c>
      <c r="I290" s="41">
        <f t="shared" si="45"/>
        <v>-1016.5</v>
      </c>
      <c r="J290" s="41">
        <f t="shared" si="48"/>
        <v>0</v>
      </c>
      <c r="K290" s="41">
        <f t="shared" si="50"/>
        <v>0</v>
      </c>
      <c r="L290" s="14"/>
    </row>
    <row r="291" spans="1:12" x14ac:dyDescent="0.2">
      <c r="A291" s="39">
        <f>IF(Values_Entered,A290+1,"")</f>
        <v>273</v>
      </c>
      <c r="B291" s="40">
        <f t="shared" si="41"/>
        <v>51806</v>
      </c>
      <c r="C291" s="41">
        <f t="shared" si="46"/>
        <v>0</v>
      </c>
      <c r="D291" s="41">
        <f t="shared" si="42"/>
        <v>4659.5735099457142</v>
      </c>
      <c r="E291" s="42">
        <f t="shared" si="49"/>
        <v>322000</v>
      </c>
      <c r="F291" s="43">
        <f t="shared" si="47"/>
        <v>-322000</v>
      </c>
      <c r="G291" s="41">
        <f t="shared" si="43"/>
        <v>0</v>
      </c>
      <c r="H291" s="41">
        <f t="shared" si="44"/>
        <v>1019.6666666666666</v>
      </c>
      <c r="I291" s="41">
        <f t="shared" si="45"/>
        <v>-1019.6666666666666</v>
      </c>
      <c r="J291" s="41">
        <f t="shared" si="48"/>
        <v>0</v>
      </c>
      <c r="K291" s="41">
        <f t="shared" si="50"/>
        <v>0</v>
      </c>
      <c r="L291" s="14"/>
    </row>
    <row r="292" spans="1:12" x14ac:dyDescent="0.2">
      <c r="A292" s="39">
        <f>IF(Values_Entered,A291+1,"")</f>
        <v>274</v>
      </c>
      <c r="B292" s="40">
        <f t="shared" si="41"/>
        <v>51836</v>
      </c>
      <c r="C292" s="41">
        <f t="shared" si="46"/>
        <v>0</v>
      </c>
      <c r="D292" s="41">
        <f t="shared" si="42"/>
        <v>4659.5735099457142</v>
      </c>
      <c r="E292" s="42">
        <f t="shared" si="49"/>
        <v>323000</v>
      </c>
      <c r="F292" s="43">
        <f t="shared" si="47"/>
        <v>-323000</v>
      </c>
      <c r="G292" s="41">
        <f t="shared" si="43"/>
        <v>0</v>
      </c>
      <c r="H292" s="41">
        <f t="shared" si="44"/>
        <v>1022.8333333333333</v>
      </c>
      <c r="I292" s="41">
        <f t="shared" si="45"/>
        <v>-1022.8333333333333</v>
      </c>
      <c r="J292" s="41">
        <f t="shared" si="48"/>
        <v>0</v>
      </c>
      <c r="K292" s="41">
        <f t="shared" si="50"/>
        <v>0</v>
      </c>
      <c r="L292" s="14"/>
    </row>
    <row r="293" spans="1:12" x14ac:dyDescent="0.2">
      <c r="A293" s="39">
        <f>IF(Values_Entered,A292+1,"")</f>
        <v>275</v>
      </c>
      <c r="B293" s="40">
        <f t="shared" si="41"/>
        <v>51867</v>
      </c>
      <c r="C293" s="41">
        <f t="shared" si="46"/>
        <v>0</v>
      </c>
      <c r="D293" s="41">
        <f t="shared" si="42"/>
        <v>4659.5735099457142</v>
      </c>
      <c r="E293" s="42">
        <f t="shared" si="49"/>
        <v>324000</v>
      </c>
      <c r="F293" s="43">
        <f t="shared" si="47"/>
        <v>-324000</v>
      </c>
      <c r="G293" s="41">
        <f t="shared" si="43"/>
        <v>0</v>
      </c>
      <c r="H293" s="41">
        <f t="shared" si="44"/>
        <v>1026</v>
      </c>
      <c r="I293" s="41">
        <f t="shared" si="45"/>
        <v>-1026</v>
      </c>
      <c r="J293" s="41">
        <f t="shared" si="48"/>
        <v>0</v>
      </c>
      <c r="K293" s="41">
        <f t="shared" si="50"/>
        <v>0</v>
      </c>
      <c r="L293" s="14"/>
    </row>
    <row r="294" spans="1:12" x14ac:dyDescent="0.2">
      <c r="A294" s="39">
        <f>IF(Values_Entered,A293+1,"")</f>
        <v>276</v>
      </c>
      <c r="B294" s="40">
        <f t="shared" si="41"/>
        <v>51898</v>
      </c>
      <c r="C294" s="41">
        <f t="shared" si="46"/>
        <v>0</v>
      </c>
      <c r="D294" s="41">
        <f t="shared" si="42"/>
        <v>4659.5735099457142</v>
      </c>
      <c r="E294" s="42">
        <f t="shared" si="49"/>
        <v>325000</v>
      </c>
      <c r="F294" s="43">
        <f t="shared" si="47"/>
        <v>-325000</v>
      </c>
      <c r="G294" s="41">
        <f t="shared" si="43"/>
        <v>0</v>
      </c>
      <c r="H294" s="41">
        <f t="shared" si="44"/>
        <v>1029.1666666666667</v>
      </c>
      <c r="I294" s="41">
        <f t="shared" si="45"/>
        <v>-1029.1666666666667</v>
      </c>
      <c r="J294" s="41">
        <f t="shared" si="48"/>
        <v>0</v>
      </c>
      <c r="K294" s="41">
        <f t="shared" si="50"/>
        <v>0</v>
      </c>
      <c r="L294" s="14"/>
    </row>
    <row r="295" spans="1:12" x14ac:dyDescent="0.2">
      <c r="A295" s="39">
        <f>IF(Values_Entered,A294+1,"")</f>
        <v>277</v>
      </c>
      <c r="B295" s="40">
        <f t="shared" si="41"/>
        <v>51926</v>
      </c>
      <c r="C295" s="41">
        <f t="shared" si="46"/>
        <v>0</v>
      </c>
      <c r="D295" s="41">
        <f t="shared" si="42"/>
        <v>4659.5735099457142</v>
      </c>
      <c r="E295" s="42">
        <f t="shared" si="49"/>
        <v>326000</v>
      </c>
      <c r="F295" s="43">
        <f t="shared" si="47"/>
        <v>-326000</v>
      </c>
      <c r="G295" s="41">
        <f t="shared" si="43"/>
        <v>0</v>
      </c>
      <c r="H295" s="41">
        <f t="shared" si="44"/>
        <v>1032.3333333333333</v>
      </c>
      <c r="I295" s="41">
        <f t="shared" si="45"/>
        <v>-1032.3333333333333</v>
      </c>
      <c r="J295" s="41">
        <f t="shared" si="48"/>
        <v>0</v>
      </c>
      <c r="K295" s="41">
        <f t="shared" si="50"/>
        <v>0</v>
      </c>
      <c r="L295" s="14"/>
    </row>
    <row r="296" spans="1:12" x14ac:dyDescent="0.2">
      <c r="A296" s="39">
        <f>IF(Values_Entered,A295+1,"")</f>
        <v>278</v>
      </c>
      <c r="B296" s="40">
        <f t="shared" si="41"/>
        <v>51957</v>
      </c>
      <c r="C296" s="41">
        <f t="shared" si="46"/>
        <v>0</v>
      </c>
      <c r="D296" s="41">
        <f t="shared" si="42"/>
        <v>4659.5735099457142</v>
      </c>
      <c r="E296" s="42">
        <f t="shared" si="49"/>
        <v>327000</v>
      </c>
      <c r="F296" s="43">
        <f t="shared" si="47"/>
        <v>-327000</v>
      </c>
      <c r="G296" s="41">
        <f t="shared" si="43"/>
        <v>0</v>
      </c>
      <c r="H296" s="41">
        <f t="shared" si="44"/>
        <v>1035.5</v>
      </c>
      <c r="I296" s="41">
        <f t="shared" si="45"/>
        <v>-1035.5</v>
      </c>
      <c r="J296" s="41">
        <f t="shared" si="48"/>
        <v>0</v>
      </c>
      <c r="K296" s="41">
        <f t="shared" si="50"/>
        <v>0</v>
      </c>
      <c r="L296" s="14"/>
    </row>
    <row r="297" spans="1:12" x14ac:dyDescent="0.2">
      <c r="A297" s="39">
        <f>IF(Values_Entered,A296+1,"")</f>
        <v>279</v>
      </c>
      <c r="B297" s="40">
        <f t="shared" si="41"/>
        <v>51987</v>
      </c>
      <c r="C297" s="41">
        <f t="shared" si="46"/>
        <v>0</v>
      </c>
      <c r="D297" s="41">
        <f t="shared" si="42"/>
        <v>4659.5735099457142</v>
      </c>
      <c r="E297" s="42">
        <f t="shared" si="49"/>
        <v>328000</v>
      </c>
      <c r="F297" s="43">
        <f t="shared" si="47"/>
        <v>-328000</v>
      </c>
      <c r="G297" s="41">
        <f t="shared" si="43"/>
        <v>0</v>
      </c>
      <c r="H297" s="41">
        <f t="shared" si="44"/>
        <v>1038.6666666666667</v>
      </c>
      <c r="I297" s="41">
        <f t="shared" si="45"/>
        <v>-1038.6666666666667</v>
      </c>
      <c r="J297" s="41">
        <f t="shared" si="48"/>
        <v>0</v>
      </c>
      <c r="K297" s="41">
        <f t="shared" si="50"/>
        <v>0</v>
      </c>
      <c r="L297" s="14"/>
    </row>
    <row r="298" spans="1:12" x14ac:dyDescent="0.2">
      <c r="A298" s="39">
        <f>IF(Values_Entered,A297+1,"")</f>
        <v>280</v>
      </c>
      <c r="B298" s="40">
        <f t="shared" si="41"/>
        <v>52018</v>
      </c>
      <c r="C298" s="41">
        <f t="shared" si="46"/>
        <v>0</v>
      </c>
      <c r="D298" s="41">
        <f t="shared" si="42"/>
        <v>4659.5735099457142</v>
      </c>
      <c r="E298" s="42">
        <f t="shared" si="49"/>
        <v>329000</v>
      </c>
      <c r="F298" s="43">
        <f t="shared" si="47"/>
        <v>-329000</v>
      </c>
      <c r="G298" s="41">
        <f t="shared" si="43"/>
        <v>0</v>
      </c>
      <c r="H298" s="41">
        <f t="shared" si="44"/>
        <v>1041.8333333333333</v>
      </c>
      <c r="I298" s="41">
        <f t="shared" si="45"/>
        <v>-1041.8333333333333</v>
      </c>
      <c r="J298" s="41">
        <f t="shared" si="48"/>
        <v>0</v>
      </c>
      <c r="K298" s="41">
        <f t="shared" si="50"/>
        <v>0</v>
      </c>
      <c r="L298" s="14"/>
    </row>
    <row r="299" spans="1:12" x14ac:dyDescent="0.2">
      <c r="A299" s="39">
        <f>IF(Values_Entered,A298+1,"")</f>
        <v>281</v>
      </c>
      <c r="B299" s="40">
        <f t="shared" si="41"/>
        <v>52048</v>
      </c>
      <c r="C299" s="41">
        <f t="shared" si="46"/>
        <v>0</v>
      </c>
      <c r="D299" s="41">
        <f t="shared" si="42"/>
        <v>4659.5735099457142</v>
      </c>
      <c r="E299" s="42">
        <f t="shared" si="49"/>
        <v>330000</v>
      </c>
      <c r="F299" s="43">
        <f t="shared" si="47"/>
        <v>-330000</v>
      </c>
      <c r="G299" s="41">
        <f t="shared" si="43"/>
        <v>0</v>
      </c>
      <c r="H299" s="41">
        <f t="shared" si="44"/>
        <v>1045</v>
      </c>
      <c r="I299" s="41">
        <f t="shared" si="45"/>
        <v>-1045</v>
      </c>
      <c r="J299" s="41">
        <f t="shared" si="48"/>
        <v>0</v>
      </c>
      <c r="K299" s="41">
        <f t="shared" si="50"/>
        <v>0</v>
      </c>
      <c r="L299" s="14"/>
    </row>
    <row r="300" spans="1:12" x14ac:dyDescent="0.2">
      <c r="A300" s="39">
        <f>IF(Values_Entered,A299+1,"")</f>
        <v>282</v>
      </c>
      <c r="B300" s="40">
        <f t="shared" si="41"/>
        <v>52079</v>
      </c>
      <c r="C300" s="41">
        <f t="shared" si="46"/>
        <v>0</v>
      </c>
      <c r="D300" s="41">
        <f t="shared" si="42"/>
        <v>4659.5735099457142</v>
      </c>
      <c r="E300" s="42">
        <f t="shared" si="49"/>
        <v>331000</v>
      </c>
      <c r="F300" s="43">
        <f t="shared" si="47"/>
        <v>-331000</v>
      </c>
      <c r="G300" s="41">
        <f t="shared" si="43"/>
        <v>0</v>
      </c>
      <c r="H300" s="41">
        <f t="shared" si="44"/>
        <v>1048.1666666666667</v>
      </c>
      <c r="I300" s="41">
        <f t="shared" si="45"/>
        <v>-1048.1666666666667</v>
      </c>
      <c r="J300" s="41">
        <f t="shared" si="48"/>
        <v>0</v>
      </c>
      <c r="K300" s="41">
        <f t="shared" si="50"/>
        <v>0</v>
      </c>
      <c r="L300" s="14"/>
    </row>
    <row r="301" spans="1:12" x14ac:dyDescent="0.2">
      <c r="A301" s="39">
        <f>IF(Values_Entered,A300+1,"")</f>
        <v>283</v>
      </c>
      <c r="B301" s="40">
        <f t="shared" si="41"/>
        <v>52110</v>
      </c>
      <c r="C301" s="41">
        <f t="shared" si="46"/>
        <v>0</v>
      </c>
      <c r="D301" s="41">
        <f t="shared" si="42"/>
        <v>4659.5735099457142</v>
      </c>
      <c r="E301" s="42">
        <f t="shared" si="49"/>
        <v>332000</v>
      </c>
      <c r="F301" s="43">
        <f t="shared" si="47"/>
        <v>-332000</v>
      </c>
      <c r="G301" s="41">
        <f t="shared" si="43"/>
        <v>0</v>
      </c>
      <c r="H301" s="41">
        <f t="shared" si="44"/>
        <v>1051.3333333333333</v>
      </c>
      <c r="I301" s="41">
        <f t="shared" si="45"/>
        <v>-1051.3333333333333</v>
      </c>
      <c r="J301" s="41">
        <f t="shared" si="48"/>
        <v>0</v>
      </c>
      <c r="K301" s="41">
        <f t="shared" si="50"/>
        <v>0</v>
      </c>
      <c r="L301" s="14"/>
    </row>
    <row r="302" spans="1:12" x14ac:dyDescent="0.2">
      <c r="A302" s="39">
        <f>IF(Values_Entered,A301+1,"")</f>
        <v>284</v>
      </c>
      <c r="B302" s="40">
        <f t="shared" si="41"/>
        <v>52140</v>
      </c>
      <c r="C302" s="41">
        <f t="shared" si="46"/>
        <v>0</v>
      </c>
      <c r="D302" s="41">
        <f t="shared" si="42"/>
        <v>4659.5735099457142</v>
      </c>
      <c r="E302" s="42">
        <f t="shared" si="49"/>
        <v>333000</v>
      </c>
      <c r="F302" s="43">
        <f t="shared" si="47"/>
        <v>-333000</v>
      </c>
      <c r="G302" s="41">
        <f t="shared" si="43"/>
        <v>0</v>
      </c>
      <c r="H302" s="41">
        <f t="shared" si="44"/>
        <v>1054.5</v>
      </c>
      <c r="I302" s="41">
        <f t="shared" si="45"/>
        <v>-1054.5</v>
      </c>
      <c r="J302" s="41">
        <f t="shared" si="48"/>
        <v>0</v>
      </c>
      <c r="K302" s="41">
        <f t="shared" si="50"/>
        <v>0</v>
      </c>
      <c r="L302" s="14"/>
    </row>
    <row r="303" spans="1:12" x14ac:dyDescent="0.2">
      <c r="A303" s="39">
        <f>IF(Values_Entered,A302+1,"")</f>
        <v>285</v>
      </c>
      <c r="B303" s="40">
        <f t="shared" si="41"/>
        <v>52171</v>
      </c>
      <c r="C303" s="41">
        <f t="shared" si="46"/>
        <v>0</v>
      </c>
      <c r="D303" s="41">
        <f t="shared" si="42"/>
        <v>4659.5735099457142</v>
      </c>
      <c r="E303" s="42">
        <f t="shared" si="49"/>
        <v>334000</v>
      </c>
      <c r="F303" s="43">
        <f t="shared" si="47"/>
        <v>-334000</v>
      </c>
      <c r="G303" s="41">
        <f t="shared" si="43"/>
        <v>0</v>
      </c>
      <c r="H303" s="41">
        <f t="shared" si="44"/>
        <v>1057.6666666666667</v>
      </c>
      <c r="I303" s="41">
        <f t="shared" si="45"/>
        <v>-1057.6666666666667</v>
      </c>
      <c r="J303" s="41">
        <f t="shared" si="48"/>
        <v>0</v>
      </c>
      <c r="K303" s="41">
        <f t="shared" si="50"/>
        <v>0</v>
      </c>
      <c r="L303" s="14"/>
    </row>
    <row r="304" spans="1:12" x14ac:dyDescent="0.2">
      <c r="A304" s="39">
        <f>IF(Values_Entered,A303+1,"")</f>
        <v>286</v>
      </c>
      <c r="B304" s="40">
        <f t="shared" si="41"/>
        <v>52201</v>
      </c>
      <c r="C304" s="41">
        <f t="shared" si="46"/>
        <v>0</v>
      </c>
      <c r="D304" s="41">
        <f t="shared" si="42"/>
        <v>4659.5735099457142</v>
      </c>
      <c r="E304" s="42">
        <f t="shared" si="49"/>
        <v>335000</v>
      </c>
      <c r="F304" s="43">
        <f t="shared" si="47"/>
        <v>-335000</v>
      </c>
      <c r="G304" s="41">
        <f t="shared" si="43"/>
        <v>0</v>
      </c>
      <c r="H304" s="41">
        <f t="shared" si="44"/>
        <v>1060.8333333333333</v>
      </c>
      <c r="I304" s="41">
        <f t="shared" si="45"/>
        <v>-1060.8333333333333</v>
      </c>
      <c r="J304" s="41">
        <f t="shared" si="48"/>
        <v>0</v>
      </c>
      <c r="K304" s="41">
        <f t="shared" si="50"/>
        <v>0</v>
      </c>
      <c r="L304" s="14"/>
    </row>
    <row r="305" spans="1:12" x14ac:dyDescent="0.2">
      <c r="A305" s="39">
        <f>IF(Values_Entered,A304+1,"")</f>
        <v>287</v>
      </c>
      <c r="B305" s="40">
        <f t="shared" si="41"/>
        <v>52232</v>
      </c>
      <c r="C305" s="41">
        <f t="shared" si="46"/>
        <v>0</v>
      </c>
      <c r="D305" s="41">
        <f t="shared" si="42"/>
        <v>4659.5735099457142</v>
      </c>
      <c r="E305" s="42">
        <f t="shared" si="49"/>
        <v>336000</v>
      </c>
      <c r="F305" s="43">
        <f t="shared" si="47"/>
        <v>-336000</v>
      </c>
      <c r="G305" s="41">
        <f t="shared" si="43"/>
        <v>0</v>
      </c>
      <c r="H305" s="41">
        <f t="shared" si="44"/>
        <v>1064</v>
      </c>
      <c r="I305" s="41">
        <f t="shared" si="45"/>
        <v>-1064</v>
      </c>
      <c r="J305" s="41">
        <f t="shared" si="48"/>
        <v>0</v>
      </c>
      <c r="K305" s="41">
        <f t="shared" si="50"/>
        <v>0</v>
      </c>
      <c r="L305" s="14"/>
    </row>
    <row r="306" spans="1:12" x14ac:dyDescent="0.2">
      <c r="A306" s="39">
        <f>IF(Values_Entered,A305+1,"")</f>
        <v>288</v>
      </c>
      <c r="B306" s="40">
        <f t="shared" si="41"/>
        <v>52263</v>
      </c>
      <c r="C306" s="41">
        <f t="shared" si="46"/>
        <v>0</v>
      </c>
      <c r="D306" s="41">
        <f t="shared" si="42"/>
        <v>4659.5735099457142</v>
      </c>
      <c r="E306" s="42">
        <f t="shared" si="49"/>
        <v>337000</v>
      </c>
      <c r="F306" s="43">
        <f t="shared" si="47"/>
        <v>-337000</v>
      </c>
      <c r="G306" s="41">
        <f t="shared" si="43"/>
        <v>0</v>
      </c>
      <c r="H306" s="41">
        <f t="shared" si="44"/>
        <v>1067.1666666666667</v>
      </c>
      <c r="I306" s="41">
        <f t="shared" si="45"/>
        <v>-1067.1666666666667</v>
      </c>
      <c r="J306" s="41">
        <f t="shared" si="48"/>
        <v>0</v>
      </c>
      <c r="K306" s="41">
        <f t="shared" si="50"/>
        <v>0</v>
      </c>
      <c r="L306" s="14"/>
    </row>
    <row r="307" spans="1:12" x14ac:dyDescent="0.2">
      <c r="A307" s="39">
        <f>IF(Values_Entered,A306+1,"")</f>
        <v>289</v>
      </c>
      <c r="B307" s="40">
        <f t="shared" si="41"/>
        <v>52291</v>
      </c>
      <c r="C307" s="41">
        <f t="shared" si="46"/>
        <v>0</v>
      </c>
      <c r="D307" s="41">
        <f t="shared" si="42"/>
        <v>4659.5735099457142</v>
      </c>
      <c r="E307" s="42">
        <f t="shared" si="49"/>
        <v>338000</v>
      </c>
      <c r="F307" s="43">
        <f t="shared" si="47"/>
        <v>-338000</v>
      </c>
      <c r="G307" s="41">
        <f t="shared" si="43"/>
        <v>0</v>
      </c>
      <c r="H307" s="41">
        <f t="shared" si="44"/>
        <v>1070.3333333333333</v>
      </c>
      <c r="I307" s="41">
        <f t="shared" si="45"/>
        <v>-1070.3333333333333</v>
      </c>
      <c r="J307" s="41">
        <f t="shared" si="48"/>
        <v>0</v>
      </c>
      <c r="K307" s="41">
        <f t="shared" si="50"/>
        <v>0</v>
      </c>
      <c r="L307" s="14"/>
    </row>
    <row r="308" spans="1:12" x14ac:dyDescent="0.2">
      <c r="A308" s="39">
        <f>IF(Values_Entered,A307+1,"")</f>
        <v>290</v>
      </c>
      <c r="B308" s="40">
        <f t="shared" si="41"/>
        <v>52322</v>
      </c>
      <c r="C308" s="41">
        <f t="shared" si="46"/>
        <v>0</v>
      </c>
      <c r="D308" s="41">
        <f t="shared" si="42"/>
        <v>4659.5735099457142</v>
      </c>
      <c r="E308" s="42">
        <f t="shared" si="49"/>
        <v>339000</v>
      </c>
      <c r="F308" s="43">
        <f t="shared" si="47"/>
        <v>-339000</v>
      </c>
      <c r="G308" s="41">
        <f t="shared" si="43"/>
        <v>0</v>
      </c>
      <c r="H308" s="41">
        <f t="shared" si="44"/>
        <v>1073.5</v>
      </c>
      <c r="I308" s="41">
        <f t="shared" si="45"/>
        <v>-1073.5</v>
      </c>
      <c r="J308" s="41">
        <f t="shared" si="48"/>
        <v>0</v>
      </c>
      <c r="K308" s="41">
        <f t="shared" si="50"/>
        <v>0</v>
      </c>
      <c r="L308" s="14"/>
    </row>
    <row r="309" spans="1:12" x14ac:dyDescent="0.2">
      <c r="A309" s="39">
        <f>IF(Values_Entered,A308+1,"")</f>
        <v>291</v>
      </c>
      <c r="B309" s="40">
        <f t="shared" si="41"/>
        <v>52352</v>
      </c>
      <c r="C309" s="41">
        <f t="shared" si="46"/>
        <v>0</v>
      </c>
      <c r="D309" s="41">
        <f t="shared" si="42"/>
        <v>4659.5735099457142</v>
      </c>
      <c r="E309" s="42">
        <f t="shared" si="49"/>
        <v>340000</v>
      </c>
      <c r="F309" s="43">
        <f t="shared" si="47"/>
        <v>-340000</v>
      </c>
      <c r="G309" s="41">
        <f t="shared" si="43"/>
        <v>0</v>
      </c>
      <c r="H309" s="41">
        <f t="shared" si="44"/>
        <v>1076.6666666666667</v>
      </c>
      <c r="I309" s="41">
        <f t="shared" si="45"/>
        <v>-1076.6666666666667</v>
      </c>
      <c r="J309" s="41">
        <f t="shared" si="48"/>
        <v>0</v>
      </c>
      <c r="K309" s="41">
        <f t="shared" si="50"/>
        <v>0</v>
      </c>
      <c r="L309" s="14"/>
    </row>
    <row r="310" spans="1:12" x14ac:dyDescent="0.2">
      <c r="A310" s="39">
        <f>IF(Values_Entered,A309+1,"")</f>
        <v>292</v>
      </c>
      <c r="B310" s="40">
        <f t="shared" si="41"/>
        <v>52383</v>
      </c>
      <c r="C310" s="41">
        <f t="shared" si="46"/>
        <v>0</v>
      </c>
      <c r="D310" s="41">
        <f t="shared" si="42"/>
        <v>4659.5735099457142</v>
      </c>
      <c r="E310" s="42">
        <f t="shared" si="49"/>
        <v>341000</v>
      </c>
      <c r="F310" s="43">
        <f t="shared" si="47"/>
        <v>-341000</v>
      </c>
      <c r="G310" s="41">
        <f t="shared" si="43"/>
        <v>0</v>
      </c>
      <c r="H310" s="41">
        <f t="shared" si="44"/>
        <v>1079.8333333333333</v>
      </c>
      <c r="I310" s="41">
        <f t="shared" si="45"/>
        <v>-1079.8333333333333</v>
      </c>
      <c r="J310" s="41">
        <f t="shared" si="48"/>
        <v>0</v>
      </c>
      <c r="K310" s="41">
        <f t="shared" si="50"/>
        <v>0</v>
      </c>
      <c r="L310" s="14"/>
    </row>
    <row r="311" spans="1:12" x14ac:dyDescent="0.2">
      <c r="A311" s="39">
        <f>IF(Values_Entered,A310+1,"")</f>
        <v>293</v>
      </c>
      <c r="B311" s="40">
        <f t="shared" si="41"/>
        <v>52413</v>
      </c>
      <c r="C311" s="41">
        <f t="shared" si="46"/>
        <v>0</v>
      </c>
      <c r="D311" s="41">
        <f t="shared" si="42"/>
        <v>4659.5735099457142</v>
      </c>
      <c r="E311" s="42">
        <f t="shared" si="49"/>
        <v>342000</v>
      </c>
      <c r="F311" s="43">
        <f t="shared" si="47"/>
        <v>-342000</v>
      </c>
      <c r="G311" s="41">
        <f t="shared" si="43"/>
        <v>0</v>
      </c>
      <c r="H311" s="41">
        <f t="shared" si="44"/>
        <v>1083</v>
      </c>
      <c r="I311" s="41">
        <f t="shared" si="45"/>
        <v>-1083</v>
      </c>
      <c r="J311" s="41">
        <f t="shared" si="48"/>
        <v>0</v>
      </c>
      <c r="K311" s="41">
        <f t="shared" si="50"/>
        <v>0</v>
      </c>
      <c r="L311" s="14"/>
    </row>
    <row r="312" spans="1:12" x14ac:dyDescent="0.2">
      <c r="A312" s="39">
        <f>IF(Values_Entered,A311+1,"")</f>
        <v>294</v>
      </c>
      <c r="B312" s="40">
        <f t="shared" si="41"/>
        <v>52444</v>
      </c>
      <c r="C312" s="41">
        <f t="shared" si="46"/>
        <v>0</v>
      </c>
      <c r="D312" s="41">
        <f t="shared" si="42"/>
        <v>4659.5735099457142</v>
      </c>
      <c r="E312" s="42">
        <f t="shared" si="49"/>
        <v>343000</v>
      </c>
      <c r="F312" s="43">
        <f t="shared" si="47"/>
        <v>-343000</v>
      </c>
      <c r="G312" s="41">
        <f t="shared" si="43"/>
        <v>0</v>
      </c>
      <c r="H312" s="41">
        <f t="shared" si="44"/>
        <v>1086.1666666666667</v>
      </c>
      <c r="I312" s="41">
        <f t="shared" si="45"/>
        <v>-1086.1666666666667</v>
      </c>
      <c r="J312" s="41">
        <f t="shared" si="48"/>
        <v>0</v>
      </c>
      <c r="K312" s="41">
        <f t="shared" si="50"/>
        <v>0</v>
      </c>
      <c r="L312" s="14"/>
    </row>
    <row r="313" spans="1:12" x14ac:dyDescent="0.2">
      <c r="A313" s="39">
        <f>IF(Values_Entered,A312+1,"")</f>
        <v>295</v>
      </c>
      <c r="B313" s="40">
        <f t="shared" si="41"/>
        <v>52475</v>
      </c>
      <c r="C313" s="41">
        <f t="shared" si="46"/>
        <v>0</v>
      </c>
      <c r="D313" s="41">
        <f t="shared" si="42"/>
        <v>4659.5735099457142</v>
      </c>
      <c r="E313" s="42">
        <f t="shared" si="49"/>
        <v>344000</v>
      </c>
      <c r="F313" s="43">
        <f t="shared" si="47"/>
        <v>-344000</v>
      </c>
      <c r="G313" s="41">
        <f t="shared" si="43"/>
        <v>0</v>
      </c>
      <c r="H313" s="41">
        <f t="shared" si="44"/>
        <v>1089.3333333333333</v>
      </c>
      <c r="I313" s="41">
        <f t="shared" si="45"/>
        <v>-1089.3333333333333</v>
      </c>
      <c r="J313" s="41">
        <f t="shared" si="48"/>
        <v>0</v>
      </c>
      <c r="K313" s="41">
        <f t="shared" si="50"/>
        <v>0</v>
      </c>
      <c r="L313" s="14"/>
    </row>
    <row r="314" spans="1:12" x14ac:dyDescent="0.2">
      <c r="A314" s="39">
        <f>IF(Values_Entered,A313+1,"")</f>
        <v>296</v>
      </c>
      <c r="B314" s="40">
        <f t="shared" si="41"/>
        <v>52505</v>
      </c>
      <c r="C314" s="41">
        <f t="shared" si="46"/>
        <v>0</v>
      </c>
      <c r="D314" s="41">
        <f t="shared" si="42"/>
        <v>4659.5735099457142</v>
      </c>
      <c r="E314" s="42">
        <f t="shared" si="49"/>
        <v>345000</v>
      </c>
      <c r="F314" s="43">
        <f t="shared" si="47"/>
        <v>-345000</v>
      </c>
      <c r="G314" s="41">
        <f t="shared" si="43"/>
        <v>0</v>
      </c>
      <c r="H314" s="41">
        <f t="shared" si="44"/>
        <v>1092.5</v>
      </c>
      <c r="I314" s="41">
        <f t="shared" si="45"/>
        <v>-1092.5</v>
      </c>
      <c r="J314" s="41">
        <f t="shared" si="48"/>
        <v>0</v>
      </c>
      <c r="K314" s="41">
        <f t="shared" si="50"/>
        <v>0</v>
      </c>
      <c r="L314" s="14"/>
    </row>
    <row r="315" spans="1:12" x14ac:dyDescent="0.2">
      <c r="A315" s="39">
        <f>IF(Values_Entered,A314+1,"")</f>
        <v>297</v>
      </c>
      <c r="B315" s="40">
        <f t="shared" si="41"/>
        <v>52536</v>
      </c>
      <c r="C315" s="41">
        <f t="shared" si="46"/>
        <v>0</v>
      </c>
      <c r="D315" s="41">
        <f t="shared" si="42"/>
        <v>4659.5735099457142</v>
      </c>
      <c r="E315" s="42">
        <f t="shared" si="49"/>
        <v>346000</v>
      </c>
      <c r="F315" s="43">
        <f t="shared" si="47"/>
        <v>-346000</v>
      </c>
      <c r="G315" s="41">
        <f t="shared" si="43"/>
        <v>0</v>
      </c>
      <c r="H315" s="41">
        <f t="shared" si="44"/>
        <v>1095.6666666666667</v>
      </c>
      <c r="I315" s="41">
        <f t="shared" si="45"/>
        <v>-1095.6666666666667</v>
      </c>
      <c r="J315" s="41">
        <f t="shared" si="48"/>
        <v>0</v>
      </c>
      <c r="K315" s="41">
        <f t="shared" si="50"/>
        <v>0</v>
      </c>
      <c r="L315" s="14"/>
    </row>
    <row r="316" spans="1:12" x14ac:dyDescent="0.2">
      <c r="A316" s="39">
        <f>IF(Values_Entered,A315+1,"")</f>
        <v>298</v>
      </c>
      <c r="B316" s="40">
        <f t="shared" si="41"/>
        <v>52566</v>
      </c>
      <c r="C316" s="41">
        <f t="shared" si="46"/>
        <v>0</v>
      </c>
      <c r="D316" s="41">
        <f t="shared" si="42"/>
        <v>4659.5735099457142</v>
      </c>
      <c r="E316" s="42">
        <f t="shared" si="49"/>
        <v>347000</v>
      </c>
      <c r="F316" s="43">
        <f t="shared" si="47"/>
        <v>-347000</v>
      </c>
      <c r="G316" s="41">
        <f t="shared" si="43"/>
        <v>0</v>
      </c>
      <c r="H316" s="41">
        <f t="shared" si="44"/>
        <v>1098.8333333333333</v>
      </c>
      <c r="I316" s="41">
        <f t="shared" si="45"/>
        <v>-1098.8333333333333</v>
      </c>
      <c r="J316" s="41">
        <f t="shared" si="48"/>
        <v>0</v>
      </c>
      <c r="K316" s="41">
        <f t="shared" si="50"/>
        <v>0</v>
      </c>
      <c r="L316" s="14"/>
    </row>
    <row r="317" spans="1:12" x14ac:dyDescent="0.2">
      <c r="A317" s="39">
        <f>IF(Values_Entered,A316+1,"")</f>
        <v>299</v>
      </c>
      <c r="B317" s="40">
        <f t="shared" si="41"/>
        <v>52597</v>
      </c>
      <c r="C317" s="41">
        <f t="shared" si="46"/>
        <v>0</v>
      </c>
      <c r="D317" s="41">
        <f t="shared" si="42"/>
        <v>4659.5735099457142</v>
      </c>
      <c r="E317" s="42">
        <f t="shared" si="49"/>
        <v>348000</v>
      </c>
      <c r="F317" s="43">
        <f t="shared" si="47"/>
        <v>-348000</v>
      </c>
      <c r="G317" s="41">
        <f t="shared" si="43"/>
        <v>0</v>
      </c>
      <c r="H317" s="41">
        <f t="shared" si="44"/>
        <v>1102</v>
      </c>
      <c r="I317" s="41">
        <f t="shared" si="45"/>
        <v>-1102</v>
      </c>
      <c r="J317" s="41">
        <f t="shared" si="48"/>
        <v>0</v>
      </c>
      <c r="K317" s="41">
        <f t="shared" si="50"/>
        <v>0</v>
      </c>
      <c r="L317" s="14"/>
    </row>
    <row r="318" spans="1:12" x14ac:dyDescent="0.2">
      <c r="A318" s="39">
        <f>IF(Values_Entered,A317+1,"")</f>
        <v>300</v>
      </c>
      <c r="B318" s="40">
        <f t="shared" si="41"/>
        <v>52628</v>
      </c>
      <c r="C318" s="41">
        <f t="shared" si="46"/>
        <v>0</v>
      </c>
      <c r="D318" s="41">
        <f t="shared" si="42"/>
        <v>4659.5735099457142</v>
      </c>
      <c r="E318" s="42">
        <f t="shared" si="49"/>
        <v>349000</v>
      </c>
      <c r="F318" s="43">
        <f t="shared" si="47"/>
        <v>-349000</v>
      </c>
      <c r="G318" s="41">
        <f t="shared" si="43"/>
        <v>0</v>
      </c>
      <c r="H318" s="41">
        <f t="shared" si="44"/>
        <v>1105.1666666666667</v>
      </c>
      <c r="I318" s="41">
        <f t="shared" si="45"/>
        <v>-1105.1666666666667</v>
      </c>
      <c r="J318" s="41">
        <f t="shared" si="48"/>
        <v>0</v>
      </c>
      <c r="K318" s="41">
        <f t="shared" si="50"/>
        <v>0</v>
      </c>
      <c r="L318" s="14"/>
    </row>
    <row r="319" spans="1:12" x14ac:dyDescent="0.2">
      <c r="A319" s="39">
        <f>IF(Values_Entered,A318+1,"")</f>
        <v>301</v>
      </c>
      <c r="B319" s="40">
        <f t="shared" si="41"/>
        <v>52657</v>
      </c>
      <c r="C319" s="41">
        <f t="shared" si="46"/>
        <v>0</v>
      </c>
      <c r="D319" s="41">
        <f t="shared" si="42"/>
        <v>4659.5735099457142</v>
      </c>
      <c r="E319" s="42">
        <f t="shared" si="49"/>
        <v>350000</v>
      </c>
      <c r="F319" s="43">
        <f t="shared" si="47"/>
        <v>-350000</v>
      </c>
      <c r="G319" s="41">
        <f t="shared" si="43"/>
        <v>0</v>
      </c>
      <c r="H319" s="41">
        <f t="shared" si="44"/>
        <v>1108.3333333333333</v>
      </c>
      <c r="I319" s="41">
        <f t="shared" si="45"/>
        <v>-1108.3333333333333</v>
      </c>
      <c r="J319" s="41">
        <f t="shared" si="48"/>
        <v>0</v>
      </c>
      <c r="K319" s="41">
        <f t="shared" si="50"/>
        <v>0</v>
      </c>
      <c r="L319" s="14"/>
    </row>
    <row r="320" spans="1:12" x14ac:dyDescent="0.2">
      <c r="A320" s="39">
        <f>IF(Values_Entered,A319+1,"")</f>
        <v>302</v>
      </c>
      <c r="B320" s="40">
        <f t="shared" si="41"/>
        <v>52688</v>
      </c>
      <c r="C320" s="41">
        <f t="shared" si="46"/>
        <v>0</v>
      </c>
      <c r="D320" s="41">
        <f t="shared" si="42"/>
        <v>4659.5735099457142</v>
      </c>
      <c r="E320" s="42">
        <f t="shared" si="49"/>
        <v>351000</v>
      </c>
      <c r="F320" s="43">
        <f t="shared" si="47"/>
        <v>-351000</v>
      </c>
      <c r="G320" s="41">
        <f t="shared" si="43"/>
        <v>0</v>
      </c>
      <c r="H320" s="41">
        <f t="shared" si="44"/>
        <v>1111.5</v>
      </c>
      <c r="I320" s="41">
        <f t="shared" si="45"/>
        <v>-1111.5</v>
      </c>
      <c r="J320" s="41">
        <f t="shared" si="48"/>
        <v>0</v>
      </c>
      <c r="K320" s="41">
        <f t="shared" si="50"/>
        <v>0</v>
      </c>
      <c r="L320" s="14"/>
    </row>
    <row r="321" spans="1:12" x14ac:dyDescent="0.2">
      <c r="A321" s="39">
        <f>IF(Values_Entered,A320+1,"")</f>
        <v>303</v>
      </c>
      <c r="B321" s="40">
        <f t="shared" si="41"/>
        <v>52718</v>
      </c>
      <c r="C321" s="41">
        <f t="shared" si="46"/>
        <v>0</v>
      </c>
      <c r="D321" s="41">
        <f t="shared" si="42"/>
        <v>4659.5735099457142</v>
      </c>
      <c r="E321" s="42">
        <f t="shared" si="49"/>
        <v>352000</v>
      </c>
      <c r="F321" s="43">
        <f t="shared" si="47"/>
        <v>-352000</v>
      </c>
      <c r="G321" s="41">
        <f t="shared" si="43"/>
        <v>0</v>
      </c>
      <c r="H321" s="41">
        <f t="shared" si="44"/>
        <v>1114.6666666666667</v>
      </c>
      <c r="I321" s="41">
        <f t="shared" si="45"/>
        <v>-1114.6666666666667</v>
      </c>
      <c r="J321" s="41">
        <f t="shared" si="48"/>
        <v>0</v>
      </c>
      <c r="K321" s="41">
        <f t="shared" si="50"/>
        <v>0</v>
      </c>
      <c r="L321" s="14"/>
    </row>
    <row r="322" spans="1:12" x14ac:dyDescent="0.2">
      <c r="A322" s="39">
        <f>IF(Values_Entered,A321+1,"")</f>
        <v>304</v>
      </c>
      <c r="B322" s="40">
        <f t="shared" si="41"/>
        <v>52749</v>
      </c>
      <c r="C322" s="41">
        <f t="shared" si="46"/>
        <v>0</v>
      </c>
      <c r="D322" s="41">
        <f t="shared" si="42"/>
        <v>4659.5735099457142</v>
      </c>
      <c r="E322" s="42">
        <f t="shared" si="49"/>
        <v>353000</v>
      </c>
      <c r="F322" s="43">
        <f t="shared" si="47"/>
        <v>-353000</v>
      </c>
      <c r="G322" s="41">
        <f t="shared" si="43"/>
        <v>0</v>
      </c>
      <c r="H322" s="41">
        <f t="shared" si="44"/>
        <v>1117.8333333333333</v>
      </c>
      <c r="I322" s="41">
        <f t="shared" si="45"/>
        <v>-1117.8333333333333</v>
      </c>
      <c r="J322" s="41">
        <f t="shared" si="48"/>
        <v>0</v>
      </c>
      <c r="K322" s="41">
        <f t="shared" si="50"/>
        <v>0</v>
      </c>
      <c r="L322" s="14"/>
    </row>
    <row r="323" spans="1:12" x14ac:dyDescent="0.2">
      <c r="A323" s="39">
        <f>IF(Values_Entered,A322+1,"")</f>
        <v>305</v>
      </c>
      <c r="B323" s="40">
        <f t="shared" si="41"/>
        <v>52779</v>
      </c>
      <c r="C323" s="41">
        <f t="shared" si="46"/>
        <v>0</v>
      </c>
      <c r="D323" s="41">
        <f t="shared" si="42"/>
        <v>4659.5735099457142</v>
      </c>
      <c r="E323" s="42">
        <f t="shared" si="49"/>
        <v>354000</v>
      </c>
      <c r="F323" s="43">
        <f t="shared" si="47"/>
        <v>-354000</v>
      </c>
      <c r="G323" s="41">
        <f t="shared" si="43"/>
        <v>0</v>
      </c>
      <c r="H323" s="41">
        <f t="shared" si="44"/>
        <v>1121</v>
      </c>
      <c r="I323" s="41">
        <f t="shared" si="45"/>
        <v>-1121</v>
      </c>
      <c r="J323" s="41">
        <f t="shared" si="48"/>
        <v>0</v>
      </c>
      <c r="K323" s="41">
        <f t="shared" si="50"/>
        <v>0</v>
      </c>
      <c r="L323" s="14"/>
    </row>
    <row r="324" spans="1:12" x14ac:dyDescent="0.2">
      <c r="A324" s="39">
        <f>IF(Values_Entered,A323+1,"")</f>
        <v>306</v>
      </c>
      <c r="B324" s="40">
        <f t="shared" si="41"/>
        <v>52810</v>
      </c>
      <c r="C324" s="41">
        <f t="shared" si="46"/>
        <v>0</v>
      </c>
      <c r="D324" s="41">
        <f t="shared" si="42"/>
        <v>4659.5735099457142</v>
      </c>
      <c r="E324" s="42">
        <f t="shared" si="49"/>
        <v>355000</v>
      </c>
      <c r="F324" s="43">
        <f t="shared" si="47"/>
        <v>-355000</v>
      </c>
      <c r="G324" s="41">
        <f t="shared" si="43"/>
        <v>0</v>
      </c>
      <c r="H324" s="41">
        <f t="shared" si="44"/>
        <v>1124.1666666666667</v>
      </c>
      <c r="I324" s="41">
        <f t="shared" si="45"/>
        <v>-1124.1666666666667</v>
      </c>
      <c r="J324" s="41">
        <f t="shared" si="48"/>
        <v>0</v>
      </c>
      <c r="K324" s="41">
        <f t="shared" si="50"/>
        <v>0</v>
      </c>
      <c r="L324" s="14"/>
    </row>
    <row r="325" spans="1:12" x14ac:dyDescent="0.2">
      <c r="A325" s="39">
        <f>IF(Values_Entered,A324+1,"")</f>
        <v>307</v>
      </c>
      <c r="B325" s="40">
        <f t="shared" si="41"/>
        <v>52841</v>
      </c>
      <c r="C325" s="41">
        <f t="shared" si="46"/>
        <v>0</v>
      </c>
      <c r="D325" s="41">
        <f t="shared" si="42"/>
        <v>4659.5735099457142</v>
      </c>
      <c r="E325" s="42">
        <f t="shared" si="49"/>
        <v>356000</v>
      </c>
      <c r="F325" s="43">
        <f t="shared" si="47"/>
        <v>-356000</v>
      </c>
      <c r="G325" s="41">
        <f t="shared" si="43"/>
        <v>0</v>
      </c>
      <c r="H325" s="41">
        <f t="shared" si="44"/>
        <v>1127.3333333333333</v>
      </c>
      <c r="I325" s="41">
        <f t="shared" si="45"/>
        <v>-1127.3333333333333</v>
      </c>
      <c r="J325" s="41">
        <f t="shared" si="48"/>
        <v>0</v>
      </c>
      <c r="K325" s="41">
        <f t="shared" si="50"/>
        <v>0</v>
      </c>
      <c r="L325" s="14"/>
    </row>
    <row r="326" spans="1:12" x14ac:dyDescent="0.2">
      <c r="A326" s="39">
        <f>IF(Values_Entered,A325+1,"")</f>
        <v>308</v>
      </c>
      <c r="B326" s="40">
        <f t="shared" si="41"/>
        <v>52871</v>
      </c>
      <c r="C326" s="41">
        <f t="shared" si="46"/>
        <v>0</v>
      </c>
      <c r="D326" s="41">
        <f t="shared" si="42"/>
        <v>4659.5735099457142</v>
      </c>
      <c r="E326" s="42">
        <f t="shared" si="49"/>
        <v>357000</v>
      </c>
      <c r="F326" s="43">
        <f t="shared" si="47"/>
        <v>-357000</v>
      </c>
      <c r="G326" s="41">
        <f t="shared" si="43"/>
        <v>0</v>
      </c>
      <c r="H326" s="41">
        <f t="shared" si="44"/>
        <v>1130.5</v>
      </c>
      <c r="I326" s="41">
        <f t="shared" si="45"/>
        <v>-1130.5</v>
      </c>
      <c r="J326" s="41">
        <f t="shared" si="48"/>
        <v>0</v>
      </c>
      <c r="K326" s="41">
        <f t="shared" si="50"/>
        <v>0</v>
      </c>
      <c r="L326" s="14"/>
    </row>
    <row r="327" spans="1:12" x14ac:dyDescent="0.2">
      <c r="A327" s="39">
        <f>IF(Values_Entered,A326+1,"")</f>
        <v>309</v>
      </c>
      <c r="B327" s="40">
        <f t="shared" si="41"/>
        <v>52902</v>
      </c>
      <c r="C327" s="41">
        <f t="shared" si="46"/>
        <v>0</v>
      </c>
      <c r="D327" s="41">
        <f t="shared" si="42"/>
        <v>4659.5735099457142</v>
      </c>
      <c r="E327" s="42">
        <f t="shared" si="49"/>
        <v>358000</v>
      </c>
      <c r="F327" s="43">
        <f t="shared" si="47"/>
        <v>-358000</v>
      </c>
      <c r="G327" s="41">
        <f t="shared" si="43"/>
        <v>0</v>
      </c>
      <c r="H327" s="41">
        <f t="shared" si="44"/>
        <v>1133.6666666666667</v>
      </c>
      <c r="I327" s="41">
        <f t="shared" si="45"/>
        <v>-1133.6666666666667</v>
      </c>
      <c r="J327" s="41">
        <f t="shared" si="48"/>
        <v>0</v>
      </c>
      <c r="K327" s="41">
        <f t="shared" si="50"/>
        <v>0</v>
      </c>
      <c r="L327" s="14"/>
    </row>
    <row r="328" spans="1:12" x14ac:dyDescent="0.2">
      <c r="A328" s="39">
        <f>IF(Values_Entered,A327+1,"")</f>
        <v>310</v>
      </c>
      <c r="B328" s="40">
        <f t="shared" si="41"/>
        <v>52932</v>
      </c>
      <c r="C328" s="41">
        <f t="shared" si="46"/>
        <v>0</v>
      </c>
      <c r="D328" s="41">
        <f t="shared" si="42"/>
        <v>4659.5735099457142</v>
      </c>
      <c r="E328" s="42">
        <f t="shared" si="49"/>
        <v>359000</v>
      </c>
      <c r="F328" s="43">
        <f t="shared" si="47"/>
        <v>-359000</v>
      </c>
      <c r="G328" s="41">
        <f t="shared" si="43"/>
        <v>0</v>
      </c>
      <c r="H328" s="41">
        <f t="shared" si="44"/>
        <v>1136.8333333333333</v>
      </c>
      <c r="I328" s="41">
        <f t="shared" si="45"/>
        <v>-1136.8333333333333</v>
      </c>
      <c r="J328" s="41">
        <f t="shared" si="48"/>
        <v>0</v>
      </c>
      <c r="K328" s="41">
        <f t="shared" si="50"/>
        <v>0</v>
      </c>
      <c r="L328" s="14"/>
    </row>
    <row r="329" spans="1:12" x14ac:dyDescent="0.2">
      <c r="A329" s="39">
        <f>IF(Values_Entered,A328+1,"")</f>
        <v>311</v>
      </c>
      <c r="B329" s="40">
        <f t="shared" si="41"/>
        <v>52963</v>
      </c>
      <c r="C329" s="41">
        <f t="shared" si="46"/>
        <v>0</v>
      </c>
      <c r="D329" s="41">
        <f t="shared" si="42"/>
        <v>4659.5735099457142</v>
      </c>
      <c r="E329" s="42">
        <f t="shared" si="49"/>
        <v>360000</v>
      </c>
      <c r="F329" s="43">
        <f t="shared" si="47"/>
        <v>-360000</v>
      </c>
      <c r="G329" s="41">
        <f t="shared" si="43"/>
        <v>0</v>
      </c>
      <c r="H329" s="41">
        <f t="shared" si="44"/>
        <v>1140</v>
      </c>
      <c r="I329" s="41">
        <f t="shared" si="45"/>
        <v>-1140</v>
      </c>
      <c r="J329" s="41">
        <f t="shared" si="48"/>
        <v>0</v>
      </c>
      <c r="K329" s="41">
        <f t="shared" si="50"/>
        <v>0</v>
      </c>
      <c r="L329" s="14"/>
    </row>
    <row r="330" spans="1:12" x14ac:dyDescent="0.2">
      <c r="A330" s="39">
        <f>IF(Values_Entered,A329+1,"")</f>
        <v>312</v>
      </c>
      <c r="B330" s="40">
        <f t="shared" si="41"/>
        <v>52994</v>
      </c>
      <c r="C330" s="41">
        <f t="shared" si="46"/>
        <v>0</v>
      </c>
      <c r="D330" s="41">
        <f t="shared" si="42"/>
        <v>4659.5735099457142</v>
      </c>
      <c r="E330" s="42">
        <f t="shared" si="49"/>
        <v>361000</v>
      </c>
      <c r="F330" s="43">
        <f t="shared" si="47"/>
        <v>-361000</v>
      </c>
      <c r="G330" s="41">
        <f t="shared" si="43"/>
        <v>0</v>
      </c>
      <c r="H330" s="41">
        <f t="shared" si="44"/>
        <v>1143.1666666666667</v>
      </c>
      <c r="I330" s="41">
        <f t="shared" si="45"/>
        <v>-1143.1666666666667</v>
      </c>
      <c r="J330" s="41">
        <f t="shared" si="48"/>
        <v>0</v>
      </c>
      <c r="K330" s="41">
        <f t="shared" si="50"/>
        <v>0</v>
      </c>
      <c r="L330" s="14"/>
    </row>
    <row r="331" spans="1:12" x14ac:dyDescent="0.2">
      <c r="A331" s="39">
        <f>IF(Values_Entered,A330+1,"")</f>
        <v>313</v>
      </c>
      <c r="B331" s="40">
        <f t="shared" si="41"/>
        <v>53022</v>
      </c>
      <c r="C331" s="41">
        <f t="shared" si="46"/>
        <v>0</v>
      </c>
      <c r="D331" s="41">
        <f t="shared" si="42"/>
        <v>4659.5735099457142</v>
      </c>
      <c r="E331" s="42">
        <f t="shared" si="49"/>
        <v>362000</v>
      </c>
      <c r="F331" s="43">
        <f t="shared" si="47"/>
        <v>-362000</v>
      </c>
      <c r="G331" s="41">
        <f t="shared" si="43"/>
        <v>0</v>
      </c>
      <c r="H331" s="41">
        <f t="shared" si="44"/>
        <v>1146.3333333333333</v>
      </c>
      <c r="I331" s="41">
        <f t="shared" si="45"/>
        <v>-1146.3333333333333</v>
      </c>
      <c r="J331" s="41">
        <f t="shared" si="48"/>
        <v>0</v>
      </c>
      <c r="K331" s="41">
        <f t="shared" si="50"/>
        <v>0</v>
      </c>
      <c r="L331" s="14"/>
    </row>
    <row r="332" spans="1:12" x14ac:dyDescent="0.2">
      <c r="A332" s="39">
        <f>IF(Values_Entered,A331+1,"")</f>
        <v>314</v>
      </c>
      <c r="B332" s="40">
        <f t="shared" si="41"/>
        <v>53053</v>
      </c>
      <c r="C332" s="41">
        <f t="shared" si="46"/>
        <v>0</v>
      </c>
      <c r="D332" s="41">
        <f t="shared" si="42"/>
        <v>4659.5735099457142</v>
      </c>
      <c r="E332" s="42">
        <f t="shared" si="49"/>
        <v>363000</v>
      </c>
      <c r="F332" s="43">
        <f t="shared" si="47"/>
        <v>-363000</v>
      </c>
      <c r="G332" s="41">
        <f t="shared" si="43"/>
        <v>0</v>
      </c>
      <c r="H332" s="41">
        <f t="shared" si="44"/>
        <v>1149.5</v>
      </c>
      <c r="I332" s="41">
        <f t="shared" si="45"/>
        <v>-1149.5</v>
      </c>
      <c r="J332" s="41">
        <f t="shared" si="48"/>
        <v>0</v>
      </c>
      <c r="K332" s="41">
        <f t="shared" si="50"/>
        <v>0</v>
      </c>
      <c r="L332" s="14"/>
    </row>
    <row r="333" spans="1:12" x14ac:dyDescent="0.2">
      <c r="A333" s="39">
        <f>IF(Values_Entered,A332+1,"")</f>
        <v>315</v>
      </c>
      <c r="B333" s="40">
        <f t="shared" si="41"/>
        <v>53083</v>
      </c>
      <c r="C333" s="41">
        <f t="shared" si="46"/>
        <v>0</v>
      </c>
      <c r="D333" s="41">
        <f t="shared" si="42"/>
        <v>4659.5735099457142</v>
      </c>
      <c r="E333" s="42">
        <f t="shared" si="49"/>
        <v>364000</v>
      </c>
      <c r="F333" s="43">
        <f t="shared" si="47"/>
        <v>-364000</v>
      </c>
      <c r="G333" s="41">
        <f t="shared" si="43"/>
        <v>0</v>
      </c>
      <c r="H333" s="41">
        <f t="shared" si="44"/>
        <v>1152.6666666666667</v>
      </c>
      <c r="I333" s="41">
        <f t="shared" si="45"/>
        <v>-1152.6666666666667</v>
      </c>
      <c r="J333" s="41">
        <f t="shared" si="48"/>
        <v>0</v>
      </c>
      <c r="K333" s="41">
        <f t="shared" si="50"/>
        <v>0</v>
      </c>
      <c r="L333" s="14"/>
    </row>
    <row r="334" spans="1:12" x14ac:dyDescent="0.2">
      <c r="A334" s="39">
        <f>IF(Values_Entered,A333+1,"")</f>
        <v>316</v>
      </c>
      <c r="B334" s="40">
        <f t="shared" si="41"/>
        <v>53114</v>
      </c>
      <c r="C334" s="41">
        <f t="shared" si="46"/>
        <v>0</v>
      </c>
      <c r="D334" s="41">
        <f t="shared" si="42"/>
        <v>4659.5735099457142</v>
      </c>
      <c r="E334" s="42">
        <f t="shared" si="49"/>
        <v>365000</v>
      </c>
      <c r="F334" s="43">
        <f t="shared" si="47"/>
        <v>-365000</v>
      </c>
      <c r="G334" s="41">
        <f t="shared" si="43"/>
        <v>0</v>
      </c>
      <c r="H334" s="41">
        <f t="shared" si="44"/>
        <v>1155.8333333333333</v>
      </c>
      <c r="I334" s="41">
        <f t="shared" si="45"/>
        <v>-1155.8333333333333</v>
      </c>
      <c r="J334" s="41">
        <f t="shared" si="48"/>
        <v>0</v>
      </c>
      <c r="K334" s="41">
        <f t="shared" si="50"/>
        <v>0</v>
      </c>
      <c r="L334" s="14"/>
    </row>
    <row r="335" spans="1:12" x14ac:dyDescent="0.2">
      <c r="A335" s="39">
        <f>IF(Values_Entered,A334+1,"")</f>
        <v>317</v>
      </c>
      <c r="B335" s="40">
        <f t="shared" si="41"/>
        <v>53144</v>
      </c>
      <c r="C335" s="41">
        <f t="shared" si="46"/>
        <v>0</v>
      </c>
      <c r="D335" s="41">
        <f t="shared" si="42"/>
        <v>4659.5735099457142</v>
      </c>
      <c r="E335" s="42">
        <f t="shared" si="49"/>
        <v>366000</v>
      </c>
      <c r="F335" s="43">
        <f t="shared" si="47"/>
        <v>-366000</v>
      </c>
      <c r="G335" s="41">
        <f t="shared" si="43"/>
        <v>0</v>
      </c>
      <c r="H335" s="41">
        <f t="shared" si="44"/>
        <v>1159</v>
      </c>
      <c r="I335" s="41">
        <f t="shared" si="45"/>
        <v>-1159</v>
      </c>
      <c r="J335" s="41">
        <f t="shared" si="48"/>
        <v>0</v>
      </c>
      <c r="K335" s="41">
        <f t="shared" si="50"/>
        <v>0</v>
      </c>
      <c r="L335" s="14"/>
    </row>
    <row r="336" spans="1:12" x14ac:dyDescent="0.2">
      <c r="A336" s="39">
        <f>IF(Values_Entered,A335+1,"")</f>
        <v>318</v>
      </c>
      <c r="B336" s="40">
        <f t="shared" si="41"/>
        <v>53175</v>
      </c>
      <c r="C336" s="41">
        <f t="shared" si="46"/>
        <v>0</v>
      </c>
      <c r="D336" s="41">
        <f t="shared" si="42"/>
        <v>4659.5735099457142</v>
      </c>
      <c r="E336" s="42">
        <f t="shared" si="49"/>
        <v>367000</v>
      </c>
      <c r="F336" s="43">
        <f t="shared" si="47"/>
        <v>-367000</v>
      </c>
      <c r="G336" s="41">
        <f t="shared" si="43"/>
        <v>0</v>
      </c>
      <c r="H336" s="41">
        <f t="shared" si="44"/>
        <v>1162.1666666666667</v>
      </c>
      <c r="I336" s="41">
        <f t="shared" si="45"/>
        <v>-1162.1666666666667</v>
      </c>
      <c r="J336" s="41">
        <f t="shared" si="48"/>
        <v>0</v>
      </c>
      <c r="K336" s="41">
        <f t="shared" si="50"/>
        <v>0</v>
      </c>
      <c r="L336" s="14"/>
    </row>
    <row r="337" spans="1:12" x14ac:dyDescent="0.2">
      <c r="A337" s="39">
        <f>IF(Values_Entered,A336+1,"")</f>
        <v>319</v>
      </c>
      <c r="B337" s="40">
        <f t="shared" si="41"/>
        <v>53206</v>
      </c>
      <c r="C337" s="41">
        <f t="shared" si="46"/>
        <v>0</v>
      </c>
      <c r="D337" s="41">
        <f t="shared" si="42"/>
        <v>4659.5735099457142</v>
      </c>
      <c r="E337" s="42">
        <f t="shared" si="49"/>
        <v>368000</v>
      </c>
      <c r="F337" s="43">
        <f t="shared" si="47"/>
        <v>-368000</v>
      </c>
      <c r="G337" s="41">
        <f t="shared" si="43"/>
        <v>0</v>
      </c>
      <c r="H337" s="41">
        <f t="shared" si="44"/>
        <v>1165.3333333333333</v>
      </c>
      <c r="I337" s="41">
        <f t="shared" si="45"/>
        <v>-1165.3333333333333</v>
      </c>
      <c r="J337" s="41">
        <f t="shared" si="48"/>
        <v>0</v>
      </c>
      <c r="K337" s="41">
        <f t="shared" si="50"/>
        <v>0</v>
      </c>
      <c r="L337" s="14"/>
    </row>
    <row r="338" spans="1:12" x14ac:dyDescent="0.2">
      <c r="A338" s="39">
        <f>IF(Values_Entered,A337+1,"")</f>
        <v>320</v>
      </c>
      <c r="B338" s="40">
        <f t="shared" si="41"/>
        <v>53236</v>
      </c>
      <c r="C338" s="41">
        <f t="shared" si="46"/>
        <v>0</v>
      </c>
      <c r="D338" s="41">
        <f t="shared" si="42"/>
        <v>4659.5735099457142</v>
      </c>
      <c r="E338" s="42">
        <f t="shared" si="49"/>
        <v>369000</v>
      </c>
      <c r="F338" s="43">
        <f t="shared" si="47"/>
        <v>-369000</v>
      </c>
      <c r="G338" s="41">
        <f t="shared" si="43"/>
        <v>0</v>
      </c>
      <c r="H338" s="41">
        <f t="shared" si="44"/>
        <v>1168.5</v>
      </c>
      <c r="I338" s="41">
        <f t="shared" si="45"/>
        <v>-1168.5</v>
      </c>
      <c r="J338" s="41">
        <f t="shared" si="48"/>
        <v>0</v>
      </c>
      <c r="K338" s="41">
        <f t="shared" si="50"/>
        <v>0</v>
      </c>
      <c r="L338" s="14"/>
    </row>
    <row r="339" spans="1:12" x14ac:dyDescent="0.2">
      <c r="A339" s="39">
        <f>IF(Values_Entered,A338+1,"")</f>
        <v>321</v>
      </c>
      <c r="B339" s="40">
        <f t="shared" ref="B339:B402" si="51">IF(Pay_Num&lt;&gt;"",DATE(YEAR(Loan_Start),MONTH(Loan_Start)+(Pay_Num)*12/Num_Pmt_Per_Year,DAY(Loan_Start)),"")</f>
        <v>53267</v>
      </c>
      <c r="C339" s="41">
        <f t="shared" si="46"/>
        <v>0</v>
      </c>
      <c r="D339" s="41">
        <f t="shared" ref="D339:D402" si="52">IF(Pay_Num&lt;&gt;"",Scheduled_Monthly_Payment,"")</f>
        <v>4659.5735099457142</v>
      </c>
      <c r="E339" s="42">
        <f t="shared" si="49"/>
        <v>370000</v>
      </c>
      <c r="F339" s="43">
        <f t="shared" si="47"/>
        <v>-370000</v>
      </c>
      <c r="G339" s="41">
        <f t="shared" ref="G339:G402" si="53">IF(AND(Pay_Num&lt;&gt;"",Sched_Pay&lt;Beg_Bal),Sched_Pay,IF(Pay_Num&lt;&gt;"",Beg_Bal,""))</f>
        <v>0</v>
      </c>
      <c r="H339" s="41">
        <f t="shared" ref="H339:H402" si="54">IF(Pay_Num&lt;&gt;"",Total_Pay-Int,"")</f>
        <v>1171.6666666666667</v>
      </c>
      <c r="I339" s="41">
        <f t="shared" ref="I339:I402" si="55">IF(Pay_Num&lt;&gt;"",(Beg_Bal-E339)*(Interest_Rate/Num_Pmt_Per_Year),"")</f>
        <v>-1171.6666666666667</v>
      </c>
      <c r="J339" s="41">
        <f t="shared" si="48"/>
        <v>0</v>
      </c>
      <c r="K339" s="41">
        <f t="shared" si="50"/>
        <v>0</v>
      </c>
      <c r="L339" s="14"/>
    </row>
    <row r="340" spans="1:12" x14ac:dyDescent="0.2">
      <c r="A340" s="39">
        <f>IF(Values_Entered,A339+1,"")</f>
        <v>322</v>
      </c>
      <c r="B340" s="40">
        <f t="shared" si="51"/>
        <v>53297</v>
      </c>
      <c r="C340" s="41">
        <f t="shared" ref="C340:C403" si="56">IF(Pay_Num&lt;&gt;"",J339,"")</f>
        <v>0</v>
      </c>
      <c r="D340" s="41">
        <f t="shared" si="52"/>
        <v>4659.5735099457142</v>
      </c>
      <c r="E340" s="42">
        <f t="shared" si="49"/>
        <v>371000</v>
      </c>
      <c r="F340" s="43">
        <f t="shared" ref="F340:F403" si="57">+C340-E340</f>
        <v>-371000</v>
      </c>
      <c r="G340" s="41">
        <f t="shared" si="53"/>
        <v>0</v>
      </c>
      <c r="H340" s="41">
        <f t="shared" si="54"/>
        <v>1174.8333333333333</v>
      </c>
      <c r="I340" s="41">
        <f t="shared" si="55"/>
        <v>-1174.8333333333333</v>
      </c>
      <c r="J340" s="41">
        <f t="shared" ref="J340:J403" si="58">IF(AND(Pay_Num&lt;&gt;"",Sched_Pay+Extra_Pay&lt;Beg_Bal),Beg_Bal-Princ,IF(Pay_Num&lt;&gt;"",0,""))</f>
        <v>0</v>
      </c>
      <c r="K340" s="41">
        <f t="shared" si="50"/>
        <v>0</v>
      </c>
      <c r="L340" s="14"/>
    </row>
    <row r="341" spans="1:12" x14ac:dyDescent="0.2">
      <c r="A341" s="39">
        <f>IF(Values_Entered,A340+1,"")</f>
        <v>323</v>
      </c>
      <c r="B341" s="40">
        <f t="shared" si="51"/>
        <v>53328</v>
      </c>
      <c r="C341" s="41">
        <f t="shared" si="56"/>
        <v>0</v>
      </c>
      <c r="D341" s="41">
        <f t="shared" si="52"/>
        <v>4659.5735099457142</v>
      </c>
      <c r="E341" s="42">
        <f t="shared" ref="E341:E404" si="59">+E340+$D$11</f>
        <v>372000</v>
      </c>
      <c r="F341" s="43">
        <f t="shared" si="57"/>
        <v>-372000</v>
      </c>
      <c r="G341" s="41">
        <f t="shared" si="53"/>
        <v>0</v>
      </c>
      <c r="H341" s="41">
        <f t="shared" si="54"/>
        <v>1178</v>
      </c>
      <c r="I341" s="41">
        <f t="shared" si="55"/>
        <v>-1178</v>
      </c>
      <c r="J341" s="41">
        <f t="shared" si="58"/>
        <v>0</v>
      </c>
      <c r="K341" s="41">
        <f t="shared" si="50"/>
        <v>0</v>
      </c>
      <c r="L341" s="14"/>
    </row>
    <row r="342" spans="1:12" x14ac:dyDescent="0.2">
      <c r="A342" s="39">
        <f>IF(Values_Entered,A341+1,"")</f>
        <v>324</v>
      </c>
      <c r="B342" s="40">
        <f t="shared" si="51"/>
        <v>53359</v>
      </c>
      <c r="C342" s="41">
        <f t="shared" si="56"/>
        <v>0</v>
      </c>
      <c r="D342" s="41">
        <f t="shared" si="52"/>
        <v>4659.5735099457142</v>
      </c>
      <c r="E342" s="42">
        <f t="shared" si="59"/>
        <v>373000</v>
      </c>
      <c r="F342" s="43">
        <f t="shared" si="57"/>
        <v>-373000</v>
      </c>
      <c r="G342" s="41">
        <f t="shared" si="53"/>
        <v>0</v>
      </c>
      <c r="H342" s="41">
        <f t="shared" si="54"/>
        <v>1181.1666666666667</v>
      </c>
      <c r="I342" s="41">
        <f t="shared" si="55"/>
        <v>-1181.1666666666667</v>
      </c>
      <c r="J342" s="41">
        <f t="shared" si="58"/>
        <v>0</v>
      </c>
      <c r="K342" s="41">
        <f t="shared" si="50"/>
        <v>0</v>
      </c>
      <c r="L342" s="14"/>
    </row>
    <row r="343" spans="1:12" x14ac:dyDescent="0.2">
      <c r="A343" s="39">
        <f>IF(Values_Entered,A342+1,"")</f>
        <v>325</v>
      </c>
      <c r="B343" s="40">
        <f t="shared" si="51"/>
        <v>53387</v>
      </c>
      <c r="C343" s="41">
        <f t="shared" si="56"/>
        <v>0</v>
      </c>
      <c r="D343" s="41">
        <f t="shared" si="52"/>
        <v>4659.5735099457142</v>
      </c>
      <c r="E343" s="42">
        <f t="shared" si="59"/>
        <v>374000</v>
      </c>
      <c r="F343" s="43">
        <f t="shared" si="57"/>
        <v>-374000</v>
      </c>
      <c r="G343" s="41">
        <f t="shared" si="53"/>
        <v>0</v>
      </c>
      <c r="H343" s="41">
        <f t="shared" si="54"/>
        <v>1184.3333333333333</v>
      </c>
      <c r="I343" s="41">
        <f t="shared" si="55"/>
        <v>-1184.3333333333333</v>
      </c>
      <c r="J343" s="41">
        <f t="shared" si="58"/>
        <v>0</v>
      </c>
      <c r="K343" s="41">
        <f t="shared" si="50"/>
        <v>0</v>
      </c>
      <c r="L343" s="14"/>
    </row>
    <row r="344" spans="1:12" x14ac:dyDescent="0.2">
      <c r="A344" s="39">
        <f>IF(Values_Entered,A343+1,"")</f>
        <v>326</v>
      </c>
      <c r="B344" s="40">
        <f t="shared" si="51"/>
        <v>53418</v>
      </c>
      <c r="C344" s="41">
        <f t="shared" si="56"/>
        <v>0</v>
      </c>
      <c r="D344" s="41">
        <f t="shared" si="52"/>
        <v>4659.5735099457142</v>
      </c>
      <c r="E344" s="42">
        <f t="shared" si="59"/>
        <v>375000</v>
      </c>
      <c r="F344" s="43">
        <f t="shared" si="57"/>
        <v>-375000</v>
      </c>
      <c r="G344" s="41">
        <f t="shared" si="53"/>
        <v>0</v>
      </c>
      <c r="H344" s="41">
        <f t="shared" si="54"/>
        <v>1187.5</v>
      </c>
      <c r="I344" s="41">
        <f t="shared" si="55"/>
        <v>-1187.5</v>
      </c>
      <c r="J344" s="41">
        <f t="shared" si="58"/>
        <v>0</v>
      </c>
      <c r="K344" s="41">
        <f t="shared" ref="K344:K407" si="60">IF(I344&lt;0,0,+K343+I344)</f>
        <v>0</v>
      </c>
      <c r="L344" s="14"/>
    </row>
    <row r="345" spans="1:12" x14ac:dyDescent="0.2">
      <c r="A345" s="39">
        <f>IF(Values_Entered,A344+1,"")</f>
        <v>327</v>
      </c>
      <c r="B345" s="40">
        <f t="shared" si="51"/>
        <v>53448</v>
      </c>
      <c r="C345" s="41">
        <f t="shared" si="56"/>
        <v>0</v>
      </c>
      <c r="D345" s="41">
        <f t="shared" si="52"/>
        <v>4659.5735099457142</v>
      </c>
      <c r="E345" s="42">
        <f t="shared" si="59"/>
        <v>376000</v>
      </c>
      <c r="F345" s="43">
        <f t="shared" si="57"/>
        <v>-376000</v>
      </c>
      <c r="G345" s="41">
        <f t="shared" si="53"/>
        <v>0</v>
      </c>
      <c r="H345" s="41">
        <f t="shared" si="54"/>
        <v>1190.6666666666667</v>
      </c>
      <c r="I345" s="41">
        <f t="shared" si="55"/>
        <v>-1190.6666666666667</v>
      </c>
      <c r="J345" s="41">
        <f t="shared" si="58"/>
        <v>0</v>
      </c>
      <c r="K345" s="41">
        <f t="shared" si="60"/>
        <v>0</v>
      </c>
      <c r="L345" s="14"/>
    </row>
    <row r="346" spans="1:12" x14ac:dyDescent="0.2">
      <c r="A346" s="39">
        <f>IF(Values_Entered,A345+1,"")</f>
        <v>328</v>
      </c>
      <c r="B346" s="40">
        <f t="shared" si="51"/>
        <v>53479</v>
      </c>
      <c r="C346" s="41">
        <f t="shared" si="56"/>
        <v>0</v>
      </c>
      <c r="D346" s="41">
        <f t="shared" si="52"/>
        <v>4659.5735099457142</v>
      </c>
      <c r="E346" s="42">
        <f t="shared" si="59"/>
        <v>377000</v>
      </c>
      <c r="F346" s="43">
        <f t="shared" si="57"/>
        <v>-377000</v>
      </c>
      <c r="G346" s="41">
        <f t="shared" si="53"/>
        <v>0</v>
      </c>
      <c r="H346" s="41">
        <f t="shared" si="54"/>
        <v>1193.8333333333333</v>
      </c>
      <c r="I346" s="41">
        <f t="shared" si="55"/>
        <v>-1193.8333333333333</v>
      </c>
      <c r="J346" s="41">
        <f t="shared" si="58"/>
        <v>0</v>
      </c>
      <c r="K346" s="41">
        <f t="shared" si="60"/>
        <v>0</v>
      </c>
      <c r="L346" s="14"/>
    </row>
    <row r="347" spans="1:12" x14ac:dyDescent="0.2">
      <c r="A347" s="39">
        <f>IF(Values_Entered,A346+1,"")</f>
        <v>329</v>
      </c>
      <c r="B347" s="40">
        <f t="shared" si="51"/>
        <v>53509</v>
      </c>
      <c r="C347" s="41">
        <f t="shared" si="56"/>
        <v>0</v>
      </c>
      <c r="D347" s="41">
        <f t="shared" si="52"/>
        <v>4659.5735099457142</v>
      </c>
      <c r="E347" s="42">
        <f t="shared" si="59"/>
        <v>378000</v>
      </c>
      <c r="F347" s="43">
        <f t="shared" si="57"/>
        <v>-378000</v>
      </c>
      <c r="G347" s="41">
        <f t="shared" si="53"/>
        <v>0</v>
      </c>
      <c r="H347" s="41">
        <f t="shared" si="54"/>
        <v>1197</v>
      </c>
      <c r="I347" s="41">
        <f t="shared" si="55"/>
        <v>-1197</v>
      </c>
      <c r="J347" s="41">
        <f t="shared" si="58"/>
        <v>0</v>
      </c>
      <c r="K347" s="41">
        <f t="shared" si="60"/>
        <v>0</v>
      </c>
      <c r="L347" s="14"/>
    </row>
    <row r="348" spans="1:12" x14ac:dyDescent="0.2">
      <c r="A348" s="39">
        <f>IF(Values_Entered,A347+1,"")</f>
        <v>330</v>
      </c>
      <c r="B348" s="40">
        <f t="shared" si="51"/>
        <v>53540</v>
      </c>
      <c r="C348" s="41">
        <f t="shared" si="56"/>
        <v>0</v>
      </c>
      <c r="D348" s="41">
        <f t="shared" si="52"/>
        <v>4659.5735099457142</v>
      </c>
      <c r="E348" s="42">
        <f t="shared" si="59"/>
        <v>379000</v>
      </c>
      <c r="F348" s="43">
        <f t="shared" si="57"/>
        <v>-379000</v>
      </c>
      <c r="G348" s="41">
        <f t="shared" si="53"/>
        <v>0</v>
      </c>
      <c r="H348" s="41">
        <f t="shared" si="54"/>
        <v>1200.1666666666667</v>
      </c>
      <c r="I348" s="41">
        <f t="shared" si="55"/>
        <v>-1200.1666666666667</v>
      </c>
      <c r="J348" s="41">
        <f t="shared" si="58"/>
        <v>0</v>
      </c>
      <c r="K348" s="41">
        <f t="shared" si="60"/>
        <v>0</v>
      </c>
      <c r="L348" s="14"/>
    </row>
    <row r="349" spans="1:12" x14ac:dyDescent="0.2">
      <c r="A349" s="39">
        <f>IF(Values_Entered,A348+1,"")</f>
        <v>331</v>
      </c>
      <c r="B349" s="40">
        <f t="shared" si="51"/>
        <v>53571</v>
      </c>
      <c r="C349" s="41">
        <f t="shared" si="56"/>
        <v>0</v>
      </c>
      <c r="D349" s="41">
        <f t="shared" si="52"/>
        <v>4659.5735099457142</v>
      </c>
      <c r="E349" s="42">
        <f t="shared" si="59"/>
        <v>380000</v>
      </c>
      <c r="F349" s="43">
        <f t="shared" si="57"/>
        <v>-380000</v>
      </c>
      <c r="G349" s="41">
        <f t="shared" si="53"/>
        <v>0</v>
      </c>
      <c r="H349" s="41">
        <f t="shared" si="54"/>
        <v>1203.3333333333333</v>
      </c>
      <c r="I349" s="41">
        <f t="shared" si="55"/>
        <v>-1203.3333333333333</v>
      </c>
      <c r="J349" s="41">
        <f t="shared" si="58"/>
        <v>0</v>
      </c>
      <c r="K349" s="41">
        <f t="shared" si="60"/>
        <v>0</v>
      </c>
      <c r="L349" s="14"/>
    </row>
    <row r="350" spans="1:12" x14ac:dyDescent="0.2">
      <c r="A350" s="39">
        <f>IF(Values_Entered,A349+1,"")</f>
        <v>332</v>
      </c>
      <c r="B350" s="40">
        <f t="shared" si="51"/>
        <v>53601</v>
      </c>
      <c r="C350" s="41">
        <f t="shared" si="56"/>
        <v>0</v>
      </c>
      <c r="D350" s="41">
        <f t="shared" si="52"/>
        <v>4659.5735099457142</v>
      </c>
      <c r="E350" s="42">
        <f t="shared" si="59"/>
        <v>381000</v>
      </c>
      <c r="F350" s="43">
        <f t="shared" si="57"/>
        <v>-381000</v>
      </c>
      <c r="G350" s="41">
        <f t="shared" si="53"/>
        <v>0</v>
      </c>
      <c r="H350" s="41">
        <f t="shared" si="54"/>
        <v>1206.5</v>
      </c>
      <c r="I350" s="41">
        <f t="shared" si="55"/>
        <v>-1206.5</v>
      </c>
      <c r="J350" s="41">
        <f t="shared" si="58"/>
        <v>0</v>
      </c>
      <c r="K350" s="41">
        <f t="shared" si="60"/>
        <v>0</v>
      </c>
      <c r="L350" s="14"/>
    </row>
    <row r="351" spans="1:12" x14ac:dyDescent="0.2">
      <c r="A351" s="39">
        <f>IF(Values_Entered,A350+1,"")</f>
        <v>333</v>
      </c>
      <c r="B351" s="40">
        <f t="shared" si="51"/>
        <v>53632</v>
      </c>
      <c r="C351" s="41">
        <f t="shared" si="56"/>
        <v>0</v>
      </c>
      <c r="D351" s="41">
        <f t="shared" si="52"/>
        <v>4659.5735099457142</v>
      </c>
      <c r="E351" s="42">
        <f t="shared" si="59"/>
        <v>382000</v>
      </c>
      <c r="F351" s="43">
        <f t="shared" si="57"/>
        <v>-382000</v>
      </c>
      <c r="G351" s="41">
        <f t="shared" si="53"/>
        <v>0</v>
      </c>
      <c r="H351" s="41">
        <f t="shared" si="54"/>
        <v>1209.6666666666667</v>
      </c>
      <c r="I351" s="41">
        <f t="shared" si="55"/>
        <v>-1209.6666666666667</v>
      </c>
      <c r="J351" s="41">
        <f t="shared" si="58"/>
        <v>0</v>
      </c>
      <c r="K351" s="41">
        <f t="shared" si="60"/>
        <v>0</v>
      </c>
      <c r="L351" s="14"/>
    </row>
    <row r="352" spans="1:12" x14ac:dyDescent="0.2">
      <c r="A352" s="39">
        <f>IF(Values_Entered,A351+1,"")</f>
        <v>334</v>
      </c>
      <c r="B352" s="40">
        <f t="shared" si="51"/>
        <v>53662</v>
      </c>
      <c r="C352" s="41">
        <f t="shared" si="56"/>
        <v>0</v>
      </c>
      <c r="D352" s="41">
        <f t="shared" si="52"/>
        <v>4659.5735099457142</v>
      </c>
      <c r="E352" s="42">
        <f t="shared" si="59"/>
        <v>383000</v>
      </c>
      <c r="F352" s="43">
        <f t="shared" si="57"/>
        <v>-383000</v>
      </c>
      <c r="G352" s="41">
        <f t="shared" si="53"/>
        <v>0</v>
      </c>
      <c r="H352" s="41">
        <f t="shared" si="54"/>
        <v>1212.8333333333333</v>
      </c>
      <c r="I352" s="41">
        <f t="shared" si="55"/>
        <v>-1212.8333333333333</v>
      </c>
      <c r="J352" s="41">
        <f t="shared" si="58"/>
        <v>0</v>
      </c>
      <c r="K352" s="41">
        <f t="shared" si="60"/>
        <v>0</v>
      </c>
      <c r="L352" s="14"/>
    </row>
    <row r="353" spans="1:12" x14ac:dyDescent="0.2">
      <c r="A353" s="39">
        <f>IF(Values_Entered,A352+1,"")</f>
        <v>335</v>
      </c>
      <c r="B353" s="40">
        <f t="shared" si="51"/>
        <v>53693</v>
      </c>
      <c r="C353" s="41">
        <f t="shared" si="56"/>
        <v>0</v>
      </c>
      <c r="D353" s="41">
        <f t="shared" si="52"/>
        <v>4659.5735099457142</v>
      </c>
      <c r="E353" s="42">
        <f t="shared" si="59"/>
        <v>384000</v>
      </c>
      <c r="F353" s="43">
        <f t="shared" si="57"/>
        <v>-384000</v>
      </c>
      <c r="G353" s="41">
        <f t="shared" si="53"/>
        <v>0</v>
      </c>
      <c r="H353" s="41">
        <f t="shared" si="54"/>
        <v>1216</v>
      </c>
      <c r="I353" s="41">
        <f t="shared" si="55"/>
        <v>-1216</v>
      </c>
      <c r="J353" s="41">
        <f t="shared" si="58"/>
        <v>0</v>
      </c>
      <c r="K353" s="41">
        <f t="shared" si="60"/>
        <v>0</v>
      </c>
      <c r="L353" s="14"/>
    </row>
    <row r="354" spans="1:12" x14ac:dyDescent="0.2">
      <c r="A354" s="39">
        <f>IF(Values_Entered,A353+1,"")</f>
        <v>336</v>
      </c>
      <c r="B354" s="40">
        <f t="shared" si="51"/>
        <v>53724</v>
      </c>
      <c r="C354" s="41">
        <f t="shared" si="56"/>
        <v>0</v>
      </c>
      <c r="D354" s="41">
        <f t="shared" si="52"/>
        <v>4659.5735099457142</v>
      </c>
      <c r="E354" s="42">
        <f t="shared" si="59"/>
        <v>385000</v>
      </c>
      <c r="F354" s="43">
        <f t="shared" si="57"/>
        <v>-385000</v>
      </c>
      <c r="G354" s="41">
        <f t="shared" si="53"/>
        <v>0</v>
      </c>
      <c r="H354" s="41">
        <f t="shared" si="54"/>
        <v>1219.1666666666667</v>
      </c>
      <c r="I354" s="41">
        <f t="shared" si="55"/>
        <v>-1219.1666666666667</v>
      </c>
      <c r="J354" s="41">
        <f t="shared" si="58"/>
        <v>0</v>
      </c>
      <c r="K354" s="41">
        <f t="shared" si="60"/>
        <v>0</v>
      </c>
      <c r="L354" s="14"/>
    </row>
    <row r="355" spans="1:12" x14ac:dyDescent="0.2">
      <c r="A355" s="39">
        <f>IF(Values_Entered,A354+1,"")</f>
        <v>337</v>
      </c>
      <c r="B355" s="40">
        <f t="shared" si="51"/>
        <v>53752</v>
      </c>
      <c r="C355" s="41">
        <f t="shared" si="56"/>
        <v>0</v>
      </c>
      <c r="D355" s="41">
        <f t="shared" si="52"/>
        <v>4659.5735099457142</v>
      </c>
      <c r="E355" s="42">
        <f t="shared" si="59"/>
        <v>386000</v>
      </c>
      <c r="F355" s="43">
        <f t="shared" si="57"/>
        <v>-386000</v>
      </c>
      <c r="G355" s="41">
        <f t="shared" si="53"/>
        <v>0</v>
      </c>
      <c r="H355" s="41">
        <f t="shared" si="54"/>
        <v>1222.3333333333333</v>
      </c>
      <c r="I355" s="41">
        <f t="shared" si="55"/>
        <v>-1222.3333333333333</v>
      </c>
      <c r="J355" s="41">
        <f t="shared" si="58"/>
        <v>0</v>
      </c>
      <c r="K355" s="41">
        <f t="shared" si="60"/>
        <v>0</v>
      </c>
      <c r="L355" s="14"/>
    </row>
    <row r="356" spans="1:12" x14ac:dyDescent="0.2">
      <c r="A356" s="39">
        <f>IF(Values_Entered,A355+1,"")</f>
        <v>338</v>
      </c>
      <c r="B356" s="40">
        <f t="shared" si="51"/>
        <v>53783</v>
      </c>
      <c r="C356" s="41">
        <f t="shared" si="56"/>
        <v>0</v>
      </c>
      <c r="D356" s="41">
        <f t="shared" si="52"/>
        <v>4659.5735099457142</v>
      </c>
      <c r="E356" s="42">
        <f t="shared" si="59"/>
        <v>387000</v>
      </c>
      <c r="F356" s="43">
        <f t="shared" si="57"/>
        <v>-387000</v>
      </c>
      <c r="G356" s="41">
        <f t="shared" si="53"/>
        <v>0</v>
      </c>
      <c r="H356" s="41">
        <f t="shared" si="54"/>
        <v>1225.5</v>
      </c>
      <c r="I356" s="41">
        <f t="shared" si="55"/>
        <v>-1225.5</v>
      </c>
      <c r="J356" s="41">
        <f t="shared" si="58"/>
        <v>0</v>
      </c>
      <c r="K356" s="41">
        <f t="shared" si="60"/>
        <v>0</v>
      </c>
      <c r="L356" s="14"/>
    </row>
    <row r="357" spans="1:12" x14ac:dyDescent="0.2">
      <c r="A357" s="39">
        <f>IF(Values_Entered,A356+1,"")</f>
        <v>339</v>
      </c>
      <c r="B357" s="40">
        <f t="shared" si="51"/>
        <v>53813</v>
      </c>
      <c r="C357" s="41">
        <f t="shared" si="56"/>
        <v>0</v>
      </c>
      <c r="D357" s="41">
        <f t="shared" si="52"/>
        <v>4659.5735099457142</v>
      </c>
      <c r="E357" s="42">
        <f t="shared" si="59"/>
        <v>388000</v>
      </c>
      <c r="F357" s="43">
        <f t="shared" si="57"/>
        <v>-388000</v>
      </c>
      <c r="G357" s="41">
        <f t="shared" si="53"/>
        <v>0</v>
      </c>
      <c r="H357" s="41">
        <f t="shared" si="54"/>
        <v>1228.6666666666667</v>
      </c>
      <c r="I357" s="41">
        <f t="shared" si="55"/>
        <v>-1228.6666666666667</v>
      </c>
      <c r="J357" s="41">
        <f t="shared" si="58"/>
        <v>0</v>
      </c>
      <c r="K357" s="41">
        <f t="shared" si="60"/>
        <v>0</v>
      </c>
      <c r="L357" s="14"/>
    </row>
    <row r="358" spans="1:12" x14ac:dyDescent="0.2">
      <c r="A358" s="39">
        <f>IF(Values_Entered,A357+1,"")</f>
        <v>340</v>
      </c>
      <c r="B358" s="40">
        <f t="shared" si="51"/>
        <v>53844</v>
      </c>
      <c r="C358" s="41">
        <f t="shared" si="56"/>
        <v>0</v>
      </c>
      <c r="D358" s="41">
        <f t="shared" si="52"/>
        <v>4659.5735099457142</v>
      </c>
      <c r="E358" s="42">
        <f t="shared" si="59"/>
        <v>389000</v>
      </c>
      <c r="F358" s="43">
        <f t="shared" si="57"/>
        <v>-389000</v>
      </c>
      <c r="G358" s="41">
        <f t="shared" si="53"/>
        <v>0</v>
      </c>
      <c r="H358" s="41">
        <f t="shared" si="54"/>
        <v>1231.8333333333333</v>
      </c>
      <c r="I358" s="41">
        <f t="shared" si="55"/>
        <v>-1231.8333333333333</v>
      </c>
      <c r="J358" s="41">
        <f t="shared" si="58"/>
        <v>0</v>
      </c>
      <c r="K358" s="41">
        <f t="shared" si="60"/>
        <v>0</v>
      </c>
      <c r="L358" s="14"/>
    </row>
    <row r="359" spans="1:12" x14ac:dyDescent="0.2">
      <c r="A359" s="39">
        <f>IF(Values_Entered,A358+1,"")</f>
        <v>341</v>
      </c>
      <c r="B359" s="40">
        <f t="shared" si="51"/>
        <v>53874</v>
      </c>
      <c r="C359" s="41">
        <f t="shared" si="56"/>
        <v>0</v>
      </c>
      <c r="D359" s="41">
        <f t="shared" si="52"/>
        <v>4659.5735099457142</v>
      </c>
      <c r="E359" s="42">
        <f t="shared" si="59"/>
        <v>390000</v>
      </c>
      <c r="F359" s="43">
        <f t="shared" si="57"/>
        <v>-390000</v>
      </c>
      <c r="G359" s="41">
        <f t="shared" si="53"/>
        <v>0</v>
      </c>
      <c r="H359" s="41">
        <f t="shared" si="54"/>
        <v>1235</v>
      </c>
      <c r="I359" s="41">
        <f t="shared" si="55"/>
        <v>-1235</v>
      </c>
      <c r="J359" s="41">
        <f t="shared" si="58"/>
        <v>0</v>
      </c>
      <c r="K359" s="41">
        <f t="shared" si="60"/>
        <v>0</v>
      </c>
      <c r="L359" s="14"/>
    </row>
    <row r="360" spans="1:12" x14ac:dyDescent="0.2">
      <c r="A360" s="39">
        <f>IF(Values_Entered,A359+1,"")</f>
        <v>342</v>
      </c>
      <c r="B360" s="40">
        <f t="shared" si="51"/>
        <v>53905</v>
      </c>
      <c r="C360" s="41">
        <f t="shared" si="56"/>
        <v>0</v>
      </c>
      <c r="D360" s="41">
        <f t="shared" si="52"/>
        <v>4659.5735099457142</v>
      </c>
      <c r="E360" s="42">
        <f t="shared" si="59"/>
        <v>391000</v>
      </c>
      <c r="F360" s="43">
        <f t="shared" si="57"/>
        <v>-391000</v>
      </c>
      <c r="G360" s="41">
        <f t="shared" si="53"/>
        <v>0</v>
      </c>
      <c r="H360" s="41">
        <f t="shared" si="54"/>
        <v>1238.1666666666667</v>
      </c>
      <c r="I360" s="41">
        <f t="shared" si="55"/>
        <v>-1238.1666666666667</v>
      </c>
      <c r="J360" s="41">
        <f t="shared" si="58"/>
        <v>0</v>
      </c>
      <c r="K360" s="41">
        <f t="shared" si="60"/>
        <v>0</v>
      </c>
      <c r="L360" s="14"/>
    </row>
    <row r="361" spans="1:12" x14ac:dyDescent="0.2">
      <c r="A361" s="39">
        <f>IF(Values_Entered,A360+1,"")</f>
        <v>343</v>
      </c>
      <c r="B361" s="40">
        <f t="shared" si="51"/>
        <v>53936</v>
      </c>
      <c r="C361" s="41">
        <f t="shared" si="56"/>
        <v>0</v>
      </c>
      <c r="D361" s="41">
        <f t="shared" si="52"/>
        <v>4659.5735099457142</v>
      </c>
      <c r="E361" s="42">
        <f t="shared" si="59"/>
        <v>392000</v>
      </c>
      <c r="F361" s="43">
        <f t="shared" si="57"/>
        <v>-392000</v>
      </c>
      <c r="G361" s="41">
        <f t="shared" si="53"/>
        <v>0</v>
      </c>
      <c r="H361" s="41">
        <f t="shared" si="54"/>
        <v>1241.3333333333333</v>
      </c>
      <c r="I361" s="41">
        <f t="shared" si="55"/>
        <v>-1241.3333333333333</v>
      </c>
      <c r="J361" s="41">
        <f t="shared" si="58"/>
        <v>0</v>
      </c>
      <c r="K361" s="41">
        <f t="shared" si="60"/>
        <v>0</v>
      </c>
      <c r="L361" s="14"/>
    </row>
    <row r="362" spans="1:12" x14ac:dyDescent="0.2">
      <c r="A362" s="39">
        <f>IF(Values_Entered,A361+1,"")</f>
        <v>344</v>
      </c>
      <c r="B362" s="40">
        <f t="shared" si="51"/>
        <v>53966</v>
      </c>
      <c r="C362" s="41">
        <f t="shared" si="56"/>
        <v>0</v>
      </c>
      <c r="D362" s="41">
        <f t="shared" si="52"/>
        <v>4659.5735099457142</v>
      </c>
      <c r="E362" s="42">
        <f t="shared" si="59"/>
        <v>393000</v>
      </c>
      <c r="F362" s="43">
        <f t="shared" si="57"/>
        <v>-393000</v>
      </c>
      <c r="G362" s="41">
        <f t="shared" si="53"/>
        <v>0</v>
      </c>
      <c r="H362" s="41">
        <f t="shared" si="54"/>
        <v>1244.5</v>
      </c>
      <c r="I362" s="41">
        <f t="shared" si="55"/>
        <v>-1244.5</v>
      </c>
      <c r="J362" s="41">
        <f t="shared" si="58"/>
        <v>0</v>
      </c>
      <c r="K362" s="41">
        <f t="shared" si="60"/>
        <v>0</v>
      </c>
      <c r="L362" s="14"/>
    </row>
    <row r="363" spans="1:12" x14ac:dyDescent="0.2">
      <c r="A363" s="39">
        <f>IF(Values_Entered,A362+1,"")</f>
        <v>345</v>
      </c>
      <c r="B363" s="40">
        <f t="shared" si="51"/>
        <v>53997</v>
      </c>
      <c r="C363" s="41">
        <f t="shared" si="56"/>
        <v>0</v>
      </c>
      <c r="D363" s="41">
        <f t="shared" si="52"/>
        <v>4659.5735099457142</v>
      </c>
      <c r="E363" s="42">
        <f t="shared" si="59"/>
        <v>394000</v>
      </c>
      <c r="F363" s="43">
        <f t="shared" si="57"/>
        <v>-394000</v>
      </c>
      <c r="G363" s="41">
        <f t="shared" si="53"/>
        <v>0</v>
      </c>
      <c r="H363" s="41">
        <f t="shared" si="54"/>
        <v>1247.6666666666667</v>
      </c>
      <c r="I363" s="41">
        <f t="shared" si="55"/>
        <v>-1247.6666666666667</v>
      </c>
      <c r="J363" s="41">
        <f t="shared" si="58"/>
        <v>0</v>
      </c>
      <c r="K363" s="41">
        <f t="shared" si="60"/>
        <v>0</v>
      </c>
      <c r="L363" s="14"/>
    </row>
    <row r="364" spans="1:12" x14ac:dyDescent="0.2">
      <c r="A364" s="39">
        <f>IF(Values_Entered,A363+1,"")</f>
        <v>346</v>
      </c>
      <c r="B364" s="40">
        <f t="shared" si="51"/>
        <v>54027</v>
      </c>
      <c r="C364" s="41">
        <f t="shared" si="56"/>
        <v>0</v>
      </c>
      <c r="D364" s="41">
        <f t="shared" si="52"/>
        <v>4659.5735099457142</v>
      </c>
      <c r="E364" s="42">
        <f t="shared" si="59"/>
        <v>395000</v>
      </c>
      <c r="F364" s="43">
        <f t="shared" si="57"/>
        <v>-395000</v>
      </c>
      <c r="G364" s="41">
        <f t="shared" si="53"/>
        <v>0</v>
      </c>
      <c r="H364" s="41">
        <f t="shared" si="54"/>
        <v>1250.8333333333333</v>
      </c>
      <c r="I364" s="41">
        <f t="shared" si="55"/>
        <v>-1250.8333333333333</v>
      </c>
      <c r="J364" s="41">
        <f t="shared" si="58"/>
        <v>0</v>
      </c>
      <c r="K364" s="41">
        <f t="shared" si="60"/>
        <v>0</v>
      </c>
      <c r="L364" s="14"/>
    </row>
    <row r="365" spans="1:12" x14ac:dyDescent="0.2">
      <c r="A365" s="39">
        <f>IF(Values_Entered,A364+1,"")</f>
        <v>347</v>
      </c>
      <c r="B365" s="40">
        <f t="shared" si="51"/>
        <v>54058</v>
      </c>
      <c r="C365" s="41">
        <f t="shared" si="56"/>
        <v>0</v>
      </c>
      <c r="D365" s="41">
        <f t="shared" si="52"/>
        <v>4659.5735099457142</v>
      </c>
      <c r="E365" s="42">
        <f t="shared" si="59"/>
        <v>396000</v>
      </c>
      <c r="F365" s="43">
        <f t="shared" si="57"/>
        <v>-396000</v>
      </c>
      <c r="G365" s="41">
        <f t="shared" si="53"/>
        <v>0</v>
      </c>
      <c r="H365" s="41">
        <f t="shared" si="54"/>
        <v>1254</v>
      </c>
      <c r="I365" s="41">
        <f t="shared" si="55"/>
        <v>-1254</v>
      </c>
      <c r="J365" s="41">
        <f t="shared" si="58"/>
        <v>0</v>
      </c>
      <c r="K365" s="41">
        <f t="shared" si="60"/>
        <v>0</v>
      </c>
      <c r="L365" s="14"/>
    </row>
    <row r="366" spans="1:12" x14ac:dyDescent="0.2">
      <c r="A366" s="39">
        <f>IF(Values_Entered,A365+1,"")</f>
        <v>348</v>
      </c>
      <c r="B366" s="40">
        <f t="shared" si="51"/>
        <v>54089</v>
      </c>
      <c r="C366" s="41">
        <f t="shared" si="56"/>
        <v>0</v>
      </c>
      <c r="D366" s="41">
        <f t="shared" si="52"/>
        <v>4659.5735099457142</v>
      </c>
      <c r="E366" s="42">
        <f t="shared" si="59"/>
        <v>397000</v>
      </c>
      <c r="F366" s="43">
        <f t="shared" si="57"/>
        <v>-397000</v>
      </c>
      <c r="G366" s="41">
        <f t="shared" si="53"/>
        <v>0</v>
      </c>
      <c r="H366" s="41">
        <f t="shared" si="54"/>
        <v>1257.1666666666667</v>
      </c>
      <c r="I366" s="41">
        <f t="shared" si="55"/>
        <v>-1257.1666666666667</v>
      </c>
      <c r="J366" s="41">
        <f t="shared" si="58"/>
        <v>0</v>
      </c>
      <c r="K366" s="41">
        <f t="shared" si="60"/>
        <v>0</v>
      </c>
      <c r="L366" s="14"/>
    </row>
    <row r="367" spans="1:12" x14ac:dyDescent="0.2">
      <c r="A367" s="39">
        <f>IF(Values_Entered,A366+1,"")</f>
        <v>349</v>
      </c>
      <c r="B367" s="40">
        <f t="shared" si="51"/>
        <v>54118</v>
      </c>
      <c r="C367" s="41">
        <f t="shared" si="56"/>
        <v>0</v>
      </c>
      <c r="D367" s="41">
        <f t="shared" si="52"/>
        <v>4659.5735099457142</v>
      </c>
      <c r="E367" s="42">
        <f t="shared" si="59"/>
        <v>398000</v>
      </c>
      <c r="F367" s="43">
        <f t="shared" si="57"/>
        <v>-398000</v>
      </c>
      <c r="G367" s="41">
        <f t="shared" si="53"/>
        <v>0</v>
      </c>
      <c r="H367" s="41">
        <f t="shared" si="54"/>
        <v>1260.3333333333333</v>
      </c>
      <c r="I367" s="41">
        <f t="shared" si="55"/>
        <v>-1260.3333333333333</v>
      </c>
      <c r="J367" s="41">
        <f t="shared" si="58"/>
        <v>0</v>
      </c>
      <c r="K367" s="41">
        <f t="shared" si="60"/>
        <v>0</v>
      </c>
      <c r="L367" s="14"/>
    </row>
    <row r="368" spans="1:12" x14ac:dyDescent="0.2">
      <c r="A368" s="39">
        <f>IF(Values_Entered,A367+1,"")</f>
        <v>350</v>
      </c>
      <c r="B368" s="40">
        <f t="shared" si="51"/>
        <v>54149</v>
      </c>
      <c r="C368" s="41">
        <f t="shared" si="56"/>
        <v>0</v>
      </c>
      <c r="D368" s="41">
        <f t="shared" si="52"/>
        <v>4659.5735099457142</v>
      </c>
      <c r="E368" s="42">
        <f t="shared" si="59"/>
        <v>399000</v>
      </c>
      <c r="F368" s="43">
        <f t="shared" si="57"/>
        <v>-399000</v>
      </c>
      <c r="G368" s="41">
        <f t="shared" si="53"/>
        <v>0</v>
      </c>
      <c r="H368" s="41">
        <f t="shared" si="54"/>
        <v>1263.5</v>
      </c>
      <c r="I368" s="41">
        <f t="shared" si="55"/>
        <v>-1263.5</v>
      </c>
      <c r="J368" s="41">
        <f t="shared" si="58"/>
        <v>0</v>
      </c>
      <c r="K368" s="41">
        <f t="shared" si="60"/>
        <v>0</v>
      </c>
      <c r="L368" s="14"/>
    </row>
    <row r="369" spans="1:12" x14ac:dyDescent="0.2">
      <c r="A369" s="39">
        <f>IF(Values_Entered,A368+1,"")</f>
        <v>351</v>
      </c>
      <c r="B369" s="40">
        <f t="shared" si="51"/>
        <v>54179</v>
      </c>
      <c r="C369" s="41">
        <f t="shared" si="56"/>
        <v>0</v>
      </c>
      <c r="D369" s="41">
        <f t="shared" si="52"/>
        <v>4659.5735099457142</v>
      </c>
      <c r="E369" s="42">
        <f t="shared" si="59"/>
        <v>400000</v>
      </c>
      <c r="F369" s="43">
        <f t="shared" si="57"/>
        <v>-400000</v>
      </c>
      <c r="G369" s="41">
        <f t="shared" si="53"/>
        <v>0</v>
      </c>
      <c r="H369" s="41">
        <f t="shared" si="54"/>
        <v>1266.6666666666667</v>
      </c>
      <c r="I369" s="41">
        <f t="shared" si="55"/>
        <v>-1266.6666666666667</v>
      </c>
      <c r="J369" s="41">
        <f t="shared" si="58"/>
        <v>0</v>
      </c>
      <c r="K369" s="41">
        <f t="shared" si="60"/>
        <v>0</v>
      </c>
      <c r="L369" s="14"/>
    </row>
    <row r="370" spans="1:12" x14ac:dyDescent="0.2">
      <c r="A370" s="39">
        <f>IF(Values_Entered,A369+1,"")</f>
        <v>352</v>
      </c>
      <c r="B370" s="40">
        <f t="shared" si="51"/>
        <v>54210</v>
      </c>
      <c r="C370" s="41">
        <f t="shared" si="56"/>
        <v>0</v>
      </c>
      <c r="D370" s="41">
        <f t="shared" si="52"/>
        <v>4659.5735099457142</v>
      </c>
      <c r="E370" s="42">
        <f t="shared" si="59"/>
        <v>401000</v>
      </c>
      <c r="F370" s="43">
        <f t="shared" si="57"/>
        <v>-401000</v>
      </c>
      <c r="G370" s="41">
        <f t="shared" si="53"/>
        <v>0</v>
      </c>
      <c r="H370" s="41">
        <f t="shared" si="54"/>
        <v>1269.8333333333333</v>
      </c>
      <c r="I370" s="41">
        <f t="shared" si="55"/>
        <v>-1269.8333333333333</v>
      </c>
      <c r="J370" s="41">
        <f t="shared" si="58"/>
        <v>0</v>
      </c>
      <c r="K370" s="41">
        <f t="shared" si="60"/>
        <v>0</v>
      </c>
      <c r="L370" s="14"/>
    </row>
    <row r="371" spans="1:12" x14ac:dyDescent="0.2">
      <c r="A371" s="39">
        <f>IF(Values_Entered,A370+1,"")</f>
        <v>353</v>
      </c>
      <c r="B371" s="40">
        <f t="shared" si="51"/>
        <v>54240</v>
      </c>
      <c r="C371" s="41">
        <f t="shared" si="56"/>
        <v>0</v>
      </c>
      <c r="D371" s="41">
        <f t="shared" si="52"/>
        <v>4659.5735099457142</v>
      </c>
      <c r="E371" s="42">
        <f t="shared" si="59"/>
        <v>402000</v>
      </c>
      <c r="F371" s="43">
        <f t="shared" si="57"/>
        <v>-402000</v>
      </c>
      <c r="G371" s="41">
        <f t="shared" si="53"/>
        <v>0</v>
      </c>
      <c r="H371" s="41">
        <f t="shared" si="54"/>
        <v>1273</v>
      </c>
      <c r="I371" s="41">
        <f t="shared" si="55"/>
        <v>-1273</v>
      </c>
      <c r="J371" s="41">
        <f t="shared" si="58"/>
        <v>0</v>
      </c>
      <c r="K371" s="41">
        <f t="shared" si="60"/>
        <v>0</v>
      </c>
      <c r="L371" s="14"/>
    </row>
    <row r="372" spans="1:12" x14ac:dyDescent="0.2">
      <c r="A372" s="39">
        <f>IF(Values_Entered,A371+1,"")</f>
        <v>354</v>
      </c>
      <c r="B372" s="40">
        <f t="shared" si="51"/>
        <v>54271</v>
      </c>
      <c r="C372" s="41">
        <f t="shared" si="56"/>
        <v>0</v>
      </c>
      <c r="D372" s="41">
        <f t="shared" si="52"/>
        <v>4659.5735099457142</v>
      </c>
      <c r="E372" s="42">
        <f t="shared" si="59"/>
        <v>403000</v>
      </c>
      <c r="F372" s="43">
        <f t="shared" si="57"/>
        <v>-403000</v>
      </c>
      <c r="G372" s="41">
        <f t="shared" si="53"/>
        <v>0</v>
      </c>
      <c r="H372" s="41">
        <f t="shared" si="54"/>
        <v>1276.1666666666667</v>
      </c>
      <c r="I372" s="41">
        <f t="shared" si="55"/>
        <v>-1276.1666666666667</v>
      </c>
      <c r="J372" s="41">
        <f t="shared" si="58"/>
        <v>0</v>
      </c>
      <c r="K372" s="41">
        <f t="shared" si="60"/>
        <v>0</v>
      </c>
      <c r="L372" s="14"/>
    </row>
    <row r="373" spans="1:12" x14ac:dyDescent="0.2">
      <c r="A373" s="39">
        <f>IF(Values_Entered,A372+1,"")</f>
        <v>355</v>
      </c>
      <c r="B373" s="40">
        <f t="shared" si="51"/>
        <v>54302</v>
      </c>
      <c r="C373" s="41">
        <f t="shared" si="56"/>
        <v>0</v>
      </c>
      <c r="D373" s="41">
        <f t="shared" si="52"/>
        <v>4659.5735099457142</v>
      </c>
      <c r="E373" s="42">
        <f t="shared" si="59"/>
        <v>404000</v>
      </c>
      <c r="F373" s="43">
        <f t="shared" si="57"/>
        <v>-404000</v>
      </c>
      <c r="G373" s="41">
        <f t="shared" si="53"/>
        <v>0</v>
      </c>
      <c r="H373" s="41">
        <f t="shared" si="54"/>
        <v>1279.3333333333333</v>
      </c>
      <c r="I373" s="41">
        <f t="shared" si="55"/>
        <v>-1279.3333333333333</v>
      </c>
      <c r="J373" s="41">
        <f t="shared" si="58"/>
        <v>0</v>
      </c>
      <c r="K373" s="41">
        <f t="shared" si="60"/>
        <v>0</v>
      </c>
      <c r="L373" s="14"/>
    </row>
    <row r="374" spans="1:12" x14ac:dyDescent="0.2">
      <c r="A374" s="39">
        <f>IF(Values_Entered,A373+1,"")</f>
        <v>356</v>
      </c>
      <c r="B374" s="40">
        <f t="shared" si="51"/>
        <v>54332</v>
      </c>
      <c r="C374" s="41">
        <f t="shared" si="56"/>
        <v>0</v>
      </c>
      <c r="D374" s="41">
        <f t="shared" si="52"/>
        <v>4659.5735099457142</v>
      </c>
      <c r="E374" s="42">
        <f t="shared" si="59"/>
        <v>405000</v>
      </c>
      <c r="F374" s="43">
        <f t="shared" si="57"/>
        <v>-405000</v>
      </c>
      <c r="G374" s="41">
        <f t="shared" si="53"/>
        <v>0</v>
      </c>
      <c r="H374" s="41">
        <f t="shared" si="54"/>
        <v>1282.5</v>
      </c>
      <c r="I374" s="41">
        <f t="shared" si="55"/>
        <v>-1282.5</v>
      </c>
      <c r="J374" s="41">
        <f t="shared" si="58"/>
        <v>0</v>
      </c>
      <c r="K374" s="41">
        <f t="shared" si="60"/>
        <v>0</v>
      </c>
      <c r="L374" s="14"/>
    </row>
    <row r="375" spans="1:12" x14ac:dyDescent="0.2">
      <c r="A375" s="39">
        <f>IF(Values_Entered,A374+1,"")</f>
        <v>357</v>
      </c>
      <c r="B375" s="40">
        <f t="shared" si="51"/>
        <v>54363</v>
      </c>
      <c r="C375" s="41">
        <f t="shared" si="56"/>
        <v>0</v>
      </c>
      <c r="D375" s="41">
        <f t="shared" si="52"/>
        <v>4659.5735099457142</v>
      </c>
      <c r="E375" s="42">
        <f t="shared" si="59"/>
        <v>406000</v>
      </c>
      <c r="F375" s="43">
        <f t="shared" si="57"/>
        <v>-406000</v>
      </c>
      <c r="G375" s="41">
        <f t="shared" si="53"/>
        <v>0</v>
      </c>
      <c r="H375" s="41">
        <f t="shared" si="54"/>
        <v>1285.6666666666667</v>
      </c>
      <c r="I375" s="41">
        <f t="shared" si="55"/>
        <v>-1285.6666666666667</v>
      </c>
      <c r="J375" s="41">
        <f t="shared" si="58"/>
        <v>0</v>
      </c>
      <c r="K375" s="41">
        <f t="shared" si="60"/>
        <v>0</v>
      </c>
      <c r="L375" s="14"/>
    </row>
    <row r="376" spans="1:12" x14ac:dyDescent="0.2">
      <c r="A376" s="39">
        <f>IF(Values_Entered,A375+1,"")</f>
        <v>358</v>
      </c>
      <c r="B376" s="40">
        <f t="shared" si="51"/>
        <v>54393</v>
      </c>
      <c r="C376" s="41">
        <f t="shared" si="56"/>
        <v>0</v>
      </c>
      <c r="D376" s="41">
        <f t="shared" si="52"/>
        <v>4659.5735099457142</v>
      </c>
      <c r="E376" s="42">
        <f t="shared" si="59"/>
        <v>407000</v>
      </c>
      <c r="F376" s="43">
        <f t="shared" si="57"/>
        <v>-407000</v>
      </c>
      <c r="G376" s="41">
        <f t="shared" si="53"/>
        <v>0</v>
      </c>
      <c r="H376" s="41">
        <f t="shared" si="54"/>
        <v>1288.8333333333333</v>
      </c>
      <c r="I376" s="41">
        <f t="shared" si="55"/>
        <v>-1288.8333333333333</v>
      </c>
      <c r="J376" s="41">
        <f t="shared" si="58"/>
        <v>0</v>
      </c>
      <c r="K376" s="41">
        <f t="shared" si="60"/>
        <v>0</v>
      </c>
      <c r="L376" s="14"/>
    </row>
    <row r="377" spans="1:12" x14ac:dyDescent="0.2">
      <c r="A377" s="39">
        <f>IF(Values_Entered,A376+1,"")</f>
        <v>359</v>
      </c>
      <c r="B377" s="40">
        <f t="shared" si="51"/>
        <v>54424</v>
      </c>
      <c r="C377" s="41">
        <f t="shared" si="56"/>
        <v>0</v>
      </c>
      <c r="D377" s="41">
        <f t="shared" si="52"/>
        <v>4659.5735099457142</v>
      </c>
      <c r="E377" s="42">
        <f t="shared" si="59"/>
        <v>408000</v>
      </c>
      <c r="F377" s="43">
        <f t="shared" si="57"/>
        <v>-408000</v>
      </c>
      <c r="G377" s="41">
        <f t="shared" si="53"/>
        <v>0</v>
      </c>
      <c r="H377" s="41">
        <f t="shared" si="54"/>
        <v>1292</v>
      </c>
      <c r="I377" s="41">
        <f t="shared" si="55"/>
        <v>-1292</v>
      </c>
      <c r="J377" s="41">
        <f t="shared" si="58"/>
        <v>0</v>
      </c>
      <c r="K377" s="41">
        <f t="shared" si="60"/>
        <v>0</v>
      </c>
      <c r="L377" s="14"/>
    </row>
    <row r="378" spans="1:12" x14ac:dyDescent="0.2">
      <c r="A378" s="39">
        <f>IF(Values_Entered,A377+1,"")</f>
        <v>360</v>
      </c>
      <c r="B378" s="40">
        <f t="shared" si="51"/>
        <v>54455</v>
      </c>
      <c r="C378" s="41">
        <f t="shared" si="56"/>
        <v>0</v>
      </c>
      <c r="D378" s="41">
        <f t="shared" si="52"/>
        <v>4659.5735099457142</v>
      </c>
      <c r="E378" s="42">
        <f t="shared" si="59"/>
        <v>409000</v>
      </c>
      <c r="F378" s="43">
        <f t="shared" si="57"/>
        <v>-409000</v>
      </c>
      <c r="G378" s="41">
        <f t="shared" si="53"/>
        <v>0</v>
      </c>
      <c r="H378" s="41">
        <f t="shared" si="54"/>
        <v>1295.1666666666667</v>
      </c>
      <c r="I378" s="41">
        <f t="shared" si="55"/>
        <v>-1295.1666666666667</v>
      </c>
      <c r="J378" s="41">
        <f t="shared" si="58"/>
        <v>0</v>
      </c>
      <c r="K378" s="41">
        <f t="shared" si="60"/>
        <v>0</v>
      </c>
      <c r="L378" s="14"/>
    </row>
    <row r="379" spans="1:12" x14ac:dyDescent="0.2">
      <c r="A379" s="39">
        <f>IF(Values_Entered,A378+1,"")</f>
        <v>361</v>
      </c>
      <c r="B379" s="40">
        <f t="shared" si="51"/>
        <v>54483</v>
      </c>
      <c r="C379" s="41">
        <f t="shared" si="56"/>
        <v>0</v>
      </c>
      <c r="D379" s="41">
        <f t="shared" si="52"/>
        <v>4659.5735099457142</v>
      </c>
      <c r="E379" s="42">
        <f t="shared" si="59"/>
        <v>410000</v>
      </c>
      <c r="F379" s="43">
        <f t="shared" si="57"/>
        <v>-410000</v>
      </c>
      <c r="G379" s="41">
        <f t="shared" si="53"/>
        <v>0</v>
      </c>
      <c r="H379" s="41">
        <f t="shared" si="54"/>
        <v>1298.3333333333333</v>
      </c>
      <c r="I379" s="41">
        <f t="shared" si="55"/>
        <v>-1298.3333333333333</v>
      </c>
      <c r="J379" s="41">
        <f t="shared" si="58"/>
        <v>0</v>
      </c>
      <c r="K379" s="41">
        <f t="shared" si="60"/>
        <v>0</v>
      </c>
      <c r="L379" s="14"/>
    </row>
    <row r="380" spans="1:12" x14ac:dyDescent="0.2">
      <c r="A380" s="39">
        <f>IF(Values_Entered,A379+1,"")</f>
        <v>362</v>
      </c>
      <c r="B380" s="40">
        <f t="shared" si="51"/>
        <v>54514</v>
      </c>
      <c r="C380" s="41">
        <f t="shared" si="56"/>
        <v>0</v>
      </c>
      <c r="D380" s="41">
        <f t="shared" si="52"/>
        <v>4659.5735099457142</v>
      </c>
      <c r="E380" s="42">
        <f t="shared" si="59"/>
        <v>411000</v>
      </c>
      <c r="F380" s="43">
        <f t="shared" si="57"/>
        <v>-411000</v>
      </c>
      <c r="G380" s="41">
        <f t="shared" si="53"/>
        <v>0</v>
      </c>
      <c r="H380" s="41">
        <f t="shared" si="54"/>
        <v>1301.5</v>
      </c>
      <c r="I380" s="41">
        <f t="shared" si="55"/>
        <v>-1301.5</v>
      </c>
      <c r="J380" s="41">
        <f t="shared" si="58"/>
        <v>0</v>
      </c>
      <c r="K380" s="41">
        <f t="shared" si="60"/>
        <v>0</v>
      </c>
      <c r="L380" s="14"/>
    </row>
    <row r="381" spans="1:12" x14ac:dyDescent="0.2">
      <c r="A381" s="39">
        <f>IF(Values_Entered,A380+1,"")</f>
        <v>363</v>
      </c>
      <c r="B381" s="40">
        <f t="shared" si="51"/>
        <v>54544</v>
      </c>
      <c r="C381" s="41">
        <f t="shared" si="56"/>
        <v>0</v>
      </c>
      <c r="D381" s="41">
        <f t="shared" si="52"/>
        <v>4659.5735099457142</v>
      </c>
      <c r="E381" s="42">
        <f t="shared" si="59"/>
        <v>412000</v>
      </c>
      <c r="F381" s="43">
        <f t="shared" si="57"/>
        <v>-412000</v>
      </c>
      <c r="G381" s="41">
        <f t="shared" si="53"/>
        <v>0</v>
      </c>
      <c r="H381" s="41">
        <f t="shared" si="54"/>
        <v>1304.6666666666667</v>
      </c>
      <c r="I381" s="41">
        <f t="shared" si="55"/>
        <v>-1304.6666666666667</v>
      </c>
      <c r="J381" s="41">
        <f t="shared" si="58"/>
        <v>0</v>
      </c>
      <c r="K381" s="41">
        <f t="shared" si="60"/>
        <v>0</v>
      </c>
      <c r="L381" s="14"/>
    </row>
    <row r="382" spans="1:12" x14ac:dyDescent="0.2">
      <c r="A382" s="39">
        <f>IF(Values_Entered,A381+1,"")</f>
        <v>364</v>
      </c>
      <c r="B382" s="40">
        <f t="shared" si="51"/>
        <v>54575</v>
      </c>
      <c r="C382" s="41">
        <f t="shared" si="56"/>
        <v>0</v>
      </c>
      <c r="D382" s="41">
        <f t="shared" si="52"/>
        <v>4659.5735099457142</v>
      </c>
      <c r="E382" s="42">
        <f t="shared" si="59"/>
        <v>413000</v>
      </c>
      <c r="F382" s="43">
        <f t="shared" si="57"/>
        <v>-413000</v>
      </c>
      <c r="G382" s="41">
        <f t="shared" si="53"/>
        <v>0</v>
      </c>
      <c r="H382" s="41">
        <f t="shared" si="54"/>
        <v>1307.8333333333333</v>
      </c>
      <c r="I382" s="41">
        <f t="shared" si="55"/>
        <v>-1307.8333333333333</v>
      </c>
      <c r="J382" s="41">
        <f t="shared" si="58"/>
        <v>0</v>
      </c>
      <c r="K382" s="41">
        <f t="shared" si="60"/>
        <v>0</v>
      </c>
      <c r="L382" s="14"/>
    </row>
    <row r="383" spans="1:12" x14ac:dyDescent="0.2">
      <c r="A383" s="39">
        <f>IF(Values_Entered,A382+1,"")</f>
        <v>365</v>
      </c>
      <c r="B383" s="40">
        <f t="shared" si="51"/>
        <v>54605</v>
      </c>
      <c r="C383" s="41">
        <f t="shared" si="56"/>
        <v>0</v>
      </c>
      <c r="D383" s="41">
        <f t="shared" si="52"/>
        <v>4659.5735099457142</v>
      </c>
      <c r="E383" s="42">
        <f t="shared" si="59"/>
        <v>414000</v>
      </c>
      <c r="F383" s="43">
        <f t="shared" si="57"/>
        <v>-414000</v>
      </c>
      <c r="G383" s="41">
        <f t="shared" si="53"/>
        <v>0</v>
      </c>
      <c r="H383" s="41">
        <f t="shared" si="54"/>
        <v>1311</v>
      </c>
      <c r="I383" s="41">
        <f t="shared" si="55"/>
        <v>-1311</v>
      </c>
      <c r="J383" s="41">
        <f t="shared" si="58"/>
        <v>0</v>
      </c>
      <c r="K383" s="41">
        <f t="shared" si="60"/>
        <v>0</v>
      </c>
      <c r="L383" s="14"/>
    </row>
    <row r="384" spans="1:12" x14ac:dyDescent="0.2">
      <c r="A384" s="39">
        <f>IF(Values_Entered,A383+1,"")</f>
        <v>366</v>
      </c>
      <c r="B384" s="40">
        <f t="shared" si="51"/>
        <v>54636</v>
      </c>
      <c r="C384" s="41">
        <f t="shared" si="56"/>
        <v>0</v>
      </c>
      <c r="D384" s="41">
        <f t="shared" si="52"/>
        <v>4659.5735099457142</v>
      </c>
      <c r="E384" s="42">
        <f t="shared" si="59"/>
        <v>415000</v>
      </c>
      <c r="F384" s="43">
        <f t="shared" si="57"/>
        <v>-415000</v>
      </c>
      <c r="G384" s="41">
        <f t="shared" si="53"/>
        <v>0</v>
      </c>
      <c r="H384" s="41">
        <f t="shared" si="54"/>
        <v>1314.1666666666667</v>
      </c>
      <c r="I384" s="41">
        <f t="shared" si="55"/>
        <v>-1314.1666666666667</v>
      </c>
      <c r="J384" s="41">
        <f t="shared" si="58"/>
        <v>0</v>
      </c>
      <c r="K384" s="41">
        <f t="shared" si="60"/>
        <v>0</v>
      </c>
      <c r="L384" s="14"/>
    </row>
    <row r="385" spans="1:12" x14ac:dyDescent="0.2">
      <c r="A385" s="39">
        <f>IF(Values_Entered,A384+1,"")</f>
        <v>367</v>
      </c>
      <c r="B385" s="40">
        <f t="shared" si="51"/>
        <v>54667</v>
      </c>
      <c r="C385" s="41">
        <f t="shared" si="56"/>
        <v>0</v>
      </c>
      <c r="D385" s="41">
        <f t="shared" si="52"/>
        <v>4659.5735099457142</v>
      </c>
      <c r="E385" s="42">
        <f t="shared" si="59"/>
        <v>416000</v>
      </c>
      <c r="F385" s="43">
        <f t="shared" si="57"/>
        <v>-416000</v>
      </c>
      <c r="G385" s="41">
        <f t="shared" si="53"/>
        <v>0</v>
      </c>
      <c r="H385" s="41">
        <f t="shared" si="54"/>
        <v>1317.3333333333333</v>
      </c>
      <c r="I385" s="41">
        <f t="shared" si="55"/>
        <v>-1317.3333333333333</v>
      </c>
      <c r="J385" s="41">
        <f t="shared" si="58"/>
        <v>0</v>
      </c>
      <c r="K385" s="41">
        <f t="shared" si="60"/>
        <v>0</v>
      </c>
      <c r="L385" s="14"/>
    </row>
    <row r="386" spans="1:12" x14ac:dyDescent="0.2">
      <c r="A386" s="39">
        <f>IF(Values_Entered,A385+1,"")</f>
        <v>368</v>
      </c>
      <c r="B386" s="40">
        <f t="shared" si="51"/>
        <v>54697</v>
      </c>
      <c r="C386" s="41">
        <f t="shared" si="56"/>
        <v>0</v>
      </c>
      <c r="D386" s="41">
        <f t="shared" si="52"/>
        <v>4659.5735099457142</v>
      </c>
      <c r="E386" s="42">
        <f t="shared" si="59"/>
        <v>417000</v>
      </c>
      <c r="F386" s="43">
        <f t="shared" si="57"/>
        <v>-417000</v>
      </c>
      <c r="G386" s="41">
        <f t="shared" si="53"/>
        <v>0</v>
      </c>
      <c r="H386" s="41">
        <f t="shared" si="54"/>
        <v>1320.5</v>
      </c>
      <c r="I386" s="41">
        <f t="shared" si="55"/>
        <v>-1320.5</v>
      </c>
      <c r="J386" s="41">
        <f t="shared" si="58"/>
        <v>0</v>
      </c>
      <c r="K386" s="41">
        <f t="shared" si="60"/>
        <v>0</v>
      </c>
      <c r="L386" s="14"/>
    </row>
    <row r="387" spans="1:12" x14ac:dyDescent="0.2">
      <c r="A387" s="39">
        <f>IF(Values_Entered,A386+1,"")</f>
        <v>369</v>
      </c>
      <c r="B387" s="40">
        <f t="shared" si="51"/>
        <v>54728</v>
      </c>
      <c r="C387" s="41">
        <f t="shared" si="56"/>
        <v>0</v>
      </c>
      <c r="D387" s="41">
        <f t="shared" si="52"/>
        <v>4659.5735099457142</v>
      </c>
      <c r="E387" s="42">
        <f t="shared" si="59"/>
        <v>418000</v>
      </c>
      <c r="F387" s="43">
        <f t="shared" si="57"/>
        <v>-418000</v>
      </c>
      <c r="G387" s="41">
        <f t="shared" si="53"/>
        <v>0</v>
      </c>
      <c r="H387" s="41">
        <f t="shared" si="54"/>
        <v>1323.6666666666667</v>
      </c>
      <c r="I387" s="41">
        <f t="shared" si="55"/>
        <v>-1323.6666666666667</v>
      </c>
      <c r="J387" s="41">
        <f t="shared" si="58"/>
        <v>0</v>
      </c>
      <c r="K387" s="41">
        <f t="shared" si="60"/>
        <v>0</v>
      </c>
      <c r="L387" s="14"/>
    </row>
    <row r="388" spans="1:12" x14ac:dyDescent="0.2">
      <c r="A388" s="39">
        <f>IF(Values_Entered,A387+1,"")</f>
        <v>370</v>
      </c>
      <c r="B388" s="40">
        <f t="shared" si="51"/>
        <v>54758</v>
      </c>
      <c r="C388" s="41">
        <f t="shared" si="56"/>
        <v>0</v>
      </c>
      <c r="D388" s="41">
        <f t="shared" si="52"/>
        <v>4659.5735099457142</v>
      </c>
      <c r="E388" s="42">
        <f t="shared" si="59"/>
        <v>419000</v>
      </c>
      <c r="F388" s="43">
        <f t="shared" si="57"/>
        <v>-419000</v>
      </c>
      <c r="G388" s="41">
        <f t="shared" si="53"/>
        <v>0</v>
      </c>
      <c r="H388" s="41">
        <f t="shared" si="54"/>
        <v>1326.8333333333333</v>
      </c>
      <c r="I388" s="41">
        <f t="shared" si="55"/>
        <v>-1326.8333333333333</v>
      </c>
      <c r="J388" s="41">
        <f t="shared" si="58"/>
        <v>0</v>
      </c>
      <c r="K388" s="41">
        <f t="shared" si="60"/>
        <v>0</v>
      </c>
      <c r="L388" s="14"/>
    </row>
    <row r="389" spans="1:12" x14ac:dyDescent="0.2">
      <c r="A389" s="39">
        <f>IF(Values_Entered,A388+1,"")</f>
        <v>371</v>
      </c>
      <c r="B389" s="40">
        <f t="shared" si="51"/>
        <v>54789</v>
      </c>
      <c r="C389" s="41">
        <f t="shared" si="56"/>
        <v>0</v>
      </c>
      <c r="D389" s="41">
        <f t="shared" si="52"/>
        <v>4659.5735099457142</v>
      </c>
      <c r="E389" s="42">
        <f t="shared" si="59"/>
        <v>420000</v>
      </c>
      <c r="F389" s="43">
        <f t="shared" si="57"/>
        <v>-420000</v>
      </c>
      <c r="G389" s="41">
        <f t="shared" si="53"/>
        <v>0</v>
      </c>
      <c r="H389" s="41">
        <f t="shared" si="54"/>
        <v>1330</v>
      </c>
      <c r="I389" s="41">
        <f t="shared" si="55"/>
        <v>-1330</v>
      </c>
      <c r="J389" s="41">
        <f t="shared" si="58"/>
        <v>0</v>
      </c>
      <c r="K389" s="41">
        <f t="shared" si="60"/>
        <v>0</v>
      </c>
      <c r="L389" s="14"/>
    </row>
    <row r="390" spans="1:12" x14ac:dyDescent="0.2">
      <c r="A390" s="39">
        <f>IF(Values_Entered,A389+1,"")</f>
        <v>372</v>
      </c>
      <c r="B390" s="40">
        <f t="shared" si="51"/>
        <v>54820</v>
      </c>
      <c r="C390" s="41">
        <f t="shared" si="56"/>
        <v>0</v>
      </c>
      <c r="D390" s="41">
        <f t="shared" si="52"/>
        <v>4659.5735099457142</v>
      </c>
      <c r="E390" s="42">
        <f t="shared" si="59"/>
        <v>421000</v>
      </c>
      <c r="F390" s="43">
        <f t="shared" si="57"/>
        <v>-421000</v>
      </c>
      <c r="G390" s="41">
        <f t="shared" si="53"/>
        <v>0</v>
      </c>
      <c r="H390" s="41">
        <f t="shared" si="54"/>
        <v>1333.1666666666667</v>
      </c>
      <c r="I390" s="41">
        <f t="shared" si="55"/>
        <v>-1333.1666666666667</v>
      </c>
      <c r="J390" s="41">
        <f t="shared" si="58"/>
        <v>0</v>
      </c>
      <c r="K390" s="41">
        <f t="shared" si="60"/>
        <v>0</v>
      </c>
      <c r="L390" s="14"/>
    </row>
    <row r="391" spans="1:12" x14ac:dyDescent="0.2">
      <c r="A391" s="39">
        <f>IF(Values_Entered,A390+1,"")</f>
        <v>373</v>
      </c>
      <c r="B391" s="40">
        <f t="shared" si="51"/>
        <v>54848</v>
      </c>
      <c r="C391" s="41">
        <f t="shared" si="56"/>
        <v>0</v>
      </c>
      <c r="D391" s="41">
        <f t="shared" si="52"/>
        <v>4659.5735099457142</v>
      </c>
      <c r="E391" s="42">
        <f t="shared" si="59"/>
        <v>422000</v>
      </c>
      <c r="F391" s="43">
        <f t="shared" si="57"/>
        <v>-422000</v>
      </c>
      <c r="G391" s="41">
        <f t="shared" si="53"/>
        <v>0</v>
      </c>
      <c r="H391" s="41">
        <f t="shared" si="54"/>
        <v>1336.3333333333333</v>
      </c>
      <c r="I391" s="41">
        <f t="shared" si="55"/>
        <v>-1336.3333333333333</v>
      </c>
      <c r="J391" s="41">
        <f t="shared" si="58"/>
        <v>0</v>
      </c>
      <c r="K391" s="41">
        <f t="shared" si="60"/>
        <v>0</v>
      </c>
      <c r="L391" s="14"/>
    </row>
    <row r="392" spans="1:12" x14ac:dyDescent="0.2">
      <c r="A392" s="39">
        <f>IF(Values_Entered,A391+1,"")</f>
        <v>374</v>
      </c>
      <c r="B392" s="40">
        <f t="shared" si="51"/>
        <v>54879</v>
      </c>
      <c r="C392" s="41">
        <f t="shared" si="56"/>
        <v>0</v>
      </c>
      <c r="D392" s="41">
        <f t="shared" si="52"/>
        <v>4659.5735099457142</v>
      </c>
      <c r="E392" s="42">
        <f t="shared" si="59"/>
        <v>423000</v>
      </c>
      <c r="F392" s="43">
        <f t="shared" si="57"/>
        <v>-423000</v>
      </c>
      <c r="G392" s="41">
        <f t="shared" si="53"/>
        <v>0</v>
      </c>
      <c r="H392" s="41">
        <f t="shared" si="54"/>
        <v>1339.5</v>
      </c>
      <c r="I392" s="41">
        <f t="shared" si="55"/>
        <v>-1339.5</v>
      </c>
      <c r="J392" s="41">
        <f t="shared" si="58"/>
        <v>0</v>
      </c>
      <c r="K392" s="41">
        <f t="shared" si="60"/>
        <v>0</v>
      </c>
      <c r="L392" s="14"/>
    </row>
    <row r="393" spans="1:12" x14ac:dyDescent="0.2">
      <c r="A393" s="39">
        <f>IF(Values_Entered,A392+1,"")</f>
        <v>375</v>
      </c>
      <c r="B393" s="40">
        <f t="shared" si="51"/>
        <v>54909</v>
      </c>
      <c r="C393" s="41">
        <f t="shared" si="56"/>
        <v>0</v>
      </c>
      <c r="D393" s="41">
        <f t="shared" si="52"/>
        <v>4659.5735099457142</v>
      </c>
      <c r="E393" s="42">
        <f t="shared" si="59"/>
        <v>424000</v>
      </c>
      <c r="F393" s="43">
        <f t="shared" si="57"/>
        <v>-424000</v>
      </c>
      <c r="G393" s="41">
        <f t="shared" si="53"/>
        <v>0</v>
      </c>
      <c r="H393" s="41">
        <f t="shared" si="54"/>
        <v>1342.6666666666667</v>
      </c>
      <c r="I393" s="41">
        <f t="shared" si="55"/>
        <v>-1342.6666666666667</v>
      </c>
      <c r="J393" s="41">
        <f t="shared" si="58"/>
        <v>0</v>
      </c>
      <c r="K393" s="41">
        <f t="shared" si="60"/>
        <v>0</v>
      </c>
      <c r="L393" s="14"/>
    </row>
    <row r="394" spans="1:12" x14ac:dyDescent="0.2">
      <c r="A394" s="39">
        <f>IF(Values_Entered,A393+1,"")</f>
        <v>376</v>
      </c>
      <c r="B394" s="40">
        <f t="shared" si="51"/>
        <v>54940</v>
      </c>
      <c r="C394" s="41">
        <f t="shared" si="56"/>
        <v>0</v>
      </c>
      <c r="D394" s="41">
        <f t="shared" si="52"/>
        <v>4659.5735099457142</v>
      </c>
      <c r="E394" s="42">
        <f t="shared" si="59"/>
        <v>425000</v>
      </c>
      <c r="F394" s="43">
        <f t="shared" si="57"/>
        <v>-425000</v>
      </c>
      <c r="G394" s="41">
        <f t="shared" si="53"/>
        <v>0</v>
      </c>
      <c r="H394" s="41">
        <f t="shared" si="54"/>
        <v>1345.8333333333333</v>
      </c>
      <c r="I394" s="41">
        <f t="shared" si="55"/>
        <v>-1345.8333333333333</v>
      </c>
      <c r="J394" s="41">
        <f t="shared" si="58"/>
        <v>0</v>
      </c>
      <c r="K394" s="41">
        <f t="shared" si="60"/>
        <v>0</v>
      </c>
      <c r="L394" s="14"/>
    </row>
    <row r="395" spans="1:12" x14ac:dyDescent="0.2">
      <c r="A395" s="39">
        <f>IF(Values_Entered,A394+1,"")</f>
        <v>377</v>
      </c>
      <c r="B395" s="40">
        <f t="shared" si="51"/>
        <v>54970</v>
      </c>
      <c r="C395" s="41">
        <f t="shared" si="56"/>
        <v>0</v>
      </c>
      <c r="D395" s="41">
        <f t="shared" si="52"/>
        <v>4659.5735099457142</v>
      </c>
      <c r="E395" s="42">
        <f t="shared" si="59"/>
        <v>426000</v>
      </c>
      <c r="F395" s="43">
        <f t="shared" si="57"/>
        <v>-426000</v>
      </c>
      <c r="G395" s="41">
        <f t="shared" si="53"/>
        <v>0</v>
      </c>
      <c r="H395" s="41">
        <f t="shared" si="54"/>
        <v>1349</v>
      </c>
      <c r="I395" s="41">
        <f t="shared" si="55"/>
        <v>-1349</v>
      </c>
      <c r="J395" s="41">
        <f t="shared" si="58"/>
        <v>0</v>
      </c>
      <c r="K395" s="41">
        <f t="shared" si="60"/>
        <v>0</v>
      </c>
      <c r="L395" s="14"/>
    </row>
    <row r="396" spans="1:12" x14ac:dyDescent="0.2">
      <c r="A396" s="39">
        <f>IF(Values_Entered,A395+1,"")</f>
        <v>378</v>
      </c>
      <c r="B396" s="40">
        <f t="shared" si="51"/>
        <v>55001</v>
      </c>
      <c r="C396" s="41">
        <f t="shared" si="56"/>
        <v>0</v>
      </c>
      <c r="D396" s="41">
        <f t="shared" si="52"/>
        <v>4659.5735099457142</v>
      </c>
      <c r="E396" s="42">
        <f t="shared" si="59"/>
        <v>427000</v>
      </c>
      <c r="F396" s="43">
        <f t="shared" si="57"/>
        <v>-427000</v>
      </c>
      <c r="G396" s="41">
        <f t="shared" si="53"/>
        <v>0</v>
      </c>
      <c r="H396" s="41">
        <f t="shared" si="54"/>
        <v>1352.1666666666667</v>
      </c>
      <c r="I396" s="41">
        <f t="shared" si="55"/>
        <v>-1352.1666666666667</v>
      </c>
      <c r="J396" s="41">
        <f t="shared" si="58"/>
        <v>0</v>
      </c>
      <c r="K396" s="41">
        <f t="shared" si="60"/>
        <v>0</v>
      </c>
      <c r="L396" s="14"/>
    </row>
    <row r="397" spans="1:12" x14ac:dyDescent="0.2">
      <c r="A397" s="39">
        <f>IF(Values_Entered,A396+1,"")</f>
        <v>379</v>
      </c>
      <c r="B397" s="40">
        <f t="shared" si="51"/>
        <v>55032</v>
      </c>
      <c r="C397" s="41">
        <f t="shared" si="56"/>
        <v>0</v>
      </c>
      <c r="D397" s="41">
        <f t="shared" si="52"/>
        <v>4659.5735099457142</v>
      </c>
      <c r="E397" s="42">
        <f t="shared" si="59"/>
        <v>428000</v>
      </c>
      <c r="F397" s="43">
        <f t="shared" si="57"/>
        <v>-428000</v>
      </c>
      <c r="G397" s="41">
        <f t="shared" si="53"/>
        <v>0</v>
      </c>
      <c r="H397" s="41">
        <f t="shared" si="54"/>
        <v>1355.3333333333333</v>
      </c>
      <c r="I397" s="41">
        <f t="shared" si="55"/>
        <v>-1355.3333333333333</v>
      </c>
      <c r="J397" s="41">
        <f t="shared" si="58"/>
        <v>0</v>
      </c>
      <c r="K397" s="41">
        <f t="shared" si="60"/>
        <v>0</v>
      </c>
      <c r="L397" s="14"/>
    </row>
    <row r="398" spans="1:12" x14ac:dyDescent="0.2">
      <c r="A398" s="39">
        <f>IF(Values_Entered,A397+1,"")</f>
        <v>380</v>
      </c>
      <c r="B398" s="40">
        <f t="shared" si="51"/>
        <v>55062</v>
      </c>
      <c r="C398" s="41">
        <f t="shared" si="56"/>
        <v>0</v>
      </c>
      <c r="D398" s="41">
        <f t="shared" si="52"/>
        <v>4659.5735099457142</v>
      </c>
      <c r="E398" s="42">
        <f t="shared" si="59"/>
        <v>429000</v>
      </c>
      <c r="F398" s="43">
        <f t="shared" si="57"/>
        <v>-429000</v>
      </c>
      <c r="G398" s="41">
        <f t="shared" si="53"/>
        <v>0</v>
      </c>
      <c r="H398" s="41">
        <f t="shared" si="54"/>
        <v>1358.5</v>
      </c>
      <c r="I398" s="41">
        <f t="shared" si="55"/>
        <v>-1358.5</v>
      </c>
      <c r="J398" s="41">
        <f t="shared" si="58"/>
        <v>0</v>
      </c>
      <c r="K398" s="41">
        <f t="shared" si="60"/>
        <v>0</v>
      </c>
      <c r="L398" s="14"/>
    </row>
    <row r="399" spans="1:12" x14ac:dyDescent="0.2">
      <c r="A399" s="39">
        <f>IF(Values_Entered,A398+1,"")</f>
        <v>381</v>
      </c>
      <c r="B399" s="40">
        <f t="shared" si="51"/>
        <v>55093</v>
      </c>
      <c r="C399" s="41">
        <f t="shared" si="56"/>
        <v>0</v>
      </c>
      <c r="D399" s="41">
        <f t="shared" si="52"/>
        <v>4659.5735099457142</v>
      </c>
      <c r="E399" s="42">
        <f t="shared" si="59"/>
        <v>430000</v>
      </c>
      <c r="F399" s="43">
        <f t="shared" si="57"/>
        <v>-430000</v>
      </c>
      <c r="G399" s="41">
        <f t="shared" si="53"/>
        <v>0</v>
      </c>
      <c r="H399" s="41">
        <f t="shared" si="54"/>
        <v>1361.6666666666667</v>
      </c>
      <c r="I399" s="41">
        <f t="shared" si="55"/>
        <v>-1361.6666666666667</v>
      </c>
      <c r="J399" s="41">
        <f t="shared" si="58"/>
        <v>0</v>
      </c>
      <c r="K399" s="41">
        <f t="shared" si="60"/>
        <v>0</v>
      </c>
      <c r="L399" s="14"/>
    </row>
    <row r="400" spans="1:12" x14ac:dyDescent="0.2">
      <c r="A400" s="39">
        <f>IF(Values_Entered,A399+1,"")</f>
        <v>382</v>
      </c>
      <c r="B400" s="40">
        <f t="shared" si="51"/>
        <v>55123</v>
      </c>
      <c r="C400" s="41">
        <f t="shared" si="56"/>
        <v>0</v>
      </c>
      <c r="D400" s="41">
        <f t="shared" si="52"/>
        <v>4659.5735099457142</v>
      </c>
      <c r="E400" s="42">
        <f t="shared" si="59"/>
        <v>431000</v>
      </c>
      <c r="F400" s="43">
        <f t="shared" si="57"/>
        <v>-431000</v>
      </c>
      <c r="G400" s="41">
        <f t="shared" si="53"/>
        <v>0</v>
      </c>
      <c r="H400" s="41">
        <f t="shared" si="54"/>
        <v>1364.8333333333333</v>
      </c>
      <c r="I400" s="41">
        <f t="shared" si="55"/>
        <v>-1364.8333333333333</v>
      </c>
      <c r="J400" s="41">
        <f t="shared" si="58"/>
        <v>0</v>
      </c>
      <c r="K400" s="41">
        <f t="shared" si="60"/>
        <v>0</v>
      </c>
      <c r="L400" s="14"/>
    </row>
    <row r="401" spans="1:12" x14ac:dyDescent="0.2">
      <c r="A401" s="39">
        <f>IF(Values_Entered,A400+1,"")</f>
        <v>383</v>
      </c>
      <c r="B401" s="40">
        <f t="shared" si="51"/>
        <v>55154</v>
      </c>
      <c r="C401" s="41">
        <f t="shared" si="56"/>
        <v>0</v>
      </c>
      <c r="D401" s="41">
        <f t="shared" si="52"/>
        <v>4659.5735099457142</v>
      </c>
      <c r="E401" s="42">
        <f t="shared" si="59"/>
        <v>432000</v>
      </c>
      <c r="F401" s="43">
        <f t="shared" si="57"/>
        <v>-432000</v>
      </c>
      <c r="G401" s="41">
        <f t="shared" si="53"/>
        <v>0</v>
      </c>
      <c r="H401" s="41">
        <f t="shared" si="54"/>
        <v>1368</v>
      </c>
      <c r="I401" s="41">
        <f t="shared" si="55"/>
        <v>-1368</v>
      </c>
      <c r="J401" s="41">
        <f t="shared" si="58"/>
        <v>0</v>
      </c>
      <c r="K401" s="41">
        <f t="shared" si="60"/>
        <v>0</v>
      </c>
      <c r="L401" s="14"/>
    </row>
    <row r="402" spans="1:12" x14ac:dyDescent="0.2">
      <c r="A402" s="39">
        <f>IF(Values_Entered,A401+1,"")</f>
        <v>384</v>
      </c>
      <c r="B402" s="40">
        <f t="shared" si="51"/>
        <v>55185</v>
      </c>
      <c r="C402" s="41">
        <f t="shared" si="56"/>
        <v>0</v>
      </c>
      <c r="D402" s="41">
        <f t="shared" si="52"/>
        <v>4659.5735099457142</v>
      </c>
      <c r="E402" s="42">
        <f t="shared" si="59"/>
        <v>433000</v>
      </c>
      <c r="F402" s="43">
        <f t="shared" si="57"/>
        <v>-433000</v>
      </c>
      <c r="G402" s="41">
        <f t="shared" si="53"/>
        <v>0</v>
      </c>
      <c r="H402" s="41">
        <f t="shared" si="54"/>
        <v>1371.1666666666667</v>
      </c>
      <c r="I402" s="41">
        <f t="shared" si="55"/>
        <v>-1371.1666666666667</v>
      </c>
      <c r="J402" s="41">
        <f t="shared" si="58"/>
        <v>0</v>
      </c>
      <c r="K402" s="41">
        <f t="shared" si="60"/>
        <v>0</v>
      </c>
      <c r="L402" s="14"/>
    </row>
    <row r="403" spans="1:12" x14ac:dyDescent="0.2">
      <c r="A403" s="39">
        <f>IF(Values_Entered,A402+1,"")</f>
        <v>385</v>
      </c>
      <c r="B403" s="40">
        <f t="shared" ref="B403:B466" si="61">IF(Pay_Num&lt;&gt;"",DATE(YEAR(Loan_Start),MONTH(Loan_Start)+(Pay_Num)*12/Num_Pmt_Per_Year,DAY(Loan_Start)),"")</f>
        <v>55213</v>
      </c>
      <c r="C403" s="41">
        <f t="shared" si="56"/>
        <v>0</v>
      </c>
      <c r="D403" s="41">
        <f t="shared" ref="D403:D466" si="62">IF(Pay_Num&lt;&gt;"",Scheduled_Monthly_Payment,"")</f>
        <v>4659.5735099457142</v>
      </c>
      <c r="E403" s="42">
        <f t="shared" si="59"/>
        <v>434000</v>
      </c>
      <c r="F403" s="43">
        <f t="shared" si="57"/>
        <v>-434000</v>
      </c>
      <c r="G403" s="41">
        <f t="shared" ref="G403:G466" si="63">IF(AND(Pay_Num&lt;&gt;"",Sched_Pay&lt;Beg_Bal),Sched_Pay,IF(Pay_Num&lt;&gt;"",Beg_Bal,""))</f>
        <v>0</v>
      </c>
      <c r="H403" s="41">
        <f t="shared" ref="H403:H466" si="64">IF(Pay_Num&lt;&gt;"",Total_Pay-Int,"")</f>
        <v>1374.3333333333333</v>
      </c>
      <c r="I403" s="41">
        <f t="shared" ref="I403:I466" si="65">IF(Pay_Num&lt;&gt;"",(Beg_Bal-E403)*(Interest_Rate/Num_Pmt_Per_Year),"")</f>
        <v>-1374.3333333333333</v>
      </c>
      <c r="J403" s="41">
        <f t="shared" si="58"/>
        <v>0</v>
      </c>
      <c r="K403" s="41">
        <f t="shared" si="60"/>
        <v>0</v>
      </c>
      <c r="L403" s="14"/>
    </row>
    <row r="404" spans="1:12" x14ac:dyDescent="0.2">
      <c r="A404" s="39">
        <f>IF(Values_Entered,A403+1,"")</f>
        <v>386</v>
      </c>
      <c r="B404" s="40">
        <f t="shared" si="61"/>
        <v>55244</v>
      </c>
      <c r="C404" s="41">
        <f t="shared" ref="C404:C467" si="66">IF(Pay_Num&lt;&gt;"",J403,"")</f>
        <v>0</v>
      </c>
      <c r="D404" s="41">
        <f t="shared" si="62"/>
        <v>4659.5735099457142</v>
      </c>
      <c r="E404" s="42">
        <f t="shared" si="59"/>
        <v>435000</v>
      </c>
      <c r="F404" s="43">
        <f t="shared" ref="F404:F467" si="67">+C404-E404</f>
        <v>-435000</v>
      </c>
      <c r="G404" s="41">
        <f t="shared" si="63"/>
        <v>0</v>
      </c>
      <c r="H404" s="41">
        <f t="shared" si="64"/>
        <v>1377.5</v>
      </c>
      <c r="I404" s="41">
        <f t="shared" si="65"/>
        <v>-1377.5</v>
      </c>
      <c r="J404" s="41">
        <f t="shared" ref="J404:J467" si="68">IF(AND(Pay_Num&lt;&gt;"",Sched_Pay+Extra_Pay&lt;Beg_Bal),Beg_Bal-Princ,IF(Pay_Num&lt;&gt;"",0,""))</f>
        <v>0</v>
      </c>
      <c r="K404" s="41">
        <f t="shared" si="60"/>
        <v>0</v>
      </c>
      <c r="L404" s="14"/>
    </row>
    <row r="405" spans="1:12" x14ac:dyDescent="0.2">
      <c r="A405" s="39">
        <f>IF(Values_Entered,A404+1,"")</f>
        <v>387</v>
      </c>
      <c r="B405" s="40">
        <f t="shared" si="61"/>
        <v>55274</v>
      </c>
      <c r="C405" s="41">
        <f t="shared" si="66"/>
        <v>0</v>
      </c>
      <c r="D405" s="41">
        <f t="shared" si="62"/>
        <v>4659.5735099457142</v>
      </c>
      <c r="E405" s="42">
        <f t="shared" ref="E405:E468" si="69">+E404+$D$11</f>
        <v>436000</v>
      </c>
      <c r="F405" s="43">
        <f t="shared" si="67"/>
        <v>-436000</v>
      </c>
      <c r="G405" s="41">
        <f t="shared" si="63"/>
        <v>0</v>
      </c>
      <c r="H405" s="41">
        <f t="shared" si="64"/>
        <v>1380.6666666666667</v>
      </c>
      <c r="I405" s="41">
        <f t="shared" si="65"/>
        <v>-1380.6666666666667</v>
      </c>
      <c r="J405" s="41">
        <f t="shared" si="68"/>
        <v>0</v>
      </c>
      <c r="K405" s="41">
        <f t="shared" si="60"/>
        <v>0</v>
      </c>
      <c r="L405" s="14"/>
    </row>
    <row r="406" spans="1:12" x14ac:dyDescent="0.2">
      <c r="A406" s="39">
        <f>IF(Values_Entered,A405+1,"")</f>
        <v>388</v>
      </c>
      <c r="B406" s="40">
        <f t="shared" si="61"/>
        <v>55305</v>
      </c>
      <c r="C406" s="41">
        <f t="shared" si="66"/>
        <v>0</v>
      </c>
      <c r="D406" s="41">
        <f t="shared" si="62"/>
        <v>4659.5735099457142</v>
      </c>
      <c r="E406" s="42">
        <f t="shared" si="69"/>
        <v>437000</v>
      </c>
      <c r="F406" s="43">
        <f t="shared" si="67"/>
        <v>-437000</v>
      </c>
      <c r="G406" s="41">
        <f t="shared" si="63"/>
        <v>0</v>
      </c>
      <c r="H406" s="41">
        <f t="shared" si="64"/>
        <v>1383.8333333333333</v>
      </c>
      <c r="I406" s="41">
        <f t="shared" si="65"/>
        <v>-1383.8333333333333</v>
      </c>
      <c r="J406" s="41">
        <f t="shared" si="68"/>
        <v>0</v>
      </c>
      <c r="K406" s="41">
        <f t="shared" si="60"/>
        <v>0</v>
      </c>
      <c r="L406" s="14"/>
    </row>
    <row r="407" spans="1:12" x14ac:dyDescent="0.2">
      <c r="A407" s="39">
        <f>IF(Values_Entered,A406+1,"")</f>
        <v>389</v>
      </c>
      <c r="B407" s="40">
        <f t="shared" si="61"/>
        <v>55335</v>
      </c>
      <c r="C407" s="41">
        <f t="shared" si="66"/>
        <v>0</v>
      </c>
      <c r="D407" s="41">
        <f t="shared" si="62"/>
        <v>4659.5735099457142</v>
      </c>
      <c r="E407" s="42">
        <f t="shared" si="69"/>
        <v>438000</v>
      </c>
      <c r="F407" s="43">
        <f t="shared" si="67"/>
        <v>-438000</v>
      </c>
      <c r="G407" s="41">
        <f t="shared" si="63"/>
        <v>0</v>
      </c>
      <c r="H407" s="41">
        <f t="shared" si="64"/>
        <v>1387</v>
      </c>
      <c r="I407" s="41">
        <f t="shared" si="65"/>
        <v>-1387</v>
      </c>
      <c r="J407" s="41">
        <f t="shared" si="68"/>
        <v>0</v>
      </c>
      <c r="K407" s="41">
        <f t="shared" si="60"/>
        <v>0</v>
      </c>
      <c r="L407" s="14"/>
    </row>
    <row r="408" spans="1:12" x14ac:dyDescent="0.2">
      <c r="A408" s="39">
        <f>IF(Values_Entered,A407+1,"")</f>
        <v>390</v>
      </c>
      <c r="B408" s="40">
        <f t="shared" si="61"/>
        <v>55366</v>
      </c>
      <c r="C408" s="41">
        <f t="shared" si="66"/>
        <v>0</v>
      </c>
      <c r="D408" s="41">
        <f t="shared" si="62"/>
        <v>4659.5735099457142</v>
      </c>
      <c r="E408" s="42">
        <f t="shared" si="69"/>
        <v>439000</v>
      </c>
      <c r="F408" s="43">
        <f t="shared" si="67"/>
        <v>-439000</v>
      </c>
      <c r="G408" s="41">
        <f t="shared" si="63"/>
        <v>0</v>
      </c>
      <c r="H408" s="41">
        <f t="shared" si="64"/>
        <v>1390.1666666666667</v>
      </c>
      <c r="I408" s="41">
        <f t="shared" si="65"/>
        <v>-1390.1666666666667</v>
      </c>
      <c r="J408" s="41">
        <f t="shared" si="68"/>
        <v>0</v>
      </c>
      <c r="K408" s="41">
        <f t="shared" ref="K408:K471" si="70">IF(I408&lt;0,0,+K407+I408)</f>
        <v>0</v>
      </c>
      <c r="L408" s="14"/>
    </row>
    <row r="409" spans="1:12" x14ac:dyDescent="0.2">
      <c r="A409" s="39">
        <f>IF(Values_Entered,A408+1,"")</f>
        <v>391</v>
      </c>
      <c r="B409" s="40">
        <f t="shared" si="61"/>
        <v>55397</v>
      </c>
      <c r="C409" s="41">
        <f t="shared" si="66"/>
        <v>0</v>
      </c>
      <c r="D409" s="41">
        <f t="shared" si="62"/>
        <v>4659.5735099457142</v>
      </c>
      <c r="E409" s="42">
        <f t="shared" si="69"/>
        <v>440000</v>
      </c>
      <c r="F409" s="43">
        <f t="shared" si="67"/>
        <v>-440000</v>
      </c>
      <c r="G409" s="41">
        <f t="shared" si="63"/>
        <v>0</v>
      </c>
      <c r="H409" s="41">
        <f t="shared" si="64"/>
        <v>1393.3333333333333</v>
      </c>
      <c r="I409" s="41">
        <f t="shared" si="65"/>
        <v>-1393.3333333333333</v>
      </c>
      <c r="J409" s="41">
        <f t="shared" si="68"/>
        <v>0</v>
      </c>
      <c r="K409" s="41">
        <f t="shared" si="70"/>
        <v>0</v>
      </c>
      <c r="L409" s="14"/>
    </row>
    <row r="410" spans="1:12" x14ac:dyDescent="0.2">
      <c r="A410" s="39">
        <f>IF(Values_Entered,A409+1,"")</f>
        <v>392</v>
      </c>
      <c r="B410" s="40">
        <f t="shared" si="61"/>
        <v>55427</v>
      </c>
      <c r="C410" s="41">
        <f t="shared" si="66"/>
        <v>0</v>
      </c>
      <c r="D410" s="41">
        <f t="shared" si="62"/>
        <v>4659.5735099457142</v>
      </c>
      <c r="E410" s="42">
        <f t="shared" si="69"/>
        <v>441000</v>
      </c>
      <c r="F410" s="43">
        <f t="shared" si="67"/>
        <v>-441000</v>
      </c>
      <c r="G410" s="41">
        <f t="shared" si="63"/>
        <v>0</v>
      </c>
      <c r="H410" s="41">
        <f t="shared" si="64"/>
        <v>1396.5</v>
      </c>
      <c r="I410" s="41">
        <f t="shared" si="65"/>
        <v>-1396.5</v>
      </c>
      <c r="J410" s="41">
        <f t="shared" si="68"/>
        <v>0</v>
      </c>
      <c r="K410" s="41">
        <f t="shared" si="70"/>
        <v>0</v>
      </c>
      <c r="L410" s="14"/>
    </row>
    <row r="411" spans="1:12" x14ac:dyDescent="0.2">
      <c r="A411" s="39">
        <f>IF(Values_Entered,A410+1,"")</f>
        <v>393</v>
      </c>
      <c r="B411" s="40">
        <f t="shared" si="61"/>
        <v>55458</v>
      </c>
      <c r="C411" s="41">
        <f t="shared" si="66"/>
        <v>0</v>
      </c>
      <c r="D411" s="41">
        <f t="shared" si="62"/>
        <v>4659.5735099457142</v>
      </c>
      <c r="E411" s="42">
        <f t="shared" si="69"/>
        <v>442000</v>
      </c>
      <c r="F411" s="43">
        <f t="shared" si="67"/>
        <v>-442000</v>
      </c>
      <c r="G411" s="41">
        <f t="shared" si="63"/>
        <v>0</v>
      </c>
      <c r="H411" s="41">
        <f t="shared" si="64"/>
        <v>1399.6666666666667</v>
      </c>
      <c r="I411" s="41">
        <f t="shared" si="65"/>
        <v>-1399.6666666666667</v>
      </c>
      <c r="J411" s="41">
        <f t="shared" si="68"/>
        <v>0</v>
      </c>
      <c r="K411" s="41">
        <f t="shared" si="70"/>
        <v>0</v>
      </c>
      <c r="L411" s="14"/>
    </row>
    <row r="412" spans="1:12" x14ac:dyDescent="0.2">
      <c r="A412" s="39">
        <f>IF(Values_Entered,A411+1,"")</f>
        <v>394</v>
      </c>
      <c r="B412" s="40">
        <f t="shared" si="61"/>
        <v>55488</v>
      </c>
      <c r="C412" s="41">
        <f t="shared" si="66"/>
        <v>0</v>
      </c>
      <c r="D412" s="41">
        <f t="shared" si="62"/>
        <v>4659.5735099457142</v>
      </c>
      <c r="E412" s="42">
        <f t="shared" si="69"/>
        <v>443000</v>
      </c>
      <c r="F412" s="43">
        <f t="shared" si="67"/>
        <v>-443000</v>
      </c>
      <c r="G412" s="41">
        <f t="shared" si="63"/>
        <v>0</v>
      </c>
      <c r="H412" s="41">
        <f t="shared" si="64"/>
        <v>1402.8333333333333</v>
      </c>
      <c r="I412" s="41">
        <f t="shared" si="65"/>
        <v>-1402.8333333333333</v>
      </c>
      <c r="J412" s="41">
        <f t="shared" si="68"/>
        <v>0</v>
      </c>
      <c r="K412" s="41">
        <f t="shared" si="70"/>
        <v>0</v>
      </c>
      <c r="L412" s="14"/>
    </row>
    <row r="413" spans="1:12" x14ac:dyDescent="0.2">
      <c r="A413" s="39">
        <f>IF(Values_Entered,A412+1,"")</f>
        <v>395</v>
      </c>
      <c r="B413" s="40">
        <f t="shared" si="61"/>
        <v>55519</v>
      </c>
      <c r="C413" s="41">
        <f t="shared" si="66"/>
        <v>0</v>
      </c>
      <c r="D413" s="41">
        <f t="shared" si="62"/>
        <v>4659.5735099457142</v>
      </c>
      <c r="E413" s="42">
        <f t="shared" si="69"/>
        <v>444000</v>
      </c>
      <c r="F413" s="43">
        <f t="shared" si="67"/>
        <v>-444000</v>
      </c>
      <c r="G413" s="41">
        <f t="shared" si="63"/>
        <v>0</v>
      </c>
      <c r="H413" s="41">
        <f t="shared" si="64"/>
        <v>1406</v>
      </c>
      <c r="I413" s="41">
        <f t="shared" si="65"/>
        <v>-1406</v>
      </c>
      <c r="J413" s="41">
        <f t="shared" si="68"/>
        <v>0</v>
      </c>
      <c r="K413" s="41">
        <f t="shared" si="70"/>
        <v>0</v>
      </c>
      <c r="L413" s="14"/>
    </row>
    <row r="414" spans="1:12" x14ac:dyDescent="0.2">
      <c r="A414" s="39">
        <f>IF(Values_Entered,A413+1,"")</f>
        <v>396</v>
      </c>
      <c r="B414" s="40">
        <f t="shared" si="61"/>
        <v>55550</v>
      </c>
      <c r="C414" s="41">
        <f t="shared" si="66"/>
        <v>0</v>
      </c>
      <c r="D414" s="41">
        <f t="shared" si="62"/>
        <v>4659.5735099457142</v>
      </c>
      <c r="E414" s="42">
        <f t="shared" si="69"/>
        <v>445000</v>
      </c>
      <c r="F414" s="43">
        <f t="shared" si="67"/>
        <v>-445000</v>
      </c>
      <c r="G414" s="41">
        <f t="shared" si="63"/>
        <v>0</v>
      </c>
      <c r="H414" s="41">
        <f t="shared" si="64"/>
        <v>1409.1666666666667</v>
      </c>
      <c r="I414" s="41">
        <f t="shared" si="65"/>
        <v>-1409.1666666666667</v>
      </c>
      <c r="J414" s="41">
        <f t="shared" si="68"/>
        <v>0</v>
      </c>
      <c r="K414" s="41">
        <f t="shared" si="70"/>
        <v>0</v>
      </c>
      <c r="L414" s="14"/>
    </row>
    <row r="415" spans="1:12" x14ac:dyDescent="0.2">
      <c r="A415" s="39">
        <f>IF(Values_Entered,A414+1,"")</f>
        <v>397</v>
      </c>
      <c r="B415" s="40">
        <f t="shared" si="61"/>
        <v>55579</v>
      </c>
      <c r="C415" s="41">
        <f t="shared" si="66"/>
        <v>0</v>
      </c>
      <c r="D415" s="41">
        <f t="shared" si="62"/>
        <v>4659.5735099457142</v>
      </c>
      <c r="E415" s="42">
        <f t="shared" si="69"/>
        <v>446000</v>
      </c>
      <c r="F415" s="43">
        <f t="shared" si="67"/>
        <v>-446000</v>
      </c>
      <c r="G415" s="41">
        <f t="shared" si="63"/>
        <v>0</v>
      </c>
      <c r="H415" s="41">
        <f t="shared" si="64"/>
        <v>1412.3333333333333</v>
      </c>
      <c r="I415" s="41">
        <f t="shared" si="65"/>
        <v>-1412.3333333333333</v>
      </c>
      <c r="J415" s="41">
        <f t="shared" si="68"/>
        <v>0</v>
      </c>
      <c r="K415" s="41">
        <f t="shared" si="70"/>
        <v>0</v>
      </c>
      <c r="L415" s="14"/>
    </row>
    <row r="416" spans="1:12" x14ac:dyDescent="0.2">
      <c r="A416" s="39">
        <f>IF(Values_Entered,A415+1,"")</f>
        <v>398</v>
      </c>
      <c r="B416" s="40">
        <f t="shared" si="61"/>
        <v>55610</v>
      </c>
      <c r="C416" s="41">
        <f t="shared" si="66"/>
        <v>0</v>
      </c>
      <c r="D416" s="41">
        <f t="shared" si="62"/>
        <v>4659.5735099457142</v>
      </c>
      <c r="E416" s="42">
        <f t="shared" si="69"/>
        <v>447000</v>
      </c>
      <c r="F416" s="43">
        <f t="shared" si="67"/>
        <v>-447000</v>
      </c>
      <c r="G416" s="41">
        <f t="shared" si="63"/>
        <v>0</v>
      </c>
      <c r="H416" s="41">
        <f t="shared" si="64"/>
        <v>1415.5</v>
      </c>
      <c r="I416" s="41">
        <f t="shared" si="65"/>
        <v>-1415.5</v>
      </c>
      <c r="J416" s="41">
        <f t="shared" si="68"/>
        <v>0</v>
      </c>
      <c r="K416" s="41">
        <f t="shared" si="70"/>
        <v>0</v>
      </c>
      <c r="L416" s="14"/>
    </row>
    <row r="417" spans="1:12" x14ac:dyDescent="0.2">
      <c r="A417" s="39">
        <f>IF(Values_Entered,A416+1,"")</f>
        <v>399</v>
      </c>
      <c r="B417" s="40">
        <f t="shared" si="61"/>
        <v>55640</v>
      </c>
      <c r="C417" s="41">
        <f t="shared" si="66"/>
        <v>0</v>
      </c>
      <c r="D417" s="41">
        <f t="shared" si="62"/>
        <v>4659.5735099457142</v>
      </c>
      <c r="E417" s="42">
        <f t="shared" si="69"/>
        <v>448000</v>
      </c>
      <c r="F417" s="43">
        <f t="shared" si="67"/>
        <v>-448000</v>
      </c>
      <c r="G417" s="41">
        <f t="shared" si="63"/>
        <v>0</v>
      </c>
      <c r="H417" s="41">
        <f t="shared" si="64"/>
        <v>1418.6666666666667</v>
      </c>
      <c r="I417" s="41">
        <f t="shared" si="65"/>
        <v>-1418.6666666666667</v>
      </c>
      <c r="J417" s="41">
        <f t="shared" si="68"/>
        <v>0</v>
      </c>
      <c r="K417" s="41">
        <f t="shared" si="70"/>
        <v>0</v>
      </c>
      <c r="L417" s="14"/>
    </row>
    <row r="418" spans="1:12" x14ac:dyDescent="0.2">
      <c r="A418" s="39">
        <f>IF(Values_Entered,A417+1,"")</f>
        <v>400</v>
      </c>
      <c r="B418" s="40">
        <f t="shared" si="61"/>
        <v>55671</v>
      </c>
      <c r="C418" s="41">
        <f t="shared" si="66"/>
        <v>0</v>
      </c>
      <c r="D418" s="41">
        <f t="shared" si="62"/>
        <v>4659.5735099457142</v>
      </c>
      <c r="E418" s="42">
        <f t="shared" si="69"/>
        <v>449000</v>
      </c>
      <c r="F418" s="43">
        <f t="shared" si="67"/>
        <v>-449000</v>
      </c>
      <c r="G418" s="41">
        <f t="shared" si="63"/>
        <v>0</v>
      </c>
      <c r="H418" s="41">
        <f t="shared" si="64"/>
        <v>1421.8333333333333</v>
      </c>
      <c r="I418" s="41">
        <f t="shared" si="65"/>
        <v>-1421.8333333333333</v>
      </c>
      <c r="J418" s="41">
        <f t="shared" si="68"/>
        <v>0</v>
      </c>
      <c r="K418" s="41">
        <f t="shared" si="70"/>
        <v>0</v>
      </c>
      <c r="L418" s="14"/>
    </row>
    <row r="419" spans="1:12" x14ac:dyDescent="0.2">
      <c r="A419" s="39">
        <f>IF(Values_Entered,A418+1,"")</f>
        <v>401</v>
      </c>
      <c r="B419" s="40">
        <f t="shared" si="61"/>
        <v>55701</v>
      </c>
      <c r="C419" s="41">
        <f t="shared" si="66"/>
        <v>0</v>
      </c>
      <c r="D419" s="41">
        <f t="shared" si="62"/>
        <v>4659.5735099457142</v>
      </c>
      <c r="E419" s="42">
        <f t="shared" si="69"/>
        <v>450000</v>
      </c>
      <c r="F419" s="43">
        <f t="shared" si="67"/>
        <v>-450000</v>
      </c>
      <c r="G419" s="41">
        <f t="shared" si="63"/>
        <v>0</v>
      </c>
      <c r="H419" s="41">
        <f t="shared" si="64"/>
        <v>1425</v>
      </c>
      <c r="I419" s="41">
        <f t="shared" si="65"/>
        <v>-1425</v>
      </c>
      <c r="J419" s="41">
        <f t="shared" si="68"/>
        <v>0</v>
      </c>
      <c r="K419" s="41">
        <f t="shared" si="70"/>
        <v>0</v>
      </c>
      <c r="L419" s="14"/>
    </row>
    <row r="420" spans="1:12" x14ac:dyDescent="0.2">
      <c r="A420" s="39">
        <f>IF(Values_Entered,A419+1,"")</f>
        <v>402</v>
      </c>
      <c r="B420" s="40">
        <f t="shared" si="61"/>
        <v>55732</v>
      </c>
      <c r="C420" s="41">
        <f t="shared" si="66"/>
        <v>0</v>
      </c>
      <c r="D420" s="41">
        <f t="shared" si="62"/>
        <v>4659.5735099457142</v>
      </c>
      <c r="E420" s="42">
        <f t="shared" si="69"/>
        <v>451000</v>
      </c>
      <c r="F420" s="43">
        <f t="shared" si="67"/>
        <v>-451000</v>
      </c>
      <c r="G420" s="41">
        <f t="shared" si="63"/>
        <v>0</v>
      </c>
      <c r="H420" s="41">
        <f t="shared" si="64"/>
        <v>1428.1666666666667</v>
      </c>
      <c r="I420" s="41">
        <f t="shared" si="65"/>
        <v>-1428.1666666666667</v>
      </c>
      <c r="J420" s="41">
        <f t="shared" si="68"/>
        <v>0</v>
      </c>
      <c r="K420" s="41">
        <f t="shared" si="70"/>
        <v>0</v>
      </c>
      <c r="L420" s="14"/>
    </row>
    <row r="421" spans="1:12" x14ac:dyDescent="0.2">
      <c r="A421" s="39">
        <f>IF(Values_Entered,A420+1,"")</f>
        <v>403</v>
      </c>
      <c r="B421" s="40">
        <f t="shared" si="61"/>
        <v>55763</v>
      </c>
      <c r="C421" s="41">
        <f t="shared" si="66"/>
        <v>0</v>
      </c>
      <c r="D421" s="41">
        <f t="shared" si="62"/>
        <v>4659.5735099457142</v>
      </c>
      <c r="E421" s="42">
        <f t="shared" si="69"/>
        <v>452000</v>
      </c>
      <c r="F421" s="43">
        <f t="shared" si="67"/>
        <v>-452000</v>
      </c>
      <c r="G421" s="41">
        <f t="shared" si="63"/>
        <v>0</v>
      </c>
      <c r="H421" s="41">
        <f t="shared" si="64"/>
        <v>1431.3333333333333</v>
      </c>
      <c r="I421" s="41">
        <f t="shared" si="65"/>
        <v>-1431.3333333333333</v>
      </c>
      <c r="J421" s="41">
        <f t="shared" si="68"/>
        <v>0</v>
      </c>
      <c r="K421" s="41">
        <f t="shared" si="70"/>
        <v>0</v>
      </c>
      <c r="L421" s="14"/>
    </row>
    <row r="422" spans="1:12" x14ac:dyDescent="0.2">
      <c r="A422" s="39">
        <f>IF(Values_Entered,A421+1,"")</f>
        <v>404</v>
      </c>
      <c r="B422" s="40">
        <f t="shared" si="61"/>
        <v>55793</v>
      </c>
      <c r="C422" s="41">
        <f t="shared" si="66"/>
        <v>0</v>
      </c>
      <c r="D422" s="41">
        <f t="shared" si="62"/>
        <v>4659.5735099457142</v>
      </c>
      <c r="E422" s="42">
        <f t="shared" si="69"/>
        <v>453000</v>
      </c>
      <c r="F422" s="43">
        <f t="shared" si="67"/>
        <v>-453000</v>
      </c>
      <c r="G422" s="41">
        <f t="shared" si="63"/>
        <v>0</v>
      </c>
      <c r="H422" s="41">
        <f t="shared" si="64"/>
        <v>1434.5</v>
      </c>
      <c r="I422" s="41">
        <f t="shared" si="65"/>
        <v>-1434.5</v>
      </c>
      <c r="J422" s="41">
        <f t="shared" si="68"/>
        <v>0</v>
      </c>
      <c r="K422" s="41">
        <f t="shared" si="70"/>
        <v>0</v>
      </c>
      <c r="L422" s="14"/>
    </row>
    <row r="423" spans="1:12" x14ac:dyDescent="0.2">
      <c r="A423" s="39">
        <f>IF(Values_Entered,A422+1,"")</f>
        <v>405</v>
      </c>
      <c r="B423" s="40">
        <f t="shared" si="61"/>
        <v>55824</v>
      </c>
      <c r="C423" s="41">
        <f t="shared" si="66"/>
        <v>0</v>
      </c>
      <c r="D423" s="41">
        <f t="shared" si="62"/>
        <v>4659.5735099457142</v>
      </c>
      <c r="E423" s="42">
        <f t="shared" si="69"/>
        <v>454000</v>
      </c>
      <c r="F423" s="43">
        <f t="shared" si="67"/>
        <v>-454000</v>
      </c>
      <c r="G423" s="41">
        <f t="shared" si="63"/>
        <v>0</v>
      </c>
      <c r="H423" s="41">
        <f t="shared" si="64"/>
        <v>1437.6666666666667</v>
      </c>
      <c r="I423" s="41">
        <f t="shared" si="65"/>
        <v>-1437.6666666666667</v>
      </c>
      <c r="J423" s="41">
        <f t="shared" si="68"/>
        <v>0</v>
      </c>
      <c r="K423" s="41">
        <f t="shared" si="70"/>
        <v>0</v>
      </c>
      <c r="L423" s="14"/>
    </row>
    <row r="424" spans="1:12" x14ac:dyDescent="0.2">
      <c r="A424" s="39">
        <f>IF(Values_Entered,A423+1,"")</f>
        <v>406</v>
      </c>
      <c r="B424" s="40">
        <f t="shared" si="61"/>
        <v>55854</v>
      </c>
      <c r="C424" s="41">
        <f t="shared" si="66"/>
        <v>0</v>
      </c>
      <c r="D424" s="41">
        <f t="shared" si="62"/>
        <v>4659.5735099457142</v>
      </c>
      <c r="E424" s="42">
        <f t="shared" si="69"/>
        <v>455000</v>
      </c>
      <c r="F424" s="43">
        <f t="shared" si="67"/>
        <v>-455000</v>
      </c>
      <c r="G424" s="41">
        <f t="shared" si="63"/>
        <v>0</v>
      </c>
      <c r="H424" s="41">
        <f t="shared" si="64"/>
        <v>1440.8333333333333</v>
      </c>
      <c r="I424" s="41">
        <f t="shared" si="65"/>
        <v>-1440.8333333333333</v>
      </c>
      <c r="J424" s="41">
        <f t="shared" si="68"/>
        <v>0</v>
      </c>
      <c r="K424" s="41">
        <f t="shared" si="70"/>
        <v>0</v>
      </c>
      <c r="L424" s="14"/>
    </row>
    <row r="425" spans="1:12" x14ac:dyDescent="0.2">
      <c r="A425" s="39">
        <f>IF(Values_Entered,A424+1,"")</f>
        <v>407</v>
      </c>
      <c r="B425" s="40">
        <f t="shared" si="61"/>
        <v>55885</v>
      </c>
      <c r="C425" s="41">
        <f t="shared" si="66"/>
        <v>0</v>
      </c>
      <c r="D425" s="41">
        <f t="shared" si="62"/>
        <v>4659.5735099457142</v>
      </c>
      <c r="E425" s="42">
        <f t="shared" si="69"/>
        <v>456000</v>
      </c>
      <c r="F425" s="43">
        <f t="shared" si="67"/>
        <v>-456000</v>
      </c>
      <c r="G425" s="41">
        <f t="shared" si="63"/>
        <v>0</v>
      </c>
      <c r="H425" s="41">
        <f t="shared" si="64"/>
        <v>1444</v>
      </c>
      <c r="I425" s="41">
        <f t="shared" si="65"/>
        <v>-1444</v>
      </c>
      <c r="J425" s="41">
        <f t="shared" si="68"/>
        <v>0</v>
      </c>
      <c r="K425" s="41">
        <f t="shared" si="70"/>
        <v>0</v>
      </c>
      <c r="L425" s="14"/>
    </row>
    <row r="426" spans="1:12" x14ac:dyDescent="0.2">
      <c r="A426" s="39">
        <f>IF(Values_Entered,A425+1,"")</f>
        <v>408</v>
      </c>
      <c r="B426" s="40">
        <f t="shared" si="61"/>
        <v>55916</v>
      </c>
      <c r="C426" s="41">
        <f t="shared" si="66"/>
        <v>0</v>
      </c>
      <c r="D426" s="41">
        <f t="shared" si="62"/>
        <v>4659.5735099457142</v>
      </c>
      <c r="E426" s="42">
        <f t="shared" si="69"/>
        <v>457000</v>
      </c>
      <c r="F426" s="43">
        <f t="shared" si="67"/>
        <v>-457000</v>
      </c>
      <c r="G426" s="41">
        <f t="shared" si="63"/>
        <v>0</v>
      </c>
      <c r="H426" s="41">
        <f t="shared" si="64"/>
        <v>1447.1666666666667</v>
      </c>
      <c r="I426" s="41">
        <f t="shared" si="65"/>
        <v>-1447.1666666666667</v>
      </c>
      <c r="J426" s="41">
        <f t="shared" si="68"/>
        <v>0</v>
      </c>
      <c r="K426" s="41">
        <f t="shared" si="70"/>
        <v>0</v>
      </c>
      <c r="L426" s="14"/>
    </row>
    <row r="427" spans="1:12" x14ac:dyDescent="0.2">
      <c r="A427" s="39">
        <f>IF(Values_Entered,A426+1,"")</f>
        <v>409</v>
      </c>
      <c r="B427" s="40">
        <f t="shared" si="61"/>
        <v>55944</v>
      </c>
      <c r="C427" s="41">
        <f t="shared" si="66"/>
        <v>0</v>
      </c>
      <c r="D427" s="41">
        <f t="shared" si="62"/>
        <v>4659.5735099457142</v>
      </c>
      <c r="E427" s="42">
        <f t="shared" si="69"/>
        <v>458000</v>
      </c>
      <c r="F427" s="43">
        <f t="shared" si="67"/>
        <v>-458000</v>
      </c>
      <c r="G427" s="41">
        <f t="shared" si="63"/>
        <v>0</v>
      </c>
      <c r="H427" s="41">
        <f t="shared" si="64"/>
        <v>1450.3333333333333</v>
      </c>
      <c r="I427" s="41">
        <f t="shared" si="65"/>
        <v>-1450.3333333333333</v>
      </c>
      <c r="J427" s="41">
        <f t="shared" si="68"/>
        <v>0</v>
      </c>
      <c r="K427" s="41">
        <f t="shared" si="70"/>
        <v>0</v>
      </c>
      <c r="L427" s="14"/>
    </row>
    <row r="428" spans="1:12" x14ac:dyDescent="0.2">
      <c r="A428" s="39">
        <f>IF(Values_Entered,A427+1,"")</f>
        <v>410</v>
      </c>
      <c r="B428" s="40">
        <f t="shared" si="61"/>
        <v>55975</v>
      </c>
      <c r="C428" s="41">
        <f t="shared" si="66"/>
        <v>0</v>
      </c>
      <c r="D428" s="41">
        <f t="shared" si="62"/>
        <v>4659.5735099457142</v>
      </c>
      <c r="E428" s="42">
        <f t="shared" si="69"/>
        <v>459000</v>
      </c>
      <c r="F428" s="43">
        <f t="shared" si="67"/>
        <v>-459000</v>
      </c>
      <c r="G428" s="41">
        <f t="shared" si="63"/>
        <v>0</v>
      </c>
      <c r="H428" s="41">
        <f t="shared" si="64"/>
        <v>1453.5</v>
      </c>
      <c r="I428" s="41">
        <f t="shared" si="65"/>
        <v>-1453.5</v>
      </c>
      <c r="J428" s="41">
        <f t="shared" si="68"/>
        <v>0</v>
      </c>
      <c r="K428" s="41">
        <f t="shared" si="70"/>
        <v>0</v>
      </c>
      <c r="L428" s="14"/>
    </row>
    <row r="429" spans="1:12" x14ac:dyDescent="0.2">
      <c r="A429" s="39">
        <f>IF(Values_Entered,A428+1,"")</f>
        <v>411</v>
      </c>
      <c r="B429" s="40">
        <f t="shared" si="61"/>
        <v>56005</v>
      </c>
      <c r="C429" s="41">
        <f t="shared" si="66"/>
        <v>0</v>
      </c>
      <c r="D429" s="41">
        <f t="shared" si="62"/>
        <v>4659.5735099457142</v>
      </c>
      <c r="E429" s="42">
        <f t="shared" si="69"/>
        <v>460000</v>
      </c>
      <c r="F429" s="43">
        <f t="shared" si="67"/>
        <v>-460000</v>
      </c>
      <c r="G429" s="41">
        <f t="shared" si="63"/>
        <v>0</v>
      </c>
      <c r="H429" s="41">
        <f t="shared" si="64"/>
        <v>1456.6666666666667</v>
      </c>
      <c r="I429" s="41">
        <f t="shared" si="65"/>
        <v>-1456.6666666666667</v>
      </c>
      <c r="J429" s="41">
        <f t="shared" si="68"/>
        <v>0</v>
      </c>
      <c r="K429" s="41">
        <f t="shared" si="70"/>
        <v>0</v>
      </c>
      <c r="L429" s="14"/>
    </row>
    <row r="430" spans="1:12" x14ac:dyDescent="0.2">
      <c r="A430" s="39">
        <f>IF(Values_Entered,A429+1,"")</f>
        <v>412</v>
      </c>
      <c r="B430" s="40">
        <f t="shared" si="61"/>
        <v>56036</v>
      </c>
      <c r="C430" s="41">
        <f t="shared" si="66"/>
        <v>0</v>
      </c>
      <c r="D430" s="41">
        <f t="shared" si="62"/>
        <v>4659.5735099457142</v>
      </c>
      <c r="E430" s="42">
        <f t="shared" si="69"/>
        <v>461000</v>
      </c>
      <c r="F430" s="43">
        <f t="shared" si="67"/>
        <v>-461000</v>
      </c>
      <c r="G430" s="41">
        <f t="shared" si="63"/>
        <v>0</v>
      </c>
      <c r="H430" s="41">
        <f t="shared" si="64"/>
        <v>1459.8333333333333</v>
      </c>
      <c r="I430" s="41">
        <f t="shared" si="65"/>
        <v>-1459.8333333333333</v>
      </c>
      <c r="J430" s="41">
        <f t="shared" si="68"/>
        <v>0</v>
      </c>
      <c r="K430" s="41">
        <f t="shared" si="70"/>
        <v>0</v>
      </c>
      <c r="L430" s="14"/>
    </row>
    <row r="431" spans="1:12" x14ac:dyDescent="0.2">
      <c r="A431" s="39">
        <f>IF(Values_Entered,A430+1,"")</f>
        <v>413</v>
      </c>
      <c r="B431" s="40">
        <f t="shared" si="61"/>
        <v>56066</v>
      </c>
      <c r="C431" s="41">
        <f t="shared" si="66"/>
        <v>0</v>
      </c>
      <c r="D431" s="41">
        <f t="shared" si="62"/>
        <v>4659.5735099457142</v>
      </c>
      <c r="E431" s="42">
        <f t="shared" si="69"/>
        <v>462000</v>
      </c>
      <c r="F431" s="43">
        <f t="shared" si="67"/>
        <v>-462000</v>
      </c>
      <c r="G431" s="41">
        <f t="shared" si="63"/>
        <v>0</v>
      </c>
      <c r="H431" s="41">
        <f t="shared" si="64"/>
        <v>1463</v>
      </c>
      <c r="I431" s="41">
        <f t="shared" si="65"/>
        <v>-1463</v>
      </c>
      <c r="J431" s="41">
        <f t="shared" si="68"/>
        <v>0</v>
      </c>
      <c r="K431" s="41">
        <f t="shared" si="70"/>
        <v>0</v>
      </c>
      <c r="L431" s="14"/>
    </row>
    <row r="432" spans="1:12" x14ac:dyDescent="0.2">
      <c r="A432" s="39">
        <f>IF(Values_Entered,A431+1,"")</f>
        <v>414</v>
      </c>
      <c r="B432" s="40">
        <f t="shared" si="61"/>
        <v>56097</v>
      </c>
      <c r="C432" s="41">
        <f t="shared" si="66"/>
        <v>0</v>
      </c>
      <c r="D432" s="41">
        <f t="shared" si="62"/>
        <v>4659.5735099457142</v>
      </c>
      <c r="E432" s="42">
        <f t="shared" si="69"/>
        <v>463000</v>
      </c>
      <c r="F432" s="43">
        <f t="shared" si="67"/>
        <v>-463000</v>
      </c>
      <c r="G432" s="41">
        <f t="shared" si="63"/>
        <v>0</v>
      </c>
      <c r="H432" s="41">
        <f t="shared" si="64"/>
        <v>1466.1666666666667</v>
      </c>
      <c r="I432" s="41">
        <f t="shared" si="65"/>
        <v>-1466.1666666666667</v>
      </c>
      <c r="J432" s="41">
        <f t="shared" si="68"/>
        <v>0</v>
      </c>
      <c r="K432" s="41">
        <f t="shared" si="70"/>
        <v>0</v>
      </c>
      <c r="L432" s="14"/>
    </row>
    <row r="433" spans="1:12" x14ac:dyDescent="0.2">
      <c r="A433" s="39">
        <f>IF(Values_Entered,A432+1,"")</f>
        <v>415</v>
      </c>
      <c r="B433" s="40">
        <f t="shared" si="61"/>
        <v>56128</v>
      </c>
      <c r="C433" s="41">
        <f t="shared" si="66"/>
        <v>0</v>
      </c>
      <c r="D433" s="41">
        <f t="shared" si="62"/>
        <v>4659.5735099457142</v>
      </c>
      <c r="E433" s="42">
        <f t="shared" si="69"/>
        <v>464000</v>
      </c>
      <c r="F433" s="43">
        <f t="shared" si="67"/>
        <v>-464000</v>
      </c>
      <c r="G433" s="41">
        <f t="shared" si="63"/>
        <v>0</v>
      </c>
      <c r="H433" s="41">
        <f t="shared" si="64"/>
        <v>1469.3333333333333</v>
      </c>
      <c r="I433" s="41">
        <f t="shared" si="65"/>
        <v>-1469.3333333333333</v>
      </c>
      <c r="J433" s="41">
        <f t="shared" si="68"/>
        <v>0</v>
      </c>
      <c r="K433" s="41">
        <f t="shared" si="70"/>
        <v>0</v>
      </c>
      <c r="L433" s="14"/>
    </row>
    <row r="434" spans="1:12" x14ac:dyDescent="0.2">
      <c r="A434" s="39">
        <f>IF(Values_Entered,A433+1,"")</f>
        <v>416</v>
      </c>
      <c r="B434" s="40">
        <f t="shared" si="61"/>
        <v>56158</v>
      </c>
      <c r="C434" s="41">
        <f t="shared" si="66"/>
        <v>0</v>
      </c>
      <c r="D434" s="41">
        <f t="shared" si="62"/>
        <v>4659.5735099457142</v>
      </c>
      <c r="E434" s="42">
        <f t="shared" si="69"/>
        <v>465000</v>
      </c>
      <c r="F434" s="43">
        <f t="shared" si="67"/>
        <v>-465000</v>
      </c>
      <c r="G434" s="41">
        <f t="shared" si="63"/>
        <v>0</v>
      </c>
      <c r="H434" s="41">
        <f t="shared" si="64"/>
        <v>1472.5</v>
      </c>
      <c r="I434" s="41">
        <f t="shared" si="65"/>
        <v>-1472.5</v>
      </c>
      <c r="J434" s="41">
        <f t="shared" si="68"/>
        <v>0</v>
      </c>
      <c r="K434" s="41">
        <f t="shared" si="70"/>
        <v>0</v>
      </c>
      <c r="L434" s="14"/>
    </row>
    <row r="435" spans="1:12" x14ac:dyDescent="0.2">
      <c r="A435" s="39">
        <f>IF(Values_Entered,A434+1,"")</f>
        <v>417</v>
      </c>
      <c r="B435" s="40">
        <f t="shared" si="61"/>
        <v>56189</v>
      </c>
      <c r="C435" s="41">
        <f t="shared" si="66"/>
        <v>0</v>
      </c>
      <c r="D435" s="41">
        <f t="shared" si="62"/>
        <v>4659.5735099457142</v>
      </c>
      <c r="E435" s="42">
        <f t="shared" si="69"/>
        <v>466000</v>
      </c>
      <c r="F435" s="43">
        <f t="shared" si="67"/>
        <v>-466000</v>
      </c>
      <c r="G435" s="41">
        <f t="shared" si="63"/>
        <v>0</v>
      </c>
      <c r="H435" s="41">
        <f t="shared" si="64"/>
        <v>1475.6666666666667</v>
      </c>
      <c r="I435" s="41">
        <f t="shared" si="65"/>
        <v>-1475.6666666666667</v>
      </c>
      <c r="J435" s="41">
        <f t="shared" si="68"/>
        <v>0</v>
      </c>
      <c r="K435" s="41">
        <f t="shared" si="70"/>
        <v>0</v>
      </c>
      <c r="L435" s="14"/>
    </row>
    <row r="436" spans="1:12" x14ac:dyDescent="0.2">
      <c r="A436" s="39">
        <f>IF(Values_Entered,A435+1,"")</f>
        <v>418</v>
      </c>
      <c r="B436" s="40">
        <f t="shared" si="61"/>
        <v>56219</v>
      </c>
      <c r="C436" s="41">
        <f t="shared" si="66"/>
        <v>0</v>
      </c>
      <c r="D436" s="41">
        <f t="shared" si="62"/>
        <v>4659.5735099457142</v>
      </c>
      <c r="E436" s="42">
        <f t="shared" si="69"/>
        <v>467000</v>
      </c>
      <c r="F436" s="43">
        <f t="shared" si="67"/>
        <v>-467000</v>
      </c>
      <c r="G436" s="41">
        <f t="shared" si="63"/>
        <v>0</v>
      </c>
      <c r="H436" s="41">
        <f t="shared" si="64"/>
        <v>1478.8333333333333</v>
      </c>
      <c r="I436" s="41">
        <f t="shared" si="65"/>
        <v>-1478.8333333333333</v>
      </c>
      <c r="J436" s="41">
        <f t="shared" si="68"/>
        <v>0</v>
      </c>
      <c r="K436" s="41">
        <f t="shared" si="70"/>
        <v>0</v>
      </c>
      <c r="L436" s="14"/>
    </row>
    <row r="437" spans="1:12" x14ac:dyDescent="0.2">
      <c r="A437" s="39">
        <f>IF(Values_Entered,A436+1,"")</f>
        <v>419</v>
      </c>
      <c r="B437" s="40">
        <f t="shared" si="61"/>
        <v>56250</v>
      </c>
      <c r="C437" s="41">
        <f t="shared" si="66"/>
        <v>0</v>
      </c>
      <c r="D437" s="41">
        <f t="shared" si="62"/>
        <v>4659.5735099457142</v>
      </c>
      <c r="E437" s="42">
        <f t="shared" si="69"/>
        <v>468000</v>
      </c>
      <c r="F437" s="43">
        <f t="shared" si="67"/>
        <v>-468000</v>
      </c>
      <c r="G437" s="41">
        <f t="shared" si="63"/>
        <v>0</v>
      </c>
      <c r="H437" s="41">
        <f t="shared" si="64"/>
        <v>1482</v>
      </c>
      <c r="I437" s="41">
        <f t="shared" si="65"/>
        <v>-1482</v>
      </c>
      <c r="J437" s="41">
        <f t="shared" si="68"/>
        <v>0</v>
      </c>
      <c r="K437" s="41">
        <f t="shared" si="70"/>
        <v>0</v>
      </c>
      <c r="L437" s="14"/>
    </row>
    <row r="438" spans="1:12" x14ac:dyDescent="0.2">
      <c r="A438" s="39">
        <f>IF(Values_Entered,A437+1,"")</f>
        <v>420</v>
      </c>
      <c r="B438" s="40">
        <f t="shared" si="61"/>
        <v>56281</v>
      </c>
      <c r="C438" s="41">
        <f t="shared" si="66"/>
        <v>0</v>
      </c>
      <c r="D438" s="41">
        <f t="shared" si="62"/>
        <v>4659.5735099457142</v>
      </c>
      <c r="E438" s="42">
        <f t="shared" si="69"/>
        <v>469000</v>
      </c>
      <c r="F438" s="43">
        <f t="shared" si="67"/>
        <v>-469000</v>
      </c>
      <c r="G438" s="41">
        <f t="shared" si="63"/>
        <v>0</v>
      </c>
      <c r="H438" s="41">
        <f t="shared" si="64"/>
        <v>1485.1666666666667</v>
      </c>
      <c r="I438" s="41">
        <f t="shared" si="65"/>
        <v>-1485.1666666666667</v>
      </c>
      <c r="J438" s="41">
        <f t="shared" si="68"/>
        <v>0</v>
      </c>
      <c r="K438" s="41">
        <f t="shared" si="70"/>
        <v>0</v>
      </c>
      <c r="L438" s="14"/>
    </row>
    <row r="439" spans="1:12" x14ac:dyDescent="0.2">
      <c r="A439" s="39">
        <f>IF(Values_Entered,A438+1,"")</f>
        <v>421</v>
      </c>
      <c r="B439" s="40">
        <f t="shared" si="61"/>
        <v>56309</v>
      </c>
      <c r="C439" s="41">
        <f t="shared" si="66"/>
        <v>0</v>
      </c>
      <c r="D439" s="41">
        <f t="shared" si="62"/>
        <v>4659.5735099457142</v>
      </c>
      <c r="E439" s="42">
        <f t="shared" si="69"/>
        <v>470000</v>
      </c>
      <c r="F439" s="43">
        <f t="shared" si="67"/>
        <v>-470000</v>
      </c>
      <c r="G439" s="41">
        <f t="shared" si="63"/>
        <v>0</v>
      </c>
      <c r="H439" s="41">
        <f t="shared" si="64"/>
        <v>1488.3333333333333</v>
      </c>
      <c r="I439" s="41">
        <f t="shared" si="65"/>
        <v>-1488.3333333333333</v>
      </c>
      <c r="J439" s="41">
        <f t="shared" si="68"/>
        <v>0</v>
      </c>
      <c r="K439" s="41">
        <f t="shared" si="70"/>
        <v>0</v>
      </c>
      <c r="L439" s="14"/>
    </row>
    <row r="440" spans="1:12" x14ac:dyDescent="0.2">
      <c r="A440" s="39">
        <f>IF(Values_Entered,A439+1,"")</f>
        <v>422</v>
      </c>
      <c r="B440" s="40">
        <f t="shared" si="61"/>
        <v>56340</v>
      </c>
      <c r="C440" s="41">
        <f t="shared" si="66"/>
        <v>0</v>
      </c>
      <c r="D440" s="41">
        <f t="shared" si="62"/>
        <v>4659.5735099457142</v>
      </c>
      <c r="E440" s="42">
        <f t="shared" si="69"/>
        <v>471000</v>
      </c>
      <c r="F440" s="43">
        <f t="shared" si="67"/>
        <v>-471000</v>
      </c>
      <c r="G440" s="41">
        <f t="shared" si="63"/>
        <v>0</v>
      </c>
      <c r="H440" s="41">
        <f t="shared" si="64"/>
        <v>1491.5</v>
      </c>
      <c r="I440" s="41">
        <f t="shared" si="65"/>
        <v>-1491.5</v>
      </c>
      <c r="J440" s="41">
        <f t="shared" si="68"/>
        <v>0</v>
      </c>
      <c r="K440" s="41">
        <f t="shared" si="70"/>
        <v>0</v>
      </c>
      <c r="L440" s="14"/>
    </row>
    <row r="441" spans="1:12" x14ac:dyDescent="0.2">
      <c r="A441" s="39">
        <f>IF(Values_Entered,A440+1,"")</f>
        <v>423</v>
      </c>
      <c r="B441" s="40">
        <f t="shared" si="61"/>
        <v>56370</v>
      </c>
      <c r="C441" s="41">
        <f t="shared" si="66"/>
        <v>0</v>
      </c>
      <c r="D441" s="41">
        <f t="shared" si="62"/>
        <v>4659.5735099457142</v>
      </c>
      <c r="E441" s="42">
        <f t="shared" si="69"/>
        <v>472000</v>
      </c>
      <c r="F441" s="43">
        <f t="shared" si="67"/>
        <v>-472000</v>
      </c>
      <c r="G441" s="41">
        <f t="shared" si="63"/>
        <v>0</v>
      </c>
      <c r="H441" s="41">
        <f t="shared" si="64"/>
        <v>1494.6666666666667</v>
      </c>
      <c r="I441" s="41">
        <f t="shared" si="65"/>
        <v>-1494.6666666666667</v>
      </c>
      <c r="J441" s="41">
        <f t="shared" si="68"/>
        <v>0</v>
      </c>
      <c r="K441" s="41">
        <f t="shared" si="70"/>
        <v>0</v>
      </c>
      <c r="L441" s="14"/>
    </row>
    <row r="442" spans="1:12" x14ac:dyDescent="0.2">
      <c r="A442" s="39">
        <f>IF(Values_Entered,A441+1,"")</f>
        <v>424</v>
      </c>
      <c r="B442" s="40">
        <f t="shared" si="61"/>
        <v>56401</v>
      </c>
      <c r="C442" s="41">
        <f t="shared" si="66"/>
        <v>0</v>
      </c>
      <c r="D442" s="41">
        <f t="shared" si="62"/>
        <v>4659.5735099457142</v>
      </c>
      <c r="E442" s="42">
        <f t="shared" si="69"/>
        <v>473000</v>
      </c>
      <c r="F442" s="43">
        <f t="shared" si="67"/>
        <v>-473000</v>
      </c>
      <c r="G442" s="41">
        <f t="shared" si="63"/>
        <v>0</v>
      </c>
      <c r="H442" s="41">
        <f t="shared" si="64"/>
        <v>1497.8333333333333</v>
      </c>
      <c r="I442" s="41">
        <f t="shared" si="65"/>
        <v>-1497.8333333333333</v>
      </c>
      <c r="J442" s="41">
        <f t="shared" si="68"/>
        <v>0</v>
      </c>
      <c r="K442" s="41">
        <f t="shared" si="70"/>
        <v>0</v>
      </c>
      <c r="L442" s="14"/>
    </row>
    <row r="443" spans="1:12" x14ac:dyDescent="0.2">
      <c r="A443" s="39">
        <f>IF(Values_Entered,A442+1,"")</f>
        <v>425</v>
      </c>
      <c r="B443" s="40">
        <f t="shared" si="61"/>
        <v>56431</v>
      </c>
      <c r="C443" s="41">
        <f t="shared" si="66"/>
        <v>0</v>
      </c>
      <c r="D443" s="41">
        <f t="shared" si="62"/>
        <v>4659.5735099457142</v>
      </c>
      <c r="E443" s="42">
        <f t="shared" si="69"/>
        <v>474000</v>
      </c>
      <c r="F443" s="43">
        <f t="shared" si="67"/>
        <v>-474000</v>
      </c>
      <c r="G443" s="41">
        <f t="shared" si="63"/>
        <v>0</v>
      </c>
      <c r="H443" s="41">
        <f t="shared" si="64"/>
        <v>1501</v>
      </c>
      <c r="I443" s="41">
        <f t="shared" si="65"/>
        <v>-1501</v>
      </c>
      <c r="J443" s="41">
        <f t="shared" si="68"/>
        <v>0</v>
      </c>
      <c r="K443" s="41">
        <f t="shared" si="70"/>
        <v>0</v>
      </c>
      <c r="L443" s="14"/>
    </row>
    <row r="444" spans="1:12" x14ac:dyDescent="0.2">
      <c r="A444" s="39">
        <f>IF(Values_Entered,A443+1,"")</f>
        <v>426</v>
      </c>
      <c r="B444" s="40">
        <f t="shared" si="61"/>
        <v>56462</v>
      </c>
      <c r="C444" s="41">
        <f t="shared" si="66"/>
        <v>0</v>
      </c>
      <c r="D444" s="41">
        <f t="shared" si="62"/>
        <v>4659.5735099457142</v>
      </c>
      <c r="E444" s="42">
        <f t="shared" si="69"/>
        <v>475000</v>
      </c>
      <c r="F444" s="43">
        <f t="shared" si="67"/>
        <v>-475000</v>
      </c>
      <c r="G444" s="41">
        <f t="shared" si="63"/>
        <v>0</v>
      </c>
      <c r="H444" s="41">
        <f t="shared" si="64"/>
        <v>1504.1666666666667</v>
      </c>
      <c r="I444" s="41">
        <f t="shared" si="65"/>
        <v>-1504.1666666666667</v>
      </c>
      <c r="J444" s="41">
        <f t="shared" si="68"/>
        <v>0</v>
      </c>
      <c r="K444" s="41">
        <f t="shared" si="70"/>
        <v>0</v>
      </c>
      <c r="L444" s="14"/>
    </row>
    <row r="445" spans="1:12" x14ac:dyDescent="0.2">
      <c r="A445" s="39">
        <f>IF(Values_Entered,A444+1,"")</f>
        <v>427</v>
      </c>
      <c r="B445" s="40">
        <f t="shared" si="61"/>
        <v>56493</v>
      </c>
      <c r="C445" s="41">
        <f t="shared" si="66"/>
        <v>0</v>
      </c>
      <c r="D445" s="41">
        <f t="shared" si="62"/>
        <v>4659.5735099457142</v>
      </c>
      <c r="E445" s="42">
        <f t="shared" si="69"/>
        <v>476000</v>
      </c>
      <c r="F445" s="43">
        <f t="shared" si="67"/>
        <v>-476000</v>
      </c>
      <c r="G445" s="41">
        <f t="shared" si="63"/>
        <v>0</v>
      </c>
      <c r="H445" s="41">
        <f t="shared" si="64"/>
        <v>1507.3333333333333</v>
      </c>
      <c r="I445" s="41">
        <f t="shared" si="65"/>
        <v>-1507.3333333333333</v>
      </c>
      <c r="J445" s="41">
        <f t="shared" si="68"/>
        <v>0</v>
      </c>
      <c r="K445" s="41">
        <f t="shared" si="70"/>
        <v>0</v>
      </c>
      <c r="L445" s="14"/>
    </row>
    <row r="446" spans="1:12" x14ac:dyDescent="0.2">
      <c r="A446" s="39">
        <f>IF(Values_Entered,A445+1,"")</f>
        <v>428</v>
      </c>
      <c r="B446" s="40">
        <f t="shared" si="61"/>
        <v>56523</v>
      </c>
      <c r="C446" s="41">
        <f t="shared" si="66"/>
        <v>0</v>
      </c>
      <c r="D446" s="41">
        <f t="shared" si="62"/>
        <v>4659.5735099457142</v>
      </c>
      <c r="E446" s="42">
        <f t="shared" si="69"/>
        <v>477000</v>
      </c>
      <c r="F446" s="43">
        <f t="shared" si="67"/>
        <v>-477000</v>
      </c>
      <c r="G446" s="41">
        <f t="shared" si="63"/>
        <v>0</v>
      </c>
      <c r="H446" s="41">
        <f t="shared" si="64"/>
        <v>1510.5</v>
      </c>
      <c r="I446" s="41">
        <f t="shared" si="65"/>
        <v>-1510.5</v>
      </c>
      <c r="J446" s="41">
        <f t="shared" si="68"/>
        <v>0</v>
      </c>
      <c r="K446" s="41">
        <f t="shared" si="70"/>
        <v>0</v>
      </c>
      <c r="L446" s="14"/>
    </row>
    <row r="447" spans="1:12" x14ac:dyDescent="0.2">
      <c r="A447" s="39">
        <f>IF(Values_Entered,A446+1,"")</f>
        <v>429</v>
      </c>
      <c r="B447" s="40">
        <f t="shared" si="61"/>
        <v>56554</v>
      </c>
      <c r="C447" s="41">
        <f t="shared" si="66"/>
        <v>0</v>
      </c>
      <c r="D447" s="41">
        <f t="shared" si="62"/>
        <v>4659.5735099457142</v>
      </c>
      <c r="E447" s="42">
        <f t="shared" si="69"/>
        <v>478000</v>
      </c>
      <c r="F447" s="43">
        <f t="shared" si="67"/>
        <v>-478000</v>
      </c>
      <c r="G447" s="41">
        <f t="shared" si="63"/>
        <v>0</v>
      </c>
      <c r="H447" s="41">
        <f t="shared" si="64"/>
        <v>1513.6666666666667</v>
      </c>
      <c r="I447" s="41">
        <f t="shared" si="65"/>
        <v>-1513.6666666666667</v>
      </c>
      <c r="J447" s="41">
        <f t="shared" si="68"/>
        <v>0</v>
      </c>
      <c r="K447" s="41">
        <f t="shared" si="70"/>
        <v>0</v>
      </c>
      <c r="L447" s="14"/>
    </row>
    <row r="448" spans="1:12" x14ac:dyDescent="0.2">
      <c r="A448" s="39">
        <f>IF(Values_Entered,A447+1,"")</f>
        <v>430</v>
      </c>
      <c r="B448" s="40">
        <f t="shared" si="61"/>
        <v>56584</v>
      </c>
      <c r="C448" s="41">
        <f t="shared" si="66"/>
        <v>0</v>
      </c>
      <c r="D448" s="41">
        <f t="shared" si="62"/>
        <v>4659.5735099457142</v>
      </c>
      <c r="E448" s="42">
        <f t="shared" si="69"/>
        <v>479000</v>
      </c>
      <c r="F448" s="43">
        <f t="shared" si="67"/>
        <v>-479000</v>
      </c>
      <c r="G448" s="41">
        <f t="shared" si="63"/>
        <v>0</v>
      </c>
      <c r="H448" s="41">
        <f t="shared" si="64"/>
        <v>1516.8333333333333</v>
      </c>
      <c r="I448" s="41">
        <f t="shared" si="65"/>
        <v>-1516.8333333333333</v>
      </c>
      <c r="J448" s="41">
        <f t="shared" si="68"/>
        <v>0</v>
      </c>
      <c r="K448" s="41">
        <f t="shared" si="70"/>
        <v>0</v>
      </c>
      <c r="L448" s="14"/>
    </row>
    <row r="449" spans="1:12" x14ac:dyDescent="0.2">
      <c r="A449" s="39">
        <f>IF(Values_Entered,A448+1,"")</f>
        <v>431</v>
      </c>
      <c r="B449" s="40">
        <f t="shared" si="61"/>
        <v>56615</v>
      </c>
      <c r="C449" s="41">
        <f t="shared" si="66"/>
        <v>0</v>
      </c>
      <c r="D449" s="41">
        <f t="shared" si="62"/>
        <v>4659.5735099457142</v>
      </c>
      <c r="E449" s="42">
        <f t="shared" si="69"/>
        <v>480000</v>
      </c>
      <c r="F449" s="43">
        <f t="shared" si="67"/>
        <v>-480000</v>
      </c>
      <c r="G449" s="41">
        <f t="shared" si="63"/>
        <v>0</v>
      </c>
      <c r="H449" s="41">
        <f t="shared" si="64"/>
        <v>1520</v>
      </c>
      <c r="I449" s="41">
        <f t="shared" si="65"/>
        <v>-1520</v>
      </c>
      <c r="J449" s="41">
        <f t="shared" si="68"/>
        <v>0</v>
      </c>
      <c r="K449" s="41">
        <f t="shared" si="70"/>
        <v>0</v>
      </c>
      <c r="L449" s="14"/>
    </row>
    <row r="450" spans="1:12" x14ac:dyDescent="0.2">
      <c r="A450" s="39">
        <f>IF(Values_Entered,A449+1,"")</f>
        <v>432</v>
      </c>
      <c r="B450" s="40">
        <f t="shared" si="61"/>
        <v>56646</v>
      </c>
      <c r="C450" s="41">
        <f t="shared" si="66"/>
        <v>0</v>
      </c>
      <c r="D450" s="41">
        <f t="shared" si="62"/>
        <v>4659.5735099457142</v>
      </c>
      <c r="E450" s="42">
        <f t="shared" si="69"/>
        <v>481000</v>
      </c>
      <c r="F450" s="43">
        <f t="shared" si="67"/>
        <v>-481000</v>
      </c>
      <c r="G450" s="41">
        <f t="shared" si="63"/>
        <v>0</v>
      </c>
      <c r="H450" s="41">
        <f t="shared" si="64"/>
        <v>1523.1666666666667</v>
      </c>
      <c r="I450" s="41">
        <f t="shared" si="65"/>
        <v>-1523.1666666666667</v>
      </c>
      <c r="J450" s="41">
        <f t="shared" si="68"/>
        <v>0</v>
      </c>
      <c r="K450" s="41">
        <f t="shared" si="70"/>
        <v>0</v>
      </c>
      <c r="L450" s="14"/>
    </row>
    <row r="451" spans="1:12" x14ac:dyDescent="0.2">
      <c r="A451" s="39">
        <f>IF(Values_Entered,A450+1,"")</f>
        <v>433</v>
      </c>
      <c r="B451" s="40">
        <f t="shared" si="61"/>
        <v>56674</v>
      </c>
      <c r="C451" s="41">
        <f t="shared" si="66"/>
        <v>0</v>
      </c>
      <c r="D451" s="41">
        <f t="shared" si="62"/>
        <v>4659.5735099457142</v>
      </c>
      <c r="E451" s="42">
        <f t="shared" si="69"/>
        <v>482000</v>
      </c>
      <c r="F451" s="43">
        <f t="shared" si="67"/>
        <v>-482000</v>
      </c>
      <c r="G451" s="41">
        <f t="shared" si="63"/>
        <v>0</v>
      </c>
      <c r="H451" s="41">
        <f t="shared" si="64"/>
        <v>1526.3333333333333</v>
      </c>
      <c r="I451" s="41">
        <f t="shared" si="65"/>
        <v>-1526.3333333333333</v>
      </c>
      <c r="J451" s="41">
        <f t="shared" si="68"/>
        <v>0</v>
      </c>
      <c r="K451" s="41">
        <f t="shared" si="70"/>
        <v>0</v>
      </c>
      <c r="L451" s="14"/>
    </row>
    <row r="452" spans="1:12" x14ac:dyDescent="0.2">
      <c r="A452" s="39">
        <f>IF(Values_Entered,A451+1,"")</f>
        <v>434</v>
      </c>
      <c r="B452" s="40">
        <f t="shared" si="61"/>
        <v>56705</v>
      </c>
      <c r="C452" s="41">
        <f t="shared" si="66"/>
        <v>0</v>
      </c>
      <c r="D452" s="41">
        <f t="shared" si="62"/>
        <v>4659.5735099457142</v>
      </c>
      <c r="E452" s="42">
        <f t="shared" si="69"/>
        <v>483000</v>
      </c>
      <c r="F452" s="43">
        <f t="shared" si="67"/>
        <v>-483000</v>
      </c>
      <c r="G452" s="41">
        <f t="shared" si="63"/>
        <v>0</v>
      </c>
      <c r="H452" s="41">
        <f t="shared" si="64"/>
        <v>1529.5</v>
      </c>
      <c r="I452" s="41">
        <f t="shared" si="65"/>
        <v>-1529.5</v>
      </c>
      <c r="J452" s="41">
        <f t="shared" si="68"/>
        <v>0</v>
      </c>
      <c r="K452" s="41">
        <f t="shared" si="70"/>
        <v>0</v>
      </c>
      <c r="L452" s="14"/>
    </row>
    <row r="453" spans="1:12" x14ac:dyDescent="0.2">
      <c r="A453" s="39">
        <f>IF(Values_Entered,A452+1,"")</f>
        <v>435</v>
      </c>
      <c r="B453" s="40">
        <f t="shared" si="61"/>
        <v>56735</v>
      </c>
      <c r="C453" s="41">
        <f t="shared" si="66"/>
        <v>0</v>
      </c>
      <c r="D453" s="41">
        <f t="shared" si="62"/>
        <v>4659.5735099457142</v>
      </c>
      <c r="E453" s="42">
        <f t="shared" si="69"/>
        <v>484000</v>
      </c>
      <c r="F453" s="43">
        <f t="shared" si="67"/>
        <v>-484000</v>
      </c>
      <c r="G453" s="41">
        <f t="shared" si="63"/>
        <v>0</v>
      </c>
      <c r="H453" s="41">
        <f t="shared" si="64"/>
        <v>1532.6666666666665</v>
      </c>
      <c r="I453" s="41">
        <f t="shared" si="65"/>
        <v>-1532.6666666666665</v>
      </c>
      <c r="J453" s="41">
        <f t="shared" si="68"/>
        <v>0</v>
      </c>
      <c r="K453" s="41">
        <f t="shared" si="70"/>
        <v>0</v>
      </c>
      <c r="L453" s="14"/>
    </row>
    <row r="454" spans="1:12" x14ac:dyDescent="0.2">
      <c r="A454" s="39">
        <f>IF(Values_Entered,A453+1,"")</f>
        <v>436</v>
      </c>
      <c r="B454" s="40">
        <f t="shared" si="61"/>
        <v>56766</v>
      </c>
      <c r="C454" s="41">
        <f t="shared" si="66"/>
        <v>0</v>
      </c>
      <c r="D454" s="41">
        <f t="shared" si="62"/>
        <v>4659.5735099457142</v>
      </c>
      <c r="E454" s="42">
        <f t="shared" si="69"/>
        <v>485000</v>
      </c>
      <c r="F454" s="43">
        <f t="shared" si="67"/>
        <v>-485000</v>
      </c>
      <c r="G454" s="41">
        <f t="shared" si="63"/>
        <v>0</v>
      </c>
      <c r="H454" s="41">
        <f t="shared" si="64"/>
        <v>1535.8333333333333</v>
      </c>
      <c r="I454" s="41">
        <f t="shared" si="65"/>
        <v>-1535.8333333333333</v>
      </c>
      <c r="J454" s="41">
        <f t="shared" si="68"/>
        <v>0</v>
      </c>
      <c r="K454" s="41">
        <f t="shared" si="70"/>
        <v>0</v>
      </c>
      <c r="L454" s="14"/>
    </row>
    <row r="455" spans="1:12" x14ac:dyDescent="0.2">
      <c r="A455" s="39">
        <f>IF(Values_Entered,A454+1,"")</f>
        <v>437</v>
      </c>
      <c r="B455" s="40">
        <f t="shared" si="61"/>
        <v>56796</v>
      </c>
      <c r="C455" s="41">
        <f t="shared" si="66"/>
        <v>0</v>
      </c>
      <c r="D455" s="41">
        <f t="shared" si="62"/>
        <v>4659.5735099457142</v>
      </c>
      <c r="E455" s="42">
        <f t="shared" si="69"/>
        <v>486000</v>
      </c>
      <c r="F455" s="43">
        <f t="shared" si="67"/>
        <v>-486000</v>
      </c>
      <c r="G455" s="41">
        <f t="shared" si="63"/>
        <v>0</v>
      </c>
      <c r="H455" s="41">
        <f t="shared" si="64"/>
        <v>1539</v>
      </c>
      <c r="I455" s="41">
        <f t="shared" si="65"/>
        <v>-1539</v>
      </c>
      <c r="J455" s="41">
        <f t="shared" si="68"/>
        <v>0</v>
      </c>
      <c r="K455" s="41">
        <f t="shared" si="70"/>
        <v>0</v>
      </c>
      <c r="L455" s="14"/>
    </row>
    <row r="456" spans="1:12" x14ac:dyDescent="0.2">
      <c r="A456" s="39">
        <f>IF(Values_Entered,A455+1,"")</f>
        <v>438</v>
      </c>
      <c r="B456" s="40">
        <f t="shared" si="61"/>
        <v>56827</v>
      </c>
      <c r="C456" s="41">
        <f t="shared" si="66"/>
        <v>0</v>
      </c>
      <c r="D456" s="41">
        <f t="shared" si="62"/>
        <v>4659.5735099457142</v>
      </c>
      <c r="E456" s="42">
        <f t="shared" si="69"/>
        <v>487000</v>
      </c>
      <c r="F456" s="43">
        <f t="shared" si="67"/>
        <v>-487000</v>
      </c>
      <c r="G456" s="41">
        <f t="shared" si="63"/>
        <v>0</v>
      </c>
      <c r="H456" s="41">
        <f t="shared" si="64"/>
        <v>1542.1666666666665</v>
      </c>
      <c r="I456" s="41">
        <f t="shared" si="65"/>
        <v>-1542.1666666666665</v>
      </c>
      <c r="J456" s="41">
        <f t="shared" si="68"/>
        <v>0</v>
      </c>
      <c r="K456" s="41">
        <f t="shared" si="70"/>
        <v>0</v>
      </c>
      <c r="L456" s="14"/>
    </row>
    <row r="457" spans="1:12" x14ac:dyDescent="0.2">
      <c r="A457" s="39">
        <f>IF(Values_Entered,A456+1,"")</f>
        <v>439</v>
      </c>
      <c r="B457" s="40">
        <f t="shared" si="61"/>
        <v>56858</v>
      </c>
      <c r="C457" s="41">
        <f t="shared" si="66"/>
        <v>0</v>
      </c>
      <c r="D457" s="41">
        <f t="shared" si="62"/>
        <v>4659.5735099457142</v>
      </c>
      <c r="E457" s="42">
        <f t="shared" si="69"/>
        <v>488000</v>
      </c>
      <c r="F457" s="43">
        <f t="shared" si="67"/>
        <v>-488000</v>
      </c>
      <c r="G457" s="41">
        <f t="shared" si="63"/>
        <v>0</v>
      </c>
      <c r="H457" s="41">
        <f t="shared" si="64"/>
        <v>1545.3333333333333</v>
      </c>
      <c r="I457" s="41">
        <f t="shared" si="65"/>
        <v>-1545.3333333333333</v>
      </c>
      <c r="J457" s="41">
        <f t="shared" si="68"/>
        <v>0</v>
      </c>
      <c r="K457" s="41">
        <f t="shared" si="70"/>
        <v>0</v>
      </c>
      <c r="L457" s="14"/>
    </row>
    <row r="458" spans="1:12" x14ac:dyDescent="0.2">
      <c r="A458" s="39">
        <f>IF(Values_Entered,A457+1,"")</f>
        <v>440</v>
      </c>
      <c r="B458" s="40">
        <f t="shared" si="61"/>
        <v>56888</v>
      </c>
      <c r="C458" s="41">
        <f t="shared" si="66"/>
        <v>0</v>
      </c>
      <c r="D458" s="41">
        <f t="shared" si="62"/>
        <v>4659.5735099457142</v>
      </c>
      <c r="E458" s="42">
        <f t="shared" si="69"/>
        <v>489000</v>
      </c>
      <c r="F458" s="43">
        <f t="shared" si="67"/>
        <v>-489000</v>
      </c>
      <c r="G458" s="41">
        <f t="shared" si="63"/>
        <v>0</v>
      </c>
      <c r="H458" s="41">
        <f t="shared" si="64"/>
        <v>1548.5</v>
      </c>
      <c r="I458" s="41">
        <f t="shared" si="65"/>
        <v>-1548.5</v>
      </c>
      <c r="J458" s="41">
        <f t="shared" si="68"/>
        <v>0</v>
      </c>
      <c r="K458" s="41">
        <f t="shared" si="70"/>
        <v>0</v>
      </c>
      <c r="L458" s="14"/>
    </row>
    <row r="459" spans="1:12" x14ac:dyDescent="0.2">
      <c r="A459" s="39">
        <f>IF(Values_Entered,A458+1,"")</f>
        <v>441</v>
      </c>
      <c r="B459" s="40">
        <f t="shared" si="61"/>
        <v>56919</v>
      </c>
      <c r="C459" s="41">
        <f t="shared" si="66"/>
        <v>0</v>
      </c>
      <c r="D459" s="41">
        <f t="shared" si="62"/>
        <v>4659.5735099457142</v>
      </c>
      <c r="E459" s="42">
        <f t="shared" si="69"/>
        <v>490000</v>
      </c>
      <c r="F459" s="43">
        <f t="shared" si="67"/>
        <v>-490000</v>
      </c>
      <c r="G459" s="41">
        <f t="shared" si="63"/>
        <v>0</v>
      </c>
      <c r="H459" s="41">
        <f t="shared" si="64"/>
        <v>1551.6666666666665</v>
      </c>
      <c r="I459" s="41">
        <f t="shared" si="65"/>
        <v>-1551.6666666666665</v>
      </c>
      <c r="J459" s="41">
        <f t="shared" si="68"/>
        <v>0</v>
      </c>
      <c r="K459" s="41">
        <f t="shared" si="70"/>
        <v>0</v>
      </c>
      <c r="L459" s="14"/>
    </row>
    <row r="460" spans="1:12" x14ac:dyDescent="0.2">
      <c r="A460" s="39">
        <f>IF(Values_Entered,A459+1,"")</f>
        <v>442</v>
      </c>
      <c r="B460" s="40">
        <f t="shared" si="61"/>
        <v>56949</v>
      </c>
      <c r="C460" s="41">
        <f t="shared" si="66"/>
        <v>0</v>
      </c>
      <c r="D460" s="41">
        <f t="shared" si="62"/>
        <v>4659.5735099457142</v>
      </c>
      <c r="E460" s="42">
        <f t="shared" si="69"/>
        <v>491000</v>
      </c>
      <c r="F460" s="43">
        <f t="shared" si="67"/>
        <v>-491000</v>
      </c>
      <c r="G460" s="41">
        <f t="shared" si="63"/>
        <v>0</v>
      </c>
      <c r="H460" s="41">
        <f t="shared" si="64"/>
        <v>1554.8333333333333</v>
      </c>
      <c r="I460" s="41">
        <f t="shared" si="65"/>
        <v>-1554.8333333333333</v>
      </c>
      <c r="J460" s="41">
        <f t="shared" si="68"/>
        <v>0</v>
      </c>
      <c r="K460" s="41">
        <f t="shared" si="70"/>
        <v>0</v>
      </c>
      <c r="L460" s="14"/>
    </row>
    <row r="461" spans="1:12" x14ac:dyDescent="0.2">
      <c r="A461" s="39">
        <f>IF(Values_Entered,A460+1,"")</f>
        <v>443</v>
      </c>
      <c r="B461" s="40">
        <f t="shared" si="61"/>
        <v>56980</v>
      </c>
      <c r="C461" s="41">
        <f t="shared" si="66"/>
        <v>0</v>
      </c>
      <c r="D461" s="41">
        <f t="shared" si="62"/>
        <v>4659.5735099457142</v>
      </c>
      <c r="E461" s="42">
        <f t="shared" si="69"/>
        <v>492000</v>
      </c>
      <c r="F461" s="43">
        <f t="shared" si="67"/>
        <v>-492000</v>
      </c>
      <c r="G461" s="41">
        <f t="shared" si="63"/>
        <v>0</v>
      </c>
      <c r="H461" s="41">
        <f t="shared" si="64"/>
        <v>1558</v>
      </c>
      <c r="I461" s="41">
        <f t="shared" si="65"/>
        <v>-1558</v>
      </c>
      <c r="J461" s="41">
        <f t="shared" si="68"/>
        <v>0</v>
      </c>
      <c r="K461" s="41">
        <f t="shared" si="70"/>
        <v>0</v>
      </c>
      <c r="L461" s="14"/>
    </row>
    <row r="462" spans="1:12" x14ac:dyDescent="0.2">
      <c r="A462" s="39">
        <f>IF(Values_Entered,A461+1,"")</f>
        <v>444</v>
      </c>
      <c r="B462" s="40">
        <f t="shared" si="61"/>
        <v>57011</v>
      </c>
      <c r="C462" s="41">
        <f t="shared" si="66"/>
        <v>0</v>
      </c>
      <c r="D462" s="41">
        <f t="shared" si="62"/>
        <v>4659.5735099457142</v>
      </c>
      <c r="E462" s="42">
        <f t="shared" si="69"/>
        <v>493000</v>
      </c>
      <c r="F462" s="43">
        <f t="shared" si="67"/>
        <v>-493000</v>
      </c>
      <c r="G462" s="41">
        <f t="shared" si="63"/>
        <v>0</v>
      </c>
      <c r="H462" s="41">
        <f t="shared" si="64"/>
        <v>1561.1666666666665</v>
      </c>
      <c r="I462" s="41">
        <f t="shared" si="65"/>
        <v>-1561.1666666666665</v>
      </c>
      <c r="J462" s="41">
        <f t="shared" si="68"/>
        <v>0</v>
      </c>
      <c r="K462" s="41">
        <f t="shared" si="70"/>
        <v>0</v>
      </c>
      <c r="L462" s="14"/>
    </row>
    <row r="463" spans="1:12" x14ac:dyDescent="0.2">
      <c r="A463" s="39">
        <f>IF(Values_Entered,A462+1,"")</f>
        <v>445</v>
      </c>
      <c r="B463" s="40">
        <f t="shared" si="61"/>
        <v>57040</v>
      </c>
      <c r="C463" s="41">
        <f t="shared" si="66"/>
        <v>0</v>
      </c>
      <c r="D463" s="41">
        <f t="shared" si="62"/>
        <v>4659.5735099457142</v>
      </c>
      <c r="E463" s="42">
        <f t="shared" si="69"/>
        <v>494000</v>
      </c>
      <c r="F463" s="43">
        <f t="shared" si="67"/>
        <v>-494000</v>
      </c>
      <c r="G463" s="41">
        <f t="shared" si="63"/>
        <v>0</v>
      </c>
      <c r="H463" s="41">
        <f t="shared" si="64"/>
        <v>1564.3333333333333</v>
      </c>
      <c r="I463" s="41">
        <f t="shared" si="65"/>
        <v>-1564.3333333333333</v>
      </c>
      <c r="J463" s="41">
        <f t="shared" si="68"/>
        <v>0</v>
      </c>
      <c r="K463" s="41">
        <f t="shared" si="70"/>
        <v>0</v>
      </c>
      <c r="L463" s="14"/>
    </row>
    <row r="464" spans="1:12" x14ac:dyDescent="0.2">
      <c r="A464" s="39">
        <f>IF(Values_Entered,A463+1,"")</f>
        <v>446</v>
      </c>
      <c r="B464" s="40">
        <f t="shared" si="61"/>
        <v>57071</v>
      </c>
      <c r="C464" s="41">
        <f t="shared" si="66"/>
        <v>0</v>
      </c>
      <c r="D464" s="41">
        <f t="shared" si="62"/>
        <v>4659.5735099457142</v>
      </c>
      <c r="E464" s="42">
        <f t="shared" si="69"/>
        <v>495000</v>
      </c>
      <c r="F464" s="43">
        <f t="shared" si="67"/>
        <v>-495000</v>
      </c>
      <c r="G464" s="41">
        <f t="shared" si="63"/>
        <v>0</v>
      </c>
      <c r="H464" s="41">
        <f t="shared" si="64"/>
        <v>1567.5</v>
      </c>
      <c r="I464" s="41">
        <f t="shared" si="65"/>
        <v>-1567.5</v>
      </c>
      <c r="J464" s="41">
        <f t="shared" si="68"/>
        <v>0</v>
      </c>
      <c r="K464" s="41">
        <f t="shared" si="70"/>
        <v>0</v>
      </c>
      <c r="L464" s="14"/>
    </row>
    <row r="465" spans="1:12" x14ac:dyDescent="0.2">
      <c r="A465" s="39">
        <f>IF(Values_Entered,A464+1,"")</f>
        <v>447</v>
      </c>
      <c r="B465" s="40">
        <f t="shared" si="61"/>
        <v>57101</v>
      </c>
      <c r="C465" s="41">
        <f t="shared" si="66"/>
        <v>0</v>
      </c>
      <c r="D465" s="41">
        <f t="shared" si="62"/>
        <v>4659.5735099457142</v>
      </c>
      <c r="E465" s="42">
        <f t="shared" si="69"/>
        <v>496000</v>
      </c>
      <c r="F465" s="43">
        <f t="shared" si="67"/>
        <v>-496000</v>
      </c>
      <c r="G465" s="41">
        <f t="shared" si="63"/>
        <v>0</v>
      </c>
      <c r="H465" s="41">
        <f t="shared" si="64"/>
        <v>1570.6666666666665</v>
      </c>
      <c r="I465" s="41">
        <f t="shared" si="65"/>
        <v>-1570.6666666666665</v>
      </c>
      <c r="J465" s="41">
        <f t="shared" si="68"/>
        <v>0</v>
      </c>
      <c r="K465" s="41">
        <f t="shared" si="70"/>
        <v>0</v>
      </c>
      <c r="L465" s="14"/>
    </row>
    <row r="466" spans="1:12" x14ac:dyDescent="0.2">
      <c r="A466" s="39">
        <f>IF(Values_Entered,A465+1,"")</f>
        <v>448</v>
      </c>
      <c r="B466" s="40">
        <f t="shared" si="61"/>
        <v>57132</v>
      </c>
      <c r="C466" s="41">
        <f t="shared" si="66"/>
        <v>0</v>
      </c>
      <c r="D466" s="41">
        <f t="shared" si="62"/>
        <v>4659.5735099457142</v>
      </c>
      <c r="E466" s="42">
        <f t="shared" si="69"/>
        <v>497000</v>
      </c>
      <c r="F466" s="43">
        <f t="shared" si="67"/>
        <v>-497000</v>
      </c>
      <c r="G466" s="41">
        <f t="shared" si="63"/>
        <v>0</v>
      </c>
      <c r="H466" s="41">
        <f t="shared" si="64"/>
        <v>1573.8333333333333</v>
      </c>
      <c r="I466" s="41">
        <f t="shared" si="65"/>
        <v>-1573.8333333333333</v>
      </c>
      <c r="J466" s="41">
        <f t="shared" si="68"/>
        <v>0</v>
      </c>
      <c r="K466" s="41">
        <f t="shared" si="70"/>
        <v>0</v>
      </c>
      <c r="L466" s="14"/>
    </row>
    <row r="467" spans="1:12" x14ac:dyDescent="0.2">
      <c r="A467" s="39">
        <f>IF(Values_Entered,A466+1,"")</f>
        <v>449</v>
      </c>
      <c r="B467" s="40">
        <f t="shared" ref="B467:B498" si="71">IF(Pay_Num&lt;&gt;"",DATE(YEAR(Loan_Start),MONTH(Loan_Start)+(Pay_Num)*12/Num_Pmt_Per_Year,DAY(Loan_Start)),"")</f>
        <v>57162</v>
      </c>
      <c r="C467" s="41">
        <f t="shared" si="66"/>
        <v>0</v>
      </c>
      <c r="D467" s="41">
        <f t="shared" ref="D467:D498" si="72">IF(Pay_Num&lt;&gt;"",Scheduled_Monthly_Payment,"")</f>
        <v>4659.5735099457142</v>
      </c>
      <c r="E467" s="42">
        <f t="shared" si="69"/>
        <v>498000</v>
      </c>
      <c r="F467" s="43">
        <f t="shared" si="67"/>
        <v>-498000</v>
      </c>
      <c r="G467" s="41">
        <f t="shared" ref="G467:G498" si="73">IF(AND(Pay_Num&lt;&gt;"",Sched_Pay&lt;Beg_Bal),Sched_Pay,IF(Pay_Num&lt;&gt;"",Beg_Bal,""))</f>
        <v>0</v>
      </c>
      <c r="H467" s="41">
        <f t="shared" ref="H467:H498" si="74">IF(Pay_Num&lt;&gt;"",Total_Pay-Int,"")</f>
        <v>1577</v>
      </c>
      <c r="I467" s="41">
        <f t="shared" ref="I467:I498" si="75">IF(Pay_Num&lt;&gt;"",(Beg_Bal-E467)*(Interest_Rate/Num_Pmt_Per_Year),"")</f>
        <v>-1577</v>
      </c>
      <c r="J467" s="41">
        <f t="shared" si="68"/>
        <v>0</v>
      </c>
      <c r="K467" s="41">
        <f t="shared" si="70"/>
        <v>0</v>
      </c>
      <c r="L467" s="14"/>
    </row>
    <row r="468" spans="1:12" x14ac:dyDescent="0.2">
      <c r="A468" s="39">
        <f>IF(Values_Entered,A467+1,"")</f>
        <v>450</v>
      </c>
      <c r="B468" s="40">
        <f t="shared" si="71"/>
        <v>57193</v>
      </c>
      <c r="C468" s="41">
        <f t="shared" ref="C468:C498" si="76">IF(Pay_Num&lt;&gt;"",J467,"")</f>
        <v>0</v>
      </c>
      <c r="D468" s="41">
        <f t="shared" si="72"/>
        <v>4659.5735099457142</v>
      </c>
      <c r="E468" s="42">
        <f t="shared" si="69"/>
        <v>499000</v>
      </c>
      <c r="F468" s="43">
        <f t="shared" ref="F468:F498" si="77">+C468-E468</f>
        <v>-499000</v>
      </c>
      <c r="G468" s="41">
        <f t="shared" si="73"/>
        <v>0</v>
      </c>
      <c r="H468" s="41">
        <f t="shared" si="74"/>
        <v>1580.1666666666665</v>
      </c>
      <c r="I468" s="41">
        <f t="shared" si="75"/>
        <v>-1580.1666666666665</v>
      </c>
      <c r="J468" s="41">
        <f t="shared" ref="J468:J498" si="78">IF(AND(Pay_Num&lt;&gt;"",Sched_Pay+Extra_Pay&lt;Beg_Bal),Beg_Bal-Princ,IF(Pay_Num&lt;&gt;"",0,""))</f>
        <v>0</v>
      </c>
      <c r="K468" s="41">
        <f t="shared" si="70"/>
        <v>0</v>
      </c>
      <c r="L468" s="14"/>
    </row>
    <row r="469" spans="1:12" x14ac:dyDescent="0.2">
      <c r="A469" s="39">
        <f>IF(Values_Entered,A468+1,"")</f>
        <v>451</v>
      </c>
      <c r="B469" s="40">
        <f t="shared" si="71"/>
        <v>57224</v>
      </c>
      <c r="C469" s="41">
        <f t="shared" si="76"/>
        <v>0</v>
      </c>
      <c r="D469" s="41">
        <f t="shared" si="72"/>
        <v>4659.5735099457142</v>
      </c>
      <c r="E469" s="42">
        <f t="shared" ref="E469:E498" si="79">+E468+$D$11</f>
        <v>500000</v>
      </c>
      <c r="F469" s="43">
        <f t="shared" si="77"/>
        <v>-500000</v>
      </c>
      <c r="G469" s="41">
        <f t="shared" si="73"/>
        <v>0</v>
      </c>
      <c r="H469" s="41">
        <f t="shared" si="74"/>
        <v>1583.3333333333333</v>
      </c>
      <c r="I469" s="41">
        <f t="shared" si="75"/>
        <v>-1583.3333333333333</v>
      </c>
      <c r="J469" s="41">
        <f t="shared" si="78"/>
        <v>0</v>
      </c>
      <c r="K469" s="41">
        <f t="shared" si="70"/>
        <v>0</v>
      </c>
      <c r="L469" s="14"/>
    </row>
    <row r="470" spans="1:12" x14ac:dyDescent="0.2">
      <c r="A470" s="39">
        <f>IF(Values_Entered,A469+1,"")</f>
        <v>452</v>
      </c>
      <c r="B470" s="40">
        <f t="shared" si="71"/>
        <v>57254</v>
      </c>
      <c r="C470" s="41">
        <f t="shared" si="76"/>
        <v>0</v>
      </c>
      <c r="D470" s="41">
        <f t="shared" si="72"/>
        <v>4659.5735099457142</v>
      </c>
      <c r="E470" s="42">
        <f t="shared" si="79"/>
        <v>501000</v>
      </c>
      <c r="F470" s="43">
        <f t="shared" si="77"/>
        <v>-501000</v>
      </c>
      <c r="G470" s="41">
        <f t="shared" si="73"/>
        <v>0</v>
      </c>
      <c r="H470" s="41">
        <f t="shared" si="74"/>
        <v>1586.5</v>
      </c>
      <c r="I470" s="41">
        <f t="shared" si="75"/>
        <v>-1586.5</v>
      </c>
      <c r="J470" s="41">
        <f t="shared" si="78"/>
        <v>0</v>
      </c>
      <c r="K470" s="41">
        <f t="shared" si="70"/>
        <v>0</v>
      </c>
      <c r="L470" s="14"/>
    </row>
    <row r="471" spans="1:12" x14ac:dyDescent="0.2">
      <c r="A471" s="39">
        <f>IF(Values_Entered,A470+1,"")</f>
        <v>453</v>
      </c>
      <c r="B471" s="40">
        <f t="shared" si="71"/>
        <v>57285</v>
      </c>
      <c r="C471" s="41">
        <f t="shared" si="76"/>
        <v>0</v>
      </c>
      <c r="D471" s="41">
        <f t="shared" si="72"/>
        <v>4659.5735099457142</v>
      </c>
      <c r="E471" s="42">
        <f t="shared" si="79"/>
        <v>502000</v>
      </c>
      <c r="F471" s="43">
        <f t="shared" si="77"/>
        <v>-502000</v>
      </c>
      <c r="G471" s="41">
        <f t="shared" si="73"/>
        <v>0</v>
      </c>
      <c r="H471" s="41">
        <f t="shared" si="74"/>
        <v>1589.6666666666665</v>
      </c>
      <c r="I471" s="41">
        <f t="shared" si="75"/>
        <v>-1589.6666666666665</v>
      </c>
      <c r="J471" s="41">
        <f t="shared" si="78"/>
        <v>0</v>
      </c>
      <c r="K471" s="41">
        <f t="shared" si="70"/>
        <v>0</v>
      </c>
      <c r="L471" s="14"/>
    </row>
    <row r="472" spans="1:12" x14ac:dyDescent="0.2">
      <c r="A472" s="39">
        <f>IF(Values_Entered,A471+1,"")</f>
        <v>454</v>
      </c>
      <c r="B472" s="40">
        <f t="shared" si="71"/>
        <v>57315</v>
      </c>
      <c r="C472" s="41">
        <f t="shared" si="76"/>
        <v>0</v>
      </c>
      <c r="D472" s="41">
        <f t="shared" si="72"/>
        <v>4659.5735099457142</v>
      </c>
      <c r="E472" s="42">
        <f t="shared" si="79"/>
        <v>503000</v>
      </c>
      <c r="F472" s="43">
        <f t="shared" si="77"/>
        <v>-503000</v>
      </c>
      <c r="G472" s="41">
        <f t="shared" si="73"/>
        <v>0</v>
      </c>
      <c r="H472" s="41">
        <f t="shared" si="74"/>
        <v>1592.8333333333333</v>
      </c>
      <c r="I472" s="41">
        <f t="shared" si="75"/>
        <v>-1592.8333333333333</v>
      </c>
      <c r="J472" s="41">
        <f t="shared" si="78"/>
        <v>0</v>
      </c>
      <c r="K472" s="41">
        <f t="shared" ref="K472:K498" si="80">IF(I472&lt;0,0,+K471+I472)</f>
        <v>0</v>
      </c>
      <c r="L472" s="14"/>
    </row>
    <row r="473" spans="1:12" x14ac:dyDescent="0.2">
      <c r="A473" s="39">
        <f>IF(Values_Entered,A472+1,"")</f>
        <v>455</v>
      </c>
      <c r="B473" s="40">
        <f t="shared" si="71"/>
        <v>57346</v>
      </c>
      <c r="C473" s="41">
        <f t="shared" si="76"/>
        <v>0</v>
      </c>
      <c r="D473" s="41">
        <f t="shared" si="72"/>
        <v>4659.5735099457142</v>
      </c>
      <c r="E473" s="42">
        <f t="shared" si="79"/>
        <v>504000</v>
      </c>
      <c r="F473" s="43">
        <f t="shared" si="77"/>
        <v>-504000</v>
      </c>
      <c r="G473" s="41">
        <f t="shared" si="73"/>
        <v>0</v>
      </c>
      <c r="H473" s="41">
        <f t="shared" si="74"/>
        <v>1596</v>
      </c>
      <c r="I473" s="41">
        <f t="shared" si="75"/>
        <v>-1596</v>
      </c>
      <c r="J473" s="41">
        <f t="shared" si="78"/>
        <v>0</v>
      </c>
      <c r="K473" s="41">
        <f t="shared" si="80"/>
        <v>0</v>
      </c>
      <c r="L473" s="14"/>
    </row>
    <row r="474" spans="1:12" x14ac:dyDescent="0.2">
      <c r="A474" s="39">
        <f>IF(Values_Entered,A473+1,"")</f>
        <v>456</v>
      </c>
      <c r="B474" s="40">
        <f t="shared" si="71"/>
        <v>57377</v>
      </c>
      <c r="C474" s="41">
        <f t="shared" si="76"/>
        <v>0</v>
      </c>
      <c r="D474" s="41">
        <f t="shared" si="72"/>
        <v>4659.5735099457142</v>
      </c>
      <c r="E474" s="42">
        <f t="shared" si="79"/>
        <v>505000</v>
      </c>
      <c r="F474" s="43">
        <f t="shared" si="77"/>
        <v>-505000</v>
      </c>
      <c r="G474" s="41">
        <f t="shared" si="73"/>
        <v>0</v>
      </c>
      <c r="H474" s="41">
        <f t="shared" si="74"/>
        <v>1599.1666666666665</v>
      </c>
      <c r="I474" s="41">
        <f t="shared" si="75"/>
        <v>-1599.1666666666665</v>
      </c>
      <c r="J474" s="41">
        <f t="shared" si="78"/>
        <v>0</v>
      </c>
      <c r="K474" s="41">
        <f t="shared" si="80"/>
        <v>0</v>
      </c>
      <c r="L474" s="14"/>
    </row>
    <row r="475" spans="1:12" x14ac:dyDescent="0.2">
      <c r="A475" s="39">
        <f>IF(Values_Entered,A474+1,"")</f>
        <v>457</v>
      </c>
      <c r="B475" s="40">
        <f t="shared" si="71"/>
        <v>57405</v>
      </c>
      <c r="C475" s="41">
        <f t="shared" si="76"/>
        <v>0</v>
      </c>
      <c r="D475" s="41">
        <f t="shared" si="72"/>
        <v>4659.5735099457142</v>
      </c>
      <c r="E475" s="42">
        <f t="shared" si="79"/>
        <v>506000</v>
      </c>
      <c r="F475" s="43">
        <f t="shared" si="77"/>
        <v>-506000</v>
      </c>
      <c r="G475" s="41">
        <f t="shared" si="73"/>
        <v>0</v>
      </c>
      <c r="H475" s="41">
        <f t="shared" si="74"/>
        <v>1602.3333333333333</v>
      </c>
      <c r="I475" s="41">
        <f t="shared" si="75"/>
        <v>-1602.3333333333333</v>
      </c>
      <c r="J475" s="41">
        <f t="shared" si="78"/>
        <v>0</v>
      </c>
      <c r="K475" s="41">
        <f t="shared" si="80"/>
        <v>0</v>
      </c>
      <c r="L475" s="14"/>
    </row>
    <row r="476" spans="1:12" x14ac:dyDescent="0.2">
      <c r="A476" s="39">
        <f>IF(Values_Entered,A475+1,"")</f>
        <v>458</v>
      </c>
      <c r="B476" s="40">
        <f t="shared" si="71"/>
        <v>57436</v>
      </c>
      <c r="C476" s="41">
        <f t="shared" si="76"/>
        <v>0</v>
      </c>
      <c r="D476" s="41">
        <f t="shared" si="72"/>
        <v>4659.5735099457142</v>
      </c>
      <c r="E476" s="42">
        <f t="shared" si="79"/>
        <v>507000</v>
      </c>
      <c r="F476" s="43">
        <f t="shared" si="77"/>
        <v>-507000</v>
      </c>
      <c r="G476" s="41">
        <f t="shared" si="73"/>
        <v>0</v>
      </c>
      <c r="H476" s="41">
        <f t="shared" si="74"/>
        <v>1605.5</v>
      </c>
      <c r="I476" s="41">
        <f t="shared" si="75"/>
        <v>-1605.5</v>
      </c>
      <c r="J476" s="41">
        <f t="shared" si="78"/>
        <v>0</v>
      </c>
      <c r="K476" s="41">
        <f t="shared" si="80"/>
        <v>0</v>
      </c>
      <c r="L476" s="14"/>
    </row>
    <row r="477" spans="1:12" x14ac:dyDescent="0.2">
      <c r="A477" s="39">
        <f>IF(Values_Entered,A476+1,"")</f>
        <v>459</v>
      </c>
      <c r="B477" s="40">
        <f t="shared" si="71"/>
        <v>57466</v>
      </c>
      <c r="C477" s="41">
        <f t="shared" si="76"/>
        <v>0</v>
      </c>
      <c r="D477" s="41">
        <f t="shared" si="72"/>
        <v>4659.5735099457142</v>
      </c>
      <c r="E477" s="42">
        <f t="shared" si="79"/>
        <v>508000</v>
      </c>
      <c r="F477" s="43">
        <f t="shared" si="77"/>
        <v>-508000</v>
      </c>
      <c r="G477" s="41">
        <f t="shared" si="73"/>
        <v>0</v>
      </c>
      <c r="H477" s="41">
        <f t="shared" si="74"/>
        <v>1608.6666666666665</v>
      </c>
      <c r="I477" s="41">
        <f t="shared" si="75"/>
        <v>-1608.6666666666665</v>
      </c>
      <c r="J477" s="41">
        <f t="shared" si="78"/>
        <v>0</v>
      </c>
      <c r="K477" s="41">
        <f t="shared" si="80"/>
        <v>0</v>
      </c>
      <c r="L477" s="14"/>
    </row>
    <row r="478" spans="1:12" x14ac:dyDescent="0.2">
      <c r="A478" s="39">
        <f>IF(Values_Entered,A477+1,"")</f>
        <v>460</v>
      </c>
      <c r="B478" s="40">
        <f t="shared" si="71"/>
        <v>57497</v>
      </c>
      <c r="C478" s="41">
        <f t="shared" si="76"/>
        <v>0</v>
      </c>
      <c r="D478" s="41">
        <f t="shared" si="72"/>
        <v>4659.5735099457142</v>
      </c>
      <c r="E478" s="42">
        <f t="shared" si="79"/>
        <v>509000</v>
      </c>
      <c r="F478" s="43">
        <f t="shared" si="77"/>
        <v>-509000</v>
      </c>
      <c r="G478" s="41">
        <f t="shared" si="73"/>
        <v>0</v>
      </c>
      <c r="H478" s="41">
        <f t="shared" si="74"/>
        <v>1611.8333333333333</v>
      </c>
      <c r="I478" s="41">
        <f t="shared" si="75"/>
        <v>-1611.8333333333333</v>
      </c>
      <c r="J478" s="41">
        <f t="shared" si="78"/>
        <v>0</v>
      </c>
      <c r="K478" s="41">
        <f t="shared" si="80"/>
        <v>0</v>
      </c>
      <c r="L478" s="14"/>
    </row>
    <row r="479" spans="1:12" x14ac:dyDescent="0.2">
      <c r="A479" s="39">
        <f>IF(Values_Entered,A478+1,"")</f>
        <v>461</v>
      </c>
      <c r="B479" s="40">
        <f t="shared" si="71"/>
        <v>57527</v>
      </c>
      <c r="C479" s="41">
        <f t="shared" si="76"/>
        <v>0</v>
      </c>
      <c r="D479" s="41">
        <f t="shared" si="72"/>
        <v>4659.5735099457142</v>
      </c>
      <c r="E479" s="42">
        <f t="shared" si="79"/>
        <v>510000</v>
      </c>
      <c r="F479" s="43">
        <f t="shared" si="77"/>
        <v>-510000</v>
      </c>
      <c r="G479" s="41">
        <f t="shared" si="73"/>
        <v>0</v>
      </c>
      <c r="H479" s="41">
        <f t="shared" si="74"/>
        <v>1615</v>
      </c>
      <c r="I479" s="41">
        <f t="shared" si="75"/>
        <v>-1615</v>
      </c>
      <c r="J479" s="41">
        <f t="shared" si="78"/>
        <v>0</v>
      </c>
      <c r="K479" s="41">
        <f t="shared" si="80"/>
        <v>0</v>
      </c>
      <c r="L479" s="14"/>
    </row>
    <row r="480" spans="1:12" x14ac:dyDescent="0.2">
      <c r="A480" s="39">
        <f>IF(Values_Entered,A479+1,"")</f>
        <v>462</v>
      </c>
      <c r="B480" s="40">
        <f t="shared" si="71"/>
        <v>57558</v>
      </c>
      <c r="C480" s="41">
        <f t="shared" si="76"/>
        <v>0</v>
      </c>
      <c r="D480" s="41">
        <f t="shared" si="72"/>
        <v>4659.5735099457142</v>
      </c>
      <c r="E480" s="42">
        <f t="shared" si="79"/>
        <v>511000</v>
      </c>
      <c r="F480" s="43">
        <f t="shared" si="77"/>
        <v>-511000</v>
      </c>
      <c r="G480" s="41">
        <f t="shared" si="73"/>
        <v>0</v>
      </c>
      <c r="H480" s="41">
        <f t="shared" si="74"/>
        <v>1618.1666666666665</v>
      </c>
      <c r="I480" s="41">
        <f t="shared" si="75"/>
        <v>-1618.1666666666665</v>
      </c>
      <c r="J480" s="41">
        <f t="shared" si="78"/>
        <v>0</v>
      </c>
      <c r="K480" s="41">
        <f t="shared" si="80"/>
        <v>0</v>
      </c>
      <c r="L480" s="14"/>
    </row>
    <row r="481" spans="1:12" x14ac:dyDescent="0.2">
      <c r="A481" s="39">
        <f>IF(Values_Entered,A480+1,"")</f>
        <v>463</v>
      </c>
      <c r="B481" s="40">
        <f t="shared" si="71"/>
        <v>57589</v>
      </c>
      <c r="C481" s="41">
        <f t="shared" si="76"/>
        <v>0</v>
      </c>
      <c r="D481" s="41">
        <f t="shared" si="72"/>
        <v>4659.5735099457142</v>
      </c>
      <c r="E481" s="42">
        <f t="shared" si="79"/>
        <v>512000</v>
      </c>
      <c r="F481" s="43">
        <f t="shared" si="77"/>
        <v>-512000</v>
      </c>
      <c r="G481" s="41">
        <f t="shared" si="73"/>
        <v>0</v>
      </c>
      <c r="H481" s="41">
        <f t="shared" si="74"/>
        <v>1621.3333333333333</v>
      </c>
      <c r="I481" s="41">
        <f t="shared" si="75"/>
        <v>-1621.3333333333333</v>
      </c>
      <c r="J481" s="41">
        <f t="shared" si="78"/>
        <v>0</v>
      </c>
      <c r="K481" s="41">
        <f t="shared" si="80"/>
        <v>0</v>
      </c>
      <c r="L481" s="14"/>
    </row>
    <row r="482" spans="1:12" x14ac:dyDescent="0.2">
      <c r="A482" s="39">
        <f>IF(Values_Entered,A481+1,"")</f>
        <v>464</v>
      </c>
      <c r="B482" s="40">
        <f t="shared" si="71"/>
        <v>57619</v>
      </c>
      <c r="C482" s="41">
        <f t="shared" si="76"/>
        <v>0</v>
      </c>
      <c r="D482" s="41">
        <f t="shared" si="72"/>
        <v>4659.5735099457142</v>
      </c>
      <c r="E482" s="42">
        <f t="shared" si="79"/>
        <v>513000</v>
      </c>
      <c r="F482" s="43">
        <f t="shared" si="77"/>
        <v>-513000</v>
      </c>
      <c r="G482" s="41">
        <f t="shared" si="73"/>
        <v>0</v>
      </c>
      <c r="H482" s="41">
        <f t="shared" si="74"/>
        <v>1624.5</v>
      </c>
      <c r="I482" s="41">
        <f t="shared" si="75"/>
        <v>-1624.5</v>
      </c>
      <c r="J482" s="41">
        <f t="shared" si="78"/>
        <v>0</v>
      </c>
      <c r="K482" s="41">
        <f t="shared" si="80"/>
        <v>0</v>
      </c>
      <c r="L482" s="14"/>
    </row>
    <row r="483" spans="1:12" x14ac:dyDescent="0.2">
      <c r="A483" s="39">
        <f>IF(Values_Entered,A482+1,"")</f>
        <v>465</v>
      </c>
      <c r="B483" s="40">
        <f t="shared" si="71"/>
        <v>57650</v>
      </c>
      <c r="C483" s="41">
        <f t="shared" si="76"/>
        <v>0</v>
      </c>
      <c r="D483" s="41">
        <f t="shared" si="72"/>
        <v>4659.5735099457142</v>
      </c>
      <c r="E483" s="42">
        <f t="shared" si="79"/>
        <v>514000</v>
      </c>
      <c r="F483" s="43">
        <f t="shared" si="77"/>
        <v>-514000</v>
      </c>
      <c r="G483" s="41">
        <f t="shared" si="73"/>
        <v>0</v>
      </c>
      <c r="H483" s="41">
        <f t="shared" si="74"/>
        <v>1627.6666666666665</v>
      </c>
      <c r="I483" s="41">
        <f t="shared" si="75"/>
        <v>-1627.6666666666665</v>
      </c>
      <c r="J483" s="41">
        <f t="shared" si="78"/>
        <v>0</v>
      </c>
      <c r="K483" s="41">
        <f t="shared" si="80"/>
        <v>0</v>
      </c>
      <c r="L483" s="14"/>
    </row>
    <row r="484" spans="1:12" x14ac:dyDescent="0.2">
      <c r="A484" s="39">
        <f>IF(Values_Entered,A483+1,"")</f>
        <v>466</v>
      </c>
      <c r="B484" s="40">
        <f t="shared" si="71"/>
        <v>57680</v>
      </c>
      <c r="C484" s="41">
        <f t="shared" si="76"/>
        <v>0</v>
      </c>
      <c r="D484" s="41">
        <f t="shared" si="72"/>
        <v>4659.5735099457142</v>
      </c>
      <c r="E484" s="42">
        <f t="shared" si="79"/>
        <v>515000</v>
      </c>
      <c r="F484" s="43">
        <f t="shared" si="77"/>
        <v>-515000</v>
      </c>
      <c r="G484" s="41">
        <f t="shared" si="73"/>
        <v>0</v>
      </c>
      <c r="H484" s="41">
        <f t="shared" si="74"/>
        <v>1630.8333333333333</v>
      </c>
      <c r="I484" s="41">
        <f t="shared" si="75"/>
        <v>-1630.8333333333333</v>
      </c>
      <c r="J484" s="41">
        <f t="shared" si="78"/>
        <v>0</v>
      </c>
      <c r="K484" s="41">
        <f t="shared" si="80"/>
        <v>0</v>
      </c>
      <c r="L484" s="14"/>
    </row>
    <row r="485" spans="1:12" x14ac:dyDescent="0.2">
      <c r="A485" s="39">
        <f>IF(Values_Entered,A484+1,"")</f>
        <v>467</v>
      </c>
      <c r="B485" s="40">
        <f t="shared" si="71"/>
        <v>57711</v>
      </c>
      <c r="C485" s="41">
        <f t="shared" si="76"/>
        <v>0</v>
      </c>
      <c r="D485" s="41">
        <f t="shared" si="72"/>
        <v>4659.5735099457142</v>
      </c>
      <c r="E485" s="42">
        <f t="shared" si="79"/>
        <v>516000</v>
      </c>
      <c r="F485" s="43">
        <f t="shared" si="77"/>
        <v>-516000</v>
      </c>
      <c r="G485" s="41">
        <f t="shared" si="73"/>
        <v>0</v>
      </c>
      <c r="H485" s="41">
        <f t="shared" si="74"/>
        <v>1634</v>
      </c>
      <c r="I485" s="41">
        <f t="shared" si="75"/>
        <v>-1634</v>
      </c>
      <c r="J485" s="41">
        <f t="shared" si="78"/>
        <v>0</v>
      </c>
      <c r="K485" s="41">
        <f t="shared" si="80"/>
        <v>0</v>
      </c>
      <c r="L485" s="14"/>
    </row>
    <row r="486" spans="1:12" x14ac:dyDescent="0.2">
      <c r="A486" s="39">
        <f>IF(Values_Entered,A485+1,"")</f>
        <v>468</v>
      </c>
      <c r="B486" s="40">
        <f t="shared" si="71"/>
        <v>57742</v>
      </c>
      <c r="C486" s="41">
        <f t="shared" si="76"/>
        <v>0</v>
      </c>
      <c r="D486" s="41">
        <f t="shared" si="72"/>
        <v>4659.5735099457142</v>
      </c>
      <c r="E486" s="42">
        <f t="shared" si="79"/>
        <v>517000</v>
      </c>
      <c r="F486" s="43">
        <f t="shared" si="77"/>
        <v>-517000</v>
      </c>
      <c r="G486" s="41">
        <f t="shared" si="73"/>
        <v>0</v>
      </c>
      <c r="H486" s="41">
        <f t="shared" si="74"/>
        <v>1637.1666666666665</v>
      </c>
      <c r="I486" s="41">
        <f t="shared" si="75"/>
        <v>-1637.1666666666665</v>
      </c>
      <c r="J486" s="41">
        <f t="shared" si="78"/>
        <v>0</v>
      </c>
      <c r="K486" s="41">
        <f t="shared" si="80"/>
        <v>0</v>
      </c>
      <c r="L486" s="14"/>
    </row>
    <row r="487" spans="1:12" x14ac:dyDescent="0.2">
      <c r="A487" s="39">
        <f>IF(Values_Entered,A486+1,"")</f>
        <v>469</v>
      </c>
      <c r="B487" s="40">
        <f t="shared" si="71"/>
        <v>57770</v>
      </c>
      <c r="C487" s="41">
        <f t="shared" si="76"/>
        <v>0</v>
      </c>
      <c r="D487" s="41">
        <f t="shared" si="72"/>
        <v>4659.5735099457142</v>
      </c>
      <c r="E487" s="42">
        <f t="shared" si="79"/>
        <v>518000</v>
      </c>
      <c r="F487" s="43">
        <f t="shared" si="77"/>
        <v>-518000</v>
      </c>
      <c r="G487" s="41">
        <f t="shared" si="73"/>
        <v>0</v>
      </c>
      <c r="H487" s="41">
        <f t="shared" si="74"/>
        <v>1640.3333333333333</v>
      </c>
      <c r="I487" s="41">
        <f t="shared" si="75"/>
        <v>-1640.3333333333333</v>
      </c>
      <c r="J487" s="41">
        <f t="shared" si="78"/>
        <v>0</v>
      </c>
      <c r="K487" s="41">
        <f t="shared" si="80"/>
        <v>0</v>
      </c>
      <c r="L487" s="14"/>
    </row>
    <row r="488" spans="1:12" x14ac:dyDescent="0.2">
      <c r="A488" s="39">
        <f>IF(Values_Entered,A487+1,"")</f>
        <v>470</v>
      </c>
      <c r="B488" s="40">
        <f t="shared" si="71"/>
        <v>57801</v>
      </c>
      <c r="C488" s="41">
        <f t="shared" si="76"/>
        <v>0</v>
      </c>
      <c r="D488" s="41">
        <f t="shared" si="72"/>
        <v>4659.5735099457142</v>
      </c>
      <c r="E488" s="42">
        <f t="shared" si="79"/>
        <v>519000</v>
      </c>
      <c r="F488" s="43">
        <f t="shared" si="77"/>
        <v>-519000</v>
      </c>
      <c r="G488" s="41">
        <f t="shared" si="73"/>
        <v>0</v>
      </c>
      <c r="H488" s="41">
        <f t="shared" si="74"/>
        <v>1643.5</v>
      </c>
      <c r="I488" s="41">
        <f t="shared" si="75"/>
        <v>-1643.5</v>
      </c>
      <c r="J488" s="41">
        <f t="shared" si="78"/>
        <v>0</v>
      </c>
      <c r="K488" s="41">
        <f t="shared" si="80"/>
        <v>0</v>
      </c>
      <c r="L488" s="14"/>
    </row>
    <row r="489" spans="1:12" x14ac:dyDescent="0.2">
      <c r="A489" s="39">
        <f>IF(Values_Entered,A488+1,"")</f>
        <v>471</v>
      </c>
      <c r="B489" s="40">
        <f t="shared" si="71"/>
        <v>57831</v>
      </c>
      <c r="C489" s="41">
        <f t="shared" si="76"/>
        <v>0</v>
      </c>
      <c r="D489" s="41">
        <f t="shared" si="72"/>
        <v>4659.5735099457142</v>
      </c>
      <c r="E489" s="42">
        <f t="shared" si="79"/>
        <v>520000</v>
      </c>
      <c r="F489" s="43">
        <f t="shared" si="77"/>
        <v>-520000</v>
      </c>
      <c r="G489" s="41">
        <f t="shared" si="73"/>
        <v>0</v>
      </c>
      <c r="H489" s="41">
        <f t="shared" si="74"/>
        <v>1646.6666666666665</v>
      </c>
      <c r="I489" s="41">
        <f t="shared" si="75"/>
        <v>-1646.6666666666665</v>
      </c>
      <c r="J489" s="41">
        <f t="shared" si="78"/>
        <v>0</v>
      </c>
      <c r="K489" s="41">
        <f t="shared" si="80"/>
        <v>0</v>
      </c>
      <c r="L489" s="14"/>
    </row>
    <row r="490" spans="1:12" x14ac:dyDescent="0.2">
      <c r="A490" s="39">
        <f>IF(Values_Entered,A489+1,"")</f>
        <v>472</v>
      </c>
      <c r="B490" s="40">
        <f t="shared" si="71"/>
        <v>57862</v>
      </c>
      <c r="C490" s="41">
        <f t="shared" si="76"/>
        <v>0</v>
      </c>
      <c r="D490" s="41">
        <f t="shared" si="72"/>
        <v>4659.5735099457142</v>
      </c>
      <c r="E490" s="42">
        <f t="shared" si="79"/>
        <v>521000</v>
      </c>
      <c r="F490" s="43">
        <f t="shared" si="77"/>
        <v>-521000</v>
      </c>
      <c r="G490" s="41">
        <f t="shared" si="73"/>
        <v>0</v>
      </c>
      <c r="H490" s="41">
        <f t="shared" si="74"/>
        <v>1649.8333333333333</v>
      </c>
      <c r="I490" s="41">
        <f t="shared" si="75"/>
        <v>-1649.8333333333333</v>
      </c>
      <c r="J490" s="41">
        <f t="shared" si="78"/>
        <v>0</v>
      </c>
      <c r="K490" s="41">
        <f t="shared" si="80"/>
        <v>0</v>
      </c>
      <c r="L490" s="14"/>
    </row>
    <row r="491" spans="1:12" x14ac:dyDescent="0.2">
      <c r="A491" s="39">
        <f>IF(Values_Entered,A490+1,"")</f>
        <v>473</v>
      </c>
      <c r="B491" s="40">
        <f t="shared" si="71"/>
        <v>57892</v>
      </c>
      <c r="C491" s="41">
        <f t="shared" si="76"/>
        <v>0</v>
      </c>
      <c r="D491" s="41">
        <f t="shared" si="72"/>
        <v>4659.5735099457142</v>
      </c>
      <c r="E491" s="42">
        <f t="shared" si="79"/>
        <v>522000</v>
      </c>
      <c r="F491" s="43">
        <f t="shared" si="77"/>
        <v>-522000</v>
      </c>
      <c r="G491" s="41">
        <f t="shared" si="73"/>
        <v>0</v>
      </c>
      <c r="H491" s="41">
        <f t="shared" si="74"/>
        <v>1653</v>
      </c>
      <c r="I491" s="41">
        <f t="shared" si="75"/>
        <v>-1653</v>
      </c>
      <c r="J491" s="41">
        <f t="shared" si="78"/>
        <v>0</v>
      </c>
      <c r="K491" s="41">
        <f t="shared" si="80"/>
        <v>0</v>
      </c>
      <c r="L491" s="14"/>
    </row>
    <row r="492" spans="1:12" x14ac:dyDescent="0.2">
      <c r="A492" s="39">
        <f>IF(Values_Entered,A491+1,"")</f>
        <v>474</v>
      </c>
      <c r="B492" s="40">
        <f t="shared" si="71"/>
        <v>57923</v>
      </c>
      <c r="C492" s="41">
        <f t="shared" si="76"/>
        <v>0</v>
      </c>
      <c r="D492" s="41">
        <f t="shared" si="72"/>
        <v>4659.5735099457142</v>
      </c>
      <c r="E492" s="42">
        <f t="shared" si="79"/>
        <v>523000</v>
      </c>
      <c r="F492" s="43">
        <f t="shared" si="77"/>
        <v>-523000</v>
      </c>
      <c r="G492" s="41">
        <f t="shared" si="73"/>
        <v>0</v>
      </c>
      <c r="H492" s="41">
        <f t="shared" si="74"/>
        <v>1656.1666666666665</v>
      </c>
      <c r="I492" s="41">
        <f t="shared" si="75"/>
        <v>-1656.1666666666665</v>
      </c>
      <c r="J492" s="41">
        <f t="shared" si="78"/>
        <v>0</v>
      </c>
      <c r="K492" s="41">
        <f t="shared" si="80"/>
        <v>0</v>
      </c>
      <c r="L492" s="14"/>
    </row>
    <row r="493" spans="1:12" x14ac:dyDescent="0.2">
      <c r="A493" s="39">
        <f>IF(Values_Entered,A492+1,"")</f>
        <v>475</v>
      </c>
      <c r="B493" s="40">
        <f t="shared" si="71"/>
        <v>57954</v>
      </c>
      <c r="C493" s="41">
        <f t="shared" si="76"/>
        <v>0</v>
      </c>
      <c r="D493" s="41">
        <f t="shared" si="72"/>
        <v>4659.5735099457142</v>
      </c>
      <c r="E493" s="42">
        <f t="shared" si="79"/>
        <v>524000</v>
      </c>
      <c r="F493" s="43">
        <f t="shared" si="77"/>
        <v>-524000</v>
      </c>
      <c r="G493" s="41">
        <f t="shared" si="73"/>
        <v>0</v>
      </c>
      <c r="H493" s="41">
        <f t="shared" si="74"/>
        <v>1659.3333333333333</v>
      </c>
      <c r="I493" s="41">
        <f t="shared" si="75"/>
        <v>-1659.3333333333333</v>
      </c>
      <c r="J493" s="41">
        <f t="shared" si="78"/>
        <v>0</v>
      </c>
      <c r="K493" s="41">
        <f t="shared" si="80"/>
        <v>0</v>
      </c>
      <c r="L493" s="14"/>
    </row>
    <row r="494" spans="1:12" x14ac:dyDescent="0.2">
      <c r="A494" s="39">
        <f>IF(Values_Entered,A493+1,"")</f>
        <v>476</v>
      </c>
      <c r="B494" s="40">
        <f t="shared" si="71"/>
        <v>57984</v>
      </c>
      <c r="C494" s="41">
        <f t="shared" si="76"/>
        <v>0</v>
      </c>
      <c r="D494" s="41">
        <f t="shared" si="72"/>
        <v>4659.5735099457142</v>
      </c>
      <c r="E494" s="42">
        <f t="shared" si="79"/>
        <v>525000</v>
      </c>
      <c r="F494" s="43">
        <f t="shared" si="77"/>
        <v>-525000</v>
      </c>
      <c r="G494" s="41">
        <f t="shared" si="73"/>
        <v>0</v>
      </c>
      <c r="H494" s="41">
        <f t="shared" si="74"/>
        <v>1662.5</v>
      </c>
      <c r="I494" s="41">
        <f t="shared" si="75"/>
        <v>-1662.5</v>
      </c>
      <c r="J494" s="41">
        <f t="shared" si="78"/>
        <v>0</v>
      </c>
      <c r="K494" s="41">
        <f t="shared" si="80"/>
        <v>0</v>
      </c>
      <c r="L494" s="14"/>
    </row>
    <row r="495" spans="1:12" x14ac:dyDescent="0.2">
      <c r="A495" s="39">
        <f>IF(Values_Entered,A494+1,"")</f>
        <v>477</v>
      </c>
      <c r="B495" s="40">
        <f t="shared" si="71"/>
        <v>58015</v>
      </c>
      <c r="C495" s="41">
        <f t="shared" si="76"/>
        <v>0</v>
      </c>
      <c r="D495" s="41">
        <f t="shared" si="72"/>
        <v>4659.5735099457142</v>
      </c>
      <c r="E495" s="42">
        <f t="shared" si="79"/>
        <v>526000</v>
      </c>
      <c r="F495" s="43">
        <f t="shared" si="77"/>
        <v>-526000</v>
      </c>
      <c r="G495" s="41">
        <f t="shared" si="73"/>
        <v>0</v>
      </c>
      <c r="H495" s="41">
        <f t="shared" si="74"/>
        <v>1665.6666666666665</v>
      </c>
      <c r="I495" s="41">
        <f t="shared" si="75"/>
        <v>-1665.6666666666665</v>
      </c>
      <c r="J495" s="41">
        <f t="shared" si="78"/>
        <v>0</v>
      </c>
      <c r="K495" s="41">
        <f t="shared" si="80"/>
        <v>0</v>
      </c>
      <c r="L495" s="14"/>
    </row>
    <row r="496" spans="1:12" x14ac:dyDescent="0.2">
      <c r="A496" s="39">
        <f>IF(Values_Entered,A495+1,"")</f>
        <v>478</v>
      </c>
      <c r="B496" s="40">
        <f t="shared" si="71"/>
        <v>58045</v>
      </c>
      <c r="C496" s="41">
        <f t="shared" si="76"/>
        <v>0</v>
      </c>
      <c r="D496" s="41">
        <f t="shared" si="72"/>
        <v>4659.5735099457142</v>
      </c>
      <c r="E496" s="42">
        <f t="shared" si="79"/>
        <v>527000</v>
      </c>
      <c r="F496" s="43">
        <f t="shared" si="77"/>
        <v>-527000</v>
      </c>
      <c r="G496" s="41">
        <f t="shared" si="73"/>
        <v>0</v>
      </c>
      <c r="H496" s="41">
        <f t="shared" si="74"/>
        <v>1668.8333333333333</v>
      </c>
      <c r="I496" s="41">
        <f t="shared" si="75"/>
        <v>-1668.8333333333333</v>
      </c>
      <c r="J496" s="41">
        <f t="shared" si="78"/>
        <v>0</v>
      </c>
      <c r="K496" s="41">
        <f t="shared" si="80"/>
        <v>0</v>
      </c>
      <c r="L496" s="14"/>
    </row>
    <row r="497" spans="1:12" x14ac:dyDescent="0.2">
      <c r="A497" s="39">
        <f>IF(Values_Entered,A496+1,"")</f>
        <v>479</v>
      </c>
      <c r="B497" s="40">
        <f t="shared" si="71"/>
        <v>58076</v>
      </c>
      <c r="C497" s="41">
        <f t="shared" si="76"/>
        <v>0</v>
      </c>
      <c r="D497" s="41">
        <f t="shared" si="72"/>
        <v>4659.5735099457142</v>
      </c>
      <c r="E497" s="42">
        <f t="shared" si="79"/>
        <v>528000</v>
      </c>
      <c r="F497" s="43">
        <f t="shared" si="77"/>
        <v>-528000</v>
      </c>
      <c r="G497" s="41">
        <f t="shared" si="73"/>
        <v>0</v>
      </c>
      <c r="H497" s="41">
        <f t="shared" si="74"/>
        <v>1672</v>
      </c>
      <c r="I497" s="41">
        <f t="shared" si="75"/>
        <v>-1672</v>
      </c>
      <c r="J497" s="41">
        <f t="shared" si="78"/>
        <v>0</v>
      </c>
      <c r="K497" s="41">
        <f t="shared" si="80"/>
        <v>0</v>
      </c>
      <c r="L497" s="14"/>
    </row>
    <row r="498" spans="1:12" x14ac:dyDescent="0.2">
      <c r="A498" s="39">
        <f>IF(Values_Entered,A497+1,"")</f>
        <v>480</v>
      </c>
      <c r="B498" s="40">
        <f t="shared" si="71"/>
        <v>58107</v>
      </c>
      <c r="C498" s="41">
        <f t="shared" si="76"/>
        <v>0</v>
      </c>
      <c r="D498" s="41">
        <f t="shared" si="72"/>
        <v>4659.5735099457142</v>
      </c>
      <c r="E498" s="42">
        <f t="shared" si="79"/>
        <v>529000</v>
      </c>
      <c r="F498" s="43">
        <f t="shared" si="77"/>
        <v>-529000</v>
      </c>
      <c r="G498" s="41">
        <f t="shared" si="73"/>
        <v>0</v>
      </c>
      <c r="H498" s="41">
        <f t="shared" si="74"/>
        <v>1675.1666666666665</v>
      </c>
      <c r="I498" s="41">
        <f t="shared" si="75"/>
        <v>-1675.1666666666665</v>
      </c>
      <c r="J498" s="41">
        <f t="shared" si="78"/>
        <v>0</v>
      </c>
      <c r="K498" s="41">
        <f t="shared" si="80"/>
        <v>0</v>
      </c>
      <c r="L498" s="14"/>
    </row>
  </sheetData>
  <sheetProtection selectLockedCells="1"/>
  <mergeCells count="3">
    <mergeCell ref="C13:D13"/>
    <mergeCell ref="B4:D4"/>
    <mergeCell ref="I4:K4"/>
  </mergeCells>
  <conditionalFormatting sqref="A19:F498">
    <cfRule type="expression" dxfId="5" priority="1" stopIfTrue="1">
      <formula>IF(ROW(A19)&gt;Last_Row,TRUE, FALSE)</formula>
    </cfRule>
    <cfRule type="expression" dxfId="4" priority="2" stopIfTrue="1">
      <formula>IF(ROW(A19)=Last_Row,TRUE, FALSE)</formula>
    </cfRule>
    <cfRule type="expression" dxfId="3" priority="3" stopIfTrue="1">
      <formula>IF(ROW(A19)&lt;Last_Row,TRUE, FALSE)</formula>
    </cfRule>
  </conditionalFormatting>
  <conditionalFormatting sqref="G19:K498">
    <cfRule type="expression" dxfId="2" priority="4" stopIfTrue="1">
      <formula>IF(ROW(G19)&gt;Last_Row,TRUE, FALSE)</formula>
    </cfRule>
    <cfRule type="expression" dxfId="1" priority="5" stopIfTrue="1">
      <formula>IF(ROW(G19)=Last_Row,TRUE, FALSE)</formula>
    </cfRule>
    <cfRule type="expression" dxfId="0" priority="6" stopIfTrue="1">
      <formula>IF(ROW(G19)&lt;=Last_Row,TRUE, FALSE)</formula>
    </cfRule>
  </conditionalFormatting>
  <dataValidations xWindow="560" yWindow="412" count="4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:D11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30</formula2>
    </dataValidation>
    <dataValidation type="list" allowBlank="1" showInputMessage="1" showErrorMessage="1" sqref="D8">
      <formula1>"12,26"</formula1>
    </dataValidation>
  </dataValidations>
  <pageMargins left="0.5" right="0.5" top="0.5" bottom="0.5" header="0.5" footer="0.5"/>
  <pageSetup paperSize="9" scale="1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6" sqref="G46"/>
    </sheetView>
  </sheetViews>
  <sheetFormatPr defaultColWidth="9.140625" defaultRowHeight="15" x14ac:dyDescent="0.25"/>
  <cols>
    <col min="1" max="1" width="24" customWidth="1"/>
    <col min="2" max="2" width="36.42578125" bestFit="1" customWidth="1"/>
    <col min="3" max="7" width="11.42578125" customWidth="1"/>
    <col min="8" max="8" width="24" customWidth="1"/>
    <col min="9" max="9" width="26.42578125" customWidth="1"/>
  </cols>
  <sheetData>
    <row r="1" spans="1:9" ht="15.75" x14ac:dyDescent="0.25">
      <c r="A1" s="152" t="s">
        <v>132</v>
      </c>
    </row>
    <row r="3" spans="1:9" ht="15.75" x14ac:dyDescent="0.25">
      <c r="A3" s="152"/>
    </row>
    <row r="4" spans="1:9" ht="16.5" thickBot="1" x14ac:dyDescent="0.3">
      <c r="A4" s="152"/>
    </row>
    <row r="5" spans="1:9" ht="15.75" thickBot="1" x14ac:dyDescent="0.3">
      <c r="A5" s="153" t="s">
        <v>133</v>
      </c>
      <c r="B5" s="154" t="s">
        <v>134</v>
      </c>
      <c r="C5" s="155" t="s">
        <v>135</v>
      </c>
      <c r="D5" s="155" t="s">
        <v>136</v>
      </c>
      <c r="E5" s="155" t="s">
        <v>137</v>
      </c>
      <c r="F5" s="155" t="s">
        <v>138</v>
      </c>
      <c r="G5" s="156" t="s">
        <v>38</v>
      </c>
      <c r="H5" s="157" t="s">
        <v>139</v>
      </c>
      <c r="I5" s="199" t="s">
        <v>195</v>
      </c>
    </row>
    <row r="6" spans="1:9" ht="15.75" thickBot="1" x14ac:dyDescent="0.3">
      <c r="A6" s="158" t="s">
        <v>118</v>
      </c>
      <c r="B6" s="159" t="s">
        <v>118</v>
      </c>
      <c r="C6" s="160"/>
      <c r="D6" s="161"/>
      <c r="E6" s="161">
        <v>900</v>
      </c>
      <c r="F6" s="161"/>
      <c r="G6" s="162"/>
      <c r="H6" s="195">
        <f>C6*52/12+D6*26/12+E6+F6*4/12+G6/12</f>
        <v>900</v>
      </c>
      <c r="I6" s="200"/>
    </row>
    <row r="7" spans="1:9" x14ac:dyDescent="0.25">
      <c r="A7" s="223" t="s">
        <v>140</v>
      </c>
      <c r="B7" s="163" t="s">
        <v>141</v>
      </c>
      <c r="C7" s="164"/>
      <c r="D7" s="165"/>
      <c r="E7" s="165"/>
      <c r="F7" s="165"/>
      <c r="G7" s="165">
        <v>300</v>
      </c>
      <c r="H7" s="196"/>
      <c r="I7" s="200"/>
    </row>
    <row r="8" spans="1:9" x14ac:dyDescent="0.25">
      <c r="A8" s="224"/>
      <c r="B8" s="167" t="s">
        <v>142</v>
      </c>
      <c r="C8" s="168"/>
      <c r="D8" s="169"/>
      <c r="E8" s="169"/>
      <c r="F8" s="169"/>
      <c r="G8" s="169">
        <v>100</v>
      </c>
      <c r="H8" s="197"/>
      <c r="I8" s="200"/>
    </row>
    <row r="9" spans="1:9" ht="15.75" thickBot="1" x14ac:dyDescent="0.3">
      <c r="A9" s="228"/>
      <c r="B9" s="171" t="s">
        <v>143</v>
      </c>
      <c r="C9" s="172"/>
      <c r="D9" s="173"/>
      <c r="E9" s="173"/>
      <c r="F9" s="173"/>
      <c r="G9" s="173">
        <v>200</v>
      </c>
      <c r="H9" s="198">
        <f>(C7+C8+C9)*52/12+(D7+D8+D9)*26/12+E7+E8+E9+(F7+F8+F9)*4/12+(G7+G8+G9)/12</f>
        <v>50</v>
      </c>
      <c r="I9" s="200"/>
    </row>
    <row r="10" spans="1:9" x14ac:dyDescent="0.25">
      <c r="A10" s="225" t="s">
        <v>144</v>
      </c>
      <c r="B10" s="163" t="s">
        <v>145</v>
      </c>
      <c r="C10" s="164"/>
      <c r="D10" s="165"/>
      <c r="E10" s="165"/>
      <c r="F10" s="165">
        <v>100</v>
      </c>
      <c r="G10" s="166"/>
      <c r="H10" s="196"/>
      <c r="I10" s="200"/>
    </row>
    <row r="11" spans="1:9" x14ac:dyDescent="0.25">
      <c r="A11" s="226"/>
      <c r="B11" s="167" t="s">
        <v>146</v>
      </c>
      <c r="C11" s="168"/>
      <c r="D11" s="169"/>
      <c r="E11" s="169">
        <v>250</v>
      </c>
      <c r="F11" s="169"/>
      <c r="G11" s="170"/>
      <c r="H11" s="197"/>
      <c r="I11" s="200"/>
    </row>
    <row r="12" spans="1:9" ht="15.75" thickBot="1" x14ac:dyDescent="0.3">
      <c r="A12" s="227"/>
      <c r="B12" s="171" t="s">
        <v>147</v>
      </c>
      <c r="C12" s="172"/>
      <c r="D12" s="173"/>
      <c r="E12" s="173"/>
      <c r="F12" s="173"/>
      <c r="G12" s="174"/>
      <c r="H12" s="198">
        <f>(C10+C11+C12)*52/12+(D10+D11+D12)*26/12+E10+E11+E12+(F10+F11+F12)*4/12+(G10+G11+G12)/12</f>
        <v>283.33333333333331</v>
      </c>
      <c r="I12" s="200"/>
    </row>
    <row r="13" spans="1:9" ht="15.75" thickBot="1" x14ac:dyDescent="0.3">
      <c r="A13" s="175" t="s">
        <v>148</v>
      </c>
      <c r="B13" s="159" t="s">
        <v>119</v>
      </c>
      <c r="C13" s="160"/>
      <c r="D13" s="161"/>
      <c r="E13" s="161">
        <v>700</v>
      </c>
      <c r="F13" s="161"/>
      <c r="G13" s="162"/>
      <c r="H13" s="195">
        <f>C13*52/12+D13*26/12+E13+F13*4/12+G13/12</f>
        <v>700</v>
      </c>
      <c r="I13" s="200"/>
    </row>
    <row r="14" spans="1:9" x14ac:dyDescent="0.25">
      <c r="A14" s="230" t="s">
        <v>201</v>
      </c>
      <c r="B14" s="167" t="s">
        <v>149</v>
      </c>
      <c r="C14" s="168"/>
      <c r="D14" s="169"/>
      <c r="E14" s="169"/>
      <c r="F14" s="169"/>
      <c r="G14" s="170"/>
      <c r="H14" s="197"/>
      <c r="I14" s="200"/>
    </row>
    <row r="15" spans="1:9" x14ac:dyDescent="0.25">
      <c r="A15" s="230"/>
      <c r="B15" s="167" t="s">
        <v>150</v>
      </c>
      <c r="C15" s="168"/>
      <c r="D15" s="169"/>
      <c r="E15" s="169"/>
      <c r="F15" s="169"/>
      <c r="G15" s="170"/>
      <c r="H15" s="197"/>
      <c r="I15" s="200"/>
    </row>
    <row r="16" spans="1:9" ht="15.75" thickBot="1" x14ac:dyDescent="0.3">
      <c r="A16" s="230"/>
      <c r="B16" s="167" t="s">
        <v>151</v>
      </c>
      <c r="C16" s="168"/>
      <c r="D16" s="169"/>
      <c r="E16" s="169"/>
      <c r="F16" s="169"/>
      <c r="G16" s="170"/>
      <c r="H16" s="198">
        <f>(C14+C15+C16)*52/12+(D14+D15+D16)*26/12+(E14+E15+E16)+(+F14+F15+F16)*4/12+(G14+G15+G16)/12</f>
        <v>0</v>
      </c>
      <c r="I16" s="200"/>
    </row>
    <row r="17" spans="1:9" x14ac:dyDescent="0.25">
      <c r="A17" s="223" t="s">
        <v>152</v>
      </c>
      <c r="B17" s="163" t="s">
        <v>153</v>
      </c>
      <c r="C17" s="164"/>
      <c r="D17" s="165"/>
      <c r="E17" s="165"/>
      <c r="F17" s="165"/>
      <c r="G17" s="166"/>
      <c r="H17" s="196"/>
      <c r="I17" s="200"/>
    </row>
    <row r="18" spans="1:9" x14ac:dyDescent="0.25">
      <c r="A18" s="224"/>
      <c r="B18" s="167" t="s">
        <v>154</v>
      </c>
      <c r="C18" s="168"/>
      <c r="D18" s="169"/>
      <c r="E18" s="169"/>
      <c r="F18" s="169"/>
      <c r="G18" s="170"/>
      <c r="H18" s="197"/>
      <c r="I18" s="200"/>
    </row>
    <row r="19" spans="1:9" x14ac:dyDescent="0.25">
      <c r="A19" s="224"/>
      <c r="B19" s="167" t="s">
        <v>155</v>
      </c>
      <c r="C19" s="168"/>
      <c r="D19" s="169"/>
      <c r="E19" s="169"/>
      <c r="F19" s="169"/>
      <c r="G19" s="170"/>
      <c r="H19" s="197"/>
      <c r="I19" s="200"/>
    </row>
    <row r="20" spans="1:9" ht="15.75" thickBot="1" x14ac:dyDescent="0.3">
      <c r="A20" s="224"/>
      <c r="B20" s="180" t="s">
        <v>156</v>
      </c>
      <c r="C20" s="181"/>
      <c r="D20" s="182"/>
      <c r="E20" s="182"/>
      <c r="F20" s="182"/>
      <c r="G20" s="183"/>
      <c r="H20" s="198">
        <f>(C17+C18+C19+C20)*52/12+(D17+D18+D19+D20)*26/12+E17+E18+E19+E20+(F17+F18+F19+F20)*4/12+(G17+G18+G19+G20)/12</f>
        <v>0</v>
      </c>
      <c r="I20" s="200"/>
    </row>
    <row r="21" spans="1:9" x14ac:dyDescent="0.25">
      <c r="A21" s="225" t="s">
        <v>157</v>
      </c>
      <c r="B21" s="207" t="s">
        <v>202</v>
      </c>
      <c r="C21" s="164"/>
      <c r="D21" s="165"/>
      <c r="E21" s="165">
        <v>250</v>
      </c>
      <c r="F21" s="165"/>
      <c r="G21" s="184"/>
      <c r="H21" s="196"/>
      <c r="I21" s="200"/>
    </row>
    <row r="22" spans="1:9" x14ac:dyDescent="0.25">
      <c r="A22" s="232"/>
      <c r="B22" s="176" t="s">
        <v>158</v>
      </c>
      <c r="C22" s="204"/>
      <c r="D22" s="205"/>
      <c r="E22" s="205"/>
      <c r="F22" s="205">
        <v>200</v>
      </c>
      <c r="G22" s="206"/>
      <c r="H22" s="197"/>
      <c r="I22" s="200"/>
    </row>
    <row r="23" spans="1:9" ht="15.75" thickBot="1" x14ac:dyDescent="0.3">
      <c r="A23" s="227"/>
      <c r="B23" s="171" t="s">
        <v>159</v>
      </c>
      <c r="C23" s="172"/>
      <c r="D23" s="173"/>
      <c r="E23" s="173"/>
      <c r="F23" s="173"/>
      <c r="G23" s="185"/>
      <c r="H23" s="198">
        <f>(C21+C22+C23)*52/12+(D21+D22+D23)*26/12+E21+E22+E23+(F21+F22+F23)*4/12+(G21+G22+G23)/12</f>
        <v>316.66666666666669</v>
      </c>
      <c r="I23" s="200"/>
    </row>
    <row r="24" spans="1:9" ht="15.75" thickBot="1" x14ac:dyDescent="0.3">
      <c r="A24" s="226" t="s">
        <v>196</v>
      </c>
      <c r="B24" s="194"/>
      <c r="C24" s="168"/>
      <c r="D24" s="169"/>
      <c r="E24" s="169"/>
      <c r="F24" s="169"/>
      <c r="G24" s="170"/>
      <c r="H24" s="196"/>
      <c r="I24" s="200"/>
    </row>
    <row r="25" spans="1:9" ht="15.75" thickBot="1" x14ac:dyDescent="0.3">
      <c r="A25" s="227"/>
      <c r="B25" s="194"/>
      <c r="C25" s="172"/>
      <c r="D25" s="173"/>
      <c r="E25" s="173"/>
      <c r="F25" s="173"/>
      <c r="G25" s="174"/>
      <c r="H25" s="198">
        <f>(C24+C25)*52/12+(D24+D25)*26/12+E24+E25+(F24+F25)*4/12+(G24+G25)/12</f>
        <v>0</v>
      </c>
      <c r="I25" s="200"/>
    </row>
    <row r="26" spans="1:9" x14ac:dyDescent="0.25">
      <c r="A26" s="223" t="s">
        <v>160</v>
      </c>
      <c r="B26" s="163" t="s">
        <v>153</v>
      </c>
      <c r="C26" s="164"/>
      <c r="D26" s="165"/>
      <c r="E26" s="165"/>
      <c r="F26" s="165"/>
      <c r="G26" s="166"/>
      <c r="H26" s="196"/>
      <c r="I26" s="200"/>
    </row>
    <row r="27" spans="1:9" x14ac:dyDescent="0.25">
      <c r="A27" s="224"/>
      <c r="B27" s="167" t="s">
        <v>154</v>
      </c>
      <c r="C27" s="168"/>
      <c r="D27" s="169"/>
      <c r="E27" s="169"/>
      <c r="F27" s="169"/>
      <c r="G27" s="170"/>
      <c r="H27" s="197"/>
      <c r="I27" s="200"/>
    </row>
    <row r="28" spans="1:9" x14ac:dyDescent="0.25">
      <c r="A28" s="224"/>
      <c r="B28" s="167" t="s">
        <v>155</v>
      </c>
      <c r="C28" s="168"/>
      <c r="D28" s="169"/>
      <c r="E28" s="169"/>
      <c r="F28" s="169">
        <v>200</v>
      </c>
      <c r="G28" s="170"/>
      <c r="H28" s="197"/>
      <c r="I28" s="200"/>
    </row>
    <row r="29" spans="1:9" x14ac:dyDescent="0.25">
      <c r="A29" s="224"/>
      <c r="B29" s="167" t="s">
        <v>161</v>
      </c>
      <c r="C29" s="168"/>
      <c r="D29" s="169"/>
      <c r="E29" s="169"/>
      <c r="F29" s="169"/>
      <c r="G29" s="170"/>
      <c r="H29" s="197"/>
      <c r="I29" s="200"/>
    </row>
    <row r="30" spans="1:9" x14ac:dyDescent="0.25">
      <c r="A30" s="224"/>
      <c r="B30" s="167" t="s">
        <v>162</v>
      </c>
      <c r="C30" s="168"/>
      <c r="D30" s="169"/>
      <c r="E30" s="169">
        <v>250</v>
      </c>
      <c r="F30" s="169"/>
      <c r="G30" s="170"/>
      <c r="H30" s="197"/>
      <c r="I30" s="200"/>
    </row>
    <row r="31" spans="1:9" x14ac:dyDescent="0.25">
      <c r="A31" s="224"/>
      <c r="B31" s="167" t="s">
        <v>163</v>
      </c>
      <c r="C31" s="168"/>
      <c r="D31" s="169"/>
      <c r="E31" s="169">
        <v>1400</v>
      </c>
      <c r="F31" s="169"/>
      <c r="G31" s="170"/>
      <c r="H31" s="197"/>
      <c r="I31" s="200"/>
    </row>
    <row r="32" spans="1:9" ht="15.75" thickBot="1" x14ac:dyDescent="0.3">
      <c r="A32" s="224"/>
      <c r="B32" s="180" t="s">
        <v>156</v>
      </c>
      <c r="C32" s="181"/>
      <c r="D32" s="182"/>
      <c r="E32" s="182"/>
      <c r="F32" s="182"/>
      <c r="G32" s="183"/>
      <c r="H32" s="198">
        <f>(C26+C27+C28+C29+C30+C31+C32)*52/12+(D26+D27+D28+D29+D30+D31+D32)*26/12+E26+E27+E28+E29+E30+E31+E32+(F26+F27+F28+F29+F30+F31+F32)*4/12+(G26+G27+G28+G29+G30+G31+G32)/12</f>
        <v>1716.6666666666667</v>
      </c>
      <c r="I32" s="201"/>
    </row>
    <row r="33" spans="1:9" x14ac:dyDescent="0.25">
      <c r="A33" s="225" t="s">
        <v>164</v>
      </c>
      <c r="B33" s="163" t="s">
        <v>165</v>
      </c>
      <c r="C33" s="164"/>
      <c r="D33" s="165"/>
      <c r="E33" s="165"/>
      <c r="F33" s="165">
        <v>500</v>
      </c>
      <c r="G33" s="166"/>
      <c r="H33" s="196"/>
      <c r="I33" s="200"/>
    </row>
    <row r="34" spans="1:9" x14ac:dyDescent="0.25">
      <c r="A34" s="226"/>
      <c r="B34" s="167" t="s">
        <v>190</v>
      </c>
      <c r="C34" s="168"/>
      <c r="D34" s="169"/>
      <c r="E34" s="169"/>
      <c r="F34" s="169">
        <v>200</v>
      </c>
      <c r="G34" s="170"/>
      <c r="H34" s="197"/>
      <c r="I34" s="200"/>
    </row>
    <row r="35" spans="1:9" x14ac:dyDescent="0.25">
      <c r="A35" s="226"/>
      <c r="B35" s="167" t="s">
        <v>166</v>
      </c>
      <c r="C35" s="168"/>
      <c r="D35" s="169"/>
      <c r="E35" s="169"/>
      <c r="F35" s="169"/>
      <c r="G35" s="186"/>
      <c r="H35" s="197"/>
      <c r="I35" s="200"/>
    </row>
    <row r="36" spans="1:9" x14ac:dyDescent="0.25">
      <c r="A36" s="226"/>
      <c r="B36" s="167" t="s">
        <v>167</v>
      </c>
      <c r="C36" s="168"/>
      <c r="D36" s="169"/>
      <c r="E36" s="169"/>
      <c r="F36" s="169"/>
      <c r="G36" s="170"/>
      <c r="H36" s="197"/>
      <c r="I36" s="200"/>
    </row>
    <row r="37" spans="1:9" x14ac:dyDescent="0.25">
      <c r="A37" s="226"/>
      <c r="B37" s="167" t="s">
        <v>168</v>
      </c>
      <c r="C37" s="168"/>
      <c r="D37" s="169"/>
      <c r="E37" s="169"/>
      <c r="F37" s="169">
        <v>100</v>
      </c>
      <c r="G37" s="170"/>
      <c r="H37" s="197"/>
      <c r="I37" s="200"/>
    </row>
    <row r="38" spans="1:9" ht="15.75" thickBot="1" x14ac:dyDescent="0.3">
      <c r="A38" s="227"/>
      <c r="B38" s="171" t="s">
        <v>169</v>
      </c>
      <c r="C38" s="172"/>
      <c r="D38" s="173"/>
      <c r="E38" s="173"/>
      <c r="F38" s="173">
        <v>200</v>
      </c>
      <c r="G38" s="174"/>
      <c r="H38" s="198">
        <f>(C33+C34+C35+C36+C37+C38)*52/12+(D33+D34+D35+D36+D37+D38)*26/12+E33+E34+E35+E36+E37+E38+(F33+F34+F35+F36+F37+F38)*4/12+(G33+G34+G35+G36+G37+G38)/12</f>
        <v>333.33333333333331</v>
      </c>
      <c r="I38" s="200"/>
    </row>
    <row r="39" spans="1:9" x14ac:dyDescent="0.25">
      <c r="A39" s="223" t="s">
        <v>170</v>
      </c>
      <c r="B39" s="163" t="s">
        <v>171</v>
      </c>
      <c r="C39" s="164"/>
      <c r="D39" s="165"/>
      <c r="E39" s="165">
        <v>50</v>
      </c>
      <c r="F39" s="165"/>
      <c r="G39" s="166"/>
      <c r="H39" s="196"/>
      <c r="I39" s="200"/>
    </row>
    <row r="40" spans="1:9" x14ac:dyDescent="0.25">
      <c r="A40" s="224"/>
      <c r="B40" s="167" t="s">
        <v>194</v>
      </c>
      <c r="C40" s="168"/>
      <c r="D40" s="169"/>
      <c r="E40" s="187">
        <v>50</v>
      </c>
      <c r="F40" s="169"/>
      <c r="G40" s="170"/>
      <c r="H40" s="197"/>
      <c r="I40" s="200"/>
    </row>
    <row r="41" spans="1:9" ht="15.75" thickBot="1" x14ac:dyDescent="0.3">
      <c r="A41" s="228"/>
      <c r="B41" s="171" t="s">
        <v>172</v>
      </c>
      <c r="C41" s="172"/>
      <c r="D41" s="173"/>
      <c r="E41" s="188">
        <v>70</v>
      </c>
      <c r="F41" s="173"/>
      <c r="G41" s="174"/>
      <c r="H41" s="198">
        <f>(C39+C40+C41)*52/12+(D39+D40+D41)*26/12+E39+E40+E41+(F39+F40+F41)*4/12+(G39+G40+G41)/12</f>
        <v>170</v>
      </c>
      <c r="I41" s="200"/>
    </row>
    <row r="42" spans="1:9" x14ac:dyDescent="0.25">
      <c r="A42" s="229" t="s">
        <v>173</v>
      </c>
      <c r="B42" s="163" t="s">
        <v>174</v>
      </c>
      <c r="C42" s="164"/>
      <c r="D42" s="165"/>
      <c r="E42" s="165"/>
      <c r="F42" s="165">
        <v>50</v>
      </c>
      <c r="G42" s="166"/>
      <c r="H42" s="196"/>
      <c r="I42" s="200"/>
    </row>
    <row r="43" spans="1:9" x14ac:dyDescent="0.25">
      <c r="A43" s="230"/>
      <c r="B43" s="167" t="s">
        <v>191</v>
      </c>
      <c r="C43" s="168"/>
      <c r="D43" s="169"/>
      <c r="E43" s="169"/>
      <c r="F43" s="169"/>
      <c r="G43" s="170">
        <v>800</v>
      </c>
      <c r="H43" s="197"/>
      <c r="I43" s="200"/>
    </row>
    <row r="44" spans="1:9" x14ac:dyDescent="0.25">
      <c r="A44" s="230"/>
      <c r="B44" s="167" t="s">
        <v>192</v>
      </c>
      <c r="C44" s="168"/>
      <c r="D44" s="169"/>
      <c r="E44" s="189"/>
      <c r="F44" s="169">
        <v>100</v>
      </c>
      <c r="G44" s="170"/>
      <c r="H44" s="197"/>
      <c r="I44" s="200"/>
    </row>
    <row r="45" spans="1:9" x14ac:dyDescent="0.25">
      <c r="A45" s="230"/>
      <c r="B45" s="167" t="s">
        <v>175</v>
      </c>
      <c r="C45" s="168"/>
      <c r="D45" s="169"/>
      <c r="E45" s="169">
        <v>100</v>
      </c>
      <c r="F45" s="169"/>
      <c r="G45" s="170"/>
      <c r="H45" s="197"/>
      <c r="I45" s="200"/>
    </row>
    <row r="46" spans="1:9" x14ac:dyDescent="0.25">
      <c r="A46" s="231"/>
      <c r="B46" s="167" t="s">
        <v>193</v>
      </c>
      <c r="C46" s="168"/>
      <c r="D46" s="169"/>
      <c r="E46" s="169"/>
      <c r="F46" s="169"/>
      <c r="G46" s="170">
        <v>800</v>
      </c>
      <c r="H46" s="197"/>
      <c r="I46" s="200"/>
    </row>
    <row r="47" spans="1:9" ht="15.75" thickBot="1" x14ac:dyDescent="0.3">
      <c r="A47" s="190"/>
      <c r="B47" s="171" t="s">
        <v>176</v>
      </c>
      <c r="C47" s="172"/>
      <c r="D47" s="173"/>
      <c r="E47" s="173">
        <v>80</v>
      </c>
      <c r="F47" s="173"/>
      <c r="G47" s="174"/>
      <c r="H47" s="198">
        <f>(C42+C43+C44+C45+C46+C47)*52/12+(D42+D43+D44+D45+D46+D47)*26/12+E42+E43+E44+E45+E46+E47+(F42+F43+F44+F45+F46+F47)*4/12+(G42+G43+G44+G45+G46+G47)/12</f>
        <v>363.33333333333337</v>
      </c>
      <c r="I47" s="200"/>
    </row>
    <row r="48" spans="1:9" x14ac:dyDescent="0.25">
      <c r="A48" s="232" t="s">
        <v>177</v>
      </c>
      <c r="B48" s="176" t="s">
        <v>178</v>
      </c>
      <c r="C48" s="177"/>
      <c r="D48" s="178"/>
      <c r="E48" s="178"/>
      <c r="F48" s="178"/>
      <c r="G48" s="179"/>
      <c r="H48" s="196"/>
      <c r="I48" s="200"/>
    </row>
    <row r="49" spans="1:9" ht="15.75" thickBot="1" x14ac:dyDescent="0.3">
      <c r="A49" s="232"/>
      <c r="B49" s="180" t="s">
        <v>179</v>
      </c>
      <c r="C49" s="181"/>
      <c r="D49" s="182"/>
      <c r="E49" s="182"/>
      <c r="F49" s="182"/>
      <c r="G49" s="183"/>
      <c r="H49" s="198">
        <f>(C48+C49)*52/12+(D48+D49)*26/12+E48+E49+(F48+F49)*4/12+(G48+G49)/12</f>
        <v>0</v>
      </c>
      <c r="I49" s="200"/>
    </row>
    <row r="50" spans="1:9" ht="24" customHeight="1" thickBot="1" x14ac:dyDescent="0.3">
      <c r="A50" s="233" t="s">
        <v>182</v>
      </c>
      <c r="B50" s="234"/>
      <c r="C50" s="192">
        <f>(SUM(C6:C49))*52</f>
        <v>0</v>
      </c>
      <c r="D50" s="192">
        <f>(SUM(D6:D49))*26</f>
        <v>0</v>
      </c>
      <c r="E50" s="192">
        <f>(SUM(E6:E49))*12</f>
        <v>49200</v>
      </c>
      <c r="F50" s="192">
        <f>(SUM(F6:F49))*4</f>
        <v>6600</v>
      </c>
      <c r="G50" s="193">
        <f>SUM(G6:G49)</f>
        <v>2200</v>
      </c>
    </row>
    <row r="51" spans="1:9" ht="24" customHeight="1" thickBot="1" x14ac:dyDescent="0.35">
      <c r="A51" s="219" t="s">
        <v>180</v>
      </c>
      <c r="B51" s="220"/>
      <c r="C51" s="221">
        <f>SUM(C50:G50)/12</f>
        <v>4833.333333333333</v>
      </c>
      <c r="D51" s="221"/>
      <c r="E51" s="221"/>
      <c r="F51" s="221"/>
      <c r="G51" s="222"/>
    </row>
    <row r="55" spans="1:9" x14ac:dyDescent="0.25">
      <c r="A55" s="1"/>
      <c r="C55" s="1"/>
    </row>
    <row r="56" spans="1:9" x14ac:dyDescent="0.25">
      <c r="A56" s="191" t="s">
        <v>197</v>
      </c>
    </row>
    <row r="58" spans="1:9" x14ac:dyDescent="0.25">
      <c r="A58" s="1"/>
      <c r="C58" s="1"/>
    </row>
    <row r="61" spans="1:9" s="1" customFormat="1" x14ac:dyDescent="0.25"/>
  </sheetData>
  <mergeCells count="14">
    <mergeCell ref="A24:A25"/>
    <mergeCell ref="A7:A9"/>
    <mergeCell ref="A10:A12"/>
    <mergeCell ref="A14:A16"/>
    <mergeCell ref="A17:A20"/>
    <mergeCell ref="A21:A23"/>
    <mergeCell ref="A51:B51"/>
    <mergeCell ref="C51:G51"/>
    <mergeCell ref="A26:A32"/>
    <mergeCell ref="A33:A38"/>
    <mergeCell ref="A39:A41"/>
    <mergeCell ref="A42:A46"/>
    <mergeCell ref="A48:A49"/>
    <mergeCell ref="A50:B50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opLeftCell="B4" zoomScale="85" zoomScaleNormal="85" workbookViewId="0">
      <selection activeCell="G45" sqref="G45"/>
    </sheetView>
  </sheetViews>
  <sheetFormatPr defaultColWidth="9.140625" defaultRowHeight="15" x14ac:dyDescent="0.25"/>
  <cols>
    <col min="1" max="1" width="16.7109375" style="50" hidden="1" customWidth="1"/>
    <col min="2" max="2" width="14.28515625" style="50" bestFit="1" customWidth="1"/>
    <col min="3" max="4" width="14.28515625" style="50" customWidth="1"/>
    <col min="5" max="5" width="11.7109375" style="50" customWidth="1"/>
    <col min="6" max="6" width="12.85546875" style="50" customWidth="1"/>
    <col min="7" max="8" width="13" style="50" customWidth="1"/>
    <col min="9" max="9" width="9.28515625" style="50" customWidth="1"/>
    <col min="10" max="10" width="15.42578125" style="50" customWidth="1"/>
    <col min="11" max="11" width="14.5703125" style="50" customWidth="1"/>
    <col min="12" max="12" width="12.42578125" style="50" customWidth="1"/>
    <col min="13" max="13" width="16.7109375" style="50" customWidth="1"/>
    <col min="14" max="14" width="13.42578125" style="50" customWidth="1"/>
    <col min="15" max="15" width="11.140625" style="50" customWidth="1"/>
    <col min="16" max="16" width="12.140625" style="50" customWidth="1"/>
    <col min="17" max="16384" width="9.140625" style="50"/>
  </cols>
  <sheetData>
    <row r="1" spans="2:16" ht="23.25" x14ac:dyDescent="0.25">
      <c r="B1" s="121" t="s">
        <v>110</v>
      </c>
    </row>
    <row r="2" spans="2:16" ht="21" x14ac:dyDescent="0.35">
      <c r="B2" s="122" t="s">
        <v>5</v>
      </c>
      <c r="C2" s="123"/>
      <c r="J2" s="209" t="s">
        <v>7</v>
      </c>
      <c r="K2" s="209"/>
      <c r="M2" s="48" t="s">
        <v>37</v>
      </c>
      <c r="N2" s="48" t="s">
        <v>38</v>
      </c>
      <c r="O2" s="48" t="s">
        <v>39</v>
      </c>
      <c r="P2" s="48" t="s">
        <v>40</v>
      </c>
    </row>
    <row r="3" spans="2:16" ht="23.25" x14ac:dyDescent="0.35">
      <c r="B3" s="124" t="s">
        <v>111</v>
      </c>
      <c r="J3" s="48"/>
      <c r="K3" s="48"/>
      <c r="M3" s="48"/>
      <c r="N3" s="48"/>
      <c r="O3" s="48"/>
      <c r="P3" s="48"/>
    </row>
    <row r="4" spans="2:16" ht="30" x14ac:dyDescent="0.25">
      <c r="B4" s="51" t="s">
        <v>0</v>
      </c>
      <c r="C4" s="51" t="s">
        <v>2</v>
      </c>
      <c r="D4" s="51" t="s">
        <v>3</v>
      </c>
      <c r="E4" s="51" t="s">
        <v>41</v>
      </c>
      <c r="F4" s="51" t="s">
        <v>1</v>
      </c>
      <c r="G4" s="51" t="s">
        <v>42</v>
      </c>
      <c r="H4" s="51" t="s">
        <v>43</v>
      </c>
      <c r="I4" s="51" t="s">
        <v>44</v>
      </c>
      <c r="J4" s="48" t="s">
        <v>8</v>
      </c>
      <c r="K4" s="48" t="s">
        <v>9</v>
      </c>
      <c r="L4" s="4" t="s">
        <v>45</v>
      </c>
      <c r="M4" s="48" t="s">
        <v>6</v>
      </c>
      <c r="N4" s="48" t="s">
        <v>6</v>
      </c>
      <c r="O4" s="48" t="s">
        <v>6</v>
      </c>
      <c r="P4" s="48" t="s">
        <v>6</v>
      </c>
    </row>
    <row r="5" spans="2:16" x14ac:dyDescent="0.25">
      <c r="B5" s="52">
        <v>0</v>
      </c>
      <c r="C5" s="52">
        <v>0</v>
      </c>
      <c r="D5" s="8">
        <f>+B5+C5</f>
        <v>0</v>
      </c>
      <c r="E5" s="53" t="str">
        <f>IF(H5&gt;0,"Fixed","Variable")</f>
        <v>Variable</v>
      </c>
      <c r="F5" s="54">
        <v>4.4999999999999998E-2</v>
      </c>
      <c r="G5" s="55">
        <v>30</v>
      </c>
      <c r="H5" s="55">
        <v>0</v>
      </c>
      <c r="I5" s="55">
        <v>3</v>
      </c>
      <c r="J5" s="6">
        <f>+(D5*F5)/12</f>
        <v>0</v>
      </c>
      <c r="K5" s="5">
        <f>PMT(F5/12,G5*12,-B5)</f>
        <v>0</v>
      </c>
      <c r="L5" s="56" t="str">
        <f>IF(I5&gt;0,"Int only","P&amp;I")</f>
        <v>Int only</v>
      </c>
      <c r="M5" s="10">
        <f>IF(L5=$J$4,+J5,IF(L5=$K$4,+K5," "))</f>
        <v>0</v>
      </c>
      <c r="N5" s="3">
        <f>+M5*12</f>
        <v>0</v>
      </c>
      <c r="O5" s="10">
        <f>+(M5*12)/52</f>
        <v>0</v>
      </c>
      <c r="P5" s="10">
        <f>+O5*2</f>
        <v>0</v>
      </c>
    </row>
    <row r="6" spans="2:16" x14ac:dyDescent="0.25">
      <c r="B6" s="52">
        <v>400000</v>
      </c>
      <c r="C6" s="52">
        <v>0</v>
      </c>
      <c r="D6" s="8">
        <f>+B6+C6</f>
        <v>400000</v>
      </c>
      <c r="E6" s="53" t="str">
        <f>IF(H6&gt;0,"Fixed","Variable")</f>
        <v>Variable</v>
      </c>
      <c r="F6" s="54">
        <v>4.6899999999999997E-2</v>
      </c>
      <c r="G6" s="55">
        <v>30</v>
      </c>
      <c r="H6" s="55">
        <v>0</v>
      </c>
      <c r="I6" s="55">
        <v>3</v>
      </c>
      <c r="J6" s="6">
        <f>+(D6*F6)/12</f>
        <v>1563.3333333333333</v>
      </c>
      <c r="K6" s="5">
        <f t="shared" ref="K6:K8" si="0">PMT(F6/12,G6*12,-B6)</f>
        <v>2072.1477040793006</v>
      </c>
      <c r="L6" s="56" t="str">
        <f t="shared" ref="L6:L14" si="1">IF(I6&gt;0,"Int only","P&amp;I")</f>
        <v>Int only</v>
      </c>
      <c r="M6" s="10">
        <f>IF(L6=$J$4,+J6,IF(L6=$K$4,+K6," "))</f>
        <v>1563.3333333333333</v>
      </c>
      <c r="N6" s="3">
        <f>+M6*12</f>
        <v>18760</v>
      </c>
      <c r="O6" s="10">
        <f>+(M6*12)/52</f>
        <v>360.76923076923077</v>
      </c>
      <c r="P6" s="10">
        <f t="shared" ref="P6:P14" si="2">+O6*2</f>
        <v>721.53846153846155</v>
      </c>
    </row>
    <row r="7" spans="2:16" x14ac:dyDescent="0.25">
      <c r="B7" s="52">
        <v>0</v>
      </c>
      <c r="C7" s="52">
        <v>0</v>
      </c>
      <c r="D7" s="8">
        <f>+B7+C7</f>
        <v>0</v>
      </c>
      <c r="E7" s="53" t="str">
        <f>IF(H7&gt;0,"Fixed","Variable")</f>
        <v>Variable</v>
      </c>
      <c r="F7" s="54">
        <v>4.6899999999999997E-2</v>
      </c>
      <c r="G7" s="55">
        <v>30</v>
      </c>
      <c r="H7" s="55">
        <v>0</v>
      </c>
      <c r="I7" s="55">
        <v>3</v>
      </c>
      <c r="J7" s="6">
        <f>+(D7*F7)/12</f>
        <v>0</v>
      </c>
      <c r="K7" s="5">
        <f>PMT(F7/12,G7*12,-B7)</f>
        <v>0</v>
      </c>
      <c r="L7" s="56" t="str">
        <f t="shared" si="1"/>
        <v>Int only</v>
      </c>
      <c r="M7" s="10">
        <f>IF(L7=$J$4,+J7,IF(L7=$K$4,+K7," "))</f>
        <v>0</v>
      </c>
      <c r="N7" s="3">
        <f>+M7*12</f>
        <v>0</v>
      </c>
      <c r="O7" s="10">
        <f>+(M7*12)/52</f>
        <v>0</v>
      </c>
      <c r="P7" s="10">
        <f t="shared" si="2"/>
        <v>0</v>
      </c>
    </row>
    <row r="8" spans="2:16" x14ac:dyDescent="0.25">
      <c r="B8" s="52">
        <v>325000</v>
      </c>
      <c r="C8" s="52">
        <v>0</v>
      </c>
      <c r="D8" s="8">
        <f>+B8+C8</f>
        <v>325000</v>
      </c>
      <c r="E8" s="53" t="str">
        <f t="shared" ref="E8:E14" si="3">IF(H8&gt;0,"Fixed","Variable")</f>
        <v>Variable</v>
      </c>
      <c r="F8" s="54">
        <v>0.04</v>
      </c>
      <c r="G8" s="55">
        <v>30</v>
      </c>
      <c r="H8" s="55">
        <v>0</v>
      </c>
      <c r="I8" s="55">
        <v>3</v>
      </c>
      <c r="J8" s="6">
        <f>+(D8*F8)/12</f>
        <v>1083.3333333333333</v>
      </c>
      <c r="K8" s="5">
        <f t="shared" si="0"/>
        <v>1551.5997102627432</v>
      </c>
      <c r="L8" s="56" t="str">
        <f t="shared" si="1"/>
        <v>Int only</v>
      </c>
      <c r="M8" s="10">
        <f t="shared" ref="M8:M14" si="4">IF(L8=$J$4,+J8,IF(L8=$K$4,+K8," "))</f>
        <v>1083.3333333333333</v>
      </c>
      <c r="N8" s="3">
        <f t="shared" ref="N8:N9" si="5">+M8*12</f>
        <v>13000</v>
      </c>
      <c r="O8" s="10">
        <f>+(M8*12)/52</f>
        <v>250</v>
      </c>
      <c r="P8" s="10">
        <f t="shared" si="2"/>
        <v>500</v>
      </c>
    </row>
    <row r="9" spans="2:16" x14ac:dyDescent="0.25">
      <c r="B9" s="52">
        <v>0</v>
      </c>
      <c r="C9" s="52">
        <v>0</v>
      </c>
      <c r="D9" s="8">
        <f t="shared" ref="D9:D14" si="6">+B9+C9</f>
        <v>0</v>
      </c>
      <c r="E9" s="53" t="str">
        <f t="shared" si="3"/>
        <v>Fixed</v>
      </c>
      <c r="F9" s="54">
        <v>4.4900000000000002E-2</v>
      </c>
      <c r="G9" s="55">
        <v>30</v>
      </c>
      <c r="H9" s="55">
        <v>5</v>
      </c>
      <c r="I9" s="55">
        <v>0</v>
      </c>
      <c r="J9" s="6">
        <f t="shared" ref="J9:J13" si="7">+(D9*F9)/12</f>
        <v>0</v>
      </c>
      <c r="K9" s="5">
        <f>PMT(F9/12,G9*12,-B9)</f>
        <v>0</v>
      </c>
      <c r="L9" s="56" t="str">
        <f t="shared" si="1"/>
        <v>P&amp;I</v>
      </c>
      <c r="M9" s="10">
        <f t="shared" si="4"/>
        <v>0</v>
      </c>
      <c r="N9" s="3">
        <f t="shared" si="5"/>
        <v>0</v>
      </c>
      <c r="O9" s="10">
        <f t="shared" ref="O9:O14" si="8">+(M9*12)/52</f>
        <v>0</v>
      </c>
      <c r="P9" s="10">
        <f t="shared" si="2"/>
        <v>0</v>
      </c>
    </row>
    <row r="10" spans="2:16" x14ac:dyDescent="0.25">
      <c r="B10" s="52">
        <v>0</v>
      </c>
      <c r="C10" s="52">
        <v>0</v>
      </c>
      <c r="D10" s="8">
        <f t="shared" si="6"/>
        <v>0</v>
      </c>
      <c r="E10" s="53" t="str">
        <f t="shared" si="3"/>
        <v>Variable</v>
      </c>
      <c r="F10" s="54">
        <v>0.04</v>
      </c>
      <c r="G10" s="55">
        <v>30</v>
      </c>
      <c r="H10" s="55"/>
      <c r="I10" s="55">
        <v>3</v>
      </c>
      <c r="J10" s="6">
        <f t="shared" si="7"/>
        <v>0</v>
      </c>
      <c r="K10" s="5">
        <f t="shared" ref="K10:K14" si="9">PMT(F10/12,G10*12,-B10)</f>
        <v>0</v>
      </c>
      <c r="L10" s="56" t="str">
        <f t="shared" si="1"/>
        <v>Int only</v>
      </c>
      <c r="M10" s="10">
        <f>IF(L10=$J$4,+J10,IF(L10=$K$4,+K10," "))</f>
        <v>0</v>
      </c>
      <c r="N10" s="3">
        <f>+M10*12</f>
        <v>0</v>
      </c>
      <c r="O10" s="10">
        <f t="shared" si="8"/>
        <v>0</v>
      </c>
      <c r="P10" s="10">
        <f t="shared" si="2"/>
        <v>0</v>
      </c>
    </row>
    <row r="11" spans="2:16" hidden="1" x14ac:dyDescent="0.25">
      <c r="B11" s="52">
        <v>0</v>
      </c>
      <c r="C11" s="52">
        <v>0</v>
      </c>
      <c r="D11" s="8">
        <f t="shared" si="6"/>
        <v>0</v>
      </c>
      <c r="E11" s="53" t="str">
        <f t="shared" si="3"/>
        <v>Variable</v>
      </c>
      <c r="F11" s="54">
        <v>0</v>
      </c>
      <c r="G11" s="55">
        <v>30</v>
      </c>
      <c r="H11" s="55"/>
      <c r="I11" s="55">
        <v>2</v>
      </c>
      <c r="J11" s="6">
        <f t="shared" si="7"/>
        <v>0</v>
      </c>
      <c r="K11" s="5">
        <f>PMT(F11/12,G11*12,-B11)</f>
        <v>0</v>
      </c>
      <c r="L11" s="56" t="str">
        <f t="shared" si="1"/>
        <v>Int only</v>
      </c>
      <c r="M11" s="10">
        <f>IF(L11=$J$4,+J11,IF(L11=$K$4,+K11," "))</f>
        <v>0</v>
      </c>
      <c r="N11" s="3">
        <f>+M11*12</f>
        <v>0</v>
      </c>
      <c r="O11" s="10">
        <f t="shared" si="8"/>
        <v>0</v>
      </c>
      <c r="P11" s="10">
        <f t="shared" si="2"/>
        <v>0</v>
      </c>
    </row>
    <row r="12" spans="2:16" hidden="1" x14ac:dyDescent="0.25">
      <c r="B12" s="52">
        <v>0</v>
      </c>
      <c r="C12" s="52">
        <v>0</v>
      </c>
      <c r="D12" s="8">
        <f t="shared" si="6"/>
        <v>0</v>
      </c>
      <c r="E12" s="53" t="str">
        <f t="shared" si="3"/>
        <v>Variable</v>
      </c>
      <c r="F12" s="54">
        <v>0</v>
      </c>
      <c r="G12" s="55">
        <v>30</v>
      </c>
      <c r="H12" s="55"/>
      <c r="I12" s="55">
        <v>2</v>
      </c>
      <c r="J12" s="6">
        <f t="shared" si="7"/>
        <v>0</v>
      </c>
      <c r="K12" s="5">
        <f>PMT(F12/12,G12*12,-B12)</f>
        <v>0</v>
      </c>
      <c r="L12" s="56" t="str">
        <f t="shared" si="1"/>
        <v>Int only</v>
      </c>
      <c r="M12" s="10">
        <f>IF(L12=$J$4,+J12,IF(L12=$K$4,+K12," "))</f>
        <v>0</v>
      </c>
      <c r="N12" s="3">
        <f t="shared" ref="N12:N14" si="10">+M12*12</f>
        <v>0</v>
      </c>
      <c r="O12" s="10">
        <f t="shared" si="8"/>
        <v>0</v>
      </c>
      <c r="P12" s="10">
        <f t="shared" si="2"/>
        <v>0</v>
      </c>
    </row>
    <row r="13" spans="2:16" hidden="1" x14ac:dyDescent="0.25">
      <c r="B13" s="52">
        <v>0</v>
      </c>
      <c r="C13" s="52">
        <v>0</v>
      </c>
      <c r="D13" s="8">
        <f t="shared" si="6"/>
        <v>0</v>
      </c>
      <c r="E13" s="53" t="str">
        <f t="shared" si="3"/>
        <v>Variable</v>
      </c>
      <c r="F13" s="54">
        <v>0</v>
      </c>
      <c r="G13" s="55">
        <v>30</v>
      </c>
      <c r="H13" s="55"/>
      <c r="I13" s="55">
        <v>0</v>
      </c>
      <c r="J13" s="6">
        <f t="shared" si="7"/>
        <v>0</v>
      </c>
      <c r="K13" s="5">
        <f>PMT(F13/12,G13*12,-B13)</f>
        <v>0</v>
      </c>
      <c r="L13" s="56" t="str">
        <f t="shared" si="1"/>
        <v>P&amp;I</v>
      </c>
      <c r="M13" s="10">
        <f t="shared" si="4"/>
        <v>0</v>
      </c>
      <c r="N13" s="3">
        <f t="shared" si="10"/>
        <v>0</v>
      </c>
      <c r="O13" s="10">
        <f t="shared" si="8"/>
        <v>0</v>
      </c>
      <c r="P13" s="10">
        <f t="shared" si="2"/>
        <v>0</v>
      </c>
    </row>
    <row r="14" spans="2:16" hidden="1" x14ac:dyDescent="0.25">
      <c r="B14" s="52">
        <v>0</v>
      </c>
      <c r="C14" s="52">
        <v>0</v>
      </c>
      <c r="D14" s="8">
        <f t="shared" si="6"/>
        <v>0</v>
      </c>
      <c r="E14" s="53" t="str">
        <f t="shared" si="3"/>
        <v>Variable</v>
      </c>
      <c r="F14" s="54">
        <v>0</v>
      </c>
      <c r="G14" s="55">
        <v>30</v>
      </c>
      <c r="H14" s="55"/>
      <c r="I14" s="55">
        <v>2</v>
      </c>
      <c r="J14" s="6">
        <f>+(D14*F14)/12</f>
        <v>0</v>
      </c>
      <c r="K14" s="5">
        <f t="shared" si="9"/>
        <v>0</v>
      </c>
      <c r="L14" s="56" t="str">
        <f t="shared" si="1"/>
        <v>Int only</v>
      </c>
      <c r="M14" s="10">
        <f t="shared" si="4"/>
        <v>0</v>
      </c>
      <c r="N14" s="3">
        <f t="shared" si="10"/>
        <v>0</v>
      </c>
      <c r="O14" s="10">
        <f t="shared" si="8"/>
        <v>0</v>
      </c>
      <c r="P14" s="10">
        <f t="shared" si="2"/>
        <v>0</v>
      </c>
    </row>
    <row r="15" spans="2:16" ht="15.75" thickBot="1" x14ac:dyDescent="0.3">
      <c r="B15" s="50" t="s">
        <v>46</v>
      </c>
      <c r="C15" s="57"/>
      <c r="D15" s="3"/>
      <c r="E15" s="3"/>
      <c r="F15" s="3"/>
      <c r="G15" s="3"/>
      <c r="H15" s="3"/>
      <c r="I15" s="3"/>
      <c r="J15" s="9">
        <f>SUM(J5:J14)</f>
        <v>2646.6666666666665</v>
      </c>
      <c r="K15" s="9">
        <f>SUM(K5:K14)</f>
        <v>3623.7474143420441</v>
      </c>
      <c r="M15" s="9">
        <f>SUM(M5:M14)</f>
        <v>2646.6666666666665</v>
      </c>
      <c r="N15" s="9">
        <f>SUM(N5:N14)</f>
        <v>31760</v>
      </c>
      <c r="O15" s="9">
        <f>SUM(O5:O14)</f>
        <v>610.76923076923072</v>
      </c>
      <c r="P15" s="9">
        <f>SUM(P5:P14)</f>
        <v>1221.5384615384614</v>
      </c>
    </row>
    <row r="16" spans="2:16" ht="15.75" thickTop="1" x14ac:dyDescent="0.25"/>
    <row r="18" spans="2:16" ht="23.25" x14ac:dyDescent="0.35">
      <c r="B18" s="124" t="s">
        <v>112</v>
      </c>
    </row>
    <row r="19" spans="2:16" ht="30" x14ac:dyDescent="0.25">
      <c r="B19" s="51" t="s">
        <v>0</v>
      </c>
      <c r="C19" s="51" t="s">
        <v>2</v>
      </c>
      <c r="D19" s="51" t="s">
        <v>3</v>
      </c>
      <c r="E19" s="51" t="s">
        <v>41</v>
      </c>
      <c r="F19" s="51" t="s">
        <v>1</v>
      </c>
      <c r="G19" s="51" t="s">
        <v>42</v>
      </c>
      <c r="H19" s="51" t="s">
        <v>43</v>
      </c>
      <c r="I19" s="51" t="s">
        <v>44</v>
      </c>
      <c r="J19" s="48" t="s">
        <v>8</v>
      </c>
      <c r="K19" s="48" t="s">
        <v>9</v>
      </c>
      <c r="L19" s="4" t="s">
        <v>45</v>
      </c>
      <c r="M19" s="48" t="s">
        <v>6</v>
      </c>
      <c r="N19" s="48" t="s">
        <v>6</v>
      </c>
      <c r="O19" s="48" t="s">
        <v>6</v>
      </c>
      <c r="P19" s="48" t="s">
        <v>6</v>
      </c>
    </row>
    <row r="20" spans="2:16" x14ac:dyDescent="0.25">
      <c r="B20" s="60">
        <f>+B5</f>
        <v>0</v>
      </c>
      <c r="C20" s="52">
        <v>0</v>
      </c>
      <c r="D20" s="8">
        <f>+B20+C20</f>
        <v>0</v>
      </c>
      <c r="E20" s="53" t="str">
        <f>IF(H20&gt;0,"Fixed","Variable")</f>
        <v>Variable</v>
      </c>
      <c r="F20" s="54">
        <v>3.9899999999999998E-2</v>
      </c>
      <c r="G20" s="55">
        <v>30</v>
      </c>
      <c r="H20" s="55">
        <v>0</v>
      </c>
      <c r="I20" s="125"/>
      <c r="J20" s="6">
        <f>+(D20*F20)/12</f>
        <v>0</v>
      </c>
      <c r="K20" s="5">
        <f t="shared" ref="K20:K23" si="11">PMT(F20/12,G20*12,-B20)</f>
        <v>0</v>
      </c>
      <c r="L20" s="56" t="str">
        <f>IF(I20&gt;0,"Int only","P&amp;I")</f>
        <v>P&amp;I</v>
      </c>
      <c r="M20" s="10">
        <f>IF(L20=$J$4,+J20,IF(L20=$K$4,+K20," "))</f>
        <v>0</v>
      </c>
      <c r="N20" s="3">
        <f>+M20*12</f>
        <v>0</v>
      </c>
      <c r="O20" s="10">
        <f>+(M20*12)/52</f>
        <v>0</v>
      </c>
      <c r="P20" s="10">
        <f>+O20*2</f>
        <v>0</v>
      </c>
    </row>
    <row r="21" spans="2:16" x14ac:dyDescent="0.25">
      <c r="B21" s="60">
        <f t="shared" ref="B21:B29" si="12">+B6</f>
        <v>400000</v>
      </c>
      <c r="C21" s="52">
        <v>0</v>
      </c>
      <c r="D21" s="8">
        <f>+B21+C21</f>
        <v>400000</v>
      </c>
      <c r="E21" s="53" t="str">
        <f>IF(H21&gt;0,"Fixed","Variable")</f>
        <v>Variable</v>
      </c>
      <c r="F21" s="54">
        <v>3.7900000000000003E-2</v>
      </c>
      <c r="G21" s="55">
        <v>30</v>
      </c>
      <c r="H21" s="55">
        <v>0</v>
      </c>
      <c r="I21" s="125"/>
      <c r="J21" s="6">
        <f>+(D21*F21)/12</f>
        <v>1263.3333333333335</v>
      </c>
      <c r="K21" s="5">
        <f>PMT(F21/12,G21*12,-B21)</f>
        <v>1861.5530735066709</v>
      </c>
      <c r="L21" s="56" t="str">
        <f t="shared" ref="L21:L29" si="13">IF(I21&gt;0,"Int only","P&amp;I")</f>
        <v>P&amp;I</v>
      </c>
      <c r="M21" s="10">
        <f>IF(L21=$J$4,+J21,IF(L21=$K$4,+K21," "))</f>
        <v>1861.5530735066709</v>
      </c>
      <c r="N21" s="3">
        <f>+M21*12</f>
        <v>22338.636882080049</v>
      </c>
      <c r="O21" s="10">
        <f>+(M21*12)/52</f>
        <v>429.58917080923169</v>
      </c>
      <c r="P21" s="10">
        <f t="shared" ref="P21:P29" si="14">+O21*2</f>
        <v>859.17834161846338</v>
      </c>
    </row>
    <row r="22" spans="2:16" x14ac:dyDescent="0.25">
      <c r="B22" s="60">
        <f t="shared" si="12"/>
        <v>0</v>
      </c>
      <c r="C22" s="52">
        <v>0</v>
      </c>
      <c r="D22" s="8">
        <f>+B22+C22</f>
        <v>0</v>
      </c>
      <c r="E22" s="53" t="str">
        <f>IF(H22&gt;0,"Fixed","Variable")</f>
        <v>Variable</v>
      </c>
      <c r="F22" s="54">
        <v>4.2500000000000003E-2</v>
      </c>
      <c r="G22" s="55">
        <v>30</v>
      </c>
      <c r="H22" s="55">
        <v>0</v>
      </c>
      <c r="I22" s="125"/>
      <c r="J22" s="6">
        <f>+(D22*F22)/12</f>
        <v>0</v>
      </c>
      <c r="K22" s="5">
        <f t="shared" si="11"/>
        <v>0</v>
      </c>
      <c r="L22" s="56" t="str">
        <f t="shared" si="13"/>
        <v>P&amp;I</v>
      </c>
      <c r="M22" s="10">
        <f>IF(L22=$J$4,+J22,IF(L22=$K$4,+K22," "))</f>
        <v>0</v>
      </c>
      <c r="N22" s="3">
        <f>+M22*12</f>
        <v>0</v>
      </c>
      <c r="O22" s="10">
        <f>+(M22*12)/52</f>
        <v>0</v>
      </c>
      <c r="P22" s="10">
        <f t="shared" si="14"/>
        <v>0</v>
      </c>
    </row>
    <row r="23" spans="2:16" x14ac:dyDescent="0.25">
      <c r="B23" s="60">
        <f t="shared" si="12"/>
        <v>325000</v>
      </c>
      <c r="C23" s="52">
        <v>0</v>
      </c>
      <c r="D23" s="8">
        <f>+B23+C23</f>
        <v>325000</v>
      </c>
      <c r="E23" s="53" t="str">
        <f t="shared" ref="E23:E29" si="15">IF(H23&gt;0,"Fixed","Variable")</f>
        <v>Variable</v>
      </c>
      <c r="F23" s="54">
        <v>0.04</v>
      </c>
      <c r="G23" s="55">
        <v>30</v>
      </c>
      <c r="H23" s="55">
        <v>0</v>
      </c>
      <c r="I23" s="125"/>
      <c r="J23" s="6">
        <f>+(D23*F23)/12</f>
        <v>1083.3333333333333</v>
      </c>
      <c r="K23" s="5">
        <f t="shared" si="11"/>
        <v>1551.5997102627432</v>
      </c>
      <c r="L23" s="56" t="str">
        <f t="shared" si="13"/>
        <v>P&amp;I</v>
      </c>
      <c r="M23" s="10">
        <f t="shared" ref="M23:M24" si="16">IF(L23=$J$4,+J23,IF(L23=$K$4,+K23," "))</f>
        <v>1551.5997102627432</v>
      </c>
      <c r="N23" s="3">
        <f t="shared" ref="N23:N24" si="17">+M23*12</f>
        <v>18619.196523152918</v>
      </c>
      <c r="O23" s="10">
        <f>+(M23*12)/52</f>
        <v>358.06147159909455</v>
      </c>
      <c r="P23" s="10">
        <f t="shared" si="14"/>
        <v>716.12294319818909</v>
      </c>
    </row>
    <row r="24" spans="2:16" x14ac:dyDescent="0.25">
      <c r="B24" s="60">
        <f t="shared" si="12"/>
        <v>0</v>
      </c>
      <c r="C24" s="52">
        <v>0</v>
      </c>
      <c r="D24" s="8">
        <f t="shared" ref="D24:D29" si="18">+B24+C24</f>
        <v>0</v>
      </c>
      <c r="E24" s="53" t="str">
        <f t="shared" si="15"/>
        <v>Fixed</v>
      </c>
      <c r="F24" s="54">
        <v>4.4900000000000002E-2</v>
      </c>
      <c r="G24" s="55">
        <v>30</v>
      </c>
      <c r="H24" s="55">
        <v>5</v>
      </c>
      <c r="I24" s="55">
        <v>0</v>
      </c>
      <c r="J24" s="6">
        <f t="shared" ref="J24:J28" si="19">+(D24*F24)/12</f>
        <v>0</v>
      </c>
      <c r="K24" s="5">
        <f>PMT(F24/12,G24*12,-B24)</f>
        <v>0</v>
      </c>
      <c r="L24" s="56" t="str">
        <f t="shared" si="13"/>
        <v>P&amp;I</v>
      </c>
      <c r="M24" s="10">
        <f t="shared" si="16"/>
        <v>0</v>
      </c>
      <c r="N24" s="3">
        <f t="shared" si="17"/>
        <v>0</v>
      </c>
      <c r="O24" s="10">
        <f t="shared" ref="O24:O29" si="20">+(M24*12)/52</f>
        <v>0</v>
      </c>
      <c r="P24" s="10">
        <f t="shared" si="14"/>
        <v>0</v>
      </c>
    </row>
    <row r="25" spans="2:16" x14ac:dyDescent="0.25">
      <c r="B25" s="60">
        <f t="shared" si="12"/>
        <v>0</v>
      </c>
      <c r="C25" s="52">
        <v>0</v>
      </c>
      <c r="D25" s="8">
        <f t="shared" si="18"/>
        <v>0</v>
      </c>
      <c r="E25" s="53" t="str">
        <f t="shared" si="15"/>
        <v>Variable</v>
      </c>
      <c r="F25" s="54">
        <v>0.04</v>
      </c>
      <c r="G25" s="55">
        <v>30</v>
      </c>
      <c r="H25" s="55"/>
      <c r="I25" s="55">
        <v>3</v>
      </c>
      <c r="J25" s="6">
        <f t="shared" si="19"/>
        <v>0</v>
      </c>
      <c r="K25" s="5">
        <f t="shared" ref="K25" si="21">PMT(F25/12,G25*12,-B25)</f>
        <v>0</v>
      </c>
      <c r="L25" s="56" t="str">
        <f t="shared" si="13"/>
        <v>Int only</v>
      </c>
      <c r="M25" s="10">
        <f>IF(L25=$J$4,+J25,IF(L25=$K$4,+K25," "))</f>
        <v>0</v>
      </c>
      <c r="N25" s="3">
        <f>+M25*12</f>
        <v>0</v>
      </c>
      <c r="O25" s="10">
        <f t="shared" si="20"/>
        <v>0</v>
      </c>
      <c r="P25" s="10">
        <f t="shared" si="14"/>
        <v>0</v>
      </c>
    </row>
    <row r="26" spans="2:16" hidden="1" x14ac:dyDescent="0.25">
      <c r="B26" s="60">
        <f t="shared" si="12"/>
        <v>0</v>
      </c>
      <c r="C26" s="52">
        <v>0</v>
      </c>
      <c r="D26" s="8">
        <f t="shared" si="18"/>
        <v>0</v>
      </c>
      <c r="E26" s="53" t="str">
        <f t="shared" si="15"/>
        <v>Variable</v>
      </c>
      <c r="F26" s="54">
        <v>0</v>
      </c>
      <c r="G26" s="55">
        <v>30</v>
      </c>
      <c r="H26" s="55"/>
      <c r="I26" s="55">
        <v>2</v>
      </c>
      <c r="J26" s="6">
        <f t="shared" si="19"/>
        <v>0</v>
      </c>
      <c r="K26" s="5">
        <f>PMT(F26/12,G26*12,-B26)</f>
        <v>0</v>
      </c>
      <c r="L26" s="56" t="str">
        <f t="shared" si="13"/>
        <v>Int only</v>
      </c>
      <c r="M26" s="10">
        <f>IF(L26=$J$4,+J26,IF(L26=$K$4,+K26," "))</f>
        <v>0</v>
      </c>
      <c r="N26" s="3">
        <f>+M26*12</f>
        <v>0</v>
      </c>
      <c r="O26" s="10">
        <f t="shared" si="20"/>
        <v>0</v>
      </c>
      <c r="P26" s="10">
        <f t="shared" si="14"/>
        <v>0</v>
      </c>
    </row>
    <row r="27" spans="2:16" hidden="1" x14ac:dyDescent="0.25">
      <c r="B27" s="60">
        <f t="shared" si="12"/>
        <v>0</v>
      </c>
      <c r="C27" s="52">
        <v>0</v>
      </c>
      <c r="D27" s="8">
        <f t="shared" si="18"/>
        <v>0</v>
      </c>
      <c r="E27" s="53" t="str">
        <f t="shared" si="15"/>
        <v>Variable</v>
      </c>
      <c r="F27" s="54">
        <v>0</v>
      </c>
      <c r="G27" s="55">
        <v>30</v>
      </c>
      <c r="H27" s="55"/>
      <c r="I27" s="55">
        <v>2</v>
      </c>
      <c r="J27" s="6">
        <f t="shared" si="19"/>
        <v>0</v>
      </c>
      <c r="K27" s="5">
        <f>PMT(F27/12,G27*12,-B27)</f>
        <v>0</v>
      </c>
      <c r="L27" s="56" t="str">
        <f t="shared" si="13"/>
        <v>Int only</v>
      </c>
      <c r="M27" s="10">
        <f>IF(L27=$J$4,+J27,IF(L27=$K$4,+K27," "))</f>
        <v>0</v>
      </c>
      <c r="N27" s="3">
        <f t="shared" ref="N27:N29" si="22">+M27*12</f>
        <v>0</v>
      </c>
      <c r="O27" s="10">
        <f t="shared" si="20"/>
        <v>0</v>
      </c>
      <c r="P27" s="10">
        <f t="shared" si="14"/>
        <v>0</v>
      </c>
    </row>
    <row r="28" spans="2:16" hidden="1" x14ac:dyDescent="0.25">
      <c r="B28" s="60">
        <f t="shared" si="12"/>
        <v>0</v>
      </c>
      <c r="C28" s="52">
        <v>0</v>
      </c>
      <c r="D28" s="8">
        <f t="shared" si="18"/>
        <v>0</v>
      </c>
      <c r="E28" s="53" t="str">
        <f t="shared" si="15"/>
        <v>Variable</v>
      </c>
      <c r="F28" s="54">
        <v>0</v>
      </c>
      <c r="G28" s="55">
        <v>30</v>
      </c>
      <c r="H28" s="55"/>
      <c r="I28" s="55">
        <v>0</v>
      </c>
      <c r="J28" s="6">
        <f t="shared" si="19"/>
        <v>0</v>
      </c>
      <c r="K28" s="5">
        <f>PMT(F28/12,G28*12,-B28)</f>
        <v>0</v>
      </c>
      <c r="L28" s="56" t="str">
        <f t="shared" si="13"/>
        <v>P&amp;I</v>
      </c>
      <c r="M28" s="10">
        <f t="shared" ref="M28:M29" si="23">IF(L28=$J$4,+J28,IF(L28=$K$4,+K28," "))</f>
        <v>0</v>
      </c>
      <c r="N28" s="3">
        <f t="shared" si="22"/>
        <v>0</v>
      </c>
      <c r="O28" s="10">
        <f t="shared" si="20"/>
        <v>0</v>
      </c>
      <c r="P28" s="10">
        <f t="shared" si="14"/>
        <v>0</v>
      </c>
    </row>
    <row r="29" spans="2:16" hidden="1" x14ac:dyDescent="0.25">
      <c r="B29" s="60">
        <f t="shared" si="12"/>
        <v>0</v>
      </c>
      <c r="C29" s="52">
        <v>0</v>
      </c>
      <c r="D29" s="8">
        <f t="shared" si="18"/>
        <v>0</v>
      </c>
      <c r="E29" s="53" t="str">
        <f t="shared" si="15"/>
        <v>Variable</v>
      </c>
      <c r="F29" s="54">
        <v>0</v>
      </c>
      <c r="G29" s="55">
        <v>30</v>
      </c>
      <c r="H29" s="55"/>
      <c r="I29" s="55">
        <v>2</v>
      </c>
      <c r="J29" s="6">
        <f>+(D29*F29)/12</f>
        <v>0</v>
      </c>
      <c r="K29" s="5">
        <f t="shared" ref="K29" si="24">PMT(F29/12,G29*12,-B29)</f>
        <v>0</v>
      </c>
      <c r="L29" s="56" t="str">
        <f t="shared" si="13"/>
        <v>Int only</v>
      </c>
      <c r="M29" s="10">
        <f t="shared" si="23"/>
        <v>0</v>
      </c>
      <c r="N29" s="3">
        <f t="shared" si="22"/>
        <v>0</v>
      </c>
      <c r="O29" s="10">
        <f t="shared" si="20"/>
        <v>0</v>
      </c>
      <c r="P29" s="10">
        <f t="shared" si="14"/>
        <v>0</v>
      </c>
    </row>
    <row r="30" spans="2:16" ht="15.75" thickBot="1" x14ac:dyDescent="0.3">
      <c r="B30" s="50" t="s">
        <v>46</v>
      </c>
      <c r="C30" s="57"/>
      <c r="D30" s="3"/>
      <c r="E30" s="3"/>
      <c r="F30" s="3"/>
      <c r="G30" s="3"/>
      <c r="H30" s="3"/>
      <c r="I30" s="3"/>
      <c r="J30" s="9">
        <f>SUM(J20:J29)</f>
        <v>2346.666666666667</v>
      </c>
      <c r="K30" s="9">
        <f>SUM(K20:K29)</f>
        <v>3413.1527837694139</v>
      </c>
      <c r="M30" s="9">
        <f>SUM(M20:M29)</f>
        <v>3413.1527837694139</v>
      </c>
      <c r="N30" s="9">
        <f>SUM(N20:N29)</f>
        <v>40957.833405232966</v>
      </c>
      <c r="O30" s="9">
        <f>SUM(O20:O29)</f>
        <v>787.65064240832623</v>
      </c>
      <c r="P30" s="9">
        <f>SUM(P20:P29)</f>
        <v>1575.3012848166525</v>
      </c>
    </row>
    <row r="31" spans="2:16" ht="15.75" thickTop="1" x14ac:dyDescent="0.25"/>
    <row r="32" spans="2:16" ht="15.75" thickBot="1" x14ac:dyDescent="0.3">
      <c r="J32" s="9">
        <f>+J30-J15</f>
        <v>-299.99999999999955</v>
      </c>
    </row>
    <row r="33" spans="10:13" ht="16.5" thickTop="1" thickBot="1" x14ac:dyDescent="0.3"/>
    <row r="34" spans="10:13" ht="19.5" thickBot="1" x14ac:dyDescent="0.35">
      <c r="J34" s="126" t="s">
        <v>113</v>
      </c>
      <c r="M34" s="127">
        <f>+M15-M30</f>
        <v>-766.48611710274736</v>
      </c>
    </row>
  </sheetData>
  <mergeCells count="1">
    <mergeCell ref="J2:K2"/>
  </mergeCells>
  <dataValidations count="2">
    <dataValidation type="whole" allowBlank="1" showInputMessage="1" showErrorMessage="1" errorTitle="Must be $0 or negative" error="Must be $0 or negative" sqref="C5:C14 C20:C29">
      <formula1>-10000000</formula1>
      <formula2>0</formula2>
    </dataValidation>
    <dataValidation type="list" allowBlank="1" showInputMessage="1" showErrorMessage="1" sqref="E5:E14 E20:E29">
      <formula1>"Fixed,Variable,Line of Credit"</formula1>
    </dataValidation>
  </dataValidations>
  <pageMargins left="0.7" right="0.7" top="0.75" bottom="0.75" header="0.3" footer="0.3"/>
  <pageSetup paperSize="9" scale="44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7"/>
  <sheetViews>
    <sheetView topLeftCell="B1" zoomScale="90" zoomScaleNormal="90" workbookViewId="0">
      <selection activeCell="K41" sqref="K41"/>
    </sheetView>
  </sheetViews>
  <sheetFormatPr defaultColWidth="9.140625" defaultRowHeight="15" x14ac:dyDescent="0.25"/>
  <cols>
    <col min="1" max="1" width="0" hidden="1" customWidth="1"/>
    <col min="2" max="2" width="11.140625" customWidth="1"/>
    <col min="3" max="3" width="13.7109375" customWidth="1"/>
    <col min="4" max="4" width="14.140625" customWidth="1"/>
    <col min="5" max="5" width="17.5703125" customWidth="1"/>
    <col min="8" max="8" width="18.7109375" customWidth="1"/>
    <col min="9" max="9" width="15.5703125" customWidth="1"/>
    <col min="10" max="10" width="14.5703125" customWidth="1"/>
    <col min="11" max="11" width="12.5703125" style="2" customWidth="1"/>
    <col min="12" max="12" width="3.7109375" style="2" customWidth="1"/>
    <col min="13" max="13" width="13.5703125" customWidth="1"/>
    <col min="14" max="14" width="14.5703125" customWidth="1"/>
    <col min="15" max="15" width="12.5703125" style="2" customWidth="1"/>
  </cols>
  <sheetData>
    <row r="1" spans="2:15" x14ac:dyDescent="0.25">
      <c r="B1" s="4" t="s">
        <v>87</v>
      </c>
      <c r="I1" s="236" t="s">
        <v>125</v>
      </c>
      <c r="J1" s="236"/>
      <c r="K1" s="236"/>
      <c r="L1" s="8"/>
      <c r="M1" s="236" t="s">
        <v>126</v>
      </c>
      <c r="N1" s="236"/>
      <c r="O1" s="236"/>
    </row>
    <row r="2" spans="2:15" x14ac:dyDescent="0.25">
      <c r="B2" s="1" t="s">
        <v>88</v>
      </c>
      <c r="C2" s="128" t="s">
        <v>128</v>
      </c>
      <c r="I2" s="236" t="str">
        <f>+C2</f>
        <v>CBA</v>
      </c>
      <c r="J2" s="236"/>
      <c r="K2" s="236"/>
      <c r="L2" s="8"/>
      <c r="M2" s="236" t="str">
        <f>+C3</f>
        <v>BOM</v>
      </c>
      <c r="N2" s="236"/>
      <c r="O2" s="236"/>
    </row>
    <row r="3" spans="2:15" x14ac:dyDescent="0.25">
      <c r="B3" s="1" t="s">
        <v>89</v>
      </c>
      <c r="C3" s="128" t="s">
        <v>127</v>
      </c>
      <c r="I3" s="98"/>
      <c r="J3" s="98"/>
      <c r="K3" s="98"/>
      <c r="L3" s="98"/>
      <c r="M3" s="98"/>
      <c r="N3" s="98"/>
      <c r="O3" s="98"/>
    </row>
    <row r="4" spans="2:15" ht="15.75" thickBot="1" x14ac:dyDescent="0.3">
      <c r="B4" s="4"/>
      <c r="D4" s="99" t="str">
        <f>+B3</f>
        <v>new</v>
      </c>
      <c r="E4" s="99" t="str">
        <f>+B2</f>
        <v>current</v>
      </c>
      <c r="H4" s="100" t="s">
        <v>90</v>
      </c>
      <c r="I4" s="101" t="s">
        <v>91</v>
      </c>
      <c r="J4" s="101" t="s">
        <v>92</v>
      </c>
      <c r="K4" s="102" t="s">
        <v>93</v>
      </c>
      <c r="L4" s="103"/>
      <c r="M4" s="101" t="s">
        <v>91</v>
      </c>
      <c r="N4" s="101" t="s">
        <v>92</v>
      </c>
      <c r="O4" s="102" t="s">
        <v>93</v>
      </c>
    </row>
    <row r="5" spans="2:15" ht="15.75" thickTop="1" x14ac:dyDescent="0.25">
      <c r="D5" s="104" t="str">
        <f>+C3</f>
        <v>BOM</v>
      </c>
      <c r="E5" s="104" t="str">
        <f>+C2</f>
        <v>CBA</v>
      </c>
      <c r="H5" s="105" t="s">
        <v>94</v>
      </c>
      <c r="I5" s="144">
        <v>200000</v>
      </c>
      <c r="J5" s="135">
        <v>0</v>
      </c>
      <c r="K5" s="132">
        <v>4.1500000000000002E-2</v>
      </c>
      <c r="L5" s="106"/>
      <c r="M5" s="144">
        <v>200000</v>
      </c>
      <c r="N5" s="135">
        <v>0</v>
      </c>
      <c r="O5" s="132">
        <v>3.7999999999999999E-2</v>
      </c>
    </row>
    <row r="6" spans="2:15" x14ac:dyDescent="0.25">
      <c r="B6" s="1" t="s">
        <v>95</v>
      </c>
      <c r="D6" s="63">
        <f>+M12</f>
        <v>430000</v>
      </c>
      <c r="E6" s="63">
        <f>+I12</f>
        <v>430000</v>
      </c>
      <c r="H6" s="107" t="s">
        <v>94</v>
      </c>
      <c r="I6" s="145">
        <v>230000</v>
      </c>
      <c r="J6" s="128">
        <v>0</v>
      </c>
      <c r="K6" s="133">
        <v>3.7900000000000003E-2</v>
      </c>
      <c r="L6" s="106"/>
      <c r="M6" s="145">
        <v>230000</v>
      </c>
      <c r="N6" s="128">
        <v>0</v>
      </c>
      <c r="O6" s="133">
        <v>3.85E-2</v>
      </c>
    </row>
    <row r="7" spans="2:15" x14ac:dyDescent="0.25">
      <c r="B7" t="s">
        <v>97</v>
      </c>
      <c r="D7" s="128">
        <v>80000</v>
      </c>
      <c r="E7" s="128">
        <v>80000</v>
      </c>
      <c r="H7" s="107" t="s">
        <v>96</v>
      </c>
      <c r="I7" s="145">
        <v>0</v>
      </c>
      <c r="J7" s="128">
        <v>50000</v>
      </c>
      <c r="K7" s="133">
        <v>4.4999999999999998E-2</v>
      </c>
      <c r="L7" s="106"/>
      <c r="M7" s="145">
        <v>0</v>
      </c>
      <c r="N7" s="128">
        <v>50000</v>
      </c>
      <c r="O7" s="133">
        <v>4.4999999999999998E-2</v>
      </c>
    </row>
    <row r="8" spans="2:15" ht="15.75" thickBot="1" x14ac:dyDescent="0.3">
      <c r="B8" t="s">
        <v>98</v>
      </c>
      <c r="D8" s="79">
        <f>+D6-D7</f>
        <v>350000</v>
      </c>
      <c r="E8" s="79">
        <f>+E6-E7</f>
        <v>350000</v>
      </c>
      <c r="H8" s="107" t="s">
        <v>96</v>
      </c>
      <c r="I8" s="136">
        <v>0</v>
      </c>
      <c r="J8" s="128">
        <v>0</v>
      </c>
      <c r="K8" s="133">
        <v>4.4299999999999999E-2</v>
      </c>
      <c r="L8" s="106"/>
      <c r="M8" s="136">
        <v>0</v>
      </c>
      <c r="N8" s="128">
        <v>0</v>
      </c>
      <c r="O8" s="133">
        <v>4.0899999999999999E-2</v>
      </c>
    </row>
    <row r="9" spans="2:15" ht="15.75" thickTop="1" x14ac:dyDescent="0.25">
      <c r="B9" t="s">
        <v>99</v>
      </c>
      <c r="D9" s="108">
        <f>+M13</f>
        <v>3.8267441860465115E-2</v>
      </c>
      <c r="E9" s="108">
        <f>+I13</f>
        <v>3.9574418604651163E-2</v>
      </c>
      <c r="H9" s="107" t="s">
        <v>96</v>
      </c>
      <c r="I9" s="136">
        <v>0</v>
      </c>
      <c r="J9" s="128">
        <v>0</v>
      </c>
      <c r="K9" s="133">
        <v>4.7E-2</v>
      </c>
      <c r="L9" s="106"/>
      <c r="M9" s="136">
        <v>0</v>
      </c>
      <c r="N9" s="128">
        <v>0</v>
      </c>
      <c r="O9" s="133">
        <v>3.9899999999999998E-2</v>
      </c>
    </row>
    <row r="10" spans="2:15" ht="15.75" thickBot="1" x14ac:dyDescent="0.3">
      <c r="B10" t="s">
        <v>100</v>
      </c>
      <c r="D10" s="3">
        <f>+D8*D9</f>
        <v>13393.60465116279</v>
      </c>
      <c r="E10" s="3">
        <f>+E8*E9</f>
        <v>13851.046511627907</v>
      </c>
      <c r="H10" s="109" t="s">
        <v>96</v>
      </c>
      <c r="I10" s="137">
        <v>0</v>
      </c>
      <c r="J10" s="138"/>
      <c r="K10" s="134">
        <v>4.7E-2</v>
      </c>
      <c r="L10" s="106"/>
      <c r="M10" s="137">
        <v>0</v>
      </c>
      <c r="N10" s="138"/>
      <c r="O10" s="134">
        <v>3.9899999999999998E-2</v>
      </c>
    </row>
    <row r="11" spans="2:15" x14ac:dyDescent="0.25">
      <c r="B11" t="s">
        <v>101</v>
      </c>
      <c r="D11" s="128">
        <v>395</v>
      </c>
      <c r="E11" s="128">
        <v>395</v>
      </c>
    </row>
    <row r="12" spans="2:15" ht="15.75" thickBot="1" x14ac:dyDescent="0.3">
      <c r="B12" t="s">
        <v>102</v>
      </c>
      <c r="D12" s="110">
        <f>+E10-D10+(E11-D11)</f>
        <v>457.44186046511641</v>
      </c>
      <c r="E12" s="148" t="s">
        <v>103</v>
      </c>
      <c r="I12" s="79">
        <f>SUM(I5:I11)</f>
        <v>430000</v>
      </c>
      <c r="J12" s="79">
        <f>SUM(J5:J11)</f>
        <v>50000</v>
      </c>
      <c r="K12" s="3"/>
      <c r="L12" s="3"/>
      <c r="M12" s="79">
        <f>SUM(M5:M11)</f>
        <v>430000</v>
      </c>
      <c r="N12" s="79">
        <f>SUM(N5:N11)</f>
        <v>50000</v>
      </c>
      <c r="O12" s="3"/>
    </row>
    <row r="13" spans="2:15" ht="16.5" thickTop="1" thickBot="1" x14ac:dyDescent="0.3">
      <c r="H13" t="s">
        <v>104</v>
      </c>
      <c r="I13" s="112">
        <f>IF(I12=0,0,+((I5*K5)+(I6*K6)+(I7*K7)+(I8*K8)+(I9*K9)+(I10*K10))/I12)</f>
        <v>3.9574418604651163E-2</v>
      </c>
      <c r="J13" s="112">
        <f>IF(J12=0,0,+((J5*K5)+(J6*K6)+(J7*K7)+(J8*K8)+(J9*K9)+(J10*K10))/J12)</f>
        <v>4.4999999999999998E-2</v>
      </c>
      <c r="M13" s="112">
        <f>IF(M12=0,0,+((M5*O5)+(M6*O6)+(M7*O7)+(M8*O8)+(M9*O9)+(M10*O10))/M12)</f>
        <v>3.8267441860465115E-2</v>
      </c>
      <c r="N13" s="112">
        <f>IF(N12=0,0,+((N5*O5)+(N6*O6)+(N7*O7)+(N8*O8)+(N9*O9)+(N10*O10))/N12)</f>
        <v>4.4999999999999998E-2</v>
      </c>
    </row>
    <row r="14" spans="2:15" ht="15.75" thickBot="1" x14ac:dyDescent="0.3">
      <c r="B14" s="1" t="s">
        <v>92</v>
      </c>
      <c r="D14" s="63">
        <f>+N12</f>
        <v>50000</v>
      </c>
      <c r="E14" s="63">
        <f>+J12</f>
        <v>50000</v>
      </c>
      <c r="F14" s="75"/>
      <c r="I14" s="237">
        <f>+I12+J12</f>
        <v>480000</v>
      </c>
      <c r="J14" s="238"/>
      <c r="M14" s="237">
        <f>+M12+N12</f>
        <v>480000</v>
      </c>
      <c r="N14" s="238"/>
    </row>
    <row r="15" spans="2:15" x14ac:dyDescent="0.25">
      <c r="B15" t="s">
        <v>97</v>
      </c>
      <c r="D15" s="128">
        <v>0</v>
      </c>
      <c r="E15" s="128">
        <v>0</v>
      </c>
      <c r="F15" s="75"/>
    </row>
    <row r="16" spans="2:15" ht="15.75" thickBot="1" x14ac:dyDescent="0.3">
      <c r="B16" t="s">
        <v>98</v>
      </c>
      <c r="D16" s="79">
        <f>+D14-D15</f>
        <v>50000</v>
      </c>
      <c r="E16" s="79">
        <f>+E14-E15</f>
        <v>50000</v>
      </c>
      <c r="I16" s="235" t="s">
        <v>105</v>
      </c>
      <c r="J16" s="235"/>
      <c r="M16" s="128">
        <v>1000000</v>
      </c>
      <c r="N16" s="128">
        <v>500000</v>
      </c>
    </row>
    <row r="17" spans="2:14" ht="15.75" thickTop="1" x14ac:dyDescent="0.25">
      <c r="B17" t="s">
        <v>99</v>
      </c>
      <c r="D17" s="108">
        <f>+N13</f>
        <v>4.4999999999999998E-2</v>
      </c>
      <c r="E17" s="108">
        <f>+J13</f>
        <v>4.4999999999999998E-2</v>
      </c>
      <c r="I17" s="113"/>
      <c r="J17" s="114" t="s">
        <v>76</v>
      </c>
      <c r="M17" s="113">
        <f>IF(M16=0,0,+M12/M16)</f>
        <v>0.43</v>
      </c>
      <c r="N17" s="113">
        <f>IF(N16=0,0,+N12/N16)</f>
        <v>0.1</v>
      </c>
    </row>
    <row r="18" spans="2:14" x14ac:dyDescent="0.25">
      <c r="B18" t="s">
        <v>100</v>
      </c>
      <c r="D18" s="3">
        <f>+D16*D17</f>
        <v>2250</v>
      </c>
      <c r="E18" s="3">
        <f>+E16*E17</f>
        <v>2250</v>
      </c>
      <c r="M18" s="116" t="str">
        <f>IF(M17&gt;80%,"LMI Payable"," ")</f>
        <v xml:space="preserve"> </v>
      </c>
      <c r="N18" s="116" t="str">
        <f>IF(N17&gt;80%,"LMI Payable***"," ")</f>
        <v xml:space="preserve"> </v>
      </c>
    </row>
    <row r="19" spans="2:14" x14ac:dyDescent="0.25">
      <c r="B19" t="s">
        <v>102</v>
      </c>
      <c r="D19" s="110">
        <f>+E18-D18</f>
        <v>0</v>
      </c>
      <c r="E19" s="111" t="s">
        <v>103</v>
      </c>
      <c r="I19" s="115" t="s">
        <v>106</v>
      </c>
      <c r="J19" s="56" t="str">
        <f>IF(I14=M14,"   Loans balance - ok","WARNING: Total Loan amounts differ - check loans")</f>
        <v xml:space="preserve">   Loans balance - ok</v>
      </c>
    </row>
    <row r="21" spans="2:14" x14ac:dyDescent="0.25">
      <c r="B21" s="117" t="s">
        <v>107</v>
      </c>
      <c r="C21" s="117"/>
      <c r="D21" s="118">
        <f>+D19+D12</f>
        <v>457.44186046511641</v>
      </c>
      <c r="E21" s="117" t="s">
        <v>108</v>
      </c>
    </row>
    <row r="22" spans="2:14" ht="15.75" thickBot="1" x14ac:dyDescent="0.3">
      <c r="B22" t="s">
        <v>109</v>
      </c>
      <c r="D22" s="119">
        <f>+D21*10</f>
        <v>4574.4186046511641</v>
      </c>
    </row>
    <row r="23" spans="2:14" ht="15.75" thickTop="1" x14ac:dyDescent="0.25"/>
    <row r="24" spans="2:14" ht="15.75" thickBot="1" x14ac:dyDescent="0.3">
      <c r="D24" s="120">
        <f>+D14+D6</f>
        <v>480000</v>
      </c>
      <c r="E24" s="120">
        <f>+E14+E6</f>
        <v>480000</v>
      </c>
    </row>
    <row r="25" spans="2:14" ht="15.75" thickTop="1" x14ac:dyDescent="0.25"/>
    <row r="26" spans="2:14" x14ac:dyDescent="0.25">
      <c r="D26" s="2"/>
    </row>
    <row r="27" spans="2:14" x14ac:dyDescent="0.25">
      <c r="D27" s="2"/>
    </row>
  </sheetData>
  <mergeCells count="7">
    <mergeCell ref="I16:J16"/>
    <mergeCell ref="I1:K1"/>
    <mergeCell ref="M1:O1"/>
    <mergeCell ref="I2:K2"/>
    <mergeCell ref="M2:O2"/>
    <mergeCell ref="I14:J14"/>
    <mergeCell ref="M14:N14"/>
  </mergeCells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Cashflow (2)</vt:lpstr>
      <vt:lpstr>Cashflow</vt:lpstr>
      <vt:lpstr>Security</vt:lpstr>
      <vt:lpstr>Offset calculation</vt:lpstr>
      <vt:lpstr>Living expenses</vt:lpstr>
      <vt:lpstr>P&amp;I vs IO</vt:lpstr>
      <vt:lpstr>Interest saving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'Offset calculation'!Print_Area</vt:lpstr>
      <vt:lpstr>'Offset calculation'!Print_Titles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Agent</dc:creator>
  <cp:lastModifiedBy>Pargunan, Sathiyaraj</cp:lastModifiedBy>
  <cp:lastPrinted>2018-02-21T06:43:53Z</cp:lastPrinted>
  <dcterms:created xsi:type="dcterms:W3CDTF">2013-11-05T10:30:20Z</dcterms:created>
  <dcterms:modified xsi:type="dcterms:W3CDTF">2021-04-13T10:29:19Z</dcterms:modified>
</cp:coreProperties>
</file>